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blación" sheetId="1" r:id="rId4"/>
    <sheet state="visible" name="DATASET" sheetId="2" r:id="rId5"/>
    <sheet state="visible" name="México COVID" sheetId="3" r:id="rId6"/>
    <sheet state="visible" name="Perú COVID" sheetId="4" r:id="rId7"/>
    <sheet state="visible" name="Chile COVID" sheetId="5" r:id="rId8"/>
    <sheet state="visible" name="Colombia COVID" sheetId="6" r:id="rId9"/>
    <sheet state="visible" name="DATA" sheetId="7" r:id="rId10"/>
    <sheet state="visible" name="Tabla dinámica Países" sheetId="8" r:id="rId11"/>
    <sheet state="visible" name="Gráficos Normalizados &amp; = eje" sheetId="9" r:id="rId12"/>
    <sheet state="hidden" name="Gráficos Normalizados" sheetId="10" r:id="rId13"/>
    <sheet state="hidden" name="Copia de Gráficos Normalizados" sheetId="11" r:id="rId14"/>
    <sheet state="hidden" name="Copia de Gráficos Normalizados " sheetId="12" r:id="rId15"/>
    <sheet state="hidden" name="Gráficos p#Acumulados" sheetId="13" r:id="rId16"/>
    <sheet state="visible" name="Gráficos p#Acumulados &amp; eje" sheetId="14" r:id="rId17"/>
    <sheet state="hidden" name="Copia de Gráficos p#Acumulados " sheetId="15" r:id="rId18"/>
    <sheet state="visible" name="Méx pre-COVID" sheetId="16" r:id="rId19"/>
    <sheet state="visible" name="Perú pre-COVID" sheetId="17" r:id="rId20"/>
    <sheet state="visible" name="Co pre-COVID" sheetId="18" r:id="rId21"/>
    <sheet state="visible" name="Chile pre-COVID" sheetId="19" r:id="rId22"/>
    <sheet state="hidden" name="WO IF" sheetId="20" r:id="rId23"/>
    <sheet state="hidden" name="PIVOT" sheetId="21" r:id="rId24"/>
  </sheets>
  <definedNames>
    <definedName hidden="1" localSheetId="1" name="_xlnm._FilterDatabase">DATASET!$A$1:$H$1254</definedName>
  </definedNames>
  <calcPr/>
  <pivotCaches>
    <pivotCache cacheId="0" r:id="rId25"/>
    <pivotCache cacheId="1" r:id="rId26"/>
    <pivotCache cacheId="2" r:id="rId2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Redondear (muertes)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Redondear (muertes)</t>
      </text>
    </comment>
    <comment authorId="0" ref="H1">
      <text>
        <t xml:space="preserve">Error N/A: COVID 52 semanas vs SIN 53 semanas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Redondear (muertes)</t>
      </text>
    </comment>
    <comment authorId="0" ref="H1">
      <text>
        <t xml:space="preserve">Error N/A: COVID 52 semanas vs SIN 53 semanas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Redondear (muertes)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Copy/Paste
</t>
      </text>
    </comment>
  </commentList>
</comments>
</file>

<file path=xl/sharedStrings.xml><?xml version="1.0" encoding="utf-8"?>
<sst xmlns="http://schemas.openxmlformats.org/spreadsheetml/2006/main" count="1647" uniqueCount="26">
  <si>
    <t>Pais</t>
  </si>
  <si>
    <t>Poblacion</t>
  </si>
  <si>
    <t>Mexico</t>
  </si>
  <si>
    <t>Peru</t>
  </si>
  <si>
    <t>Chile</t>
  </si>
  <si>
    <t>Colombia</t>
  </si>
  <si>
    <t>País</t>
  </si>
  <si>
    <t>Fecha de Inicio</t>
  </si>
  <si>
    <t>Fecha Fin</t>
  </si>
  <si>
    <t>Semana</t>
  </si>
  <si>
    <t>Total de Muertes Reportadas</t>
  </si>
  <si>
    <t>Total de Muertes por COVID</t>
  </si>
  <si>
    <t>Prónostico (Promedio Semanal)</t>
  </si>
  <si>
    <t>Exceso de Mortalidad</t>
  </si>
  <si>
    <t>Tasa de Muertes por COVID</t>
  </si>
  <si>
    <t>Val Acumulativo de Muertes por Covid</t>
  </si>
  <si>
    <t>Tasa de Exceso de Mortalidad</t>
  </si>
  <si>
    <t>Val Acumulativo del Exceso de Mortalidad</t>
  </si>
  <si>
    <t xml:space="preserve"> </t>
  </si>
  <si>
    <t>SUM de Tasa de Muertes por COVID</t>
  </si>
  <si>
    <t>SUM de Tasa de Exceso de Mortalidad</t>
  </si>
  <si>
    <t>Calculated Field 1</t>
  </si>
  <si>
    <t>Tasa de Muertes Reportadas por COVID</t>
  </si>
  <si>
    <t>Diferencia</t>
  </si>
  <si>
    <t>México</t>
  </si>
  <si>
    <t>Perú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</si>
</sst>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dd/mm/yy"/>
    <numFmt numFmtId="166" formatCode="#,##0.000"/>
  </numFmts>
  <fonts count="3">
    <font>
      <sz val="10.0"/>
      <color rgb="FF000000"/>
      <name val="Georgia"/>
      <scheme val="minor"/>
    </font>
    <font>
      <color theme="1"/>
      <name val="Georgia"/>
      <scheme val="minor"/>
    </font>
    <font>
      <b/>
      <color theme="1"/>
      <name val="Georgia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164" xfId="0" applyAlignment="1" applyFont="1" applyNumberFormat="1">
      <alignment readingOrder="0"/>
    </xf>
    <xf borderId="0" fillId="5" fontId="1" numFmtId="165" xfId="0" applyAlignment="1" applyFont="1" applyNumberForma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165" xfId="0" applyAlignment="1" applyFont="1" applyNumberFormat="1">
      <alignment readingOrder="0"/>
    </xf>
    <xf borderId="0" fillId="6" fontId="2" numFmtId="165" xfId="0" applyAlignment="1" applyFont="1" applyNumberForma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165" xfId="0" applyAlignment="1" applyFont="1" applyNumberFormat="1">
      <alignment readingOrder="0"/>
    </xf>
    <xf borderId="0" fillId="7" fontId="2" numFmtId="165" xfId="0" applyAlignment="1" applyFont="1" applyNumberFormat="1">
      <alignment readingOrder="0"/>
    </xf>
    <xf borderId="0" fillId="7" fontId="1" numFmtId="0" xfId="0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8" fontId="2" numFmtId="0" xfId="0" applyAlignment="1" applyFill="1" applyFont="1">
      <alignment horizontal="center" shrinkToFit="0" wrapText="1"/>
    </xf>
    <xf borderId="0" fillId="0" fontId="1" numFmtId="1" xfId="0" applyAlignment="1" applyFont="1" applyNumberForma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0" fillId="9" fontId="1" numFmtId="166" xfId="0" applyAlignment="1" applyFill="1" applyFont="1" applyNumberFormat="1">
      <alignment horizontal="center" readingOrder="0" shrinkToFit="0" wrapText="1"/>
    </xf>
    <xf borderId="0" fillId="9" fontId="1" numFmtId="0" xfId="0" applyAlignment="1" applyFont="1">
      <alignment horizontal="center" readingOrder="0" shrinkToFit="0" wrapText="1"/>
    </xf>
    <xf borderId="0" fillId="2" fontId="1" numFmtId="166" xfId="0" applyAlignment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166" xfId="0" applyFont="1" applyNumberFormat="1"/>
    <xf borderId="0" fillId="4" fontId="1" numFmtId="164" xfId="0" applyFont="1" applyNumberFormat="1"/>
    <xf borderId="0" fillId="4" fontId="1" numFmtId="165" xfId="0" applyFont="1" applyNumberFormat="1"/>
    <xf borderId="0" fillId="10" fontId="1" numFmtId="1" xfId="0" applyFill="1" applyFont="1" applyNumberFormat="1"/>
    <xf borderId="0" fillId="4" fontId="1" numFmtId="1" xfId="0" applyFont="1" applyNumberFormat="1"/>
    <xf borderId="0" fillId="4" fontId="1" numFmtId="166" xfId="0" applyFont="1" applyNumberFormat="1"/>
    <xf borderId="0" fillId="11" fontId="1" numFmtId="0" xfId="0" applyFill="1" applyFont="1"/>
    <xf borderId="0" fillId="11" fontId="1" numFmtId="164" xfId="0" applyFont="1" applyNumberFormat="1"/>
    <xf borderId="0" fillId="11" fontId="1" numFmtId="165" xfId="0" applyFont="1" applyNumberFormat="1"/>
    <xf borderId="0" fillId="11" fontId="1" numFmtId="0" xfId="0" applyFont="1"/>
    <xf borderId="0" fillId="12" fontId="1" numFmtId="1" xfId="0" applyFill="1" applyFont="1" applyNumberFormat="1"/>
    <xf borderId="0" fillId="11" fontId="1" numFmtId="1" xfId="0" applyFont="1" applyNumberFormat="1"/>
    <xf borderId="0" fillId="11" fontId="1" numFmtId="166" xfId="0" applyFont="1" applyNumberFormat="1"/>
    <xf borderId="0" fillId="0" fontId="1" numFmtId="0" xfId="0" applyAlignment="1" applyFont="1">
      <alignment horizontal="center" shrinkToFit="0" wrapText="1"/>
    </xf>
    <xf borderId="0" fillId="0" fontId="1" numFmtId="166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Comparación entre Países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'Tabla dinámica Países'!$B$1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'Tabla dinámica Países'!$A$2:$A$5</c:f>
            </c:strRef>
          </c:cat>
          <c:val>
            <c:numRef>
              <c:f>'Tabla dinámica Países'!$B$2:$B$5</c:f>
              <c:numCache/>
            </c:numRef>
          </c:val>
        </c:ser>
        <c:ser>
          <c:idx val="1"/>
          <c:order val="1"/>
          <c:tx>
            <c:strRef>
              <c:f>'Tabla dinámica Países'!$C$1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'Tabla dinámica Países'!$A$2:$A$5</c:f>
            </c:strRef>
          </c:cat>
          <c:val>
            <c:numRef>
              <c:f>'Tabla dinámica Países'!$C$2:$C$5</c:f>
              <c:numCache/>
            </c:numRef>
          </c:val>
        </c:ser>
        <c:overlap val="100"/>
        <c:axId val="1071724040"/>
        <c:axId val="366812796"/>
      </c:barChart>
      <c:catAx>
        <c:axId val="107172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366812796"/>
      </c:catAx>
      <c:valAx>
        <c:axId val="366812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071724040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COVID'!$I$2:$I$89</c:f>
              <c:numCache/>
            </c:numRef>
          </c:val>
          <c:smooth val="1"/>
        </c:ser>
        <c:ser>
          <c:idx val="1"/>
          <c:order val="1"/>
          <c:tx>
            <c:strRef>
              <c:f>'Perú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COVID'!$K$2:$K$89</c:f>
              <c:numCache/>
            </c:numRef>
          </c:val>
          <c:smooth val="1"/>
        </c:ser>
        <c:axId val="1411735349"/>
        <c:axId val="1747507311"/>
      </c:lineChart>
      <c:catAx>
        <c:axId val="141173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747507311"/>
      </c:catAx>
      <c:valAx>
        <c:axId val="174750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41173534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COVID'!$I$2:$I$85</c:f>
              <c:numCache/>
            </c:numRef>
          </c:val>
          <c:smooth val="1"/>
        </c:ser>
        <c:ser>
          <c:idx val="1"/>
          <c:order val="1"/>
          <c:tx>
            <c:strRef>
              <c:f>'Chile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COVID'!$K$2:$K$85</c:f>
              <c:numCache/>
            </c:numRef>
          </c:val>
          <c:smooth val="1"/>
        </c:ser>
        <c:axId val="1824095618"/>
        <c:axId val="1959473448"/>
      </c:lineChart>
      <c:catAx>
        <c:axId val="1824095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959473448"/>
      </c:catAx>
      <c:valAx>
        <c:axId val="1959473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82409561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'Colombia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COVID'!$I$2:$I$85</c:f>
              <c:numCache/>
            </c:numRef>
          </c:val>
          <c:smooth val="1"/>
        </c:ser>
        <c:ser>
          <c:idx val="1"/>
          <c:order val="1"/>
          <c:tx>
            <c:strRef>
              <c:f>'Colombia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COVID'!$K$2:$K$85</c:f>
              <c:numCache/>
            </c:numRef>
          </c:val>
          <c:smooth val="1"/>
        </c:ser>
        <c:axId val="1951037454"/>
        <c:axId val="108981144"/>
      </c:lineChart>
      <c:catAx>
        <c:axId val="1951037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08981144"/>
      </c:catAx>
      <c:valAx>
        <c:axId val="108981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95103745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COVID'!$I$2:$I$83</c:f>
              <c:numCache/>
            </c:numRef>
          </c:val>
          <c:smooth val="1"/>
        </c:ser>
        <c:ser>
          <c:idx val="1"/>
          <c:order val="1"/>
          <c:tx>
            <c:strRef>
              <c:f>'México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COVID'!$K$2:$K$83</c:f>
              <c:numCache/>
            </c:numRef>
          </c:val>
          <c:smooth val="1"/>
        </c:ser>
        <c:axId val="815501829"/>
        <c:axId val="1458575339"/>
      </c:lineChart>
      <c:catAx>
        <c:axId val="81550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458575339"/>
      </c:catAx>
      <c:valAx>
        <c:axId val="1458575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8155018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COVID'!$I$2:$I$83</c:f>
              <c:numCache/>
            </c:numRef>
          </c:val>
          <c:smooth val="1"/>
        </c:ser>
        <c:ser>
          <c:idx val="1"/>
          <c:order val="1"/>
          <c:tx>
            <c:strRef>
              <c:f>'México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COVID'!$K$2:$K$83</c:f>
              <c:numCache/>
            </c:numRef>
          </c:val>
          <c:smooth val="1"/>
        </c:ser>
        <c:axId val="1185528222"/>
        <c:axId val="1325577991"/>
      </c:lineChart>
      <c:catAx>
        <c:axId val="1185528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325577991"/>
      </c:catAx>
      <c:valAx>
        <c:axId val="1325577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1855282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COVID'!$I$2:$I$89</c:f>
              <c:numCache/>
            </c:numRef>
          </c:val>
          <c:smooth val="1"/>
        </c:ser>
        <c:ser>
          <c:idx val="1"/>
          <c:order val="1"/>
          <c:tx>
            <c:strRef>
              <c:f>'Perú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COVID'!$K$2:$K$89</c:f>
              <c:numCache/>
            </c:numRef>
          </c:val>
          <c:smooth val="1"/>
        </c:ser>
        <c:axId val="495651349"/>
        <c:axId val="2068287872"/>
      </c:lineChart>
      <c:catAx>
        <c:axId val="495651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068287872"/>
      </c:catAx>
      <c:valAx>
        <c:axId val="2068287872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49565134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COVID'!$I$2:$I$85</c:f>
              <c:numCache/>
            </c:numRef>
          </c:val>
          <c:smooth val="1"/>
        </c:ser>
        <c:ser>
          <c:idx val="1"/>
          <c:order val="1"/>
          <c:tx>
            <c:strRef>
              <c:f>'Chile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COVID'!$K$2:$K$85</c:f>
              <c:numCache/>
            </c:numRef>
          </c:val>
          <c:smooth val="1"/>
        </c:ser>
        <c:axId val="1278405419"/>
        <c:axId val="109675512"/>
      </c:lineChart>
      <c:catAx>
        <c:axId val="1278405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09675512"/>
      </c:catAx>
      <c:valAx>
        <c:axId val="109675512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27840541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'Colombia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COVID'!$I$2:$I$85</c:f>
              <c:numCache/>
            </c:numRef>
          </c:val>
          <c:smooth val="1"/>
        </c:ser>
        <c:ser>
          <c:idx val="1"/>
          <c:order val="1"/>
          <c:tx>
            <c:strRef>
              <c:f>'Colombia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COVID'!$K$2:$K$85</c:f>
              <c:numCache/>
            </c:numRef>
          </c:val>
          <c:smooth val="1"/>
        </c:ser>
        <c:axId val="610779406"/>
        <c:axId val="1357964561"/>
      </c:lineChart>
      <c:catAx>
        <c:axId val="610779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357964561"/>
      </c:catAx>
      <c:valAx>
        <c:axId val="1357964561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61077940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COVID'!$J$2:$J$89</c:f>
              <c:numCache/>
            </c:numRef>
          </c:val>
          <c:smooth val="1"/>
        </c:ser>
        <c:ser>
          <c:idx val="1"/>
          <c:order val="1"/>
          <c:tx>
            <c:strRef>
              <c:f>'Perú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COVID'!$L$2:$L$89</c:f>
              <c:numCache/>
            </c:numRef>
          </c:val>
          <c:smooth val="1"/>
        </c:ser>
        <c:axId val="1573078372"/>
        <c:axId val="237164223"/>
      </c:lineChart>
      <c:catAx>
        <c:axId val="1573078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37164223"/>
      </c:catAx>
      <c:valAx>
        <c:axId val="23716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573078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COVID'!$J$2:$J$85</c:f>
              <c:numCache/>
            </c:numRef>
          </c:val>
          <c:smooth val="1"/>
        </c:ser>
        <c:ser>
          <c:idx val="1"/>
          <c:order val="1"/>
          <c:tx>
            <c:strRef>
              <c:f>'Chile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COVID'!$L$2:$L$85</c:f>
              <c:numCache/>
            </c:numRef>
          </c:val>
          <c:smooth val="1"/>
        </c:ser>
        <c:axId val="1388913244"/>
        <c:axId val="2056784244"/>
      </c:lineChart>
      <c:catAx>
        <c:axId val="1388913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056784244"/>
      </c:catAx>
      <c:valAx>
        <c:axId val="2056784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388913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COVID'!$I$2:$I$83</c:f>
              <c:numCache/>
            </c:numRef>
          </c:val>
          <c:smooth val="1"/>
        </c:ser>
        <c:ser>
          <c:idx val="1"/>
          <c:order val="1"/>
          <c:tx>
            <c:strRef>
              <c:f>'México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COVID'!$K$2:$K$83</c:f>
              <c:numCache/>
            </c:numRef>
          </c:val>
          <c:smooth val="1"/>
        </c:ser>
        <c:axId val="732788264"/>
        <c:axId val="181359421"/>
      </c:lineChart>
      <c:catAx>
        <c:axId val="73278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81359421"/>
      </c:catAx>
      <c:valAx>
        <c:axId val="181359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732788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'Colombia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COVID'!$J$2:$J$85</c:f>
              <c:numCache/>
            </c:numRef>
          </c:val>
          <c:smooth val="1"/>
        </c:ser>
        <c:ser>
          <c:idx val="1"/>
          <c:order val="1"/>
          <c:tx>
            <c:strRef>
              <c:f>'Colombia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COVID'!$L$2:$L$85</c:f>
              <c:numCache/>
            </c:numRef>
          </c:val>
          <c:smooth val="1"/>
        </c:ser>
        <c:axId val="749829473"/>
        <c:axId val="274128521"/>
      </c:lineChart>
      <c:catAx>
        <c:axId val="749829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74128521"/>
      </c:catAx>
      <c:valAx>
        <c:axId val="274128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749829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COVID'!$J$2:$J$83</c:f>
              <c:numCache/>
            </c:numRef>
          </c:val>
          <c:smooth val="1"/>
        </c:ser>
        <c:ser>
          <c:idx val="1"/>
          <c:order val="1"/>
          <c:tx>
            <c:strRef>
              <c:f>'México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COVID'!$L$2:$L$83</c:f>
              <c:numCache/>
            </c:numRef>
          </c:val>
          <c:smooth val="1"/>
        </c:ser>
        <c:axId val="66974368"/>
        <c:axId val="792183087"/>
      </c:lineChart>
      <c:catAx>
        <c:axId val="669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792183087"/>
      </c:catAx>
      <c:valAx>
        <c:axId val="792183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66974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COVID'!$J$2:$J$89</c:f>
              <c:numCache/>
            </c:numRef>
          </c:val>
          <c:smooth val="1"/>
        </c:ser>
        <c:ser>
          <c:idx val="1"/>
          <c:order val="1"/>
          <c:tx>
            <c:strRef>
              <c:f>'Perú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COVID'!$L$2:$L$89</c:f>
              <c:numCache/>
            </c:numRef>
          </c:val>
          <c:smooth val="1"/>
        </c:ser>
        <c:axId val="2020737734"/>
        <c:axId val="667305589"/>
      </c:lineChart>
      <c:catAx>
        <c:axId val="2020737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667305589"/>
      </c:catAx>
      <c:valAx>
        <c:axId val="667305589"/>
        <c:scaling>
          <c:orientation val="minMax"/>
          <c:max val="1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020737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COVID'!$J$2:$J$85</c:f>
              <c:numCache/>
            </c:numRef>
          </c:val>
          <c:smooth val="1"/>
        </c:ser>
        <c:ser>
          <c:idx val="1"/>
          <c:order val="1"/>
          <c:tx>
            <c:strRef>
              <c:f>'Chile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COVID'!$L$2:$L$85</c:f>
              <c:numCache/>
            </c:numRef>
          </c:val>
          <c:smooth val="1"/>
        </c:ser>
        <c:axId val="1446376671"/>
        <c:axId val="91818446"/>
      </c:lineChart>
      <c:catAx>
        <c:axId val="144637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91818446"/>
      </c:catAx>
      <c:valAx>
        <c:axId val="91818446"/>
        <c:scaling>
          <c:orientation val="minMax"/>
          <c:max val="1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446376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'Colombia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COVID'!$J$2:$J$85</c:f>
              <c:numCache/>
            </c:numRef>
          </c:val>
          <c:smooth val="1"/>
        </c:ser>
        <c:ser>
          <c:idx val="1"/>
          <c:order val="1"/>
          <c:tx>
            <c:strRef>
              <c:f>'Colombia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COVID'!$L$2:$L$85</c:f>
              <c:numCache/>
            </c:numRef>
          </c:val>
          <c:smooth val="1"/>
        </c:ser>
        <c:axId val="2114264627"/>
        <c:axId val="1511385770"/>
      </c:lineChart>
      <c:catAx>
        <c:axId val="2114264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511385770"/>
      </c:catAx>
      <c:valAx>
        <c:axId val="1511385770"/>
        <c:scaling>
          <c:orientation val="minMax"/>
          <c:max val="1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114264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COVID'!$J$2:$J$83</c:f>
              <c:numCache/>
            </c:numRef>
          </c:val>
          <c:smooth val="1"/>
        </c:ser>
        <c:ser>
          <c:idx val="1"/>
          <c:order val="1"/>
          <c:tx>
            <c:strRef>
              <c:f>'México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COVID'!$L$2:$L$83</c:f>
              <c:numCache/>
            </c:numRef>
          </c:val>
          <c:smooth val="1"/>
        </c:ser>
        <c:axId val="841779824"/>
        <c:axId val="978849540"/>
      </c:lineChart>
      <c:catAx>
        <c:axId val="84177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978849540"/>
      </c:catAx>
      <c:valAx>
        <c:axId val="97884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841779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COVID'!$J$2:$J$89</c:f>
              <c:numCache/>
            </c:numRef>
          </c:val>
          <c:smooth val="1"/>
        </c:ser>
        <c:ser>
          <c:idx val="1"/>
          <c:order val="1"/>
          <c:tx>
            <c:strRef>
              <c:f>'Perú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COVID'!$L$2:$L$89</c:f>
              <c:numCache/>
            </c:numRef>
          </c:val>
          <c:smooth val="1"/>
        </c:ser>
        <c:axId val="45423494"/>
        <c:axId val="1196398674"/>
      </c:lineChart>
      <c:catAx>
        <c:axId val="45423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196398674"/>
      </c:catAx>
      <c:valAx>
        <c:axId val="1196398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4542349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COVID'!$J$2:$J$85</c:f>
              <c:numCache/>
            </c:numRef>
          </c:val>
          <c:smooth val="1"/>
        </c:ser>
        <c:ser>
          <c:idx val="1"/>
          <c:order val="1"/>
          <c:tx>
            <c:strRef>
              <c:f>'Chile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COVID'!$L$2:$L$85</c:f>
              <c:numCache/>
            </c:numRef>
          </c:val>
          <c:smooth val="1"/>
        </c:ser>
        <c:axId val="1974995529"/>
        <c:axId val="1580728336"/>
      </c:lineChart>
      <c:catAx>
        <c:axId val="1974995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580728336"/>
      </c:catAx>
      <c:valAx>
        <c:axId val="158072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9749955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'Colombia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COVID'!$J$2:$J$85</c:f>
              <c:numCache/>
            </c:numRef>
          </c:val>
          <c:smooth val="1"/>
        </c:ser>
        <c:ser>
          <c:idx val="1"/>
          <c:order val="1"/>
          <c:tx>
            <c:strRef>
              <c:f>'Colombia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COVID'!$L$2:$L$85</c:f>
              <c:numCache/>
            </c:numRef>
          </c:val>
          <c:smooth val="1"/>
        </c:ser>
        <c:axId val="333838634"/>
        <c:axId val="815968587"/>
      </c:lineChart>
      <c:catAx>
        <c:axId val="333838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815968587"/>
      </c:catAx>
      <c:valAx>
        <c:axId val="815968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33383863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COVID'!$J$1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COVID'!$J$2:$J$83</c:f>
              <c:numCache/>
            </c:numRef>
          </c:val>
          <c:smooth val="1"/>
        </c:ser>
        <c:ser>
          <c:idx val="1"/>
          <c:order val="1"/>
          <c:tx>
            <c:strRef>
              <c:f>'México COVID'!$L$1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COVID'!$L$2:$L$83</c:f>
              <c:numCache/>
            </c:numRef>
          </c:val>
          <c:smooth val="1"/>
        </c:ser>
        <c:axId val="1415951723"/>
        <c:axId val="2108399947"/>
      </c:lineChart>
      <c:catAx>
        <c:axId val="1415951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108399947"/>
      </c:catAx>
      <c:valAx>
        <c:axId val="2108399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41595172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COVID'!$I$2:$I$89</c:f>
              <c:numCache/>
            </c:numRef>
          </c:val>
          <c:smooth val="1"/>
        </c:ser>
        <c:ser>
          <c:idx val="1"/>
          <c:order val="1"/>
          <c:tx>
            <c:strRef>
              <c:f>'Perú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COVID'!$K$2:$K$89</c:f>
              <c:numCache/>
            </c:numRef>
          </c:val>
          <c:smooth val="1"/>
        </c:ser>
        <c:axId val="2137986589"/>
        <c:axId val="521323566"/>
      </c:lineChart>
      <c:catAx>
        <c:axId val="2137986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521323566"/>
      </c:catAx>
      <c:valAx>
        <c:axId val="521323566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137986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'WO IF'!$B$1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'WO IF'!$A$2:$A$5</c:f>
            </c:strRef>
          </c:cat>
          <c:val>
            <c:numRef>
              <c:f>'WO IF'!$B$2:$B$5</c:f>
              <c:numCache/>
            </c:numRef>
          </c:val>
        </c:ser>
        <c:ser>
          <c:idx val="1"/>
          <c:order val="1"/>
          <c:tx>
            <c:strRef>
              <c:f>'WO IF'!$C$1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'WO IF'!$A$2:$A$5</c:f>
            </c:strRef>
          </c:cat>
          <c:val>
            <c:numRef>
              <c:f>'WO IF'!$C$2:$C$5</c:f>
              <c:numCache/>
            </c:numRef>
          </c:val>
        </c:ser>
        <c:axId val="1632316380"/>
        <c:axId val="1320038839"/>
      </c:barChart>
      <c:catAx>
        <c:axId val="1632316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1A3438"/>
                </a:solidFill>
                <a:latin typeface="+mn-lt"/>
              </a:defRPr>
            </a:pPr>
          </a:p>
        </c:txPr>
        <c:crossAx val="1320038839"/>
      </c:catAx>
      <c:valAx>
        <c:axId val="1320038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1A3438"/>
                </a:solidFill>
                <a:latin typeface="+mn-lt"/>
              </a:defRPr>
            </a:pPr>
          </a:p>
        </c:txPr>
        <c:crossAx val="16323163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COVID'!$I$2:$I$85</c:f>
              <c:numCache/>
            </c:numRef>
          </c:val>
          <c:smooth val="1"/>
        </c:ser>
        <c:ser>
          <c:idx val="1"/>
          <c:order val="1"/>
          <c:tx>
            <c:strRef>
              <c:f>'Chile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COVID'!$K$2:$K$85</c:f>
              <c:numCache/>
            </c:numRef>
          </c:val>
          <c:smooth val="1"/>
        </c:ser>
        <c:axId val="452701752"/>
        <c:axId val="328095629"/>
      </c:lineChart>
      <c:catAx>
        <c:axId val="45270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328095629"/>
      </c:catAx>
      <c:valAx>
        <c:axId val="328095629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452701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'Colombia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COVID'!$I$2:$I$85</c:f>
              <c:numCache/>
            </c:numRef>
          </c:val>
          <c:smooth val="1"/>
        </c:ser>
        <c:ser>
          <c:idx val="1"/>
          <c:order val="1"/>
          <c:tx>
            <c:strRef>
              <c:f>'Colombia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COVID'!$K$2:$K$85</c:f>
              <c:numCache/>
            </c:numRef>
          </c:val>
          <c:smooth val="1"/>
        </c:ser>
        <c:axId val="1711381529"/>
        <c:axId val="2043361364"/>
      </c:lineChart>
      <c:catAx>
        <c:axId val="1711381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043361364"/>
      </c:catAx>
      <c:valAx>
        <c:axId val="2043361364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711381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Perú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'Perú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COVID'!$I$2:$I$89</c:f>
              <c:numCache/>
            </c:numRef>
          </c:val>
          <c:smooth val="1"/>
        </c:ser>
        <c:ser>
          <c:idx val="1"/>
          <c:order val="1"/>
          <c:tx>
            <c:strRef>
              <c:f>'Perú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'Perú COVID'!$B$2:$B$89</c:f>
            </c:strRef>
          </c:cat>
          <c:val>
            <c:numRef>
              <c:f>'Perú COVID'!$K$2:$K$89</c:f>
              <c:numCache/>
            </c:numRef>
          </c:val>
          <c:smooth val="1"/>
        </c:ser>
        <c:axId val="1164243736"/>
        <c:axId val="378167119"/>
      </c:lineChart>
      <c:catAx>
        <c:axId val="116424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378167119"/>
      </c:catAx>
      <c:valAx>
        <c:axId val="378167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164243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'Chile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COVID'!$I$2:$I$85</c:f>
              <c:numCache/>
            </c:numRef>
          </c:val>
          <c:smooth val="1"/>
        </c:ser>
        <c:ser>
          <c:idx val="1"/>
          <c:order val="1"/>
          <c:tx>
            <c:strRef>
              <c:f>'Chile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'Chile COVID'!$B$2:$B$85</c:f>
            </c:strRef>
          </c:cat>
          <c:val>
            <c:numRef>
              <c:f>'Chile COVID'!$K$2:$K$85</c:f>
              <c:numCache/>
            </c:numRef>
          </c:val>
          <c:smooth val="1"/>
        </c:ser>
        <c:axId val="1082179136"/>
        <c:axId val="963060317"/>
      </c:lineChart>
      <c:catAx>
        <c:axId val="108217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963060317"/>
      </c:catAx>
      <c:valAx>
        <c:axId val="963060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082179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'Colombia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COVID'!$I$2:$I$85</c:f>
              <c:numCache/>
            </c:numRef>
          </c:val>
          <c:smooth val="1"/>
        </c:ser>
        <c:ser>
          <c:idx val="1"/>
          <c:order val="1"/>
          <c:tx>
            <c:strRef>
              <c:f>'Colombia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'Colombia COVID'!$B$2:$B$85</c:f>
            </c:strRef>
          </c:cat>
          <c:val>
            <c:numRef>
              <c:f>'Colombia COVID'!$K$2:$K$85</c:f>
              <c:numCache/>
            </c:numRef>
          </c:val>
          <c:smooth val="1"/>
        </c:ser>
        <c:axId val="340794672"/>
        <c:axId val="757166826"/>
      </c:lineChart>
      <c:catAx>
        <c:axId val="34079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757166826"/>
      </c:catAx>
      <c:valAx>
        <c:axId val="757166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340794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9194"/>
                </a:solidFill>
                <a:latin typeface="+mn-lt"/>
              </a:defRPr>
            </a:pPr>
            <a:r>
              <a:rPr b="0">
                <a:solidFill>
                  <a:srgbClr val="839194"/>
                </a:solidFill>
                <a:latin typeface="+mn-lt"/>
              </a:rPr>
              <a:t>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 COVID'!$I$1</c:f>
            </c:strRef>
          </c:tx>
          <c:spPr>
            <a:ln cmpd="sng">
              <a:solidFill>
                <a:srgbClr val="D77659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COVID'!$I$2:$I$83</c:f>
              <c:numCache/>
            </c:numRef>
          </c:val>
          <c:smooth val="1"/>
        </c:ser>
        <c:ser>
          <c:idx val="1"/>
          <c:order val="1"/>
          <c:tx>
            <c:strRef>
              <c:f>'México COVID'!$K$1</c:f>
            </c:strRef>
          </c:tx>
          <c:spPr>
            <a:ln cmpd="sng">
              <a:solidFill>
                <a:srgbClr val="AB4028"/>
              </a:solidFill>
            </a:ln>
          </c:spPr>
          <c:marker>
            <c:symbol val="none"/>
          </c:marker>
          <c:cat>
            <c:strRef>
              <c:f>'México COVID'!$B$2:$B$83</c:f>
            </c:strRef>
          </c:cat>
          <c:val>
            <c:numRef>
              <c:f>'México COVID'!$K$2:$K$83</c:f>
              <c:numCache/>
            </c:numRef>
          </c:val>
          <c:smooth val="1"/>
        </c:ser>
        <c:axId val="1958702845"/>
        <c:axId val="1759265595"/>
      </c:lineChart>
      <c:catAx>
        <c:axId val="1958702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Semanas (por Fecha de Inicio)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759265595"/>
      </c:catAx>
      <c:valAx>
        <c:axId val="1759265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>Cant. de Muertes por 100,000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958702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866775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0</xdr:rowOff>
    </xdr:from>
    <xdr:ext cx="866775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18</xdr:row>
      <xdr:rowOff>0</xdr:rowOff>
    </xdr:from>
    <xdr:ext cx="86677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6775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866775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0</xdr:rowOff>
    </xdr:from>
    <xdr:ext cx="866775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18</xdr:row>
      <xdr:rowOff>0</xdr:rowOff>
    </xdr:from>
    <xdr:ext cx="86677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6775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0</xdr:row>
      <xdr:rowOff>0</xdr:rowOff>
    </xdr:from>
    <xdr:ext cx="866775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0</xdr:rowOff>
    </xdr:from>
    <xdr:ext cx="866775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18</xdr:row>
      <xdr:rowOff>0</xdr:rowOff>
    </xdr:from>
    <xdr:ext cx="866775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866775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0</xdr:rowOff>
    </xdr:from>
    <xdr:ext cx="866775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18</xdr:row>
      <xdr:rowOff>0</xdr:rowOff>
    </xdr:from>
    <xdr:ext cx="866775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6775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866775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0</xdr:rowOff>
    </xdr:from>
    <xdr:ext cx="866775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18</xdr:row>
      <xdr:rowOff>0</xdr:rowOff>
    </xdr:from>
    <xdr:ext cx="866775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6775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866775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0</xdr:rowOff>
    </xdr:from>
    <xdr:ext cx="866775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18</xdr:row>
      <xdr:rowOff>0</xdr:rowOff>
    </xdr:from>
    <xdr:ext cx="866775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6775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66675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0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0</xdr:row>
      <xdr:rowOff>0</xdr:rowOff>
    </xdr:from>
    <xdr:ext cx="86677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0</xdr:rowOff>
    </xdr:from>
    <xdr:ext cx="86677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18</xdr:row>
      <xdr:rowOff>0</xdr:rowOff>
    </xdr:from>
    <xdr:ext cx="86677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24" sheet="DATA"/>
  </cacheSource>
  <cacheFields>
    <cacheField name="País" numFmtId="0">
      <sharedItems>
        <s v="Mexico"/>
        <s v="Peru"/>
        <s v="Chile"/>
        <s v="Colombia"/>
      </sharedItems>
    </cacheField>
    <cacheField name="Fecha de Inicio" numFmtId="164">
      <sharedItems containsSemiMixedTypes="0" containsDate="1" containsString="0">
        <d v="2020-03-16T00:00:00Z"/>
        <d v="2020-03-23T00:00:00Z"/>
        <d v="2020-03-30T00:00:00Z"/>
        <d v="2020-04-06T00:00:00Z"/>
        <d v="2020-04-13T00:00:00Z"/>
        <d v="2020-04-20T00:00:00Z"/>
        <d v="2020-04-27T00:00:00Z"/>
        <d v="2020-05-04T00:00:00Z"/>
        <d v="2020-05-11T00:00:00Z"/>
        <d v="2020-05-18T00:00:00Z"/>
        <d v="2020-05-25T00:00:00Z"/>
        <d v="2020-06-01T00:00:00Z"/>
        <d v="2020-06-08T00:00:00Z"/>
        <d v="2020-06-15T00:00:00Z"/>
        <d v="2020-06-22T00:00:00Z"/>
        <d v="2020-06-29T00:00:00Z"/>
        <d v="2020-07-06T00:00:00Z"/>
        <d v="2020-07-13T00:00:00Z"/>
        <d v="2020-07-20T00:00:00Z"/>
        <d v="2020-07-27T00:00:00Z"/>
        <d v="2020-08-03T00:00:00Z"/>
        <d v="2020-08-10T00:00:00Z"/>
        <d v="2020-08-17T00:00:00Z"/>
        <d v="2020-08-24T00:00:00Z"/>
        <d v="2020-08-31T00:00:00Z"/>
        <d v="2020-09-07T00:00:00Z"/>
        <d v="2020-09-14T00:00:00Z"/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0-12-14T00:00:00Z"/>
        <d v="2020-12-21T00:00:00Z"/>
        <d v="2020-12-28T00:00:00Z"/>
        <d v="2021-01-04T00:00:00Z"/>
        <d v="2021-01-11T00:00:00Z"/>
        <d v="2021-01-18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5-10T00:00:00Z"/>
        <d v="2021-05-17T00:00:00Z"/>
        <d v="2021-05-24T00:00:00Z"/>
        <d v="2021-05-31T00:00:00Z"/>
        <d v="2021-06-07T00:00:00Z"/>
        <d v="2021-06-14T00:00:00Z"/>
        <d v="2021-06-21T00:00:00Z"/>
        <d v="2021-06-28T00:00:00Z"/>
        <d v="2021-07-05T00:00:00Z"/>
        <d v="2021-07-12T00:00:00Z"/>
        <d v="2021-07-19T00:00:00Z"/>
        <d v="2021-07-26T00:00:00Z"/>
        <d v="2021-08-02T00:00:00Z"/>
        <d v="2021-08-09T00:00:00Z"/>
        <d v="2021-08-16T00:00:00Z"/>
        <d v="2021-08-23T00:00:00Z"/>
        <d v="2021-08-30T00:00:00Z"/>
        <d v="2021-09-06T00:00:00Z"/>
        <d v="2021-09-13T00:00:00Z"/>
        <d v="2021-09-20T00:00:00Z"/>
        <d v="2021-09-27T00:00:00Z"/>
        <d v="2021-10-04T00:00:00Z"/>
        <d v="2020-03-02T00:00:00Z"/>
        <d v="2020-03-09T00:00:00Z"/>
        <d v="2021-10-11T00:00:00Z"/>
        <d v="2021-10-18T00:00:00Z"/>
        <d v="2021-10-25T00:00:00Z"/>
        <d v="2021-11-01T00:00:00Z"/>
      </sharedItems>
    </cacheField>
    <cacheField name="Fecha Fin" numFmtId="165">
      <sharedItems containsSemiMixedTypes="0" containsDate="1" containsString="0"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0-03-08T00:00:00Z"/>
        <d v="2020-03-15T00:00:00Z"/>
        <d v="2021-10-17T00:00:00Z"/>
        <d v="2021-10-24T00:00:00Z"/>
        <d v="2021-10-31T00:00:00Z"/>
        <d v="2021-11-07T00:00:00Z"/>
      </sharedItems>
    </cacheField>
    <cacheField name="Semana" numFmtId="0">
      <sharedItems containsSemiMixedTypes="0" containsString="0" containsNumber="1" containsInteger="1"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1.0"/>
        <n v="2.0"/>
        <n v="3.0"/>
        <n v="4.0"/>
        <n v="5.0"/>
        <n v="6.0"/>
        <n v="7.0"/>
        <n v="8.0"/>
        <n v="9.0"/>
        <n v="10.0"/>
        <n v="11.0"/>
      </sharedItems>
    </cacheField>
    <cacheField name="Total de Muertes Reportadas" numFmtId="0">
      <sharedItems containsSemiMixedTypes="0" containsString="0" containsNumber="1" containsInteger="1">
        <n v="13187.0"/>
        <n v="13698.0"/>
        <n v="13533.0"/>
        <n v="14030.0"/>
        <n v="14993.0"/>
        <n v="17068.0"/>
        <n v="18811.0"/>
        <n v="20622.0"/>
        <n v="22313.0"/>
        <n v="23231.0"/>
        <n v="23167.0"/>
        <n v="24121.0"/>
        <n v="24719.0"/>
        <n v="24945.0"/>
        <n v="24718.0"/>
        <n v="25495.0"/>
        <n v="26446.0"/>
        <n v="25733.0"/>
        <n v="24795.0"/>
        <n v="23817.0"/>
        <n v="22666.0"/>
        <n v="21725.0"/>
        <n v="20837.0"/>
        <n v="20156.0"/>
        <n v="19490.0"/>
        <n v="18805.0"/>
        <n v="18933.0"/>
        <n v="18484.0"/>
        <n v="18834.0"/>
        <n v="18815.0"/>
        <n v="19567.0"/>
        <n v="20224.0"/>
        <n v="21326.0"/>
        <n v="21619.0"/>
        <n v="22294.0"/>
        <n v="22534.0"/>
        <n v="23495.0"/>
        <n v="25342.0"/>
        <n v="26560.0"/>
        <n v="29609.0"/>
        <n v="32637.0"/>
        <n v="36287.0"/>
        <n v="43427.0"/>
        <n v="44667.0"/>
        <n v="36617.0"/>
        <n v="31825.0"/>
        <n v="26858.0"/>
        <n v="25330.0"/>
        <n v="24010.0"/>
        <n v="20488.0"/>
        <n v="19752.0"/>
        <n v="18508.0"/>
        <n v="17801.0"/>
        <n v="16992.0"/>
        <n v="17364.0"/>
        <n v="16927.0"/>
        <n v="16037.0"/>
        <n v="15511.0"/>
        <n v="15125.0"/>
        <n v="14734.0"/>
        <n v="14264.0"/>
        <n v="14358.0"/>
        <n v="13943.0"/>
        <n v="14140.0"/>
        <n v="14261.0"/>
        <n v="14323.0"/>
        <n v="14582.0"/>
        <n v="15444.0"/>
        <n v="16410.0"/>
        <n v="18342.0"/>
        <n v="20721.0"/>
        <n v="23457.0"/>
        <n v="25423.0"/>
        <n v="26786.0"/>
        <n v="25778.0"/>
        <n v="25052.0"/>
        <n v="23022.0"/>
        <n v="21506.0"/>
        <n v="19587.0"/>
        <n v="17718.0"/>
        <n v="15572.0"/>
        <n v="2409.0"/>
        <n v="2469.0"/>
        <n v="2185.0"/>
        <n v="2150.0"/>
        <n v="2390.0"/>
        <n v="2514.0"/>
        <n v="3096.0"/>
        <n v="3881.0"/>
        <n v="4752.0"/>
        <n v="5451.0"/>
        <n v="5967.0"/>
        <n v="6347.0"/>
        <n v="6554.0"/>
        <n v="6647.0"/>
        <n v="6725.0"/>
        <n v="6593.0"/>
        <n v="6159.0"/>
        <n v="6237.0"/>
        <n v="6493.0"/>
        <n v="6763.0"/>
        <n v="6778.0"/>
        <n v="6918.0"/>
        <n v="7120.0"/>
        <n v="6717.0"/>
        <n v="6128.0"/>
        <n v="5578.0"/>
        <n v="4730.0"/>
        <n v="4275.0"/>
        <n v="3885.0"/>
        <n v="3483.0"/>
        <n v="3235.0"/>
        <n v="3147.0"/>
        <n v="3001.0"/>
        <n v="2961.0"/>
        <n v="2794.0"/>
        <n v="2861.0"/>
        <n v="2850.0"/>
        <n v="2755.0"/>
        <n v="2635.0"/>
        <n v="2800.0"/>
        <n v="2964.0"/>
        <n v="3151.0"/>
        <n v="3253.0"/>
        <n v="3502.0"/>
        <n v="3985.0"/>
        <n v="4638.0"/>
        <n v="5704.0"/>
        <n v="6707.0"/>
        <n v="7021.0"/>
        <n v="7687.0"/>
        <n v="7711.0"/>
        <n v="7393.0"/>
        <n v="7500.0"/>
        <n v="7379.0"/>
        <n v="7427.0"/>
        <n v="7570.0"/>
        <n v="7900.0"/>
        <n v="8468.0"/>
        <n v="8426.0"/>
        <n v="8246.0"/>
        <n v="7695.0"/>
        <n v="7171.0"/>
        <n v="6533.0"/>
        <n v="6053.0"/>
        <n v="5629.0"/>
        <n v="5291.0"/>
        <n v="4726.0"/>
        <n v="4333.0"/>
        <n v="4024.0"/>
        <n v="3816.0"/>
        <n v="3599.0"/>
        <n v="3333.0"/>
        <n v="3250.0"/>
        <n v="3164.0"/>
        <n v="3062.0"/>
        <n v="3112.0"/>
        <n v="2936.0"/>
        <n v="3107.0"/>
        <n v="2983.0"/>
        <n v="2887.0"/>
        <n v="2890.0"/>
        <n v="2945.0"/>
        <n v="2875.0"/>
        <n v="2951.0"/>
        <n v="2855.0"/>
        <n v="2831.0"/>
        <n v="2754.0"/>
        <n v="2834.0"/>
        <n v="2008.0"/>
        <n v="2006.0"/>
        <n v="2081.0"/>
        <n v="2010.0"/>
        <n v="2087.0"/>
        <n v="2095.0"/>
        <n v="2083.0"/>
        <n v="2342.0"/>
        <n v="2438.0"/>
        <n v="2933.0"/>
        <n v="3394.0"/>
        <n v="3899.0"/>
        <n v="3983.0"/>
        <n v="3732.0"/>
        <n v="3519.0"/>
        <n v="3070.0"/>
        <n v="2967.0"/>
        <n v="2814.0"/>
        <n v="2698.0"/>
        <n v="2653.0"/>
        <n v="2516.0"/>
        <n v="2431.0"/>
        <n v="2596.0"/>
        <n v="2479.0"/>
        <n v="2395.0"/>
        <n v="2405.0"/>
        <n v="2401.0"/>
        <n v="2364.0"/>
        <n v="2340.0"/>
        <n v="2396.0"/>
        <n v="2307.0"/>
        <n v="2304.0"/>
        <n v="2268.0"/>
        <n v="2239.0"/>
        <n v="2121.0"/>
        <n v="2184.0"/>
        <n v="2203.0"/>
        <n v="2174.0"/>
        <n v="2187.0"/>
        <n v="2155.0"/>
        <n v="2291.0"/>
        <n v="2236.0"/>
        <n v="2445.0"/>
        <n v="2701.0"/>
        <n v="2557.0"/>
        <n v="2633.0"/>
        <n v="2506.0"/>
        <n v="2502.0"/>
        <n v="2606.0"/>
        <n v="2661.0"/>
        <n v="2656.0"/>
        <n v="2550.0"/>
        <n v="2741.0"/>
        <n v="2833.0"/>
        <n v="2849.0"/>
        <n v="2897.0"/>
        <n v="2664.0"/>
        <n v="2786.0"/>
        <n v="2731.0"/>
        <n v="2766.0"/>
        <n v="3081.0"/>
        <n v="3014.0"/>
        <n v="3132.0"/>
        <n v="3180.0"/>
        <n v="3194.0"/>
        <n v="3326.0"/>
        <n v="3119.0"/>
        <n v="3042.0"/>
        <n v="2866.0"/>
        <n v="2745.0"/>
        <n v="2639.0"/>
        <n v="2625.0"/>
        <n v="2608.0"/>
        <n v="2357.0"/>
        <n v="2332.0"/>
        <n v="2394.0"/>
        <n v="2383.0"/>
        <n v="2354.0"/>
        <n v="2244.0"/>
        <n v="2316.0"/>
        <n v="2325.0"/>
        <n v="2112.0"/>
        <n v="4499.0"/>
        <n v="4337.0"/>
        <n v="4190.0"/>
        <n v="4255.0"/>
        <n v="4355.0"/>
        <n v="4328.0"/>
        <n v="4263.0"/>
        <n v="4469.0"/>
        <n v="4579.0"/>
        <n v="4701.0"/>
        <n v="4738.0"/>
        <n v="5153.0"/>
        <n v="5338.0"/>
        <n v="5778.0"/>
        <n v="6233.0"/>
        <n v="6739.0"/>
        <n v="7313.0"/>
        <n v="7702.0"/>
        <n v="8070.0"/>
        <n v="7888.0"/>
        <n v="7648.0"/>
        <n v="7152.0"/>
        <n v="6798.0"/>
        <n v="6570.0"/>
        <n v="6383.0"/>
        <n v="6240.0"/>
        <n v="6161.0"/>
        <n v="6019.0"/>
        <n v="6173.0"/>
        <n v="6190.0"/>
        <n v="6303.0"/>
        <n v="6080.0"/>
        <n v="6252.0"/>
        <n v="6119.0"/>
        <n v="6242.0"/>
        <n v="6266.0"/>
        <n v="6206.0"/>
        <n v="6640.0"/>
        <n v="6687.0"/>
        <n v="7203.0"/>
        <n v="7814.0"/>
        <n v="7964.0"/>
        <n v="8440.0"/>
        <n v="8479.0"/>
        <n v="7676.0"/>
        <n v="7029.0"/>
        <n v="6341.0"/>
        <n v="5915.0"/>
        <n v="5564.0"/>
        <n v="5562.0"/>
        <n v="5315.0"/>
        <n v="5569.0"/>
        <n v="5958.0"/>
        <n v="6473.0"/>
        <n v="7210.0"/>
        <n v="8775.0"/>
        <n v="8789.0"/>
        <n v="8882.0"/>
        <n v="8988.0"/>
        <n v="9058.0"/>
        <n v="9296.0"/>
        <n v="9767.0"/>
        <n v="10081.0"/>
        <n v="10451.0"/>
        <n v="10456.0"/>
        <n v="10240.0"/>
        <n v="9485.0"/>
      </sharedItems>
    </cacheField>
    <cacheField name="Total de Muertes por COVID" numFmtId="0">
      <sharedItems containsSemiMixedTypes="0" containsString="0" containsNumber="1" containsInteger="1">
        <n v="3.0"/>
        <n v="17.0"/>
        <n v="74.0"/>
        <n v="202.0"/>
        <n v="390.0"/>
        <n v="665.0"/>
        <n v="803.0"/>
        <n v="1311.0"/>
        <n v="1712.0"/>
        <n v="2217.0"/>
        <n v="2536.0"/>
        <n v="3769.0"/>
        <n v="3442.0"/>
        <n v="4684.0"/>
        <n v="4823.0"/>
        <n v="3991.0"/>
        <n v="4367.0"/>
        <n v="4178.0"/>
        <n v="4496.0"/>
        <n v="4066.0"/>
        <n v="4552.0"/>
        <n v="4459.0"/>
        <n v="3723.0"/>
        <n v="3678.0"/>
        <n v="3400.0"/>
        <n v="3263.0"/>
        <n v="2672.0"/>
        <n v="2937.0"/>
        <n v="2658.0"/>
        <n v="4693.0"/>
        <n v="2386.0"/>
        <n v="2757.0"/>
        <n v="2971.0"/>
        <n v="3132.0"/>
        <n v="3515.0"/>
        <n v="3134.0"/>
        <n v="3979.0"/>
        <n v="4062.0"/>
        <n v="4236.0"/>
        <n v="4249.0"/>
        <n v="4224.0"/>
        <n v="4787.0"/>
        <n v="6493.0"/>
        <n v="6998.0"/>
        <n v="8910.0"/>
        <n v="8922.0"/>
        <n v="7664.0"/>
        <n v="8007.0"/>
        <n v="5900.0"/>
        <n v="5608.0"/>
        <n v="4889.0"/>
        <n v="4106.0"/>
        <n v="3326.0"/>
        <n v="3587.0"/>
        <n v="2524.0"/>
        <n v="5191.0"/>
        <n v="3001.0"/>
        <n v="2608.0"/>
        <n v="2286.0"/>
        <n v="1752.0"/>
        <n v="1452.0"/>
        <n v="1210.0"/>
        <n v="1860.0"/>
        <n v="1025.0"/>
        <n v="1346.0"/>
        <n v="1037.0"/>
        <n v="1377.0"/>
        <n v="1058.0"/>
        <n v="1347.0"/>
        <n v="1362.0"/>
        <n v="2093.0"/>
        <n v="2610.0"/>
        <n v="3386.0"/>
        <n v="3747.0"/>
        <n v="4988.0"/>
        <n v="5010.0"/>
        <n v="4975.0"/>
        <n v="4608.0"/>
        <n v="3755.0"/>
        <n v="3947.0"/>
        <n v="3142.0"/>
        <n v="3494.0"/>
        <n v="2.0"/>
        <n v="29.0"/>
        <n v="61.0"/>
        <n v="222.0"/>
        <n v="529.0"/>
        <n v="940.0"/>
        <n v="1702.0"/>
        <n v="2516.0"/>
        <n v="3254.0"/>
        <n v="3577.0"/>
        <n v="3809.0"/>
        <n v="4124.0"/>
        <n v="4176.0"/>
        <n v="4330.0"/>
        <n v="3530.0"/>
        <n v="3903.0"/>
        <n v="4901.0"/>
        <n v="3480.0"/>
        <n v="4376.0"/>
        <n v="4433.0"/>
        <n v="4322.0"/>
        <n v="3786.0"/>
        <n v="3401.0"/>
        <n v="2674.0"/>
        <n v="2214.0"/>
        <n v="1889.0"/>
        <n v="1591.0"/>
        <n v="1213.0"/>
        <n v="1170.0"/>
        <n v="978.0"/>
        <n v="860.0"/>
        <n v="772.0"/>
        <n v="739.0"/>
        <n v="730.0"/>
        <n v="646.0"/>
        <n v="661.0"/>
        <n v="686.0"/>
        <n v="747.0"/>
        <n v="816.0"/>
        <n v="880.0"/>
        <n v="1082.0"/>
        <n v="1401.0"/>
        <n v="2027.0"/>
        <n v="2907.0"/>
        <n v="3900.0"/>
        <n v="4052.0"/>
        <n v="4761.0"/>
        <n v="5122.0"/>
        <n v="4757.0"/>
        <n v="4737.0"/>
        <n v="4296.0"/>
        <n v="4741.0"/>
        <n v="4994.0"/>
        <n v="5157.0"/>
        <n v="5460.0"/>
        <n v="5356.0"/>
        <n v="5963.0"/>
        <n v="4914.0"/>
        <n v="4983.0"/>
        <n v="4093.0"/>
        <n v="3409.0"/>
        <n v="2786.0"/>
        <n v="2682.0"/>
        <n v="2635.0"/>
        <n v="1494.0"/>
        <n v="1382.0"/>
        <n v="1646.0"/>
        <n v="1157.0"/>
        <n v="759.0"/>
        <n v="744.0"/>
        <n v="548.0"/>
        <n v="512.0"/>
        <n v="443.0"/>
        <n v="486.0"/>
        <n v="236.0"/>
        <n v="373.0"/>
        <n v="276.0"/>
        <n v="302.0"/>
        <n v="226.0"/>
        <n v="193.0"/>
        <n v="190.0"/>
        <n v="168.0"/>
        <n v="209.0"/>
        <n v="194.0"/>
        <n v="184.0"/>
        <n v="1.0"/>
        <n v="6.0"/>
        <n v="27.0"/>
        <n v="46.0"/>
        <n v="53.0"/>
        <n v="56.0"/>
        <n v="71.0"/>
        <n v="52.0"/>
        <n v="138.0"/>
        <n v="268.0"/>
        <n v="336.0"/>
        <n v="583.0"/>
        <n v="1686.0"/>
        <n v="1156.0"/>
        <n v="1030.0"/>
        <n v="799.0"/>
        <n v="671.0"/>
        <n v="1524.0"/>
        <n v="609.0"/>
        <n v="496.0"/>
        <n v="469.0"/>
        <n v="375.0"/>
        <n v="400.0"/>
        <n v="392.0"/>
        <n v="348.0"/>
        <n v="357.0"/>
        <n v="337.0"/>
        <n v="355.0"/>
        <n v="338.0"/>
        <n v="339.0"/>
        <n v="317.0"/>
        <n v="309.0"/>
        <n v="303.0"/>
        <n v="296.0"/>
        <n v="250.0"/>
        <n v="287.0"/>
        <n v="272.0"/>
        <n v="258.0"/>
        <n v="289.0"/>
        <n v="324.0"/>
        <n v="329.0"/>
        <n v="381.0"/>
        <n v="456.0"/>
        <n v="519.0"/>
        <n v="522.0"/>
        <n v="567.0"/>
        <n v="501.0"/>
        <n v="530.0"/>
        <n v="505.0"/>
        <n v="597.0"/>
        <n v="605.0"/>
        <n v="475.0"/>
        <n v="890.0"/>
        <n v="702.0"/>
        <n v="831.0"/>
        <n v="679.0"/>
        <n v="705.0"/>
        <n v="657.0"/>
        <n v="614.0"/>
        <n v="650.0"/>
        <n v="769.0"/>
        <n v="770.0"/>
        <n v="806.0"/>
        <n v="785.0"/>
        <n v="805.0"/>
        <n v="774.0"/>
        <n v="637.0"/>
        <n v="502.0"/>
        <n v="488.0"/>
        <n v="364.0"/>
        <n v="270.0"/>
        <n v="235.0"/>
        <n v="205.0"/>
        <n v="142.0"/>
        <n v="127.0"/>
        <n v="81.0"/>
        <n v="54.0"/>
        <n v="70.0"/>
        <n v="45.0"/>
        <n v="60.0"/>
        <n v="8.0"/>
        <n v="25.0"/>
        <n v="65.0"/>
        <n v="96.0"/>
        <n v="123.0"/>
        <n v="111.0"/>
        <n v="153.0"/>
        <n v="212.0"/>
        <n v="320.0"/>
        <n v="408.0"/>
        <n v="570.0"/>
        <n v="941.0"/>
        <n v="886.0"/>
        <n v="1243.0"/>
        <n v="1429.0"/>
        <n v="1789.0"/>
        <n v="2125.0"/>
        <n v="2192.0"/>
        <n v="2255.0"/>
        <n v="2219.0"/>
        <n v="2047.0"/>
        <n v="2049.0"/>
        <n v="1512.0"/>
        <n v="1284.0"/>
        <n v="1280.0"/>
        <n v="1224.0"/>
        <n v="1122.0"/>
        <n v="1136.0"/>
        <n v="1184.0"/>
        <n v="1361.0"/>
        <n v="1276.0"/>
        <n v="1240.0"/>
        <n v="1256.0"/>
        <n v="1297.0"/>
        <n v="1245.0"/>
        <n v="1422.0"/>
        <n v="1696.0"/>
        <n v="1794.0"/>
        <n v="2149.0"/>
        <n v="2517.0"/>
        <n v="2743.0"/>
        <n v="2609.0"/>
        <n v="2010.0"/>
        <n v="1612.0"/>
        <n v="1229.0"/>
        <n v="932.0"/>
        <n v="737.0"/>
        <n v="640.0"/>
        <n v="885.0"/>
        <n v="927.0"/>
        <n v="1139.0"/>
        <n v="1795.0"/>
        <n v="2439.0"/>
        <n v="3023.0"/>
        <n v="3126.0"/>
        <n v="3377.0"/>
        <n v="3446.0"/>
        <n v="3424.0"/>
        <n v="3558.0"/>
        <n v="3679.0"/>
        <n v="3817.0"/>
        <n v="4156.0"/>
        <n v="4744.0"/>
        <n v="4218.0"/>
        <n v="3930.0"/>
      </sharedItems>
    </cacheField>
    <cacheField name="Prónostico (Promedio Semanal)" numFmtId="1">
      <sharedItems containsSemiMixedTypes="0" containsString="0" containsNumber="1">
        <n v="2001.6666666666667"/>
        <n v="1975.0"/>
        <n v="1898.6666666666667"/>
        <n v="1960.6666666666667"/>
        <n v="1939.3333333333333"/>
        <n v="1952.0"/>
        <n v="1920.6666666666667"/>
        <n v="1963.3333333333333"/>
        <n v="2034.0"/>
        <n v="2060.3333333333335"/>
        <n v="2084.3333333333335"/>
        <n v="2181.6666666666665"/>
        <n v="2197.3333333333335"/>
        <n v="2184.3333333333335"/>
        <n v="2225.3333333333335"/>
        <n v="2170.3333333333335"/>
        <n v="2189.0"/>
        <n v="2199.0"/>
        <n v="2207.6666666666665"/>
        <n v="2219.3333333333335"/>
        <n v="2151.3333333333335"/>
        <n v="2104.3333333333335"/>
        <n v="2192.3333333333335"/>
        <n v="2149.6666666666665"/>
        <n v="2164.6666666666665"/>
        <n v="2228.0"/>
        <n v="2195.0"/>
        <n v="2155.6666666666665"/>
        <n v="2235.3333333333335"/>
        <n v="2195.3333333333335"/>
        <n v="2209.0"/>
        <n v="2178.6666666666665"/>
        <n v="2092.6666666666665"/>
        <n v="2035.0"/>
        <n v="2087.0"/>
        <n v="2116.3333333333335"/>
        <n v="2081.3333333333335"/>
        <n v="2107.0"/>
        <n v="2159.3333333333335"/>
        <n v="2197.6666666666665"/>
        <n v="1987.0"/>
        <n v="2030.0"/>
        <n v="2013.75"/>
        <n v="2044.25"/>
        <n v="2062.0"/>
        <n v="2108.0"/>
        <n v="2077.75"/>
        <n v="2081.5"/>
        <n v="2167.25"/>
        <n v="2079.3333333333335"/>
        <n v="2021.0"/>
        <n v="2002.6666666666667"/>
        <n v="2008.3333333333333"/>
        <n v="2051.6666666666665"/>
        <n v="1996.0"/>
        <n v="1960.0"/>
        <n v="1968.0"/>
        <n v="1896.3333333333333"/>
        <n v="1976.0"/>
        <n v="1899.6666666666667"/>
        <n v="1983.6666666666667"/>
        <n v="1911.0"/>
        <n v="1984.0"/>
        <n v="2050.0"/>
        <n v="2135.0"/>
        <n v="2150.0"/>
        <n v="2223.3333333333335"/>
        <n v="2200.3333333333335"/>
        <n v="2240.0"/>
        <n v="2141.6666666666665"/>
        <n v="2199.6666666666665"/>
        <n v="2215.3333333333335"/>
        <n v="2182.6666666666665"/>
        <n v="2230.3333333333335"/>
        <n v="2123.0"/>
        <n v="2193.3333333333335"/>
        <n v="2168.0"/>
        <n v="2175.0"/>
        <n v="2213.3333333333335"/>
        <n v="2217.3333333333335"/>
        <n v="2151.6666666666665"/>
        <n v="2191.6666666666665"/>
        <n v="2233.0"/>
        <n v="2185.6666666666665"/>
        <n v="2205.0"/>
        <n v="2057.6666666666665"/>
        <n v="2082.6666666666665"/>
        <n v="2059.0"/>
        <n v="2088.6666666666665"/>
        <n v="2114.6666666666665"/>
        <n v="2100.6666666666665"/>
        <n v="2159.0"/>
        <n v="2054.5"/>
        <n v="2051.5"/>
        <n v="2030.75"/>
        <n v="2049.25"/>
        <n v="2092.25"/>
        <n v="2058.25"/>
        <n v="2086.0"/>
        <n v="2136.0"/>
        <n v="2197.0"/>
        <n v="1806.0"/>
        <n v="1841.5"/>
        <n v="1886.5"/>
        <n v="1951.5"/>
        <n v="1909.0"/>
        <n v="1984.5"/>
        <n v="1979.25"/>
        <n v="1955.5"/>
        <n v="2037.25"/>
        <n v="2176.5"/>
        <n v="2208.0"/>
        <n v="2310.75"/>
        <n v="2415.25"/>
        <n v="2425.5"/>
        <n v="2440.75"/>
        <n v="2390.0"/>
        <n v="2360.75"/>
        <n v="2424.75"/>
        <n v="2369.75"/>
        <n v="2344.0"/>
        <n v="2277.75"/>
        <n v="2245.0"/>
        <n v="2223.0"/>
        <n v="2155.0"/>
        <n v="2213.25"/>
        <n v="2154.25"/>
        <n v="2213.75"/>
        <n v="2122.5"/>
        <n v="2069.25"/>
        <n v="2005.5"/>
        <n v="1981.25"/>
        <n v="1958.0"/>
        <n v="1942.0"/>
        <n v="1946.5"/>
        <n v="1898.0"/>
        <n v="1942.25"/>
        <n v="1895.75"/>
        <n v="1850.25"/>
        <n v="1890.0"/>
        <n v="1883.75"/>
        <n v="1811.5"/>
        <n v="1967.2"/>
        <n v="1885.6"/>
        <n v="1926.0"/>
        <n v="1920.8"/>
        <n v="1925.8"/>
        <n v="1868.0"/>
        <n v="1848.4"/>
        <n v="1884.2"/>
        <n v="1802.8"/>
        <n v="1808.4"/>
        <n v="1821.8"/>
        <n v="4296.8"/>
        <n v="4316.4"/>
        <n v="4278.0"/>
        <n v="4255.0"/>
        <n v="4262.8"/>
        <n v="4263.0"/>
        <n v="4331.2"/>
        <n v="4368.2"/>
        <n v="4518.8"/>
        <n v="4478.2"/>
        <n v="4485.0"/>
        <n v="4542.6"/>
        <n v="4514.8"/>
        <n v="4554.6"/>
        <n v="4592.0"/>
        <n v="4567.0"/>
        <n v="4543.6"/>
        <n v="4444.8"/>
        <n v="4322.2"/>
        <n v="4363.8"/>
        <n v="4442.8"/>
        <n v="4399.2"/>
        <n v="4336.0"/>
        <n v="4352.6"/>
        <n v="4348.4"/>
        <n v="4310.6"/>
        <n v="4372.2"/>
        <n v="4257.6"/>
        <n v="4307.2"/>
        <n v="4335.0"/>
        <n v="4321.4"/>
        <n v="4239.4"/>
        <n v="4357.2"/>
        <n v="4379.8"/>
        <n v="4391.4"/>
        <n v="4422.0"/>
        <n v="4471.6"/>
        <n v="4591.4"/>
        <n v="4597.2"/>
        <n v="4619.6"/>
        <n v="4794.2"/>
        <n v="4609.0"/>
        <n v="4853.333333333333"/>
        <n v="4660.666666666667"/>
        <n v="4653.166666666667"/>
        <n v="4519.5"/>
        <n v="4406.333333333333"/>
        <n v="4375.166666666667"/>
        <n v="4324.5"/>
        <n v="4307.333333333333"/>
        <n v="4312.0"/>
        <n v="4341.666666666667"/>
        <n v="4366.0"/>
      </sharedItems>
    </cacheField>
    <cacheField name="Exceso de Mortalidad" numFmtId="1">
      <sharedItems containsSemiMixedTypes="0" containsString="0" containsNumber="1">
        <n v="11185.333333333334"/>
        <n v="11723.0"/>
        <n v="11634.333333333334"/>
        <n v="12069.333333333334"/>
        <n v="13053.666666666666"/>
        <n v="15116.0"/>
        <n v="16890.333333333332"/>
        <n v="18658.666666666668"/>
        <n v="20279.0"/>
        <n v="21170.666666666668"/>
        <n v="21082.666666666668"/>
        <n v="21939.333333333332"/>
        <n v="22521.666666666668"/>
        <n v="22760.666666666668"/>
        <n v="22492.666666666668"/>
        <n v="23324.666666666668"/>
        <n v="24257.0"/>
        <n v="24247.0"/>
        <n v="23525.333333333332"/>
        <n v="22575.666666666668"/>
        <n v="21665.666666666668"/>
        <n v="20561.666666666668"/>
        <n v="19532.666666666668"/>
        <n v="18687.333333333332"/>
        <n v="17991.333333333332"/>
        <n v="17262.0"/>
        <n v="16610.0"/>
        <n v="16744.0"/>
        <n v="16328.333333333334"/>
        <n v="16598.666666666668"/>
        <n v="16619.666666666668"/>
        <n v="17358.0"/>
        <n v="18045.333333333332"/>
        <n v="19233.333333333332"/>
        <n v="19584.0"/>
        <n v="20207.0"/>
        <n v="20417.666666666668"/>
        <n v="21413.666666666668"/>
        <n v="23235.0"/>
        <n v="24400.666666666668"/>
        <n v="27411.333333333332"/>
        <n v="30650.0"/>
        <n v="34257.0"/>
        <n v="41413.25"/>
        <n v="42622.75"/>
        <n v="34555.0"/>
        <n v="29717.0"/>
        <n v="24780.25"/>
        <n v="23248.5"/>
        <n v="21842.75"/>
        <n v="18408.666666666668"/>
        <n v="17731.0"/>
        <n v="16505.333333333332"/>
        <n v="15799.333333333334"/>
        <n v="15017.0"/>
        <n v="15465.333333333334"/>
        <n v="14966.333333333334"/>
        <n v="14097.666666666666"/>
        <n v="13559.0"/>
        <n v="13204.333333333334"/>
        <n v="12770.666666666666"/>
        <n v="12230.0"/>
        <n v="12297.666666666666"/>
        <n v="11858.666666666666"/>
        <n v="11958.333333333334"/>
        <n v="12063.666666666666"/>
        <n v="12138.666666666666"/>
        <n v="12356.666666666666"/>
        <n v="13273.666666666666"/>
        <n v="14221.0"/>
        <n v="16143.0"/>
        <n v="18513.333333333332"/>
        <n v="21237.666666666668"/>
        <n v="23271.666666666668"/>
        <n v="24681.666666666668"/>
        <n v="23585.666666666668"/>
        <n v="22902.333333333332"/>
        <n v="20857.333333333332"/>
        <n v="19278.0"/>
        <n v="17392.0"/>
        <n v="15529.0"/>
        <n v="13416.333333333334"/>
        <n v="400.66666666666674"/>
        <n v="417.3333333333335"/>
        <n v="189.0"/>
        <n v="190.0"/>
        <n v="422.0"/>
        <n v="617.6666666666667"/>
        <n v="1120.0"/>
        <n v="1981.3333333333333"/>
        <n v="2768.333333333333"/>
        <n v="3540.0"/>
        <n v="3983.0"/>
        <n v="4313.0"/>
        <n v="4504.0"/>
        <n v="4512.0"/>
        <n v="4575.0"/>
        <n v="4369.666666666666"/>
        <n v="3958.6666666666665"/>
        <n v="3997.0"/>
        <n v="4351.333333333334"/>
        <n v="4563.333333333334"/>
        <n v="4562.666666666666"/>
        <n v="4735.333333333334"/>
        <n v="4889.666666666666"/>
        <n v="4582.0"/>
        <n v="4005.0"/>
        <n v="3384.6666666666665"/>
        <n v="2562.0"/>
        <n v="2100.0"/>
        <n v="1671.6666666666665"/>
        <n v="1265.6666666666665"/>
        <n v="1083.3333333333335"/>
        <n v="955.3333333333335"/>
        <n v="768.0"/>
        <n v="775.3333333333335"/>
        <n v="589.0"/>
        <n v="693.0"/>
        <n v="792.3333333333335"/>
        <n v="672.3333333333335"/>
        <n v="576.0"/>
        <n v="711.3333333333335"/>
        <n v="849.3333333333335"/>
        <n v="1050.3333333333335"/>
        <n v="1094.0"/>
        <n v="1343.0"/>
        <n v="1930.5"/>
        <n v="2586.5"/>
        <n v="3673.25"/>
        <n v="4657.75"/>
        <n v="4928.75"/>
        <n v="5628.75"/>
        <n v="5625.0"/>
        <n v="5257.0"/>
        <n v="5303.0"/>
        <n v="5370.666666666667"/>
        <n v="5375.333333333334"/>
        <n v="5574.0"/>
        <n v="5940.0"/>
        <n v="6500.0"/>
        <n v="6529.666666666667"/>
        <n v="6270.0"/>
        <n v="5795.333333333333"/>
        <n v="5187.333333333333"/>
        <n v="4622.0"/>
        <n v="4069.0"/>
        <n v="3595.0"/>
        <n v="3241.0"/>
        <n v="2591.0"/>
        <n v="2183.0"/>
        <n v="1800.6666666666665"/>
        <n v="1615.6666666666665"/>
        <n v="1359.0"/>
        <n v="1191.3333333333335"/>
        <n v="948.6666666666665"/>
        <n v="879.3333333333335"/>
        <n v="881.6666666666665"/>
        <n v="801.0"/>
        <n v="984.0"/>
        <n v="789.6666666666665"/>
        <n v="719.0"/>
        <n v="715.0"/>
        <n v="731.6666666666665"/>
        <n v="657.6666666666665"/>
        <n v="799.3333333333335"/>
        <n v="663.3333333333335"/>
        <n v="598.0"/>
        <n v="568.3333333333335"/>
        <n v="629.0"/>
        <n v="202.0"/>
        <n v="164.5"/>
        <n v="194.5"/>
        <n v="58.5"/>
        <n v="178.0"/>
        <n v="110.5"/>
        <n v="103.75"/>
        <n v="386.5"/>
        <n v="400.75"/>
        <n v="756.5"/>
        <n v="1186.0"/>
        <n v="1588.25"/>
        <n v="1567.75"/>
        <n v="1306.5"/>
        <n v="1078.25"/>
        <n v="680.0"/>
        <n v="606.25"/>
        <n v="389.25"/>
        <n v="328.25"/>
        <n v="309.0"/>
        <n v="238.25"/>
        <n v="186.0"/>
        <n v="373.0"/>
        <n v="324.0"/>
        <n v="181.75"/>
        <n v="250.75"/>
        <n v="187.25"/>
        <n v="241.5"/>
        <n v="270.75"/>
        <n v="390.5"/>
        <n v="325.75"/>
        <n v="346.0"/>
        <n v="326.0"/>
        <n v="292.5"/>
        <n v="223.0"/>
        <n v="241.75"/>
        <n v="307.25"/>
        <n v="323.75"/>
        <n v="297.0"/>
        <n v="271.25"/>
        <n v="479.5"/>
        <n v="424.5"/>
        <n v="477.79999999999995"/>
        <n v="552.4000000000001"/>
        <n v="775.0"/>
        <n v="636.2"/>
        <n v="707.2"/>
        <n v="638.0"/>
        <n v="653.5999999999999"/>
        <n v="721.8"/>
        <n v="858.2"/>
        <n v="847.5999999999999"/>
        <n v="728.2"/>
        <n v="935.0"/>
        <n v="991.5"/>
        <n v="962.5"/>
        <n v="945.5"/>
        <n v="755.0"/>
        <n v="801.5"/>
        <n v="751.75"/>
        <n v="810.5"/>
        <n v="898.75"/>
        <n v="904.5"/>
        <n v="806.0"/>
        <n v="821.25"/>
        <n v="764.75"/>
        <n v="768.5"/>
        <n v="885.25"/>
        <n v="729.0"/>
        <n v="681.25"/>
        <n v="441.25"/>
        <n v="375.25"/>
        <n v="295.0"/>
        <n v="347.25"/>
        <n v="363.0"/>
        <n v="134.0"/>
        <n v="177.0"/>
        <n v="180.75"/>
        <n v="228.75"/>
        <n v="140.25"/>
        <n v="121.5"/>
        <n v="246.75"/>
        <n v="319.5"/>
        <n v="130.75"/>
        <n v="202.19999999999982"/>
        <n v="20.600000000000364"/>
        <n v="-88.0"/>
        <n v="0.0"/>
        <n v="92.19999999999982"/>
        <n v="65.0"/>
        <n v="-68.19999999999982"/>
        <n v="100.80000000000018"/>
        <n v="60.19999999999982"/>
        <n v="222.80000000000018"/>
        <n v="253.0"/>
        <n v="610.3999999999996"/>
        <n v="823.1999999999998"/>
        <n v="1223.3999999999996"/>
        <n v="1536.0"/>
        <n v="1666.0"/>
        <n v="2195.3999999999996"/>
        <n v="2868.2"/>
        <n v="3379.8"/>
        <n v="3706.2"/>
        <n v="3445.2"/>
        <n v="3248.8"/>
        <n v="2816.0"/>
        <n v="2445.3999999999996"/>
        <n v="2221.6000000000004"/>
        <n v="2072.3999999999996"/>
        <n v="1867.8000000000002"/>
        <n v="1903.3999999999996"/>
        <n v="1711.8000000000002"/>
        <n v="1838.0"/>
        <n v="1868.6000000000004"/>
        <n v="2063.6000000000004"/>
        <n v="1722.8000000000002"/>
        <n v="1872.1999999999998"/>
        <n v="1727.6000000000004"/>
        <n v="1820.0"/>
        <n v="1794.3999999999996"/>
        <n v="1614.6000000000004"/>
        <n v="2042.8000000000002"/>
        <n v="2067.3999999999996"/>
        <n v="2408.8"/>
        <n v="3205.0"/>
        <n v="3110.666666666667"/>
        <n v="3779.333333333333"/>
        <n v="3825.833333333333"/>
        <n v="3156.5"/>
        <n v="2622.666666666667"/>
        <n v="1965.833333333333"/>
        <n v="1590.5"/>
        <n v="1256.666666666667"/>
        <n v="1250.0"/>
        <n v="973.333333333333"/>
        <n v="1203.0"/>
        <n v="1661.1999999999998"/>
        <n v="2156.6000000000004"/>
        <n v="2932.0"/>
        <n v="4185.0"/>
        <n v="4512.2"/>
        <n v="4526.0"/>
        <n v="4550.8"/>
        <n v="4619.8"/>
        <n v="4539.2"/>
        <n v="4817.8"/>
        <n v="5282.0"/>
        <n v="5538.4"/>
        <n v="5936.2"/>
        <n v="5901.4"/>
        <n v="5648.0"/>
        <n v="4918.0"/>
      </sharedItems>
    </cacheField>
    <cacheField name="Tasa de Muertes por COVID" numFmtId="166">
      <sharedItems containsSemiMixedTypes="0" containsString="0" containsNumber="1">
        <n v="0.002303046884967875"/>
        <n v="0.013050599014817959"/>
        <n v="0.056808489829207574"/>
        <n v="0.1550718235878369"/>
        <n v="0.2993960950458237"/>
        <n v="0.5105087261678789"/>
        <n v="0.6164488828764012"/>
        <n v="1.0064314887309613"/>
        <n v="1.3142720890216673"/>
        <n v="1.7019516479912593"/>
        <n v="1.9468423000928434"/>
        <n v="2.8933945698146397"/>
        <n v="2.6423624593531416"/>
        <n v="3.595823869729842"/>
        <n v="3.7025317087333534"/>
        <n v="3.063820039302263"/>
        <n v="3.3524685822182363"/>
        <n v="3.2073766284652603"/>
        <n v="3.451499598271855"/>
        <n v="3.1213962114264593"/>
        <n v="3.4944898067912553"/>
        <n v="3.423095353357251"/>
        <n v="2.8580811842451324"/>
        <n v="2.8235354809706146"/>
        <n v="2.6101198029635917"/>
        <n v="2.5049473285500583"/>
        <n v="2.051247092211387"/>
        <n v="2.2546829003835493"/>
        <n v="2.0404995400815373"/>
        <n v="3.6027330103847452"/>
        <n v="1.8316899558444497"/>
        <n v="2.116500087285477"/>
        <n v="2.2807840984131853"/>
        <n v="2.404380947906461"/>
        <n v="2.69840326688736"/>
        <n v="2.40591631249644"/>
        <n v="3.054607851762391"/>
        <n v="3.1183254822465023"/>
        <n v="3.2519022015746395"/>
        <n v="3.2618820714094996"/>
        <n v="3.242690014034768"/>
        <n v="3.674895146113739"/>
        <n v="4.984561141365471"/>
        <n v="5.3722407003350625"/>
        <n v="6.840049248354588"/>
        <n v="6.8492614358944595"/>
        <n v="5.883517108797931"/>
        <n v="6.146832135979258"/>
        <n v="4.52932554043682"/>
        <n v="4.305162310299948"/>
        <n v="3.7531987402026465"/>
        <n v="3.1521035032260314"/>
        <n v="2.553311313134384"/>
        <n v="2.753676392126589"/>
        <n v="1.937630112552972"/>
        <n v="3.9850387932894127"/>
        <n v="2.3038145672628643"/>
        <n v="2.0021154253320725"/>
        <n v="1.7549217263455206"/>
        <n v="1.344979380821239"/>
        <n v="1.1146746923244513"/>
        <n v="0.9288955769370428"/>
        <n v="1.4278890686800823"/>
        <n v="0.7868743523640239"/>
        <n v="1.0333003690555864"/>
        <n v="0.7960865399038954"/>
        <n v="1.0570985202002545"/>
        <n v="0.8122078680986705"/>
        <n v="1.0340680513505758"/>
        <n v="1.0455832857754153"/>
        <n v="1.6067590434125874"/>
        <n v="2.003650789922051"/>
        <n v="2.599372250833741"/>
        <n v="2.8765055593248756"/>
        <n v="3.8291992874065865"/>
        <n v="3.8460882978963506"/>
        <n v="3.8192194175717256"/>
        <n v="3.537480015310656"/>
        <n v="2.88264701768479"/>
        <n v="3.030042018322734"/>
        <n v="2.412057770856354"/>
        <n v="2.6822819386925847"/>
        <n v="0.005995308970496035"/>
        <n v="0.008992963455744053"/>
        <n v="0.08693198007219251"/>
        <n v="0.1828569236001291"/>
        <n v="0.6654792957250599"/>
        <n v="1.5857592226962014"/>
        <n v="2.8177952161331365"/>
        <n v="5.102007933892126"/>
        <n v="7.542098684884012"/>
        <n v="9.75436769499705"/>
        <n v="10.72261009373216"/>
        <n v="11.418065934309698"/>
        <n v="12.18846313701844"/>
        <n v="12.362327097162826"/>
        <n v="12.518205130395723"/>
        <n v="12.979843921123916"/>
        <n v="10.581720332925503"/>
        <n v="11.256192592106308"/>
        <n v="11.699845455923013"/>
        <n v="14.691504632200536"/>
        <n v="10.431837608663102"/>
        <n v="13.117736027445327"/>
        <n v="13.288602333104462"/>
        <n v="12.955862685241934"/>
        <n v="11.349119881148996"/>
        <n v="10.195022904328509"/>
        <n v="8.0157280935532"/>
        <n v="6.636807030339111"/>
        <n v="5.662569322633505"/>
        <n v="4.769268286029596"/>
        <n v="3.636154890605846"/>
        <n v="3.5072557477401807"/>
        <n v="2.9317060865725613"/>
        <n v="2.577982857313295"/>
        <n v="2.3141892626114697"/>
        <n v="2.215266664598285"/>
        <n v="2.188287774231053"/>
        <n v="1.9364847974702195"/>
        <n v="1.9814496147489395"/>
        <n v="2.05639097688014"/>
        <n v="2.2392479004802692"/>
        <n v="2.4460860599623824"/>
        <n v="2.6379359470182555"/>
        <n v="3.243462153038355"/>
        <n v="4.199713933832473"/>
        <n v="6.0762456415977315"/>
        <n v="8.714181588615988"/>
        <n v="11.690852492467268"/>
        <n v="12.146495974224967"/>
        <n v="14.271833004265812"/>
        <n v="15.353986273440345"/>
        <n v="14.25984238632482"/>
        <n v="14.19988929661986"/>
        <n v="12.877923668625483"/>
        <n v="14.211879914560852"/>
        <n v="14.9702864993286"/>
        <n v="15.458904180424028"/>
        <n v="16.367193489454177"/>
        <n v="16.055437422988383"/>
        <n v="17.87501369553393"/>
        <n v="14.73047414050876"/>
        <n v="14.937312299990872"/>
        <n v="12.269399808120138"/>
        <n v="10.219004140210492"/>
        <n v="8.351465395900977"/>
        <n v="8.039709329435183"/>
        <n v="7.898819568628526"/>
        <n v="4.4784958009605385"/>
        <n v="4.14275849861276"/>
        <n v="4.934139282718237"/>
        <n v="3.468286239431956"/>
        <n v="2.2752197543032455"/>
        <n v="2.2302549370245255"/>
        <n v="1.6427146579159138"/>
        <n v="1.5347990964469849"/>
        <n v="1.327960936964872"/>
        <n v="1.4568600798305367"/>
        <n v="0.7074464585185322"/>
        <n v="1.1181251229975104"/>
        <n v="0.8273526379284529"/>
        <n v="0.9052916545449015"/>
        <n v="0.6774699136660519"/>
        <n v="0.5785473156528674"/>
        <n v="0.5695543521971234"/>
        <n v="0.5036059535216669"/>
        <n v="0.6265097874168357"/>
        <n v="0.5815449701381155"/>
        <n v="0.5515684252856352"/>
        <n v="0.005204982083931169"/>
        <n v="0.03122989250358701"/>
        <n v="0.14053451626614158"/>
        <n v="0.2394291758608338"/>
        <n v="0.27586405044835194"/>
        <n v="0.29147899670014543"/>
        <n v="0.36955372795911295"/>
        <n v="0.2706590683644208"/>
        <n v="0.7182875275825014"/>
        <n v="1.3949351984935532"/>
        <n v="1.7488739802008728"/>
        <n v="3.034504554931871"/>
        <n v="8.77559979350795"/>
        <n v="6.016959289024431"/>
        <n v="5.361131546449104"/>
        <n v="4.158780685061004"/>
        <n v="3.4925429783178146"/>
        <n v="7.932392695911102"/>
        <n v="3.1698340891140817"/>
        <n v="2.58167111362986"/>
        <n v="2.4411365973637182"/>
        <n v="1.9518682814741883"/>
        <n v="2.0819928335724676"/>
        <n v="2.0403529769010182"/>
        <n v="1.8113337652080468"/>
        <n v="1.8581786039634272"/>
        <n v="1.7540789622848039"/>
        <n v="1.847768639795565"/>
        <n v="1.7592839443687351"/>
        <n v="1.7644889264526662"/>
        <n v="1.6499793206061806"/>
        <n v="1.6083394639347313"/>
        <n v="1.577109571431144"/>
        <n v="1.540674696843626"/>
        <n v="1.4365750551650027"/>
        <n v="1.3012455209827922"/>
        <n v="1.4938298580882454"/>
        <n v="1.4157551268292778"/>
        <n v="1.3428853776542415"/>
        <n v="1.5042398222561078"/>
        <n v="1.6864141951936986"/>
        <n v="1.7124391056133546"/>
        <n v="1.9830981739777755"/>
        <n v="2.373471830272613"/>
        <n v="2.7013857015602767"/>
        <n v="2.7170006478120703"/>
        <n v="2.9512248415889726"/>
        <n v="2.6076960240495155"/>
        <n v="2.7586405044835196"/>
        <n v="2.62851595238524"/>
        <n v="3.107374304106908"/>
        <n v="3.149014160778357"/>
        <n v="2.4723664898673055"/>
        <n v="4.632434054698741"/>
        <n v="3.653897422919681"/>
        <n v="4.325340111746801"/>
        <n v="3.534182834989264"/>
        <n v="3.6695123691714744"/>
        <n v="3.419673229142778"/>
        <n v="3.195858999533738"/>
        <n v="3.570617709576782"/>
        <n v="3.3832383545552593"/>
        <n v="4.002631222543069"/>
        <n v="4.007836204627"/>
        <n v="4.195215559648522"/>
        <n v="4.085910935885968"/>
        <n v="4.190010577564591"/>
        <n v="4.028656132962725"/>
        <n v="3.3155735874641548"/>
        <n v="2.6649508269727584"/>
        <n v="2.6129010061334466"/>
        <n v="2.5400312569584105"/>
        <n v="1.8946134785509456"/>
        <n v="1.4053451626614155"/>
        <n v="1.2231707897238246"/>
        <n v="1.0670213272058895"/>
        <n v="0.7391074559182259"/>
        <n v="0.6610327246592584"/>
        <n v="0.42160354879842465"/>
        <n v="0.28106903253228316"/>
        <n v="0.36434874587518185"/>
        <n v="0.2342241937769026"/>
        <n v="0.31229892503587015"/>
        <n v="0.003901233181759371"/>
        <n v="0.015604932727037484"/>
        <n v="0.04876541477199214"/>
        <n v="0.1443456277250967"/>
        <n v="0.13654316136157796"/>
        <n v="0.12679007840717954"/>
        <n v="0.1872591927244498"/>
        <n v="0.2399258406782013"/>
        <n v="0.21651844158764508"/>
        <n v="0.29844433840459184"/>
        <n v="0.4135307172664933"/>
        <n v="0.6241973090814993"/>
        <n v="0.7958515690789115"/>
        <n v="1.1118514568014206"/>
        <n v="1.835530212017784"/>
        <n v="1.728246299519401"/>
        <n v="2.424616422463449"/>
        <n v="2.78743110836707"/>
        <n v="3.489653081083757"/>
        <n v="4.145060255619331"/>
        <n v="4.27575156720827"/>
        <n v="4.39864041243369"/>
        <n v="4.328418215162022"/>
        <n v="3.9929121615307155"/>
        <n v="3.9968133947124755"/>
        <n v="2.949332285410084"/>
        <n v="2.504591702689516"/>
        <n v="2.496789236325997"/>
        <n v="2.3875547072367347"/>
        <n v="2.188591814967007"/>
        <n v="2.2159004472393224"/>
        <n v="2.3095300436015473"/>
        <n v="2.654789180187252"/>
        <n v="2.488986769962479"/>
        <n v="2.41876457269081"/>
        <n v="2.449974438144885"/>
        <n v="2.529949718370952"/>
        <n v="2.4285176556452086"/>
        <n v="2.7737767922309127"/>
        <n v="3.3082457381319466"/>
        <n v="3.499406164038156"/>
        <n v="4.191875053800444"/>
        <n v="4.909701959244169"/>
        <n v="5.350541308782977"/>
        <n v="5.089158685605099"/>
        <n v="3.920739347668168"/>
        <n v="3.144393944498053"/>
        <n v="2.3973077901911335"/>
        <n v="1.8179746626998667"/>
        <n v="1.4376044274783282"/>
        <n v="1.2483946181629986"/>
        <n v="1.7262956829285214"/>
        <n v="1.8082215797454684"/>
        <n v="2.2217522970119616"/>
        <n v="3.5013567806290355"/>
        <n v="4.757553865155552"/>
        <n v="5.896713954229289"/>
        <n v="6.097627463089896"/>
        <n v="6.587232227400697"/>
        <n v="6.721824772171396"/>
        <n v="6.6789112071720425"/>
        <n v="6.94029383034992"/>
        <n v="7.176318437846363"/>
        <n v="7.445503527387759"/>
        <n v="8.106762551695972"/>
        <n v="9.253725107133228"/>
        <n v="8.227700780330514"/>
        <n v="7.665923202157163"/>
      </sharedItems>
    </cacheField>
    <cacheField name="Val Acumulativo de Muertes por Covid" numFmtId="166">
      <sharedItems containsSemiMixedTypes="0" containsString="0" containsNumber="1">
        <n v="0.002303046884967875"/>
        <n v="0.015353645899785833"/>
        <n v="0.07216213572899341"/>
        <n v="0.2272339593168303"/>
        <n v="0.526630054362654"/>
        <n v="1.0371387805305328"/>
        <n v="1.653587663406934"/>
        <n v="2.6600191521378953"/>
        <n v="3.9742912411595626"/>
        <n v="5.676242889150822"/>
        <n v="7.623085189243665"/>
        <n v="10.516479759058305"/>
        <n v="13.158842218411447"/>
        <n v="16.75466608814129"/>
        <n v="20.45719779687464"/>
        <n v="23.521017836176906"/>
        <n v="26.873486418395142"/>
        <n v="30.0808630468604"/>
        <n v="33.53236264513225"/>
        <n v="36.65375885655871"/>
        <n v="40.14824866334997"/>
        <n v="43.571344016707215"/>
        <n v="46.429425200952345"/>
        <n v="49.25296068192296"/>
        <n v="51.86308048488655"/>
        <n v="54.36802781343661"/>
        <n v="56.419274905647995"/>
        <n v="58.673957806031545"/>
        <n v="60.71445734611308"/>
        <n v="64.31719035649782"/>
        <n v="66.14888031234227"/>
        <n v="68.26538039962774"/>
        <n v="70.54616449804092"/>
        <n v="72.95054544594738"/>
        <n v="75.64894871283474"/>
        <n v="78.05486502533118"/>
        <n v="81.10947287709357"/>
        <n v="84.22779835934007"/>
        <n v="87.47970056091471"/>
        <n v="90.74158263232421"/>
        <n v="93.98427264635897"/>
        <n v="97.65916779247272"/>
        <n v="102.64372893383819"/>
        <n v="108.01596963417325"/>
        <n v="114.85601888252783"/>
        <n v="121.7052803184223"/>
        <n v="127.58879742722023"/>
        <n v="133.7356295631995"/>
        <n v="138.2649551036363"/>
        <n v="142.57011741393626"/>
        <n v="146.3233161541389"/>
        <n v="149.47541965736494"/>
        <n v="152.0287309704993"/>
        <n v="154.7824073626259"/>
        <n v="156.72003747517886"/>
        <n v="160.70507626846828"/>
        <n v="163.00889083573114"/>
        <n v="165.01100626106322"/>
        <n v="166.76592798740873"/>
        <n v="168.11090736822996"/>
        <n v="169.22558206055442"/>
        <n v="170.15447763749145"/>
        <n v="171.58236670617154"/>
        <n v="172.36924105853558"/>
        <n v="173.40254142759116"/>
        <n v="174.19862796749504"/>
        <n v="175.25572648769528"/>
        <n v="176.06793435579397"/>
        <n v="177.10200240714454"/>
        <n v="178.14758569291996"/>
        <n v="179.75434473633254"/>
        <n v="181.7579955262546"/>
        <n v="184.35736777708834"/>
        <n v="187.2338733364132"/>
        <n v="191.0630726238198"/>
        <n v="194.90916092171616"/>
        <n v="198.7283803392879"/>
        <n v="202.26586035459854"/>
        <n v="205.14850737228335"/>
        <n v="208.1785493906061"/>
        <n v="210.59060716146246"/>
        <n v="213.27288910015506"/>
        <n v="0.005995308970496035"/>
        <n v="0.014988272426240089"/>
        <n v="0.10192025249843259"/>
        <n v="0.2847771760985617"/>
        <n v="0.9502564718236216"/>
        <n v="2.536015694519823"/>
        <n v="5.353810910652959"/>
        <n v="10.455818844545085"/>
        <n v="17.997917529429095"/>
        <n v="27.752285224426146"/>
        <n v="38.4748953181583"/>
        <n v="49.892961252468"/>
        <n v="62.081424389486436"/>
        <n v="74.44375148664926"/>
        <n v="86.96195661704499"/>
        <n v="99.9418005381689"/>
        <n v="110.5235208710944"/>
        <n v="121.77971346320071"/>
        <n v="133.47955891912372"/>
        <n v="148.17106355132427"/>
        <n v="158.60290115998737"/>
        <n v="171.7206371874327"/>
        <n v="185.00923952053714"/>
        <n v="197.96510220577906"/>
        <n v="209.31422208692805"/>
        <n v="219.50924499125657"/>
        <n v="227.52497308480977"/>
        <n v="234.16178011514887"/>
        <n v="239.8243494377824"/>
        <n v="244.59361772381197"/>
        <n v="248.2297726144178"/>
        <n v="251.737028362158"/>
        <n v="254.66873444873056"/>
        <n v="257.2467173060439"/>
        <n v="259.56090656865535"/>
        <n v="261.77617323325364"/>
        <n v="263.9644610074847"/>
        <n v="265.9009458049549"/>
        <n v="267.88239541970387"/>
        <n v="269.938786396584"/>
        <n v="272.1780342970643"/>
        <n v="274.6241203570267"/>
        <n v="277.26205630404496"/>
        <n v="280.5055184570833"/>
        <n v="284.7052323909158"/>
        <n v="290.7814780325135"/>
        <n v="299.4956596211295"/>
        <n v="311.1865121135968"/>
        <n v="323.3330080878218"/>
        <n v="337.6048410920876"/>
        <n v="352.95882736552795"/>
        <n v="367.21866975185276"/>
        <n v="381.4185590484726"/>
        <n v="394.2964827170981"/>
        <n v="408.50836263165894"/>
        <n v="423.47864913098755"/>
        <n v="438.9375533114116"/>
        <n v="455.30474680086576"/>
        <n v="471.36018422385416"/>
        <n v="489.2351979193881"/>
        <n v="503.96567205989686"/>
        <n v="518.9029843598877"/>
        <n v="531.1723841680079"/>
        <n v="541.3913883082183"/>
        <n v="549.7428537041193"/>
        <n v="557.7825630335544"/>
        <n v="565.6813826021829"/>
        <n v="570.1598784031435"/>
        <n v="574.3026369017563"/>
        <n v="579.2367761844745"/>
        <n v="582.7050624239064"/>
        <n v="584.9802821782097"/>
        <n v="587.2105371152342"/>
        <n v="588.8532517731501"/>
        <n v="590.388050869597"/>
        <n v="591.7160118065619"/>
        <n v="593.1728718863925"/>
        <n v="593.8803183449111"/>
        <n v="594.9984434679086"/>
        <n v="595.8257961058371"/>
        <n v="596.731087760382"/>
        <n v="597.4085576740481"/>
        <n v="597.9871049897009"/>
        <n v="598.556659341898"/>
        <n v="599.0602652954196"/>
        <n v="599.6867750828364"/>
        <n v="600.2683200529746"/>
        <n v="600.8198884782602"/>
        <n v="0.005204982083931169"/>
        <n v="0.03643487458751818"/>
        <n v="0.17696939085365976"/>
        <n v="0.41639856671449355"/>
        <n v="0.6922626171628454"/>
        <n v="0.9837416138629909"/>
        <n v="1.3532953418221039"/>
        <n v="1.6239544101865246"/>
        <n v="2.342241937769026"/>
        <n v="3.737177136262579"/>
        <n v="5.486051116463452"/>
        <n v="8.520555671395323"/>
        <n v="17.296155464903272"/>
        <n v="23.313114753927703"/>
        <n v="28.674246300376808"/>
        <n v="32.83302698543781"/>
        <n v="36.325569963755626"/>
        <n v="44.25796265966673"/>
        <n v="47.427796748780814"/>
        <n v="50.00946786241067"/>
        <n v="52.45060445977439"/>
        <n v="54.40247274124858"/>
        <n v="56.484465574821044"/>
        <n v="58.52481855172206"/>
        <n v="60.33615231693011"/>
        <n v="62.194330920893535"/>
        <n v="63.948409883178336"/>
        <n v="65.7961785229739"/>
        <n v="67.55546246734264"/>
        <n v="69.31995139379531"/>
        <n v="70.96993071440149"/>
        <n v="72.57827017833621"/>
        <n v="74.15537974976735"/>
        <n v="75.69605444661097"/>
        <n v="77.13262950177598"/>
        <n v="78.43387502275877"/>
        <n v="79.92770488084702"/>
        <n v="81.3434600076763"/>
        <n v="82.68634538533054"/>
        <n v="84.0812805838241"/>
        <n v="85.5855204060802"/>
        <n v="87.2719346012739"/>
        <n v="88.98437370688725"/>
        <n v="90.96747188086503"/>
        <n v="93.34094371113764"/>
        <n v="96.04232941269791"/>
        <n v="98.75933006050998"/>
        <n v="101.71055490209895"/>
        <n v="104.31825092614847"/>
        <n v="107.07689143063199"/>
        <n v="109.70540738301723"/>
        <n v="112.81278168712414"/>
        <n v="115.9617958479025"/>
        <n v="118.4341623377698"/>
        <n v="123.06659639246854"/>
        <n v="126.72049381538822"/>
        <n v="131.04583392713502"/>
        <n v="134.58001676212427"/>
        <n v="138.24952913129576"/>
        <n v="141.66920236043853"/>
        <n v="144.86506135997226"/>
        <n v="148.43567906954905"/>
        <n v="151.8189174241043"/>
        <n v="155.8215486466474"/>
        <n v="159.8293848512744"/>
        <n v="164.02460041092291"/>
        <n v="168.1105113468089"/>
        <n v="172.30052192437347"/>
        <n v="176.3291780573362"/>
        <n v="179.64475164480035"/>
        <n v="182.3097024717731"/>
        <n v="184.92260347790656"/>
        <n v="187.46263473486496"/>
        <n v="189.35724821341591"/>
        <n v="190.76259337607732"/>
        <n v="191.98576416580116"/>
        <n v="193.05278549300704"/>
        <n v="193.79189294892527"/>
        <n v="194.45292567358453"/>
        <n v="194.87452922238296"/>
        <n v="195.15559825491525"/>
        <n v="195.51994700079044"/>
        <n v="195.75417119456733"/>
        <n v="196.0664701196032"/>
        <n v="0.003901233181759371"/>
        <n v="0.019506165908796856"/>
        <n v="0.06827158068078899"/>
        <n v="0.21261720840588572"/>
        <n v="0.3491603697674637"/>
        <n v="0.4759504481746432"/>
        <n v="0.6632096408990931"/>
        <n v="0.9031354815772944"/>
        <n v="1.1196539231649394"/>
        <n v="1.4180982615695312"/>
        <n v="1.8316289788360245"/>
        <n v="2.4558262879175237"/>
        <n v="3.251677856996435"/>
        <n v="4.363529313797856"/>
        <n v="6.19905952581564"/>
        <n v="7.927305825335041"/>
        <n v="10.35192224779849"/>
        <n v="13.139353356165559"/>
        <n v="16.629006437249316"/>
        <n v="20.774066692868647"/>
        <n v="25.04981826007692"/>
        <n v="29.448458672510608"/>
        <n v="33.77687688767263"/>
        <n v="37.76978904920335"/>
        <n v="41.76660244391582"/>
        <n v="44.71593472932591"/>
        <n v="47.220526432015426"/>
        <n v="49.71731566834142"/>
        <n v="52.10487037557816"/>
        <n v="54.29346219054516"/>
        <n v="56.509362637784484"/>
        <n v="58.81889268138603"/>
        <n v="61.47368186157328"/>
        <n v="63.96266863153576"/>
        <n v="66.38143320422657"/>
        <n v="68.83140764237146"/>
        <n v="71.36135736074242"/>
        <n v="73.74891206797915"/>
        <n v="76.17742972362436"/>
        <n v="78.95120651585528"/>
        <n v="82.25945225398722"/>
        <n v="85.75885841802537"/>
        <n v="89.95073347182581"/>
        <n v="94.86043543106999"/>
        <n v="100.21097673985297"/>
        <n v="105.30013542545807"/>
        <n v="109.22087477312624"/>
        <n v="112.36526871762429"/>
        <n v="114.76257650781542"/>
        <n v="116.58055117051529"/>
        <n v="118.01815559799363"/>
        <n v="119.26655021615663"/>
        <n v="120.99284589908515"/>
        <n v="122.80106747883062"/>
        <n v="125.02281977584258"/>
        <n v="128.52417655647162"/>
        <n v="133.28173042162717"/>
        <n v="139.17844437585646"/>
        <n v="145.27607183894636"/>
        <n v="151.86330406634707"/>
        <n v="158.58512883851847"/>
        <n v="165.2640400456905"/>
        <n v="172.20433387604044"/>
        <n v="179.3806523138868"/>
        <n v="186.82615584127456"/>
        <n v="194.93291839297052"/>
        <n v="204.18664350010374"/>
        <n v="212.41434428043425"/>
        <n v="220.0802674825914"/>
      </sharedItems>
    </cacheField>
    <cacheField name="Tasa de Exceso de Mortalidad" numFmtId="166">
      <sharedItems containsSemiMixedTypes="0" containsString="0" containsNumber="1">
        <n v="8.586782363553557"/>
        <n v="8.999539544159465"/>
        <n v="8.931471714003749"/>
        <n v="9.265413512324091"/>
        <n v="10.021068784691883"/>
        <n v="11.604285571058131"/>
        <n v="12.966409856467463"/>
        <n v="14.323928048106863"/>
        <n v="15.567829260087844"/>
        <n v="16.252345973119965"/>
        <n v="16.184789931160907"/>
        <n v="16.842437763868396"/>
        <n v="17.2894847536505"/>
        <n v="17.472960822152935"/>
        <n v="17.267221967095807"/>
        <n v="17.905933636526896"/>
        <n v="18.621669429555247"/>
        <n v="18.613992606605354"/>
        <n v="18.059981883721413"/>
        <n v="17.330939597579917"/>
        <n v="16.632348709139663"/>
        <n v="15.784827455471486"/>
        <n v="14.994882373927505"/>
        <n v="14.345934940563222"/>
        <n v="13.811628063250675"/>
        <n v="13.251731776105151"/>
        <n v="12.751202919772135"/>
        <n v="12.854072347300699"/>
        <n v="12.534972406683483"/>
        <n v="12.742502520428923"/>
        <n v="12.758623848623698"/>
        <n v="13.325429276424122"/>
        <n v="13.853082907180095"/>
        <n v="14.765089473627373"/>
        <n v="15.034290065070287"/>
        <n v="15.512556134848616"/>
        <n v="15.674281204993028"/>
        <n v="16.43889277080236"/>
        <n v="17.83709812407619"/>
        <n v="18.731959785935377"/>
        <n v="21.0431952820498"/>
        <n v="23.529462341421787"/>
        <n v="26.298492379448163"/>
        <n v="31.792218802965284"/>
        <n v="32.72073053875483"/>
        <n v="26.527261703354974"/>
        <n v="22.81321476019678"/>
        <n v="19.023359190408392"/>
        <n v="17.847461835058546"/>
        <n v="16.768292448877347"/>
        <n v="14.132007474359542"/>
        <n v="13.61177477245513"/>
        <n v="12.670852172896586"/>
        <n v="12.12886847263415"/>
        <n v="11.528285023854192"/>
        <n v="11.872462586107725"/>
        <n v="11.489389120908069"/>
        <n v="10.822529100660702"/>
        <n v="10.409004237759806"/>
        <n v="10.136732917136937"/>
        <n v="9.803814695209914"/>
        <n v="9.388754467719036"/>
        <n v="9.440700969679979"/>
        <n v="9.103688442179678"/>
        <n v="9.180200777580279"/>
        <n v="9.261063312652484"/>
        <n v="9.31863948477668"/>
        <n v="9.485994225084347"/>
        <n v="10.189958889589526"/>
        <n v="10.917209917042717"/>
        <n v="12.392695288012133"/>
        <n v="14.212358221235084"/>
        <n v="16.303780686884245"/>
        <n v="17.865246474892466"/>
        <n v="18.947678510827366"/>
        <n v="18.106298715519102"/>
        <n v="17.581715813943084"/>
        <n v="16.011805520689986"/>
        <n v="14.799379282803564"/>
        <n v="13.351530474453758"/>
        <n v="11.92133835888871"/>
        <n v="10.299481563674666"/>
        <n v="1.201060230422706"/>
        <n v="1.251021138510173"/>
        <n v="0.5665566977118753"/>
        <n v="0.5695543521971234"/>
        <n v="1.2650101927746635"/>
        <n v="1.8515512537215257"/>
        <n v="3.3573730234777797"/>
        <n v="5.939352753438072"/>
        <n v="8.298506833328261"/>
        <n v="10.611696877777982"/>
        <n v="11.939657814742853"/>
        <n v="12.9288837948747"/>
        <n v="13.501435801557072"/>
        <n v="13.525417037439055"/>
        <n v="13.71426927000968"/>
        <n v="13.098750882372087"/>
        <n v="11.866714888935153"/>
        <n v="11.981624977536327"/>
        <n v="13.043793883475875"/>
        <n v="13.679296634348455"/>
        <n v="13.677298198024953"/>
        <n v="14.194893205811114"/>
        <n v="14.657531214701056"/>
        <n v="13.735252851406416"/>
        <n v="12.00560621341831"/>
        <n v="10.14606121440279"/>
        <n v="7.67999079120542"/>
        <n v="6.295074419020837"/>
        <n v="5.011079081172936"/>
        <n v="3.7940313601622404"/>
        <n v="3.2474590256853526"/>
        <n v="2.863759251573607"/>
        <n v="2.3021986446704776"/>
        <n v="2.3241814442289632"/>
        <n v="1.7656184918110824"/>
        <n v="2.077374558276876"/>
        <n v="2.37514157047818"/>
        <n v="2.0154230322484175"/>
        <n v="1.726648983502858"/>
        <n v="2.13233155717309"/>
        <n v="2.546007876137317"/>
        <n v="3.1485364276721683"/>
        <n v="3.2794340068613317"/>
        <n v="4.0258499736880875"/>
        <n v="5.786971983771298"/>
        <n v="7.753433326093998"/>
        <n v="11.01113433793728"/>
        <n v="13.962325178663955"/>
        <n v="14.774689544166167"/>
        <n v="16.87304768383978"/>
        <n v="16.861806479520098"/>
        <n v="15.758669628948828"/>
        <n v="15.896561735270238"/>
        <n v="16.099403022105356"/>
        <n v="16.113392076369845"/>
        <n v="16.70892610077245"/>
        <n v="17.806067642373225"/>
        <n v="19.484754154112114"/>
        <n v="19.573684570507808"/>
        <n v="18.79529362250507"/>
        <n v="17.37240696017401"/>
        <n v="15.549833033143216"/>
        <n v="13.855159030816338"/>
        <n v="12.197456100474184"/>
        <n v="10.776567874466624"/>
        <n v="9.715398186688827"/>
        <n v="7.766922771277614"/>
        <n v="6.543879741296423"/>
        <n v="5.397776509769931"/>
        <n v="4.843210429999046"/>
        <n v="4.073812445452056"/>
        <n v="3.571205710092139"/>
        <n v="2.843774888338619"/>
        <n v="2.6359375106947573"/>
        <n v="2.642932037827002"/>
        <n v="2.401121242683662"/>
        <n v="2.949692013484049"/>
        <n v="2.367147825184184"/>
        <n v="2.155313574893325"/>
        <n v="2.143322956952333"/>
        <n v="2.193283865039799"/>
        <n v="1.9714574331314458"/>
        <n v="2.396125151874916"/>
        <n v="1.9884441418811853"/>
        <n v="1.7925973821783145"/>
        <n v="1.7036669657826238"/>
        <n v="1.885524671221003"/>
        <n v="1.051406380954096"/>
        <n v="0.8562195528066773"/>
        <n v="1.0123690153246123"/>
        <n v="0.3044914519099734"/>
        <n v="0.926486810939748"/>
        <n v="0.5751505202743942"/>
        <n v="0.5400168912078588"/>
        <n v="2.011725575439397"/>
        <n v="2.0858965701354157"/>
        <n v="3.937568946493929"/>
        <n v="6.173108751542367"/>
        <n v="8.266812794803679"/>
        <n v="8.16011066208309"/>
        <n v="6.800309092656072"/>
        <n v="5.612271931998783"/>
        <n v="3.5393878170731945"/>
        <n v="3.1555203883832714"/>
        <n v="2.0260392761702075"/>
        <n v="1.7085353690504064"/>
        <n v="1.6083394639347313"/>
        <n v="1.240086981496601"/>
        <n v="0.9681266676111975"/>
        <n v="1.941458317306326"/>
        <n v="1.6864141951936986"/>
        <n v="0.94600549375449"/>
        <n v="1.3051492575457406"/>
        <n v="0.9746328952161113"/>
        <n v="1.2570031732693774"/>
        <n v="1.4092488992243641"/>
        <n v="2.0325455037751214"/>
        <n v="1.6955229138405783"/>
        <n v="1.8009238010401842"/>
        <n v="1.6968241593615612"/>
        <n v="1.5224572595498669"/>
        <n v="1.1607110047166507"/>
        <n v="1.25830441879036"/>
        <n v="1.5992307452878516"/>
        <n v="1.685112949672716"/>
        <n v="1.545879678927557"/>
        <n v="1.4118513902663297"/>
        <n v="2.4957889092449954"/>
        <n v="2.2095148946287813"/>
        <n v="2.4869404397023125"/>
        <n v="2.875232103163578"/>
        <n v="4.033861115046656"/>
        <n v="3.31140960179701"/>
        <n v="3.680963329756123"/>
        <n v="3.320778569548086"/>
        <n v="3.4019762900574113"/>
        <n v="3.7569560681815175"/>
        <n v="4.4669156244297294"/>
        <n v="4.411742814340059"/>
        <n v="3.790267953518677"/>
        <n v="4.866658248475643"/>
        <n v="5.160739736217754"/>
        <n v="5.00979525578375"/>
        <n v="4.92131056035692"/>
        <n v="3.929761473368033"/>
        <n v="4.1717931402708315"/>
        <n v="3.9128452815952564"/>
        <n v="4.218637979026212"/>
        <n v="4.6779776479331385"/>
        <n v="4.707906294915742"/>
        <n v="4.195215559648522"/>
        <n v="4.274591536428473"/>
        <n v="3.980510048686361"/>
        <n v="4.000028731501104"/>
        <n v="4.607710389800068"/>
        <n v="3.794431939185822"/>
        <n v="3.545894044678109"/>
        <n v="2.2966983445346285"/>
        <n v="1.9531695269951712"/>
        <n v="1.5354697147596947"/>
        <n v="1.8074300286450986"/>
        <n v="1.8894084964670141"/>
        <n v="0.6974675992467766"/>
        <n v="0.9212818288558169"/>
        <n v="0.9408005116705588"/>
        <n v="1.1906396516992548"/>
        <n v="0.7299987372713465"/>
        <n v="0.632405323197637"/>
        <n v="1.284329329210016"/>
        <n v="1.6629917758160084"/>
        <n v="0.6805514074740003"/>
        <n v="0.39441467467587205"/>
        <n v="0.04018270177212223"/>
        <n v="-0.1716542599974123"/>
        <n v="0.0"/>
        <n v="0.17984684967910664"/>
        <n v="0.12679007840717954"/>
        <n v="-0.13303205149799419"/>
        <n v="0.19662215236067265"/>
        <n v="0.1174271187709567"/>
        <n v="0.4345973764479943"/>
        <n v="0.4935059974925604"/>
        <n v="1.1906563670729593"/>
        <n v="1.6057475776121566"/>
        <n v="2.3863843372822062"/>
        <n v="2.9961470835911967"/>
        <n v="3.249727240405556"/>
        <n v="4.282383663617261"/>
        <n v="5.594758505961114"/>
        <n v="6.592693953855161"/>
        <n v="7.229375209118289"/>
        <n v="6.720264278898691"/>
        <n v="6.337163180449922"/>
        <n v="5.492936319917193"/>
        <n v="4.770037811337182"/>
        <n v="4.333489818298309"/>
        <n v="4.04245782293906"/>
        <n v="3.6433616684450767"/>
        <n v="3.7128036190803924"/>
        <n v="3.339065480267846"/>
        <n v="3.5852332940368616"/>
        <n v="3.6449221617177803"/>
        <n v="4.02529239693932"/>
        <n v="3.360522262767522"/>
        <n v="3.6519443814449466"/>
        <n v="3.3698852224037448"/>
        <n v="3.550122195401028"/>
        <n v="3.5001864106745066"/>
        <n v="3.149465547634341"/>
        <n v="3.9847195718490216"/>
        <n v="4.032704739984661"/>
        <n v="4.6986452441109865"/>
        <n v="6.251726173769392"/>
        <n v="6.067718008696409"/>
        <n v="7.372030302464624"/>
        <n v="7.462733973940528"/>
        <n v="6.157121269111727"/>
        <n v="5.1158171123471226"/>
        <n v="3.834587114904314"/>
        <n v="3.10245568779414"/>
        <n v="2.451274849205472"/>
        <n v="2.4382707385996065"/>
        <n v="1.8986001484562263"/>
        <n v="2.3465917588282617"/>
        <n v="3.240364280769333"/>
        <n v="4.20669973989113"/>
        <n v="5.719207844459238"/>
        <n v="8.163330432831483"/>
        <n v="8.801572181367316"/>
        <n v="8.828490690321457"/>
        <n v="8.876865981775273"/>
        <n v="9.01145852654597"/>
        <n v="8.854238829321067"/>
        <n v="9.39768061154015"/>
        <n v="10.303156833026499"/>
        <n v="10.803294926928048"/>
        <n v="11.579250206779989"/>
        <n v="11.511368749417374"/>
        <n v="11.017082505288462"/>
        <n v="9.593132393946293"/>
      </sharedItems>
    </cacheField>
    <cacheField name="Val Acumulativo del Exceso de Mortalidad" numFmtId="166">
      <sharedItems containsSemiMixedTypes="0" containsString="0" containsNumber="1">
        <n v="8.586782363553557"/>
        <n v="17.58632190771302"/>
        <n v="26.51779362171677"/>
        <n v="35.783207134040865"/>
        <n v="45.80427591873275"/>
        <n v="57.408561489790884"/>
        <n v="70.37497134625835"/>
        <n v="84.69889939436521"/>
        <n v="100.26672865445306"/>
        <n v="116.51907462757302"/>
        <n v="132.70386455873393"/>
        <n v="149.54630232260232"/>
        <n v="166.8357870762528"/>
        <n v="184.30874789840576"/>
        <n v="201.57596986550158"/>
        <n v="219.48190350202847"/>
        <n v="238.10357293158373"/>
        <n v="256.7175655381891"/>
        <n v="274.7775474219105"/>
        <n v="292.10848701949044"/>
        <n v="308.7408357286301"/>
        <n v="324.5256631841016"/>
        <n v="339.5205455580291"/>
        <n v="353.8664804985923"/>
        <n v="367.678108561843"/>
        <n v="380.9298403379481"/>
        <n v="393.68104325772026"/>
        <n v="406.53511560502096"/>
        <n v="419.07008801170446"/>
        <n v="431.81259053213336"/>
        <n v="444.57121438075706"/>
        <n v="457.8966436571812"/>
        <n v="471.74972656436125"/>
        <n v="486.5148160379886"/>
        <n v="501.54910610305893"/>
        <n v="517.0616622379075"/>
        <n v="532.7359434429005"/>
        <n v="549.1748362137029"/>
        <n v="567.011934337779"/>
        <n v="585.7438941237144"/>
        <n v="606.7870894057643"/>
        <n v="630.316551747186"/>
        <n v="656.6150441266342"/>
        <n v="688.4072629295995"/>
        <n v="721.1279934683544"/>
        <n v="747.6552551717093"/>
        <n v="770.468469931906"/>
        <n v="789.4918291223145"/>
        <n v="807.339290957373"/>
        <n v="824.1075834062503"/>
        <n v="838.2395908806099"/>
        <n v="851.8513656530649"/>
        <n v="864.5222178259615"/>
        <n v="876.6510862985957"/>
        <n v="888.1793713224499"/>
        <n v="900.0518339085577"/>
        <n v="911.5412230294658"/>
        <n v="922.3637521301265"/>
        <n v="932.7727563678864"/>
        <n v="942.9094892850233"/>
        <n v="952.7133039802331"/>
        <n v="962.1020584479522"/>
        <n v="971.5427594176322"/>
        <n v="980.6464478598118"/>
        <n v="989.826648637392"/>
        <n v="999.0877119500445"/>
        <n v="1008.4063514348212"/>
        <n v="1017.8923456599056"/>
        <n v="1028.0823045494951"/>
        <n v="1038.999514466538"/>
        <n v="1051.39220975455"/>
        <n v="1065.6045679757851"/>
        <n v="1081.9083486626694"/>
        <n v="1099.7735951375619"/>
        <n v="1118.7212736483893"/>
        <n v="1136.8275723639085"/>
        <n v="1154.4092881778515"/>
        <n v="1170.4210936985414"/>
        <n v="1185.220472981345"/>
        <n v="1198.5720034557987"/>
        <n v="1210.4933418146875"/>
        <n v="1220.792823378362"/>
        <n v="1.201060230422706"/>
        <n v="2.452081368932879"/>
        <n v="3.0186380666447543"/>
        <n v="3.588192418841878"/>
        <n v="4.853202611616542"/>
        <n v="6.704753865338068"/>
        <n v="10.062126888815847"/>
        <n v="16.00147964225392"/>
        <n v="24.29998647558218"/>
        <n v="34.91168335336016"/>
        <n v="46.85134116810301"/>
        <n v="59.78022496297771"/>
        <n v="73.28166076453479"/>
        <n v="86.80707780197385"/>
        <n v="100.52134707198353"/>
        <n v="113.62009795435561"/>
        <n v="125.48681284329076"/>
        <n v="137.4684378208271"/>
        <n v="150.51223170430296"/>
        <n v="164.1915283386514"/>
        <n v="177.86882653667635"/>
        <n v="192.06371974248748"/>
        <n v="206.72125095718854"/>
        <n v="220.45650380859496"/>
        <n v="232.46211002201326"/>
        <n v="242.60817123641604"/>
        <n v="250.28816202762147"/>
        <n v="256.58323644664233"/>
        <n v="261.59431552781524"/>
        <n v="265.3883468879775"/>
        <n v="268.63580591366286"/>
        <n v="271.49956516523645"/>
        <n v="273.8017638099069"/>
        <n v="276.12594525413584"/>
        <n v="277.89156374594694"/>
        <n v="279.9689383042238"/>
        <n v="282.344079874702"/>
        <n v="284.3595029069504"/>
        <n v="286.08615189045327"/>
        <n v="288.21848344762634"/>
        <n v="290.76449132376365"/>
        <n v="293.91302775143583"/>
        <n v="297.19246175829716"/>
        <n v="301.21831173198524"/>
        <n v="307.00528371575655"/>
        <n v="314.75871704185056"/>
        <n v="325.76985137978784"/>
        <n v="339.7321765584518"/>
        <n v="354.50686610261795"/>
        <n v="371.37991378645773"/>
        <n v="388.24172026597785"/>
        <n v="404.0003898949267"/>
        <n v="419.8969516301969"/>
        <n v="435.9963546523023"/>
        <n v="452.1097467286721"/>
        <n v="468.81867282944455"/>
        <n v="486.6247404718178"/>
        <n v="506.1094946259299"/>
        <n v="525.6831791964378"/>
        <n v="544.4784728189428"/>
        <n v="561.8508797791168"/>
        <n v="577.40071281226"/>
        <n v="591.2558718430764"/>
        <n v="603.4533279435506"/>
        <n v="614.2298958180172"/>
        <n v="623.945294004706"/>
        <n v="631.7122167759836"/>
        <n v="638.2560965172801"/>
        <n v="643.65387302705"/>
        <n v="648.4970834570491"/>
        <n v="652.5708959025012"/>
        <n v="656.1421016125934"/>
        <n v="659.2906380402655"/>
        <n v="662.1344129286042"/>
        <n v="664.7703504392989"/>
        <n v="667.4132824771259"/>
        <n v="669.8144037198095"/>
        <n v="672.7640957332936"/>
        <n v="675.1312435584778"/>
        <n v="677.286557133371"/>
        <n v="679.4298800903234"/>
        <n v="681.6231639553632"/>
        <n v="683.5946213884947"/>
        <n v="685.9907465403696"/>
        <n v="687.9791906822508"/>
        <n v="689.7717880644291"/>
        <n v="691.4754550302117"/>
        <n v="693.3609797014327"/>
        <n v="1.051406380954096"/>
        <n v="1.9076259337607735"/>
        <n v="2.919994949085386"/>
        <n v="3.2244864009953593"/>
        <n v="4.150973211935107"/>
        <n v="4.726123732209501"/>
        <n v="5.2661406234173604"/>
        <n v="7.277866198856757"/>
        <n v="9.363762768992173"/>
        <n v="13.301331715486102"/>
        <n v="19.47444046702847"/>
        <n v="27.74125326183215"/>
        <n v="35.90136392391524"/>
        <n v="42.70167301657131"/>
        <n v="48.3139449485701"/>
        <n v="51.85333276564329"/>
        <n v="55.00885315402656"/>
        <n v="57.03489243019677"/>
        <n v="58.74342779924718"/>
        <n v="60.35176726318191"/>
        <n v="61.591854244678515"/>
        <n v="62.55998091228971"/>
        <n v="64.50143922959603"/>
        <n v="66.18785342478972"/>
        <n v="67.1338589185442"/>
        <n v="68.43900817608994"/>
        <n v="69.41364107130606"/>
        <n v="70.67064424457544"/>
        <n v="72.07989314379981"/>
        <n v="74.11243864757493"/>
        <n v="75.80796156141551"/>
        <n v="77.6088853624557"/>
        <n v="79.30570952181725"/>
        <n v="80.82816678136712"/>
        <n v="81.98887778608376"/>
        <n v="83.24718220487412"/>
        <n v="84.84641295016198"/>
        <n v="86.53152589983469"/>
        <n v="88.07740557876225"/>
        <n v="89.48925696902859"/>
        <n v="91.98504587827358"/>
        <n v="94.19456077290236"/>
        <n v="96.68150121260467"/>
        <n v="99.55673331576826"/>
        <n v="103.59059443081492"/>
        <n v="106.90200403261193"/>
        <n v="110.58296736236805"/>
        <n v="113.90374593191613"/>
        <n v="117.30572222197354"/>
        <n v="121.06267829015506"/>
        <n v="125.5295939145848"/>
        <n v="129.94133672892485"/>
        <n v="133.73160468244353"/>
        <n v="138.59826293091916"/>
        <n v="143.7590026671369"/>
        <n v="148.76879792292067"/>
        <n v="153.69010848327758"/>
        <n v="157.61986995664563"/>
        <n v="161.79166309691647"/>
        <n v="165.70450837851172"/>
        <n v="169.92314635753792"/>
        <n v="174.60112400547106"/>
        <n v="179.3090303003868"/>
        <n v="183.50424586003533"/>
        <n v="187.77883739646379"/>
        <n v="191.75934744515015"/>
        <n v="195.75937617665124"/>
        <n v="200.36708656645132"/>
        <n v="204.16151850563713"/>
        <n v="207.70741255031524"/>
        <n v="210.00411089484987"/>
        <n v="211.95728042184504"/>
        <n v="213.49275013660474"/>
        <n v="215.30018016524983"/>
        <n v="217.18958866171684"/>
        <n v="217.88705626096362"/>
        <n v="218.80833808981944"/>
        <n v="219.74913860149"/>
        <n v="220.93977825318925"/>
        <n v="221.6697769904606"/>
        <n v="222.30218231365825"/>
        <n v="223.58651164286826"/>
        <n v="225.24950341868427"/>
        <n v="225.93005482615828"/>
        <n v="0.39441467467587205"/>
        <n v="0.4345973764479943"/>
        <n v="0.262943116450582"/>
        <n v="0.44278996612968863"/>
        <n v="0.5695800445368682"/>
        <n v="0.436547993038874"/>
        <n v="0.6331701453995466"/>
        <n v="0.7505972641705033"/>
        <n v="1.1851946406184977"/>
        <n v="1.678700638111058"/>
        <n v="2.8693570051840176"/>
        <n v="4.475104582796174"/>
        <n v="6.86148892007838"/>
        <n v="9.857636003669576"/>
        <n v="13.107363244075131"/>
        <n v="17.38974690769239"/>
        <n v="22.984505413653505"/>
        <n v="29.577199367508666"/>
        <n v="36.80657457662696"/>
        <n v="43.52683885552565"/>
        <n v="49.86400203597557"/>
        <n v="55.35693835589276"/>
        <n v="60.12697616722994"/>
        <n v="64.46046598552824"/>
        <n v="68.5029238084673"/>
        <n v="72.14628547691238"/>
        <n v="75.85908909599277"/>
        <n v="79.19815457626062"/>
        <n v="82.78338787029749"/>
        <n v="86.42831003201528"/>
        <n v="90.4536024289546"/>
        <n v="93.81412469172211"/>
        <n v="97.46606907316706"/>
        <n v="100.8359542955708"/>
        <n v="104.38607649097183"/>
        <n v="107.88626290164633"/>
        <n v="111.03572844928067"/>
        <n v="115.0204480211297"/>
        <n v="119.05315276111436"/>
        <n v="123.75179800522535"/>
        <n v="130.00352417899475"/>
        <n v="136.07124218769115"/>
        <n v="143.44327249015578"/>
        <n v="150.9060064640963"/>
        <n v="157.06312773320803"/>
        <n v="162.17894484555515"/>
        <n v="166.01353196045946"/>
        <n v="169.1159876482536"/>
        <n v="171.56726249745907"/>
        <n v="174.00553323605868"/>
        <n v="175.90413338451492"/>
        <n v="178.25072514334317"/>
        <n v="181.49108942411252"/>
        <n v="185.69778916400364"/>
        <n v="191.41699700846289"/>
        <n v="199.58032744129437"/>
        <n v="208.38189962266168"/>
        <n v="217.21039031298312"/>
        <n v="226.0872562947584"/>
        <n v="235.09871482130436"/>
        <n v="243.95295365062543"/>
        <n v="253.35063426216558"/>
        <n v="263.6537910951921"/>
        <n v="274.45708602212017"/>
        <n v="286.03633622890015"/>
        <n v="297.54770497831754"/>
        <n v="308.564787483606"/>
        <n v="318.1579198775523"/>
      </sharedItems>
    </cacheField>
    <cacheField name=" " numFmtId="0">
      <sharedItems containsString="0" containsBlank="1">
        <m/>
      </sharedItems>
    </cacheField>
    <cacheField name="Calculated Field 1" formula="'Tasa de Exceso de Mortalidad'-'Tasa de Muertes por COVID'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3" sheet="México COVID"/>
  </cacheSource>
  <cacheFields>
    <cacheField name="País" numFmtId="0">
      <sharedItems>
        <s v="Mexico"/>
      </sharedItems>
    </cacheField>
    <cacheField name="Fecha de Inicio" numFmtId="164">
      <sharedItems containsSemiMixedTypes="0" containsDate="1" containsString="0">
        <d v="2020-03-16T00:00:00Z"/>
        <d v="2020-03-23T00:00:00Z"/>
        <d v="2020-03-30T00:00:00Z"/>
        <d v="2020-04-06T00:00:00Z"/>
        <d v="2020-04-13T00:00:00Z"/>
        <d v="2020-04-20T00:00:00Z"/>
        <d v="2020-04-27T00:00:00Z"/>
        <d v="2020-05-04T00:00:00Z"/>
        <d v="2020-05-11T00:00:00Z"/>
        <d v="2020-05-18T00:00:00Z"/>
        <d v="2020-05-25T00:00:00Z"/>
        <d v="2020-06-01T00:00:00Z"/>
        <d v="2020-06-08T00:00:00Z"/>
        <d v="2020-06-15T00:00:00Z"/>
        <d v="2020-06-22T00:00:00Z"/>
        <d v="2020-06-29T00:00:00Z"/>
        <d v="2020-07-06T00:00:00Z"/>
        <d v="2020-07-13T00:00:00Z"/>
        <d v="2020-07-20T00:00:00Z"/>
        <d v="2020-07-27T00:00:00Z"/>
        <d v="2020-08-03T00:00:00Z"/>
        <d v="2020-08-10T00:00:00Z"/>
        <d v="2020-08-17T00:00:00Z"/>
        <d v="2020-08-24T00:00:00Z"/>
        <d v="2020-08-31T00:00:00Z"/>
        <d v="2020-09-07T00:00:00Z"/>
        <d v="2020-09-14T00:00:00Z"/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0-12-14T00:00:00Z"/>
        <d v="2020-12-21T00:00:00Z"/>
        <d v="2020-12-28T00:00:00Z"/>
        <d v="2021-01-04T00:00:00Z"/>
        <d v="2021-01-11T00:00:00Z"/>
        <d v="2021-01-18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5-10T00:00:00Z"/>
        <d v="2021-05-17T00:00:00Z"/>
        <d v="2021-05-24T00:00:00Z"/>
        <d v="2021-05-31T00:00:00Z"/>
        <d v="2021-06-07T00:00:00Z"/>
        <d v="2021-06-14T00:00:00Z"/>
        <d v="2021-06-21T00:00:00Z"/>
        <d v="2021-06-28T00:00:00Z"/>
        <d v="2021-07-05T00:00:00Z"/>
        <d v="2021-07-12T00:00:00Z"/>
        <d v="2021-07-19T00:00:00Z"/>
        <d v="2021-07-26T00:00:00Z"/>
        <d v="2021-08-02T00:00:00Z"/>
        <d v="2021-08-09T00:00:00Z"/>
        <d v="2021-08-16T00:00:00Z"/>
        <d v="2021-08-23T00:00:00Z"/>
        <d v="2021-08-30T00:00:00Z"/>
        <d v="2021-09-06T00:00:00Z"/>
        <d v="2021-09-13T00:00:00Z"/>
        <d v="2021-09-20T00:00:00Z"/>
        <d v="2021-09-27T00:00:00Z"/>
        <d v="2021-10-04T00:00:00Z"/>
      </sharedItems>
    </cacheField>
    <cacheField name="Fecha Fin" numFmtId="165">
      <sharedItems containsSemiMixedTypes="0" containsDate="1" containsString="0"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</sharedItems>
    </cacheField>
    <cacheField name="Semana" numFmtId="0">
      <sharedItems containsSemiMixedTypes="0" containsString="0" containsNumber="1" containsInteger="1"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1.0"/>
        <n v="2.0"/>
        <n v="3.0"/>
        <n v="4.0"/>
        <n v="5.0"/>
        <n v="6.0"/>
        <n v="7.0"/>
        <n v="8.0"/>
        <n v="9.0"/>
        <n v="10.0"/>
        <n v="11.0"/>
      </sharedItems>
    </cacheField>
    <cacheField name="Total de Muertes Reportadas" numFmtId="0">
      <sharedItems containsSemiMixedTypes="0" containsString="0" containsNumber="1" containsInteger="1">
        <n v="13187.0"/>
        <n v="13698.0"/>
        <n v="13533.0"/>
        <n v="14030.0"/>
        <n v="14993.0"/>
        <n v="17068.0"/>
        <n v="18811.0"/>
        <n v="20622.0"/>
        <n v="22313.0"/>
        <n v="23231.0"/>
        <n v="23167.0"/>
        <n v="24121.0"/>
        <n v="24719.0"/>
        <n v="24945.0"/>
        <n v="24718.0"/>
        <n v="25495.0"/>
        <n v="26446.0"/>
        <n v="25733.0"/>
        <n v="24795.0"/>
        <n v="23817.0"/>
        <n v="22666.0"/>
        <n v="21725.0"/>
        <n v="20837.0"/>
        <n v="20156.0"/>
        <n v="19490.0"/>
        <n v="18805.0"/>
        <n v="18933.0"/>
        <n v="18484.0"/>
        <n v="18834.0"/>
        <n v="18815.0"/>
        <n v="19567.0"/>
        <n v="20224.0"/>
        <n v="21326.0"/>
        <n v="21619.0"/>
        <n v="22294.0"/>
        <n v="22534.0"/>
        <n v="23495.0"/>
        <n v="25342.0"/>
        <n v="26560.0"/>
        <n v="29609.0"/>
        <n v="32637.0"/>
        <n v="36287.0"/>
        <n v="43427.0"/>
        <n v="44667.0"/>
        <n v="36617.0"/>
        <n v="31825.0"/>
        <n v="26858.0"/>
        <n v="25330.0"/>
        <n v="24010.0"/>
        <n v="20488.0"/>
        <n v="19752.0"/>
        <n v="18508.0"/>
        <n v="17801.0"/>
        <n v="16992.0"/>
        <n v="17364.0"/>
        <n v="16927.0"/>
        <n v="16037.0"/>
        <n v="15511.0"/>
        <n v="15125.0"/>
        <n v="14734.0"/>
        <n v="14264.0"/>
        <n v="14358.0"/>
        <n v="13943.0"/>
        <n v="14140.0"/>
        <n v="14261.0"/>
        <n v="14323.0"/>
        <n v="14582.0"/>
        <n v="15444.0"/>
        <n v="16410.0"/>
        <n v="18342.0"/>
        <n v="20721.0"/>
        <n v="23457.0"/>
        <n v="25423.0"/>
        <n v="26786.0"/>
        <n v="25778.0"/>
        <n v="25052.0"/>
        <n v="23022.0"/>
        <n v="21506.0"/>
        <n v="19587.0"/>
        <n v="17718.0"/>
        <n v="15572.0"/>
      </sharedItems>
    </cacheField>
    <cacheField name="Total de Muertes por COVID" numFmtId="0">
      <sharedItems containsSemiMixedTypes="0" containsString="0" containsNumber="1" containsInteger="1">
        <n v="3.0"/>
        <n v="17.0"/>
        <n v="74.0"/>
        <n v="202.0"/>
        <n v="390.0"/>
        <n v="665.0"/>
        <n v="803.0"/>
        <n v="1311.0"/>
        <n v="1712.0"/>
        <n v="2217.0"/>
        <n v="2536.0"/>
        <n v="3769.0"/>
        <n v="3442.0"/>
        <n v="4684.0"/>
        <n v="4823.0"/>
        <n v="3991.0"/>
        <n v="4367.0"/>
        <n v="4178.0"/>
        <n v="4496.0"/>
        <n v="4066.0"/>
        <n v="4552.0"/>
        <n v="4459.0"/>
        <n v="3723.0"/>
        <n v="3678.0"/>
        <n v="3400.0"/>
        <n v="3263.0"/>
        <n v="2672.0"/>
        <n v="2937.0"/>
        <n v="2658.0"/>
        <n v="4693.0"/>
        <n v="2386.0"/>
        <n v="2757.0"/>
        <n v="2971.0"/>
        <n v="3132.0"/>
        <n v="3515.0"/>
        <n v="3134.0"/>
        <n v="3979.0"/>
        <n v="4062.0"/>
        <n v="4236.0"/>
        <n v="4249.0"/>
        <n v="4224.0"/>
        <n v="4787.0"/>
        <n v="6493.0"/>
        <n v="6998.0"/>
        <n v="8910.0"/>
        <n v="8922.0"/>
        <n v="7664.0"/>
        <n v="8007.0"/>
        <n v="5900.0"/>
        <n v="5608.0"/>
        <n v="4889.0"/>
        <n v="4106.0"/>
        <n v="3326.0"/>
        <n v="3587.0"/>
        <n v="2524.0"/>
        <n v="5191.0"/>
        <n v="3001.0"/>
        <n v="2608.0"/>
        <n v="2286.0"/>
        <n v="1752.0"/>
        <n v="1452.0"/>
        <n v="1210.0"/>
        <n v="1860.0"/>
        <n v="1025.0"/>
        <n v="1346.0"/>
        <n v="1037.0"/>
        <n v="1377.0"/>
        <n v="1058.0"/>
        <n v="1347.0"/>
        <n v="1362.0"/>
        <n v="2093.0"/>
        <n v="2610.0"/>
        <n v="3386.0"/>
        <n v="3747.0"/>
        <n v="4988.0"/>
        <n v="5010.0"/>
        <n v="4975.0"/>
        <n v="4608.0"/>
        <n v="3755.0"/>
        <n v="3947.0"/>
        <n v="3142.0"/>
        <n v="3494.0"/>
      </sharedItems>
    </cacheField>
    <cacheField name="Prónostico (Promedio Semanal)" numFmtId="1">
      <sharedItems containsSemiMixedTypes="0" containsString="0" containsNumber="1">
        <n v="2001.6666666666667"/>
        <n v="1975.0"/>
        <n v="1898.6666666666667"/>
        <n v="1960.6666666666667"/>
        <n v="1939.3333333333333"/>
        <n v="1952.0"/>
        <n v="1920.6666666666667"/>
        <n v="1963.3333333333333"/>
        <n v="2034.0"/>
        <n v="2060.3333333333335"/>
        <n v="2084.3333333333335"/>
        <n v="2181.6666666666665"/>
        <n v="2197.3333333333335"/>
        <n v="2184.3333333333335"/>
        <n v="2225.3333333333335"/>
        <n v="2170.3333333333335"/>
        <n v="2189.0"/>
        <n v="2199.0"/>
        <n v="2207.6666666666665"/>
        <n v="2219.3333333333335"/>
        <n v="2151.3333333333335"/>
        <n v="2104.3333333333335"/>
        <n v="2192.3333333333335"/>
        <n v="2149.6666666666665"/>
        <n v="2164.6666666666665"/>
        <n v="2228.0"/>
        <n v="2195.0"/>
        <n v="2155.6666666666665"/>
        <n v="2235.3333333333335"/>
        <n v="2195.3333333333335"/>
        <n v="2209.0"/>
        <n v="2178.6666666666665"/>
        <n v="2092.6666666666665"/>
        <n v="2035.0"/>
        <n v="2087.0"/>
        <n v="2116.3333333333335"/>
        <n v="2081.3333333333335"/>
        <n v="2107.0"/>
        <n v="2159.3333333333335"/>
        <n v="2197.6666666666665"/>
        <n v="1987.0"/>
        <n v="2030.0"/>
        <n v="2013.75"/>
        <n v="2044.25"/>
        <n v="2062.0"/>
        <n v="2108.0"/>
        <n v="2077.75"/>
        <n v="2081.5"/>
        <n v="2167.25"/>
        <n v="2079.3333333333335"/>
        <n v="2021.0"/>
        <n v="2002.6666666666667"/>
      </sharedItems>
    </cacheField>
    <cacheField name="Exceso de Mortalidad" numFmtId="1">
      <sharedItems containsSemiMixedTypes="0" containsString="0" containsNumber="1">
        <n v="11185.333333333334"/>
        <n v="11723.0"/>
        <n v="11634.333333333334"/>
        <n v="12069.333333333334"/>
        <n v="13053.666666666666"/>
        <n v="15116.0"/>
        <n v="16890.333333333332"/>
        <n v="18658.666666666668"/>
        <n v="20279.0"/>
        <n v="21170.666666666668"/>
        <n v="21082.666666666668"/>
        <n v="21939.333333333332"/>
        <n v="22521.666666666668"/>
        <n v="22760.666666666668"/>
        <n v="22492.666666666668"/>
        <n v="23324.666666666668"/>
        <n v="24257.0"/>
        <n v="24247.0"/>
        <n v="23525.333333333332"/>
        <n v="22575.666666666668"/>
        <n v="21665.666666666668"/>
        <n v="20561.666666666668"/>
        <n v="19532.666666666668"/>
        <n v="18687.333333333332"/>
        <n v="17991.333333333332"/>
        <n v="17262.0"/>
        <n v="16610.0"/>
        <n v="16744.0"/>
        <n v="16328.333333333334"/>
        <n v="16598.666666666668"/>
        <n v="16619.666666666668"/>
        <n v="17358.0"/>
        <n v="18045.333333333332"/>
        <n v="19233.333333333332"/>
        <n v="19584.0"/>
        <n v="20207.0"/>
        <n v="20417.666666666668"/>
        <n v="21413.666666666668"/>
        <n v="23235.0"/>
        <n v="24400.666666666668"/>
        <n v="27411.333333333332"/>
        <n v="30650.0"/>
        <n v="34257.0"/>
        <n v="41413.25"/>
        <n v="42622.75"/>
        <n v="34555.0"/>
        <n v="29717.0"/>
        <n v="24780.25"/>
        <n v="23248.5"/>
        <n v="21842.75"/>
        <n v="18408.666666666668"/>
        <n v="17731.0"/>
        <n v="16505.333333333332"/>
        <n v="15799.333333333334"/>
        <n v="15017.0"/>
        <n v="15465.333333333334"/>
        <n v="14966.333333333334"/>
        <n v="14097.666666666666"/>
        <n v="13559.0"/>
        <n v="13204.333333333334"/>
        <n v="12770.666666666666"/>
        <n v="12230.0"/>
        <n v="12297.666666666666"/>
        <n v="11858.666666666666"/>
        <n v="11958.333333333334"/>
        <n v="12063.666666666666"/>
        <n v="12138.666666666666"/>
        <n v="12356.666666666666"/>
        <n v="13273.666666666666"/>
        <n v="14221.0"/>
        <n v="16143.0"/>
        <n v="18513.333333333332"/>
        <n v="21237.666666666668"/>
        <n v="23271.666666666668"/>
        <n v="24681.666666666668"/>
        <n v="23585.666666666668"/>
        <n v="22902.333333333332"/>
        <n v="20857.333333333332"/>
        <n v="19278.0"/>
        <n v="17392.0"/>
        <n v="15529.0"/>
        <n v="13416.333333333334"/>
      </sharedItems>
    </cacheField>
    <cacheField name="Tasa de Muertes por COVID" numFmtId="166">
      <sharedItems containsSemiMixedTypes="0" containsString="0" containsNumber="1">
        <n v="0.002303046884967875"/>
        <n v="0.013050599014817959"/>
        <n v="0.056808489829207574"/>
        <n v="0.1550718235878369"/>
        <n v="0.2993960950458237"/>
        <n v="0.5105087261678789"/>
        <n v="0.6164488828764012"/>
        <n v="1.0064314887309613"/>
        <n v="1.3142720890216673"/>
        <n v="1.7019516479912593"/>
        <n v="1.9468423000928434"/>
        <n v="2.8933945698146397"/>
        <n v="2.6423624593531416"/>
        <n v="3.595823869729842"/>
        <n v="3.7025317087333534"/>
        <n v="3.063820039302263"/>
        <n v="3.3524685822182363"/>
        <n v="3.2073766284652603"/>
        <n v="3.451499598271855"/>
        <n v="3.1213962114264593"/>
        <n v="3.4944898067912553"/>
        <n v="3.423095353357251"/>
        <n v="2.8580811842451324"/>
        <n v="2.8235354809706146"/>
        <n v="2.6101198029635917"/>
        <n v="2.5049473285500583"/>
        <n v="2.051247092211387"/>
        <n v="2.2546829003835493"/>
        <n v="2.0404995400815373"/>
        <n v="3.6027330103847452"/>
        <n v="1.8316899558444497"/>
        <n v="2.116500087285477"/>
        <n v="2.2807840984131853"/>
        <n v="2.404380947906461"/>
        <n v="2.69840326688736"/>
        <n v="2.40591631249644"/>
        <n v="3.054607851762391"/>
        <n v="3.1183254822465023"/>
        <n v="3.2519022015746395"/>
        <n v="3.2618820714094996"/>
        <n v="3.242690014034768"/>
        <n v="3.674895146113739"/>
        <n v="4.984561141365471"/>
        <n v="5.3722407003350625"/>
        <n v="6.840049248354588"/>
        <n v="6.8492614358944595"/>
        <n v="5.883517108797931"/>
        <n v="6.146832135979258"/>
        <n v="4.52932554043682"/>
        <n v="4.305162310299948"/>
        <n v="3.7531987402026465"/>
        <n v="3.1521035032260314"/>
        <n v="2.553311313134384"/>
        <n v="2.753676392126589"/>
        <n v="1.937630112552972"/>
        <n v="3.9850387932894127"/>
        <n v="2.3038145672628643"/>
        <n v="2.0021154253320725"/>
        <n v="1.7549217263455206"/>
        <n v="1.344979380821239"/>
        <n v="1.1146746923244513"/>
        <n v="0.9288955769370428"/>
        <n v="1.4278890686800823"/>
        <n v="0.7868743523640239"/>
        <n v="1.0333003690555864"/>
        <n v="0.7960865399038954"/>
        <n v="1.0570985202002545"/>
        <n v="0.8122078680986705"/>
        <n v="1.0340680513505758"/>
        <n v="1.0455832857754153"/>
        <n v="1.6067590434125874"/>
        <n v="2.003650789922051"/>
        <n v="2.599372250833741"/>
        <n v="2.8765055593248756"/>
        <n v="3.8291992874065865"/>
        <n v="3.8460882978963506"/>
        <n v="3.8192194175717256"/>
        <n v="3.537480015310656"/>
        <n v="2.88264701768479"/>
        <n v="3.030042018322734"/>
        <n v="2.412057770856354"/>
        <n v="2.6822819386925847"/>
      </sharedItems>
    </cacheField>
    <cacheField name="Val Acumulativo de Muertes por Covid" numFmtId="166">
      <sharedItems containsSemiMixedTypes="0" containsString="0" containsNumber="1">
        <n v="0.002303046884967875"/>
        <n v="0.015353645899785833"/>
        <n v="0.07216213572899341"/>
        <n v="0.2272339593168303"/>
        <n v="0.526630054362654"/>
        <n v="1.0371387805305328"/>
        <n v="1.653587663406934"/>
        <n v="2.6600191521378953"/>
        <n v="3.9742912411595626"/>
        <n v="5.676242889150822"/>
        <n v="7.623085189243665"/>
        <n v="10.516479759058305"/>
        <n v="13.158842218411447"/>
        <n v="16.75466608814129"/>
        <n v="20.45719779687464"/>
        <n v="23.521017836176906"/>
        <n v="26.873486418395142"/>
        <n v="30.0808630468604"/>
        <n v="33.53236264513225"/>
        <n v="36.65375885655871"/>
        <n v="40.14824866334997"/>
        <n v="43.571344016707215"/>
        <n v="46.429425200952345"/>
        <n v="49.25296068192296"/>
        <n v="51.86308048488655"/>
        <n v="54.36802781343661"/>
        <n v="56.419274905647995"/>
        <n v="58.673957806031545"/>
        <n v="60.71445734611308"/>
        <n v="64.31719035649782"/>
        <n v="66.14888031234227"/>
        <n v="68.26538039962774"/>
        <n v="70.54616449804092"/>
        <n v="72.95054544594738"/>
        <n v="75.64894871283474"/>
        <n v="78.05486502533118"/>
        <n v="81.10947287709357"/>
        <n v="84.22779835934007"/>
        <n v="87.47970056091471"/>
        <n v="90.74158263232421"/>
        <n v="93.98427264635897"/>
        <n v="97.65916779247272"/>
        <n v="102.64372893383819"/>
        <n v="108.01596963417325"/>
        <n v="114.85601888252783"/>
        <n v="121.7052803184223"/>
        <n v="127.58879742722023"/>
        <n v="133.7356295631995"/>
        <n v="138.2649551036363"/>
        <n v="142.57011741393626"/>
        <n v="146.3233161541389"/>
        <n v="149.47541965736494"/>
        <n v="152.0287309704993"/>
        <n v="154.7824073626259"/>
        <n v="156.72003747517886"/>
        <n v="160.70507626846828"/>
        <n v="163.00889083573114"/>
        <n v="165.01100626106322"/>
        <n v="166.76592798740873"/>
        <n v="168.11090736822996"/>
        <n v="169.22558206055442"/>
        <n v="170.15447763749145"/>
        <n v="171.58236670617154"/>
        <n v="172.36924105853558"/>
        <n v="173.40254142759116"/>
        <n v="174.19862796749504"/>
        <n v="175.25572648769528"/>
        <n v="176.06793435579397"/>
        <n v="177.10200240714454"/>
        <n v="178.14758569291996"/>
        <n v="179.75434473633254"/>
        <n v="181.7579955262546"/>
        <n v="184.35736777708834"/>
        <n v="187.2338733364132"/>
        <n v="191.0630726238198"/>
        <n v="194.90916092171616"/>
        <n v="198.7283803392879"/>
        <n v="202.26586035459854"/>
        <n v="205.14850737228335"/>
        <n v="208.1785493906061"/>
        <n v="210.59060716146246"/>
        <n v="213.27288910015506"/>
      </sharedItems>
    </cacheField>
    <cacheField name="Tasa de Exceso de Mortalidad" numFmtId="166">
      <sharedItems containsSemiMixedTypes="0" containsString="0" containsNumber="1">
        <n v="8.586782363553557"/>
        <n v="8.999539544159465"/>
        <n v="8.931471714003749"/>
        <n v="9.265413512324091"/>
        <n v="10.021068784691883"/>
        <n v="11.604285571058131"/>
        <n v="12.966409856467463"/>
        <n v="14.323928048106863"/>
        <n v="15.567829260087844"/>
        <n v="16.252345973119965"/>
        <n v="16.184789931160907"/>
        <n v="16.842437763868396"/>
        <n v="17.2894847536505"/>
        <n v="17.472960822152935"/>
        <n v="17.267221967095807"/>
        <n v="17.905933636526896"/>
        <n v="18.621669429555247"/>
        <n v="18.613992606605354"/>
        <n v="18.059981883721413"/>
        <n v="17.330939597579917"/>
        <n v="16.632348709139663"/>
        <n v="15.784827455471486"/>
        <n v="14.994882373927505"/>
        <n v="14.345934940563222"/>
        <n v="13.811628063250675"/>
        <n v="13.251731776105151"/>
        <n v="12.751202919772135"/>
        <n v="12.854072347300699"/>
        <n v="12.534972406683483"/>
        <n v="12.742502520428923"/>
        <n v="12.758623848623698"/>
        <n v="13.325429276424122"/>
        <n v="13.853082907180095"/>
        <n v="14.765089473627373"/>
        <n v="15.034290065070287"/>
        <n v="15.512556134848616"/>
        <n v="15.674281204993028"/>
        <n v="16.43889277080236"/>
        <n v="17.83709812407619"/>
        <n v="18.731959785935377"/>
        <n v="21.0431952820498"/>
        <n v="23.529462341421787"/>
        <n v="26.298492379448163"/>
        <n v="31.792218802965284"/>
        <n v="32.72073053875483"/>
        <n v="26.527261703354974"/>
        <n v="22.81321476019678"/>
        <n v="19.023359190408392"/>
        <n v="17.847461835058546"/>
        <n v="16.768292448877347"/>
        <n v="14.132007474359542"/>
        <n v="13.61177477245513"/>
        <n v="12.670852172896586"/>
        <n v="12.12886847263415"/>
        <n v="11.528285023854192"/>
        <n v="11.872462586107725"/>
        <n v="11.489389120908069"/>
        <n v="10.822529100660702"/>
        <n v="10.409004237759806"/>
        <n v="10.136732917136937"/>
        <n v="9.803814695209914"/>
        <n v="9.388754467719036"/>
        <n v="9.440700969679979"/>
        <n v="9.103688442179678"/>
        <n v="9.180200777580279"/>
        <n v="9.261063312652484"/>
        <n v="9.31863948477668"/>
        <n v="9.485994225084347"/>
        <n v="10.189958889589526"/>
        <n v="10.917209917042717"/>
        <n v="12.392695288012133"/>
        <n v="14.212358221235084"/>
        <n v="16.303780686884245"/>
        <n v="17.865246474892466"/>
        <n v="18.947678510827366"/>
        <n v="18.106298715519102"/>
        <n v="17.581715813943084"/>
        <n v="16.011805520689986"/>
        <n v="14.799379282803564"/>
        <n v="13.351530474453758"/>
        <n v="11.92133835888871"/>
        <n v="10.299481563674666"/>
      </sharedItems>
    </cacheField>
    <cacheField name="Val Acumulativo del Exceso de Mortalidad" numFmtId="166">
      <sharedItems containsSemiMixedTypes="0" containsString="0" containsNumber="1">
        <n v="8.586782363553557"/>
        <n v="17.58632190771302"/>
        <n v="26.51779362171677"/>
        <n v="35.783207134040865"/>
        <n v="45.80427591873275"/>
        <n v="57.408561489790884"/>
        <n v="70.37497134625835"/>
        <n v="84.69889939436521"/>
        <n v="100.26672865445306"/>
        <n v="116.51907462757302"/>
        <n v="132.70386455873393"/>
        <n v="149.54630232260232"/>
        <n v="166.8357870762528"/>
        <n v="184.30874789840576"/>
        <n v="201.57596986550158"/>
        <n v="219.48190350202847"/>
        <n v="238.10357293158373"/>
        <n v="256.7175655381891"/>
        <n v="274.7775474219105"/>
        <n v="292.10848701949044"/>
        <n v="308.7408357286301"/>
        <n v="324.5256631841016"/>
        <n v="339.5205455580291"/>
        <n v="353.8664804985923"/>
        <n v="367.678108561843"/>
        <n v="380.9298403379481"/>
        <n v="393.68104325772026"/>
        <n v="406.53511560502096"/>
        <n v="419.07008801170446"/>
        <n v="431.81259053213336"/>
        <n v="444.57121438075706"/>
        <n v="457.8966436571812"/>
        <n v="471.74972656436125"/>
        <n v="486.5148160379886"/>
        <n v="501.54910610305893"/>
        <n v="517.0616622379075"/>
        <n v="532.7359434429005"/>
        <n v="549.1748362137029"/>
        <n v="567.011934337779"/>
        <n v="585.7438941237144"/>
        <n v="606.7870894057643"/>
        <n v="630.316551747186"/>
        <n v="656.6150441266342"/>
        <n v="688.4072629295995"/>
        <n v="721.1279934683544"/>
        <n v="747.6552551717093"/>
        <n v="770.468469931906"/>
        <n v="789.4918291223145"/>
        <n v="807.339290957373"/>
        <n v="824.1075834062503"/>
        <n v="838.2395908806099"/>
        <n v="851.8513656530649"/>
        <n v="864.5222178259615"/>
        <n v="876.6510862985957"/>
        <n v="888.1793713224499"/>
        <n v="900.0518339085577"/>
        <n v="911.5412230294658"/>
        <n v="922.3637521301265"/>
        <n v="932.7727563678864"/>
        <n v="942.9094892850233"/>
        <n v="952.7133039802331"/>
        <n v="962.1020584479522"/>
        <n v="971.5427594176322"/>
        <n v="980.6464478598118"/>
        <n v="989.826648637392"/>
        <n v="999.0877119500445"/>
        <n v="1008.4063514348212"/>
        <n v="1017.8923456599056"/>
        <n v="1028.0823045494951"/>
        <n v="1038.999514466538"/>
        <n v="1051.39220975455"/>
        <n v="1065.6045679757851"/>
        <n v="1081.9083486626694"/>
        <n v="1099.7735951375619"/>
        <n v="1118.7212736483893"/>
        <n v="1136.8275723639085"/>
        <n v="1154.4092881778515"/>
        <n v="1170.4210936985414"/>
        <n v="1185.220472981345"/>
        <n v="1198.5720034557987"/>
        <n v="1210.4933418146875"/>
        <n v="1220.79282337836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" sheet="Perú COVID"/>
  </cacheSource>
  <cacheFields>
    <cacheField name="País" numFmtId="0">
      <sharedItems>
        <s v="Peru"/>
      </sharedItems>
    </cacheField>
    <cacheField name="Fecha de Inicio" numFmtId="164">
      <sharedItems containsSemiMixedTypes="0" containsDate="1" containsString="0">
        <d v="2020-03-02T00:00:00Z"/>
        <d v="2020-03-09T00:00:00Z"/>
        <d v="2020-03-16T00:00:00Z"/>
        <d v="2020-03-23T00:00:00Z"/>
        <d v="2020-03-30T00:00:00Z"/>
        <d v="2020-04-06T00:00:00Z"/>
        <d v="2020-04-13T00:00:00Z"/>
        <d v="2020-04-20T00:00:00Z"/>
        <d v="2020-04-27T00:00:00Z"/>
        <d v="2020-05-04T00:00:00Z"/>
        <d v="2020-05-11T00:00:00Z"/>
        <d v="2020-05-18T00:00:00Z"/>
        <d v="2020-05-25T00:00:00Z"/>
        <d v="2020-06-01T00:00:00Z"/>
        <d v="2020-06-08T00:00:00Z"/>
        <d v="2020-06-15T00:00:00Z"/>
        <d v="2020-06-22T00:00:00Z"/>
        <d v="2020-06-29T00:00:00Z"/>
        <d v="2020-07-06T00:00:00Z"/>
        <d v="2020-07-13T00:00:00Z"/>
        <d v="2020-07-20T00:00:00Z"/>
        <d v="2020-07-27T00:00:00Z"/>
        <d v="2020-08-03T00:00:00Z"/>
        <d v="2020-08-10T00:00:00Z"/>
        <d v="2020-08-17T00:00:00Z"/>
        <d v="2020-08-24T00:00:00Z"/>
        <d v="2020-08-31T00:00:00Z"/>
        <d v="2020-09-07T00:00:00Z"/>
        <d v="2020-09-14T00:00:00Z"/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0-12-14T00:00:00Z"/>
        <d v="2020-12-21T00:00:00Z"/>
        <d v="2020-12-28T00:00:00Z"/>
        <d v="2021-01-04T00:00:00Z"/>
        <d v="2021-01-11T00:00:00Z"/>
        <d v="2021-01-18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5-10T00:00:00Z"/>
        <d v="2021-05-17T00:00:00Z"/>
        <d v="2021-05-24T00:00:00Z"/>
        <d v="2021-05-31T00:00:00Z"/>
        <d v="2021-06-07T00:00:00Z"/>
        <d v="2021-06-14T00:00:00Z"/>
        <d v="2021-06-21T00:00:00Z"/>
        <d v="2021-06-28T00:00:00Z"/>
        <d v="2021-07-05T00:00:00Z"/>
        <d v="2021-07-12T00:00:00Z"/>
        <d v="2021-07-19T00:00:00Z"/>
        <d v="2021-07-26T00:00:00Z"/>
        <d v="2021-08-02T00:00:00Z"/>
        <d v="2021-08-09T00:00:00Z"/>
        <d v="2021-08-16T00:00:00Z"/>
        <d v="2021-08-23T00:00:00Z"/>
        <d v="2021-08-30T00:00:00Z"/>
        <d v="2021-09-06T00:00:00Z"/>
        <d v="2021-09-13T00:00:00Z"/>
        <d v="2021-09-20T00:00:00Z"/>
        <d v="2021-09-27T00:00:00Z"/>
        <d v="2021-10-04T00:00:00Z"/>
        <d v="2021-10-11T00:00:00Z"/>
        <d v="2021-10-18T00:00:00Z"/>
        <d v="2021-10-25T00:00:00Z"/>
        <d v="2021-11-01T00:00:00Z"/>
      </sharedItems>
    </cacheField>
    <cacheField name="Fecha Fin" numFmtId="165">
      <sharedItems containsSemiMixedTypes="0" containsDate="1" containsString="0"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</sharedItems>
    </cacheField>
    <cacheField name="Semana" numFmtId="0">
      <sharedItems containsSemiMixedTypes="0" containsString="0" containsNumber="1" containsInteger="1"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1.0"/>
        <n v="2.0"/>
        <n v="3.0"/>
        <n v="4.0"/>
        <n v="5.0"/>
        <n v="6.0"/>
        <n v="7.0"/>
        <n v="8.0"/>
        <n v="9.0"/>
      </sharedItems>
    </cacheField>
    <cacheField name="Total de Muertes Reportadas" numFmtId="0">
      <sharedItems containsSemiMixedTypes="0" containsString="0" containsNumber="1" containsInteger="1">
        <n v="2409.0"/>
        <n v="2469.0"/>
        <n v="2185.0"/>
        <n v="2150.0"/>
        <n v="2390.0"/>
        <n v="2514.0"/>
        <n v="3096.0"/>
        <n v="3881.0"/>
        <n v="4752.0"/>
        <n v="5451.0"/>
        <n v="5967.0"/>
        <n v="6347.0"/>
        <n v="6554.0"/>
        <n v="6647.0"/>
        <n v="6725.0"/>
        <n v="6593.0"/>
        <n v="6159.0"/>
        <n v="6237.0"/>
        <n v="6493.0"/>
        <n v="6763.0"/>
        <n v="6778.0"/>
        <n v="6918.0"/>
        <n v="7120.0"/>
        <n v="6717.0"/>
        <n v="6128.0"/>
        <n v="5578.0"/>
        <n v="4730.0"/>
        <n v="4275.0"/>
        <n v="3885.0"/>
        <n v="3483.0"/>
        <n v="3235.0"/>
        <n v="3147.0"/>
        <n v="3001.0"/>
        <n v="2961.0"/>
        <n v="2794.0"/>
        <n v="2861.0"/>
        <n v="2850.0"/>
        <n v="2755.0"/>
        <n v="2635.0"/>
        <n v="2800.0"/>
        <n v="2964.0"/>
        <n v="3151.0"/>
        <n v="3253.0"/>
        <n v="3502.0"/>
        <n v="3985.0"/>
        <n v="4638.0"/>
        <n v="5704.0"/>
        <n v="6707.0"/>
        <n v="7021.0"/>
        <n v="7687.0"/>
        <n v="7711.0"/>
        <n v="7393.0"/>
        <n v="7500.0"/>
        <n v="7379.0"/>
        <n v="7427.0"/>
        <n v="7570.0"/>
        <n v="7900.0"/>
        <n v="8468.0"/>
        <n v="8426.0"/>
        <n v="8246.0"/>
        <n v="7695.0"/>
        <n v="7171.0"/>
        <n v="6533.0"/>
        <n v="6053.0"/>
        <n v="5629.0"/>
        <n v="5291.0"/>
        <n v="4726.0"/>
        <n v="4333.0"/>
        <n v="4024.0"/>
        <n v="3816.0"/>
        <n v="3599.0"/>
        <n v="3333.0"/>
        <n v="3250.0"/>
        <n v="3164.0"/>
        <n v="3062.0"/>
        <n v="3112.0"/>
        <n v="2936.0"/>
        <n v="3107.0"/>
        <n v="2983.0"/>
        <n v="2887.0"/>
        <n v="2890.0"/>
        <n v="2945.0"/>
        <n v="2875.0"/>
        <n v="2951.0"/>
        <n v="2855.0"/>
        <n v="2831.0"/>
        <n v="2754.0"/>
        <n v="2834.0"/>
      </sharedItems>
    </cacheField>
    <cacheField name="Total de Muertes por COVID" numFmtId="0">
      <sharedItems containsSemiMixedTypes="0" containsString="0" containsNumber="1" containsInteger="1">
        <n v="2.0"/>
        <n v="3.0"/>
        <n v="29.0"/>
        <n v="61.0"/>
        <n v="222.0"/>
        <n v="529.0"/>
        <n v="940.0"/>
        <n v="1702.0"/>
        <n v="2516.0"/>
        <n v="3254.0"/>
        <n v="3577.0"/>
        <n v="3809.0"/>
        <n v="4066.0"/>
        <n v="4124.0"/>
        <n v="4176.0"/>
        <n v="4330.0"/>
        <n v="3530.0"/>
        <n v="3755.0"/>
        <n v="3903.0"/>
        <n v="4901.0"/>
        <n v="3480.0"/>
        <n v="4376.0"/>
        <n v="4433.0"/>
        <n v="4322.0"/>
        <n v="3786.0"/>
        <n v="3401.0"/>
        <n v="2674.0"/>
        <n v="2214.0"/>
        <n v="1889.0"/>
        <n v="1591.0"/>
        <n v="1213.0"/>
        <n v="1170.0"/>
        <n v="978.0"/>
        <n v="860.0"/>
        <n v="772.0"/>
        <n v="739.0"/>
        <n v="730.0"/>
        <n v="646.0"/>
        <n v="661.0"/>
        <n v="686.0"/>
        <n v="747.0"/>
        <n v="816.0"/>
        <n v="880.0"/>
        <n v="1082.0"/>
        <n v="1401.0"/>
        <n v="2027.0"/>
        <n v="2907.0"/>
        <n v="3900.0"/>
        <n v="4052.0"/>
        <n v="4761.0"/>
        <n v="5122.0"/>
        <n v="4757.0"/>
        <n v="4737.0"/>
        <n v="4296.0"/>
        <n v="4741.0"/>
        <n v="4994.0"/>
        <n v="5157.0"/>
        <n v="5460.0"/>
        <n v="5356.0"/>
        <n v="5963.0"/>
        <n v="4914.0"/>
        <n v="4983.0"/>
        <n v="4093.0"/>
        <n v="3409.0"/>
        <n v="2786.0"/>
        <n v="2682.0"/>
        <n v="2635.0"/>
        <n v="1494.0"/>
        <n v="1382.0"/>
        <n v="1646.0"/>
        <n v="1157.0"/>
        <n v="759.0"/>
        <n v="744.0"/>
        <n v="548.0"/>
        <n v="512.0"/>
        <n v="443.0"/>
        <n v="486.0"/>
        <n v="236.0"/>
        <n v="373.0"/>
        <n v="276.0"/>
        <n v="302.0"/>
        <n v="226.0"/>
        <n v="193.0"/>
        <n v="190.0"/>
        <n v="168.0"/>
        <n v="209.0"/>
        <n v="194.0"/>
        <n v="184.0"/>
      </sharedItems>
    </cacheField>
    <cacheField name="Prónostico (Promedio Semanal)" numFmtId="1">
      <sharedItems containsSemiMixedTypes="0" containsString="0" containsNumber="1">
        <n v="2008.3333333333333"/>
        <n v="2051.6666666666665"/>
        <n v="1996.0"/>
        <n v="1960.0"/>
        <n v="1968.0"/>
        <n v="1896.3333333333333"/>
        <n v="1976.0"/>
        <n v="1899.6666666666667"/>
        <n v="1983.6666666666667"/>
        <n v="1911.0"/>
        <n v="1984.0"/>
        <n v="2034.0"/>
        <n v="2050.0"/>
        <n v="2135.0"/>
        <n v="2150.0"/>
        <n v="2223.3333333333335"/>
        <n v="2200.3333333333335"/>
        <n v="2240.0"/>
        <n v="2141.6666666666665"/>
        <n v="2199.6666666666665"/>
        <n v="2215.3333333333335"/>
        <n v="2182.6666666666665"/>
        <n v="2230.3333333333335"/>
        <n v="2123.0"/>
        <n v="2193.3333333333335"/>
        <n v="2168.0"/>
        <n v="2175.0"/>
        <n v="2213.3333333333335"/>
        <n v="2217.3333333333335"/>
        <n v="2151.6666666666665"/>
        <n v="2191.6666666666665"/>
        <n v="2233.0"/>
        <n v="2185.6666666666665"/>
        <n v="2205.0"/>
        <n v="2057.6666666666665"/>
        <n v="2082.6666666666665"/>
        <n v="2059.0"/>
        <n v="2088.6666666666665"/>
        <n v="2114.6666666666665"/>
        <n v="2100.6666666666665"/>
        <n v="2159.0"/>
        <n v="2054.5"/>
        <n v="2051.5"/>
        <n v="2030.75"/>
        <n v="2049.25"/>
        <n v="2092.25"/>
        <n v="2058.25"/>
        <n v="2086.0"/>
        <n v="2136.0"/>
        <n v="2197.0"/>
      </sharedItems>
    </cacheField>
    <cacheField name="Exceso de Mortalidad" numFmtId="1">
      <sharedItems containsSemiMixedTypes="0" containsString="0" containsNumber="1">
        <n v="400.66666666666674"/>
        <n v="417.3333333333335"/>
        <n v="189.0"/>
        <n v="190.0"/>
        <n v="422.0"/>
        <n v="617.6666666666667"/>
        <n v="1120.0"/>
        <n v="1981.3333333333333"/>
        <n v="2768.333333333333"/>
        <n v="3540.0"/>
        <n v="3983.0"/>
        <n v="4313.0"/>
        <n v="4504.0"/>
        <n v="4512.0"/>
        <n v="4575.0"/>
        <n v="4369.666666666666"/>
        <n v="3958.6666666666665"/>
        <n v="3997.0"/>
        <n v="4351.333333333334"/>
        <n v="4563.333333333334"/>
        <n v="4562.666666666666"/>
        <n v="4735.333333333334"/>
        <n v="4889.666666666666"/>
        <n v="4582.0"/>
        <n v="4005.0"/>
        <n v="3384.6666666666665"/>
        <n v="2562.0"/>
        <n v="2100.0"/>
        <n v="1671.6666666666665"/>
        <n v="1265.6666666666665"/>
        <n v="1083.3333333333335"/>
        <n v="955.3333333333335"/>
        <n v="768.0"/>
        <n v="775.3333333333335"/>
        <n v="589.0"/>
        <n v="693.0"/>
        <n v="792.3333333333335"/>
        <n v="672.3333333333335"/>
        <n v="576.0"/>
        <n v="711.3333333333335"/>
        <n v="849.3333333333335"/>
        <n v="1050.3333333333335"/>
        <n v="1094.0"/>
        <n v="1343.0"/>
        <n v="1930.5"/>
        <n v="2586.5"/>
        <n v="3673.25"/>
        <n v="4657.75"/>
        <n v="4928.75"/>
        <n v="5628.75"/>
        <n v="5625.0"/>
        <n v="5257.0"/>
        <n v="5303.0"/>
        <n v="5370.666666666667"/>
        <n v="5375.333333333334"/>
        <n v="5574.0"/>
        <n v="5940.0"/>
        <n v="6500.0"/>
        <n v="6529.666666666667"/>
        <n v="6270.0"/>
        <n v="5795.333333333333"/>
        <n v="5187.333333333333"/>
        <n v="4622.0"/>
        <n v="4069.0"/>
        <n v="3595.0"/>
        <n v="3241.0"/>
        <n v="2591.0"/>
        <n v="2183.0"/>
        <n v="1800.6666666666665"/>
        <n v="1615.6666666666665"/>
        <n v="1359.0"/>
        <n v="1191.3333333333335"/>
        <n v="948.6666666666665"/>
        <n v="879.3333333333335"/>
        <n v="881.6666666666665"/>
        <n v="801.0"/>
        <n v="984.0"/>
        <n v="789.6666666666665"/>
        <n v="719.0"/>
        <n v="715.0"/>
        <n v="731.6666666666665"/>
        <n v="657.6666666666665"/>
        <n v="799.3333333333335"/>
        <n v="663.3333333333335"/>
        <n v="598.0"/>
        <n v="568.3333333333335"/>
        <n v="629.0"/>
      </sharedItems>
    </cacheField>
    <cacheField name="Tasa de Muertes por COVID" numFmtId="166">
      <sharedItems containsSemiMixedTypes="0" containsString="0" containsNumber="1">
        <n v="0.005995308970496035"/>
        <n v="0.008992963455744053"/>
        <n v="0.08693198007219251"/>
        <n v="0.1828569236001291"/>
        <n v="0.6654792957250599"/>
        <n v="1.5857592226962014"/>
        <n v="2.8177952161331365"/>
        <n v="5.102007933892126"/>
        <n v="7.542098684884012"/>
        <n v="9.75436769499705"/>
        <n v="10.72261009373216"/>
        <n v="11.418065934309698"/>
        <n v="12.18846313701844"/>
        <n v="12.362327097162826"/>
        <n v="12.518205130395723"/>
        <n v="12.979843921123916"/>
        <n v="10.581720332925503"/>
        <n v="11.256192592106308"/>
        <n v="11.699845455923013"/>
        <n v="14.691504632200536"/>
        <n v="10.431837608663102"/>
        <n v="13.117736027445327"/>
        <n v="13.288602333104462"/>
        <n v="12.955862685241934"/>
        <n v="11.349119881148996"/>
        <n v="10.195022904328509"/>
        <n v="8.0157280935532"/>
        <n v="6.636807030339111"/>
        <n v="5.662569322633505"/>
        <n v="4.769268286029596"/>
        <n v="3.636154890605846"/>
        <n v="3.5072557477401807"/>
        <n v="2.9317060865725613"/>
        <n v="2.577982857313295"/>
        <n v="2.3141892626114697"/>
        <n v="2.215266664598285"/>
        <n v="2.188287774231053"/>
        <n v="1.9364847974702195"/>
        <n v="1.9814496147489395"/>
        <n v="2.05639097688014"/>
        <n v="2.2392479004802692"/>
        <n v="2.4460860599623824"/>
        <n v="2.6379359470182555"/>
        <n v="3.243462153038355"/>
        <n v="4.199713933832473"/>
        <n v="6.0762456415977315"/>
        <n v="8.714181588615988"/>
        <n v="11.690852492467268"/>
        <n v="12.146495974224967"/>
        <n v="14.271833004265812"/>
        <n v="15.353986273440345"/>
        <n v="14.25984238632482"/>
        <n v="14.19988929661986"/>
        <n v="12.877923668625483"/>
        <n v="14.211879914560852"/>
        <n v="14.9702864993286"/>
        <n v="15.458904180424028"/>
        <n v="16.367193489454177"/>
        <n v="16.055437422988383"/>
        <n v="17.87501369553393"/>
        <n v="14.73047414050876"/>
        <n v="14.937312299990872"/>
        <n v="12.269399808120138"/>
        <n v="10.219004140210492"/>
        <n v="8.351465395900977"/>
        <n v="8.039709329435183"/>
        <n v="7.898819568628526"/>
        <n v="4.4784958009605385"/>
        <n v="4.14275849861276"/>
        <n v="4.934139282718237"/>
        <n v="3.468286239431956"/>
        <n v="2.2752197543032455"/>
        <n v="2.2302549370245255"/>
        <n v="1.6427146579159138"/>
        <n v="1.5347990964469849"/>
        <n v="1.327960936964872"/>
        <n v="1.4568600798305367"/>
        <n v="0.7074464585185322"/>
        <n v="1.1181251229975104"/>
        <n v="0.8273526379284529"/>
        <n v="0.9052916545449015"/>
        <n v="0.6774699136660519"/>
        <n v="0.5785473156528674"/>
        <n v="0.5695543521971234"/>
        <n v="0.5036059535216669"/>
        <n v="0.6265097874168357"/>
        <n v="0.5815449701381155"/>
        <n v="0.5515684252856352"/>
      </sharedItems>
    </cacheField>
    <cacheField name="Val Acumulativo de Muertes por Covid" numFmtId="166">
      <sharedItems containsSemiMixedTypes="0" containsString="0" containsNumber="1">
        <n v="0.005995308970496035"/>
        <n v="0.014988272426240089"/>
        <n v="0.10192025249843259"/>
        <n v="0.2847771760985617"/>
        <n v="0.9502564718236216"/>
        <n v="2.536015694519823"/>
        <n v="5.353810910652959"/>
        <n v="10.455818844545085"/>
        <n v="17.997917529429095"/>
        <n v="27.752285224426146"/>
        <n v="38.4748953181583"/>
        <n v="49.892961252468"/>
        <n v="62.081424389486436"/>
        <n v="74.44375148664926"/>
        <n v="86.96195661704499"/>
        <n v="99.9418005381689"/>
        <n v="110.5235208710944"/>
        <n v="121.77971346320071"/>
        <n v="133.47955891912372"/>
        <n v="148.17106355132427"/>
        <n v="158.60290115998737"/>
        <n v="171.7206371874327"/>
        <n v="185.00923952053714"/>
        <n v="197.96510220577906"/>
        <n v="209.31422208692805"/>
        <n v="219.50924499125657"/>
        <n v="227.52497308480977"/>
        <n v="234.16178011514887"/>
        <n v="239.8243494377824"/>
        <n v="244.59361772381197"/>
        <n v="248.2297726144178"/>
        <n v="251.737028362158"/>
        <n v="254.66873444873056"/>
        <n v="257.2467173060439"/>
        <n v="259.56090656865535"/>
        <n v="261.77617323325364"/>
        <n v="263.9644610074847"/>
        <n v="265.9009458049549"/>
        <n v="267.88239541970387"/>
        <n v="269.938786396584"/>
        <n v="272.1780342970643"/>
        <n v="274.6241203570267"/>
        <n v="277.26205630404496"/>
        <n v="280.5055184570833"/>
        <n v="284.7052323909158"/>
        <n v="290.7814780325135"/>
        <n v="299.4956596211295"/>
        <n v="311.1865121135968"/>
        <n v="323.3330080878218"/>
        <n v="337.6048410920876"/>
        <n v="352.95882736552795"/>
        <n v="367.21866975185276"/>
        <n v="381.4185590484726"/>
        <n v="394.2964827170981"/>
        <n v="408.50836263165894"/>
        <n v="423.47864913098755"/>
        <n v="438.9375533114116"/>
        <n v="455.30474680086576"/>
        <n v="471.36018422385416"/>
        <n v="489.2351979193881"/>
        <n v="503.96567205989686"/>
        <n v="518.9029843598877"/>
        <n v="531.1723841680079"/>
        <n v="541.3913883082183"/>
        <n v="549.7428537041193"/>
        <n v="557.7825630335544"/>
        <n v="565.6813826021829"/>
        <n v="570.1598784031435"/>
        <n v="574.3026369017563"/>
        <n v="579.2367761844745"/>
        <n v="582.7050624239064"/>
        <n v="584.9802821782097"/>
        <n v="587.2105371152342"/>
        <n v="588.8532517731501"/>
        <n v="590.388050869597"/>
        <n v="591.7160118065619"/>
        <n v="593.1728718863925"/>
        <n v="593.8803183449111"/>
        <n v="594.9984434679086"/>
        <n v="595.8257961058371"/>
        <n v="596.731087760382"/>
        <n v="597.4085576740481"/>
        <n v="597.9871049897009"/>
        <n v="598.556659341898"/>
        <n v="599.0602652954196"/>
        <n v="599.6867750828364"/>
        <n v="600.2683200529746"/>
        <n v="600.8198884782602"/>
      </sharedItems>
    </cacheField>
    <cacheField name="Tasa de Exceso de Mortalidad" numFmtId="166">
      <sharedItems containsSemiMixedTypes="0" containsString="0" containsNumber="1">
        <n v="1.201060230422706"/>
        <n v="1.251021138510173"/>
        <n v="0.5665566977118753"/>
        <n v="0.5695543521971234"/>
        <n v="1.2650101927746635"/>
        <n v="1.8515512537215257"/>
        <n v="3.3573730234777797"/>
        <n v="5.939352753438072"/>
        <n v="8.298506833328261"/>
        <n v="10.611696877777982"/>
        <n v="11.939657814742853"/>
        <n v="12.9288837948747"/>
        <n v="13.501435801557072"/>
        <n v="13.525417037439055"/>
        <n v="13.71426927000968"/>
        <n v="13.098750882372087"/>
        <n v="11.866714888935153"/>
        <n v="11.981624977536327"/>
        <n v="13.043793883475875"/>
        <n v="13.679296634348455"/>
        <n v="13.677298198024953"/>
        <n v="14.194893205811114"/>
        <n v="14.657531214701056"/>
        <n v="13.735252851406416"/>
        <n v="12.00560621341831"/>
        <n v="10.14606121440279"/>
        <n v="7.67999079120542"/>
        <n v="6.295074419020837"/>
        <n v="5.011079081172936"/>
        <n v="3.7940313601622404"/>
        <n v="3.2474590256853526"/>
        <n v="2.863759251573607"/>
        <n v="2.3021986446704776"/>
        <n v="2.3241814442289632"/>
        <n v="1.7656184918110824"/>
        <n v="2.077374558276876"/>
        <n v="2.37514157047818"/>
        <n v="2.0154230322484175"/>
        <n v="1.726648983502858"/>
        <n v="2.13233155717309"/>
        <n v="2.546007876137317"/>
        <n v="3.1485364276721683"/>
        <n v="3.2794340068613317"/>
        <n v="4.0258499736880875"/>
        <n v="5.786971983771298"/>
        <n v="7.753433326093998"/>
        <n v="11.01113433793728"/>
        <n v="13.962325178663955"/>
        <n v="14.774689544166167"/>
        <n v="16.87304768383978"/>
        <n v="16.861806479520098"/>
        <n v="15.758669628948828"/>
        <n v="15.896561735270238"/>
        <n v="16.099403022105356"/>
        <n v="16.113392076369845"/>
        <n v="16.70892610077245"/>
        <n v="17.806067642373225"/>
        <n v="19.484754154112114"/>
        <n v="19.573684570507808"/>
        <n v="18.79529362250507"/>
        <n v="17.37240696017401"/>
        <n v="15.549833033143216"/>
        <n v="13.855159030816338"/>
        <n v="12.197456100474184"/>
        <n v="10.776567874466624"/>
        <n v="9.715398186688827"/>
        <n v="7.766922771277614"/>
        <n v="6.543879741296423"/>
        <n v="5.397776509769931"/>
        <n v="4.843210429999046"/>
        <n v="4.073812445452056"/>
        <n v="3.571205710092139"/>
        <n v="2.843774888338619"/>
        <n v="2.6359375106947573"/>
        <n v="2.642932037827002"/>
        <n v="2.401121242683662"/>
        <n v="2.949692013484049"/>
        <n v="2.367147825184184"/>
        <n v="2.155313574893325"/>
        <n v="2.143322956952333"/>
        <n v="2.193283865039799"/>
        <n v="1.9714574331314458"/>
        <n v="2.396125151874916"/>
        <n v="1.9884441418811853"/>
        <n v="1.7925973821783145"/>
        <n v="1.7036669657826238"/>
        <n v="1.885524671221003"/>
      </sharedItems>
    </cacheField>
    <cacheField name="Val Acumulativo del Exceso de Mortalidad" numFmtId="166">
      <sharedItems containsSemiMixedTypes="0" containsString="0" containsNumber="1">
        <n v="1.201060230422706"/>
        <n v="2.452081368932879"/>
        <n v="3.0186380666447543"/>
        <n v="3.588192418841878"/>
        <n v="4.853202611616542"/>
        <n v="6.704753865338068"/>
        <n v="10.062126888815847"/>
        <n v="16.00147964225392"/>
        <n v="24.29998647558218"/>
        <n v="34.91168335336016"/>
        <n v="46.85134116810301"/>
        <n v="59.78022496297771"/>
        <n v="73.28166076453479"/>
        <n v="86.80707780197385"/>
        <n v="100.52134707198353"/>
        <n v="113.62009795435561"/>
        <n v="125.48681284329076"/>
        <n v="137.4684378208271"/>
        <n v="150.51223170430296"/>
        <n v="164.1915283386514"/>
        <n v="177.86882653667635"/>
        <n v="192.06371974248748"/>
        <n v="206.72125095718854"/>
        <n v="220.45650380859496"/>
        <n v="232.46211002201326"/>
        <n v="242.60817123641604"/>
        <n v="250.28816202762147"/>
        <n v="256.58323644664233"/>
        <n v="261.59431552781524"/>
        <n v="265.3883468879775"/>
        <n v="268.63580591366286"/>
        <n v="271.49956516523645"/>
        <n v="273.8017638099069"/>
        <n v="276.12594525413584"/>
        <n v="277.89156374594694"/>
        <n v="279.9689383042238"/>
        <n v="282.344079874702"/>
        <n v="284.3595029069504"/>
        <n v="286.08615189045327"/>
        <n v="288.21848344762634"/>
        <n v="290.76449132376365"/>
        <n v="293.91302775143583"/>
        <n v="297.19246175829716"/>
        <n v="301.21831173198524"/>
        <n v="307.00528371575655"/>
        <n v="314.75871704185056"/>
        <n v="325.76985137978784"/>
        <n v="339.7321765584518"/>
        <n v="354.50686610261795"/>
        <n v="371.37991378645773"/>
        <n v="388.24172026597785"/>
        <n v="404.0003898949267"/>
        <n v="419.8969516301969"/>
        <n v="435.9963546523023"/>
        <n v="452.1097467286721"/>
        <n v="468.81867282944455"/>
        <n v="486.6247404718178"/>
        <n v="506.1094946259299"/>
        <n v="525.6831791964378"/>
        <n v="544.4784728189428"/>
        <n v="561.8508797791168"/>
        <n v="577.40071281226"/>
        <n v="591.2558718430764"/>
        <n v="603.4533279435506"/>
        <n v="614.2298958180172"/>
        <n v="623.945294004706"/>
        <n v="631.7122167759836"/>
        <n v="638.2560965172801"/>
        <n v="643.65387302705"/>
        <n v="648.4970834570491"/>
        <n v="652.5708959025012"/>
        <n v="656.1421016125934"/>
        <n v="659.2906380402655"/>
        <n v="662.1344129286042"/>
        <n v="664.7703504392989"/>
        <n v="667.4132824771259"/>
        <n v="669.8144037198095"/>
        <n v="672.7640957332936"/>
        <n v="675.1312435584778"/>
        <n v="677.286557133371"/>
        <n v="679.4298800903234"/>
        <n v="681.6231639553632"/>
        <n v="683.5946213884947"/>
        <n v="685.9907465403696"/>
        <n v="687.9791906822508"/>
        <n v="689.7717880644291"/>
        <n v="691.4754550302117"/>
        <n v="693.360979701432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 Países" cacheId="0" dataCaption="" rowGrandTotals="0" compact="0" compactData="0">
  <location ref="A1:D5" firstHeaderRow="0" firstDataRow="2" firstDataCol="0"/>
  <pivotFields>
    <pivotField name="País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Fecha de Ini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Fecha F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de Muertes Reporta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name="Total de Muertes por COV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Prónostico (Promedio Semanal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Exceso de Mortalida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Tasa de Muertes por COVI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Val Acumulativo de Muertes por Covi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Tasa de Exceso de Mortalida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Val Acumulativo del Exceso de Mortalida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 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Tasa de Muertes por COVID" fld="8" baseField="0"/>
    <dataField name="SUM of Tasa de Exceso de Mortalidad" fld="10" baseField="0"/>
    <dataField name="SUM of Calculated Field 1" fld="13" baseField="0"/>
  </dataFields>
</pivotTableDefinition>
</file>

<file path=xl/pivotTables/pivotTable2.xml><?xml version="1.0" encoding="utf-8"?>
<pivotTableDefinition xmlns="http://schemas.openxmlformats.org/spreadsheetml/2006/main" name="PIVOT" cacheId="1" dataCaption="" rowGrandTotals="0" compact="0" compactData="0">
  <location ref="A1:C2" firstHeaderRow="0" firstDataRow="2" firstDataCol="0"/>
  <pivotFields>
    <pivotField name="País" axis="axisRow" compact="0" outline="0" multipleItemSelectionAllowed="1" showAll="0" sortType="ascending">
      <items>
        <item x="0"/>
        <item t="default"/>
      </items>
    </pivotField>
    <pivotField name="Fecha de Ini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Fecha F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de Muertes Reporta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Total de Muertes por COV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rónostico (Promedio Semanal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Exceso de Mortalida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Tasa de Muertes por COVI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al Acumulativo de Muertes por Covi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Tasa de Exceso de Mortalida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al Acumulativo del Exceso de Mortalida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0"/>
  </rowFields>
  <colFields>
    <field x="-2"/>
  </colFields>
  <dataFields>
    <dataField name="SUM of Tasa de Muertes por COVID" fld="8" baseField="0"/>
    <dataField name="SUM of Tasa de Exceso de Mortalidad" fld="10" baseField="0"/>
  </dataFields>
</pivotTableDefinition>
</file>

<file path=xl/pivotTables/pivotTable3.xml><?xml version="1.0" encoding="utf-8"?>
<pivotTableDefinition xmlns="http://schemas.openxmlformats.org/spreadsheetml/2006/main" name="PIVOT 2" cacheId="2" dataCaption="" rowGrandTotals="0" compact="0" compactData="0">
  <location ref="A3:C4" firstHeaderRow="0" firstDataRow="2" firstDataCol="0"/>
  <pivotFields>
    <pivotField name="País" axis="axisRow" compact="0" outline="0" multipleItemSelectionAllowed="1" showAll="0" sortType="ascending">
      <items>
        <item x="0"/>
        <item t="default"/>
      </items>
    </pivotField>
    <pivotField name="Fecha de Ini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Fecha Fi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de Muertes Reporta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Total de Muertes por COV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rónostico (Promedio Semanal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Exceso de Mortalida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Tasa de Muertes por COVI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Val Acumulativo de Muertes por Covi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Tasa de Exceso de Mortalidad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Val Acumulativo del Exceso de Mortalida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</pivotFields>
  <rowFields>
    <field x="0"/>
  </rowFields>
  <colFields>
    <field x="-2"/>
  </colFields>
  <dataFields>
    <dataField name="SUM of Tasa de Muertes por COVID" fld="8" baseField="0"/>
    <dataField name="SUM of Tasa de Exceso de Mortalidad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1.3026222E8</v>
      </c>
    </row>
    <row r="3">
      <c r="A3" s="1" t="s">
        <v>3</v>
      </c>
      <c r="B3" s="1">
        <v>3.3359415E7</v>
      </c>
    </row>
    <row r="4">
      <c r="A4" s="1" t="s">
        <v>4</v>
      </c>
      <c r="B4" s="1">
        <v>1.9212362E7</v>
      </c>
    </row>
    <row r="5">
      <c r="A5" s="1" t="s">
        <v>5</v>
      </c>
      <c r="B5" s="1">
        <v>5.1265841E7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tr">
        <f>IFERROR(__xludf.DUMMYFUNCTION("QUERY(DATASET!A:F, ""SELECT A,B,C,D,E WHERE A='Mexico' AND C&lt; date '2020-03-16' "")"),"País")</f>
        <v>País</v>
      </c>
      <c r="B1" s="39" t="str">
        <f>IFERROR(__xludf.DUMMYFUNCTION("""COMPUTED_VALUE"""),"Fecha de Inicio")</f>
        <v>Fecha de Inicio</v>
      </c>
      <c r="C1" s="39" t="str">
        <f>IFERROR(__xludf.DUMMYFUNCTION("""COMPUTED_VALUE"""),"Fecha Fin")</f>
        <v>Fecha Fin</v>
      </c>
      <c r="D1" s="39" t="str">
        <f>IFERROR(__xludf.DUMMYFUNCTION("""COMPUTED_VALUE"""),"Semana")</f>
        <v>Semana</v>
      </c>
      <c r="E1" s="39" t="str">
        <f>IFERROR(__xludf.DUMMYFUNCTION("""COMPUTED_VALUE"""),"Total de Muertes Reportadas")</f>
        <v>Total de Muertes Reportadas</v>
      </c>
    </row>
    <row r="2">
      <c r="A2" s="39" t="str">
        <f>IFERROR(__xludf.DUMMYFUNCTION("""COMPUTED_VALUE"""),"Mexico")</f>
        <v>Mexico</v>
      </c>
      <c r="B2" s="40">
        <f>IFERROR(__xludf.DUMMYFUNCTION("""COMPUTED_VALUE"""),42002.0)</f>
        <v>42002</v>
      </c>
      <c r="C2" s="41">
        <f>IFERROR(__xludf.DUMMYFUNCTION("""COMPUTED_VALUE"""),42008.0)</f>
        <v>42008</v>
      </c>
      <c r="D2" s="39">
        <f>IFERROR(__xludf.DUMMYFUNCTION("""COMPUTED_VALUE"""),1.0)</f>
        <v>1</v>
      </c>
      <c r="E2" s="39">
        <f>IFERROR(__xludf.DUMMYFUNCTION("""COMPUTED_VALUE"""),15101.0)</f>
        <v>15101</v>
      </c>
    </row>
    <row r="3">
      <c r="A3" s="39" t="str">
        <f>IFERROR(__xludf.DUMMYFUNCTION("""COMPUTED_VALUE"""),"Mexico")</f>
        <v>Mexico</v>
      </c>
      <c r="B3" s="40">
        <f>IFERROR(__xludf.DUMMYFUNCTION("""COMPUTED_VALUE"""),42009.0)</f>
        <v>42009</v>
      </c>
      <c r="C3" s="41">
        <f>IFERROR(__xludf.DUMMYFUNCTION("""COMPUTED_VALUE"""),42015.0)</f>
        <v>42015</v>
      </c>
      <c r="D3" s="39">
        <f>IFERROR(__xludf.DUMMYFUNCTION("""COMPUTED_VALUE"""),2.0)</f>
        <v>2</v>
      </c>
      <c r="E3" s="39">
        <f>IFERROR(__xludf.DUMMYFUNCTION("""COMPUTED_VALUE"""),15449.0)</f>
        <v>15449</v>
      </c>
    </row>
    <row r="4">
      <c r="A4" s="39" t="str">
        <f>IFERROR(__xludf.DUMMYFUNCTION("""COMPUTED_VALUE"""),"Mexico")</f>
        <v>Mexico</v>
      </c>
      <c r="B4" s="40">
        <f>IFERROR(__xludf.DUMMYFUNCTION("""COMPUTED_VALUE"""),42016.0)</f>
        <v>42016</v>
      </c>
      <c r="C4" s="41">
        <f>IFERROR(__xludf.DUMMYFUNCTION("""COMPUTED_VALUE"""),42022.0)</f>
        <v>42022</v>
      </c>
      <c r="D4" s="39">
        <f>IFERROR(__xludf.DUMMYFUNCTION("""COMPUTED_VALUE"""),3.0)</f>
        <v>3</v>
      </c>
      <c r="E4" s="39">
        <f>IFERROR(__xludf.DUMMYFUNCTION("""COMPUTED_VALUE"""),14820.0)</f>
        <v>14820</v>
      </c>
    </row>
    <row r="5">
      <c r="A5" s="39" t="str">
        <f>IFERROR(__xludf.DUMMYFUNCTION("""COMPUTED_VALUE"""),"Mexico")</f>
        <v>Mexico</v>
      </c>
      <c r="B5" s="40">
        <f>IFERROR(__xludf.DUMMYFUNCTION("""COMPUTED_VALUE"""),42023.0)</f>
        <v>42023</v>
      </c>
      <c r="C5" s="41">
        <f>IFERROR(__xludf.DUMMYFUNCTION("""COMPUTED_VALUE"""),42029.0)</f>
        <v>42029</v>
      </c>
      <c r="D5" s="39">
        <f>IFERROR(__xludf.DUMMYFUNCTION("""COMPUTED_VALUE"""),4.0)</f>
        <v>4</v>
      </c>
      <c r="E5" s="39">
        <f>IFERROR(__xludf.DUMMYFUNCTION("""COMPUTED_VALUE"""),14172.0)</f>
        <v>14172</v>
      </c>
    </row>
    <row r="6">
      <c r="A6" s="39" t="str">
        <f>IFERROR(__xludf.DUMMYFUNCTION("""COMPUTED_VALUE"""),"Mexico")</f>
        <v>Mexico</v>
      </c>
      <c r="B6" s="40">
        <f>IFERROR(__xludf.DUMMYFUNCTION("""COMPUTED_VALUE"""),42030.0)</f>
        <v>42030</v>
      </c>
      <c r="C6" s="41">
        <f>IFERROR(__xludf.DUMMYFUNCTION("""COMPUTED_VALUE"""),42036.0)</f>
        <v>42036</v>
      </c>
      <c r="D6" s="39">
        <f>IFERROR(__xludf.DUMMYFUNCTION("""COMPUTED_VALUE"""),5.0)</f>
        <v>5</v>
      </c>
      <c r="E6" s="39">
        <f>IFERROR(__xludf.DUMMYFUNCTION("""COMPUTED_VALUE"""),13628.0)</f>
        <v>13628</v>
      </c>
    </row>
    <row r="7">
      <c r="A7" s="39" t="str">
        <f>IFERROR(__xludf.DUMMYFUNCTION("""COMPUTED_VALUE"""),"Mexico")</f>
        <v>Mexico</v>
      </c>
      <c r="B7" s="40">
        <f>IFERROR(__xludf.DUMMYFUNCTION("""COMPUTED_VALUE"""),42037.0)</f>
        <v>42037</v>
      </c>
      <c r="C7" s="41">
        <f>IFERROR(__xludf.DUMMYFUNCTION("""COMPUTED_VALUE"""),42043.0)</f>
        <v>42043</v>
      </c>
      <c r="D7" s="39">
        <f>IFERROR(__xludf.DUMMYFUNCTION("""COMPUTED_VALUE"""),6.0)</f>
        <v>6</v>
      </c>
      <c r="E7" s="39">
        <f>IFERROR(__xludf.DUMMYFUNCTION("""COMPUTED_VALUE"""),13914.0)</f>
        <v>13914</v>
      </c>
    </row>
    <row r="8">
      <c r="A8" s="39" t="str">
        <f>IFERROR(__xludf.DUMMYFUNCTION("""COMPUTED_VALUE"""),"Mexico")</f>
        <v>Mexico</v>
      </c>
      <c r="B8" s="40">
        <f>IFERROR(__xludf.DUMMYFUNCTION("""COMPUTED_VALUE"""),42044.0)</f>
        <v>42044</v>
      </c>
      <c r="C8" s="41">
        <f>IFERROR(__xludf.DUMMYFUNCTION("""COMPUTED_VALUE"""),42050.0)</f>
        <v>42050</v>
      </c>
      <c r="D8" s="39">
        <f>IFERROR(__xludf.DUMMYFUNCTION("""COMPUTED_VALUE"""),7.0)</f>
        <v>7</v>
      </c>
      <c r="E8" s="39">
        <f>IFERROR(__xludf.DUMMYFUNCTION("""COMPUTED_VALUE"""),13550.0)</f>
        <v>13550</v>
      </c>
    </row>
    <row r="9">
      <c r="A9" s="39" t="str">
        <f>IFERROR(__xludf.DUMMYFUNCTION("""COMPUTED_VALUE"""),"Mexico")</f>
        <v>Mexico</v>
      </c>
      <c r="B9" s="40">
        <f>IFERROR(__xludf.DUMMYFUNCTION("""COMPUTED_VALUE"""),42051.0)</f>
        <v>42051</v>
      </c>
      <c r="C9" s="41">
        <f>IFERROR(__xludf.DUMMYFUNCTION("""COMPUTED_VALUE"""),42057.0)</f>
        <v>42057</v>
      </c>
      <c r="D9" s="39">
        <f>IFERROR(__xludf.DUMMYFUNCTION("""COMPUTED_VALUE"""),8.0)</f>
        <v>8</v>
      </c>
      <c r="E9" s="39">
        <f>IFERROR(__xludf.DUMMYFUNCTION("""COMPUTED_VALUE"""),13799.0)</f>
        <v>13799</v>
      </c>
    </row>
    <row r="10">
      <c r="A10" s="39" t="str">
        <f>IFERROR(__xludf.DUMMYFUNCTION("""COMPUTED_VALUE"""),"Mexico")</f>
        <v>Mexico</v>
      </c>
      <c r="B10" s="40">
        <f>IFERROR(__xludf.DUMMYFUNCTION("""COMPUTED_VALUE"""),42058.0)</f>
        <v>42058</v>
      </c>
      <c r="C10" s="41">
        <f>IFERROR(__xludf.DUMMYFUNCTION("""COMPUTED_VALUE"""),42064.0)</f>
        <v>42064</v>
      </c>
      <c r="D10" s="39">
        <f>IFERROR(__xludf.DUMMYFUNCTION("""COMPUTED_VALUE"""),9.0)</f>
        <v>9</v>
      </c>
      <c r="E10" s="39">
        <f>IFERROR(__xludf.DUMMYFUNCTION("""COMPUTED_VALUE"""),13054.0)</f>
        <v>13054</v>
      </c>
    </row>
    <row r="11">
      <c r="A11" s="39" t="str">
        <f>IFERROR(__xludf.DUMMYFUNCTION("""COMPUTED_VALUE"""),"Mexico")</f>
        <v>Mexico</v>
      </c>
      <c r="B11" s="40">
        <f>IFERROR(__xludf.DUMMYFUNCTION("""COMPUTED_VALUE"""),42065.0)</f>
        <v>42065</v>
      </c>
      <c r="C11" s="41">
        <f>IFERROR(__xludf.DUMMYFUNCTION("""COMPUTED_VALUE"""),42071.0)</f>
        <v>42071</v>
      </c>
      <c r="D11" s="39">
        <f>IFERROR(__xludf.DUMMYFUNCTION("""COMPUTED_VALUE"""),10.0)</f>
        <v>10</v>
      </c>
      <c r="E11" s="39">
        <f>IFERROR(__xludf.DUMMYFUNCTION("""COMPUTED_VALUE"""),12979.0)</f>
        <v>12979</v>
      </c>
    </row>
    <row r="12">
      <c r="A12" s="39" t="str">
        <f>IFERROR(__xludf.DUMMYFUNCTION("""COMPUTED_VALUE"""),"Mexico")</f>
        <v>Mexico</v>
      </c>
      <c r="B12" s="40">
        <f>IFERROR(__xludf.DUMMYFUNCTION("""COMPUTED_VALUE"""),42072.0)</f>
        <v>42072</v>
      </c>
      <c r="C12" s="41">
        <f>IFERROR(__xludf.DUMMYFUNCTION("""COMPUTED_VALUE"""),42078.0)</f>
        <v>42078</v>
      </c>
      <c r="D12" s="39">
        <f>IFERROR(__xludf.DUMMYFUNCTION("""COMPUTED_VALUE"""),11.0)</f>
        <v>11</v>
      </c>
      <c r="E12" s="39">
        <f>IFERROR(__xludf.DUMMYFUNCTION("""COMPUTED_VALUE"""),12498.0)</f>
        <v>12498</v>
      </c>
    </row>
    <row r="13">
      <c r="A13" s="39" t="str">
        <f>IFERROR(__xludf.DUMMYFUNCTION("""COMPUTED_VALUE"""),"Mexico")</f>
        <v>Mexico</v>
      </c>
      <c r="B13" s="40">
        <f>IFERROR(__xludf.DUMMYFUNCTION("""COMPUTED_VALUE"""),42079.0)</f>
        <v>42079</v>
      </c>
      <c r="C13" s="41">
        <f>IFERROR(__xludf.DUMMYFUNCTION("""COMPUTED_VALUE"""),42085.0)</f>
        <v>42085</v>
      </c>
      <c r="D13" s="39">
        <f>IFERROR(__xludf.DUMMYFUNCTION("""COMPUTED_VALUE"""),12.0)</f>
        <v>12</v>
      </c>
      <c r="E13" s="39">
        <f>IFERROR(__xludf.DUMMYFUNCTION("""COMPUTED_VALUE"""),13133.0)</f>
        <v>13133</v>
      </c>
    </row>
    <row r="14">
      <c r="A14" s="39" t="str">
        <f>IFERROR(__xludf.DUMMYFUNCTION("""COMPUTED_VALUE"""),"Mexico")</f>
        <v>Mexico</v>
      </c>
      <c r="B14" s="40">
        <f>IFERROR(__xludf.DUMMYFUNCTION("""COMPUTED_VALUE"""),42086.0)</f>
        <v>42086</v>
      </c>
      <c r="C14" s="41">
        <f>IFERROR(__xludf.DUMMYFUNCTION("""COMPUTED_VALUE"""),42092.0)</f>
        <v>42092</v>
      </c>
      <c r="D14" s="39">
        <f>IFERROR(__xludf.DUMMYFUNCTION("""COMPUTED_VALUE"""),13.0)</f>
        <v>13</v>
      </c>
      <c r="E14" s="39">
        <f>IFERROR(__xludf.DUMMYFUNCTION("""COMPUTED_VALUE"""),12066.0)</f>
        <v>12066</v>
      </c>
    </row>
    <row r="15">
      <c r="A15" s="39" t="str">
        <f>IFERROR(__xludf.DUMMYFUNCTION("""COMPUTED_VALUE"""),"Mexico")</f>
        <v>Mexico</v>
      </c>
      <c r="B15" s="40">
        <f>IFERROR(__xludf.DUMMYFUNCTION("""COMPUTED_VALUE"""),42093.0)</f>
        <v>42093</v>
      </c>
      <c r="C15" s="41">
        <f>IFERROR(__xludf.DUMMYFUNCTION("""COMPUTED_VALUE"""),42099.0)</f>
        <v>42099</v>
      </c>
      <c r="D15" s="39">
        <f>IFERROR(__xludf.DUMMYFUNCTION("""COMPUTED_VALUE"""),14.0)</f>
        <v>14</v>
      </c>
      <c r="E15" s="39">
        <f>IFERROR(__xludf.DUMMYFUNCTION("""COMPUTED_VALUE"""),12477.0)</f>
        <v>12477</v>
      </c>
    </row>
    <row r="16">
      <c r="A16" s="39" t="str">
        <f>IFERROR(__xludf.DUMMYFUNCTION("""COMPUTED_VALUE"""),"Mexico")</f>
        <v>Mexico</v>
      </c>
      <c r="B16" s="40">
        <f>IFERROR(__xludf.DUMMYFUNCTION("""COMPUTED_VALUE"""),42100.0)</f>
        <v>42100</v>
      </c>
      <c r="C16" s="41">
        <f>IFERROR(__xludf.DUMMYFUNCTION("""COMPUTED_VALUE"""),42106.0)</f>
        <v>42106</v>
      </c>
      <c r="D16" s="39">
        <f>IFERROR(__xludf.DUMMYFUNCTION("""COMPUTED_VALUE"""),15.0)</f>
        <v>15</v>
      </c>
      <c r="E16" s="39">
        <f>IFERROR(__xludf.DUMMYFUNCTION("""COMPUTED_VALUE"""),12202.0)</f>
        <v>12202</v>
      </c>
    </row>
    <row r="17">
      <c r="A17" s="39" t="str">
        <f>IFERROR(__xludf.DUMMYFUNCTION("""COMPUTED_VALUE"""),"Mexico")</f>
        <v>Mexico</v>
      </c>
      <c r="B17" s="40">
        <f>IFERROR(__xludf.DUMMYFUNCTION("""COMPUTED_VALUE"""),42107.0)</f>
        <v>42107</v>
      </c>
      <c r="C17" s="41">
        <f>IFERROR(__xludf.DUMMYFUNCTION("""COMPUTED_VALUE"""),42113.0)</f>
        <v>42113</v>
      </c>
      <c r="D17" s="39">
        <f>IFERROR(__xludf.DUMMYFUNCTION("""COMPUTED_VALUE"""),16.0)</f>
        <v>16</v>
      </c>
      <c r="E17" s="39">
        <f>IFERROR(__xludf.DUMMYFUNCTION("""COMPUTED_VALUE"""),11796.0)</f>
        <v>11796</v>
      </c>
    </row>
    <row r="18">
      <c r="A18" s="39" t="str">
        <f>IFERROR(__xludf.DUMMYFUNCTION("""COMPUTED_VALUE"""),"Mexico")</f>
        <v>Mexico</v>
      </c>
      <c r="B18" s="40">
        <f>IFERROR(__xludf.DUMMYFUNCTION("""COMPUTED_VALUE"""),42114.0)</f>
        <v>42114</v>
      </c>
      <c r="C18" s="41">
        <f>IFERROR(__xludf.DUMMYFUNCTION("""COMPUTED_VALUE"""),42120.0)</f>
        <v>42120</v>
      </c>
      <c r="D18" s="39">
        <f>IFERROR(__xludf.DUMMYFUNCTION("""COMPUTED_VALUE"""),17.0)</f>
        <v>17</v>
      </c>
      <c r="E18" s="39">
        <f>IFERROR(__xludf.DUMMYFUNCTION("""COMPUTED_VALUE"""),12403.0)</f>
        <v>12403</v>
      </c>
    </row>
    <row r="19">
      <c r="A19" s="39" t="str">
        <f>IFERROR(__xludf.DUMMYFUNCTION("""COMPUTED_VALUE"""),"Mexico")</f>
        <v>Mexico</v>
      </c>
      <c r="B19" s="40">
        <f>IFERROR(__xludf.DUMMYFUNCTION("""COMPUTED_VALUE"""),42121.0)</f>
        <v>42121</v>
      </c>
      <c r="C19" s="41">
        <f>IFERROR(__xludf.DUMMYFUNCTION("""COMPUTED_VALUE"""),42127.0)</f>
        <v>42127</v>
      </c>
      <c r="D19" s="39">
        <f>IFERROR(__xludf.DUMMYFUNCTION("""COMPUTED_VALUE"""),18.0)</f>
        <v>18</v>
      </c>
      <c r="E19" s="39">
        <f>IFERROR(__xludf.DUMMYFUNCTION("""COMPUTED_VALUE"""),11763.0)</f>
        <v>11763</v>
      </c>
    </row>
    <row r="20">
      <c r="A20" s="39" t="str">
        <f>IFERROR(__xludf.DUMMYFUNCTION("""COMPUTED_VALUE"""),"Mexico")</f>
        <v>Mexico</v>
      </c>
      <c r="B20" s="40">
        <f>IFERROR(__xludf.DUMMYFUNCTION("""COMPUTED_VALUE"""),42128.0)</f>
        <v>42128</v>
      </c>
      <c r="C20" s="41">
        <f>IFERROR(__xludf.DUMMYFUNCTION("""COMPUTED_VALUE"""),42134.0)</f>
        <v>42134</v>
      </c>
      <c r="D20" s="39">
        <f>IFERROR(__xludf.DUMMYFUNCTION("""COMPUTED_VALUE"""),19.0)</f>
        <v>19</v>
      </c>
      <c r="E20" s="39">
        <f>IFERROR(__xludf.DUMMYFUNCTION("""COMPUTED_VALUE"""),12059.0)</f>
        <v>12059</v>
      </c>
    </row>
    <row r="21">
      <c r="A21" s="39" t="str">
        <f>IFERROR(__xludf.DUMMYFUNCTION("""COMPUTED_VALUE"""),"Mexico")</f>
        <v>Mexico</v>
      </c>
      <c r="B21" s="40">
        <f>IFERROR(__xludf.DUMMYFUNCTION("""COMPUTED_VALUE"""),42135.0)</f>
        <v>42135</v>
      </c>
      <c r="C21" s="41">
        <f>IFERROR(__xludf.DUMMYFUNCTION("""COMPUTED_VALUE"""),42141.0)</f>
        <v>42141</v>
      </c>
      <c r="D21" s="39">
        <f>IFERROR(__xludf.DUMMYFUNCTION("""COMPUTED_VALUE"""),20.0)</f>
        <v>20</v>
      </c>
      <c r="E21" s="39">
        <f>IFERROR(__xludf.DUMMYFUNCTION("""COMPUTED_VALUE"""),11732.0)</f>
        <v>11732</v>
      </c>
    </row>
    <row r="22">
      <c r="A22" s="39" t="str">
        <f>IFERROR(__xludf.DUMMYFUNCTION("""COMPUTED_VALUE"""),"Mexico")</f>
        <v>Mexico</v>
      </c>
      <c r="B22" s="40">
        <f>IFERROR(__xludf.DUMMYFUNCTION("""COMPUTED_VALUE"""),42142.0)</f>
        <v>42142</v>
      </c>
      <c r="C22" s="41">
        <f>IFERROR(__xludf.DUMMYFUNCTION("""COMPUTED_VALUE"""),42148.0)</f>
        <v>42148</v>
      </c>
      <c r="D22" s="39">
        <f>IFERROR(__xludf.DUMMYFUNCTION("""COMPUTED_VALUE"""),21.0)</f>
        <v>21</v>
      </c>
      <c r="E22" s="39">
        <f>IFERROR(__xludf.DUMMYFUNCTION("""COMPUTED_VALUE"""),11856.0)</f>
        <v>11856</v>
      </c>
    </row>
    <row r="23">
      <c r="A23" s="39" t="str">
        <f>IFERROR(__xludf.DUMMYFUNCTION("""COMPUTED_VALUE"""),"Mexico")</f>
        <v>Mexico</v>
      </c>
      <c r="B23" s="40">
        <f>IFERROR(__xludf.DUMMYFUNCTION("""COMPUTED_VALUE"""),42149.0)</f>
        <v>42149</v>
      </c>
      <c r="C23" s="41">
        <f>IFERROR(__xludf.DUMMYFUNCTION("""COMPUTED_VALUE"""),42155.0)</f>
        <v>42155</v>
      </c>
      <c r="D23" s="39">
        <f>IFERROR(__xludf.DUMMYFUNCTION("""COMPUTED_VALUE"""),22.0)</f>
        <v>22</v>
      </c>
      <c r="E23" s="39">
        <f>IFERROR(__xludf.DUMMYFUNCTION("""COMPUTED_VALUE"""),11608.0)</f>
        <v>11608</v>
      </c>
    </row>
    <row r="24">
      <c r="A24" s="39" t="str">
        <f>IFERROR(__xludf.DUMMYFUNCTION("""COMPUTED_VALUE"""),"Mexico")</f>
        <v>Mexico</v>
      </c>
      <c r="B24" s="40">
        <f>IFERROR(__xludf.DUMMYFUNCTION("""COMPUTED_VALUE"""),42156.0)</f>
        <v>42156</v>
      </c>
      <c r="C24" s="41">
        <f>IFERROR(__xludf.DUMMYFUNCTION("""COMPUTED_VALUE"""),42162.0)</f>
        <v>42162</v>
      </c>
      <c r="D24" s="39">
        <f>IFERROR(__xludf.DUMMYFUNCTION("""COMPUTED_VALUE"""),23.0)</f>
        <v>23</v>
      </c>
      <c r="E24" s="39">
        <f>IFERROR(__xludf.DUMMYFUNCTION("""COMPUTED_VALUE"""),11876.0)</f>
        <v>11876</v>
      </c>
    </row>
    <row r="25">
      <c r="A25" s="39" t="str">
        <f>IFERROR(__xludf.DUMMYFUNCTION("""COMPUTED_VALUE"""),"Mexico")</f>
        <v>Mexico</v>
      </c>
      <c r="B25" s="40">
        <f>IFERROR(__xludf.DUMMYFUNCTION("""COMPUTED_VALUE"""),42163.0)</f>
        <v>42163</v>
      </c>
      <c r="C25" s="41">
        <f>IFERROR(__xludf.DUMMYFUNCTION("""COMPUTED_VALUE"""),42169.0)</f>
        <v>42169</v>
      </c>
      <c r="D25" s="39">
        <f>IFERROR(__xludf.DUMMYFUNCTION("""COMPUTED_VALUE"""),24.0)</f>
        <v>24</v>
      </c>
      <c r="E25" s="39">
        <f>IFERROR(__xludf.DUMMYFUNCTION("""COMPUTED_VALUE"""),11709.0)</f>
        <v>11709</v>
      </c>
    </row>
    <row r="26">
      <c r="A26" s="39" t="str">
        <f>IFERROR(__xludf.DUMMYFUNCTION("""COMPUTED_VALUE"""),"Mexico")</f>
        <v>Mexico</v>
      </c>
      <c r="B26" s="40">
        <f>IFERROR(__xludf.DUMMYFUNCTION("""COMPUTED_VALUE"""),42170.0)</f>
        <v>42170</v>
      </c>
      <c r="C26" s="41">
        <f>IFERROR(__xludf.DUMMYFUNCTION("""COMPUTED_VALUE"""),42176.0)</f>
        <v>42176</v>
      </c>
      <c r="D26" s="39">
        <f>IFERROR(__xludf.DUMMYFUNCTION("""COMPUTED_VALUE"""),25.0)</f>
        <v>25</v>
      </c>
      <c r="E26" s="39">
        <f>IFERROR(__xludf.DUMMYFUNCTION("""COMPUTED_VALUE"""),11510.0)</f>
        <v>11510</v>
      </c>
    </row>
    <row r="27">
      <c r="A27" s="39" t="str">
        <f>IFERROR(__xludf.DUMMYFUNCTION("""COMPUTED_VALUE"""),"Mexico")</f>
        <v>Mexico</v>
      </c>
      <c r="B27" s="40">
        <f>IFERROR(__xludf.DUMMYFUNCTION("""COMPUTED_VALUE"""),42177.0)</f>
        <v>42177</v>
      </c>
      <c r="C27" s="41">
        <f>IFERROR(__xludf.DUMMYFUNCTION("""COMPUTED_VALUE"""),42183.0)</f>
        <v>42183</v>
      </c>
      <c r="D27" s="39">
        <f>IFERROR(__xludf.DUMMYFUNCTION("""COMPUTED_VALUE"""),26.0)</f>
        <v>26</v>
      </c>
      <c r="E27" s="39">
        <f>IFERROR(__xludf.DUMMYFUNCTION("""COMPUTED_VALUE"""),11571.0)</f>
        <v>11571</v>
      </c>
    </row>
    <row r="28">
      <c r="A28" s="39" t="str">
        <f>IFERROR(__xludf.DUMMYFUNCTION("""COMPUTED_VALUE"""),"Mexico")</f>
        <v>Mexico</v>
      </c>
      <c r="B28" s="40">
        <f>IFERROR(__xludf.DUMMYFUNCTION("""COMPUTED_VALUE"""),42184.0)</f>
        <v>42184</v>
      </c>
      <c r="C28" s="41">
        <f>IFERROR(__xludf.DUMMYFUNCTION("""COMPUTED_VALUE"""),42190.0)</f>
        <v>42190</v>
      </c>
      <c r="D28" s="39">
        <f>IFERROR(__xludf.DUMMYFUNCTION("""COMPUTED_VALUE"""),27.0)</f>
        <v>27</v>
      </c>
      <c r="E28" s="39">
        <f>IFERROR(__xludf.DUMMYFUNCTION("""COMPUTED_VALUE"""),11583.0)</f>
        <v>11583</v>
      </c>
    </row>
    <row r="29">
      <c r="A29" s="39" t="str">
        <f>IFERROR(__xludf.DUMMYFUNCTION("""COMPUTED_VALUE"""),"Mexico")</f>
        <v>Mexico</v>
      </c>
      <c r="B29" s="40">
        <f>IFERROR(__xludf.DUMMYFUNCTION("""COMPUTED_VALUE"""),42191.0)</f>
        <v>42191</v>
      </c>
      <c r="C29" s="41">
        <f>IFERROR(__xludf.DUMMYFUNCTION("""COMPUTED_VALUE"""),42197.0)</f>
        <v>42197</v>
      </c>
      <c r="D29" s="39">
        <f>IFERROR(__xludf.DUMMYFUNCTION("""COMPUTED_VALUE"""),28.0)</f>
        <v>28</v>
      </c>
      <c r="E29" s="39">
        <f>IFERROR(__xludf.DUMMYFUNCTION("""COMPUTED_VALUE"""),11538.0)</f>
        <v>11538</v>
      </c>
    </row>
    <row r="30">
      <c r="A30" s="39" t="str">
        <f>IFERROR(__xludf.DUMMYFUNCTION("""COMPUTED_VALUE"""),"Mexico")</f>
        <v>Mexico</v>
      </c>
      <c r="B30" s="40">
        <f>IFERROR(__xludf.DUMMYFUNCTION("""COMPUTED_VALUE"""),42198.0)</f>
        <v>42198</v>
      </c>
      <c r="C30" s="41">
        <f>IFERROR(__xludf.DUMMYFUNCTION("""COMPUTED_VALUE"""),42204.0)</f>
        <v>42204</v>
      </c>
      <c r="D30" s="39">
        <f>IFERROR(__xludf.DUMMYFUNCTION("""COMPUTED_VALUE"""),29.0)</f>
        <v>29</v>
      </c>
      <c r="E30" s="39">
        <f>IFERROR(__xludf.DUMMYFUNCTION("""COMPUTED_VALUE"""),12003.0)</f>
        <v>12003</v>
      </c>
    </row>
    <row r="31">
      <c r="A31" s="39" t="str">
        <f>IFERROR(__xludf.DUMMYFUNCTION("""COMPUTED_VALUE"""),"Mexico")</f>
        <v>Mexico</v>
      </c>
      <c r="B31" s="40">
        <f>IFERROR(__xludf.DUMMYFUNCTION("""COMPUTED_VALUE"""),42205.0)</f>
        <v>42205</v>
      </c>
      <c r="C31" s="41">
        <f>IFERROR(__xludf.DUMMYFUNCTION("""COMPUTED_VALUE"""),42211.0)</f>
        <v>42211</v>
      </c>
      <c r="D31" s="39">
        <f>IFERROR(__xludf.DUMMYFUNCTION("""COMPUTED_VALUE"""),30.0)</f>
        <v>30</v>
      </c>
      <c r="E31" s="39">
        <f>IFERROR(__xludf.DUMMYFUNCTION("""COMPUTED_VALUE"""),11947.0)</f>
        <v>11947</v>
      </c>
    </row>
    <row r="32">
      <c r="A32" s="39" t="str">
        <f>IFERROR(__xludf.DUMMYFUNCTION("""COMPUTED_VALUE"""),"Mexico")</f>
        <v>Mexico</v>
      </c>
      <c r="B32" s="40">
        <f>IFERROR(__xludf.DUMMYFUNCTION("""COMPUTED_VALUE"""),42212.0)</f>
        <v>42212</v>
      </c>
      <c r="C32" s="41">
        <f>IFERROR(__xludf.DUMMYFUNCTION("""COMPUTED_VALUE"""),42218.0)</f>
        <v>42218</v>
      </c>
      <c r="D32" s="39">
        <f>IFERROR(__xludf.DUMMYFUNCTION("""COMPUTED_VALUE"""),31.0)</f>
        <v>31</v>
      </c>
      <c r="E32" s="39">
        <f>IFERROR(__xludf.DUMMYFUNCTION("""COMPUTED_VALUE"""),12083.0)</f>
        <v>12083</v>
      </c>
    </row>
    <row r="33">
      <c r="A33" s="39" t="str">
        <f>IFERROR(__xludf.DUMMYFUNCTION("""COMPUTED_VALUE"""),"Mexico")</f>
        <v>Mexico</v>
      </c>
      <c r="B33" s="40">
        <f>IFERROR(__xludf.DUMMYFUNCTION("""COMPUTED_VALUE"""),42219.0)</f>
        <v>42219</v>
      </c>
      <c r="C33" s="41">
        <f>IFERROR(__xludf.DUMMYFUNCTION("""COMPUTED_VALUE"""),42225.0)</f>
        <v>42225</v>
      </c>
      <c r="D33" s="39">
        <f>IFERROR(__xludf.DUMMYFUNCTION("""COMPUTED_VALUE"""),32.0)</f>
        <v>32</v>
      </c>
      <c r="E33" s="39">
        <f>IFERROR(__xludf.DUMMYFUNCTION("""COMPUTED_VALUE"""),12237.0)</f>
        <v>12237</v>
      </c>
    </row>
    <row r="34">
      <c r="A34" s="39" t="str">
        <f>IFERROR(__xludf.DUMMYFUNCTION("""COMPUTED_VALUE"""),"Mexico")</f>
        <v>Mexico</v>
      </c>
      <c r="B34" s="40">
        <f>IFERROR(__xludf.DUMMYFUNCTION("""COMPUTED_VALUE"""),42226.0)</f>
        <v>42226</v>
      </c>
      <c r="C34" s="41">
        <f>IFERROR(__xludf.DUMMYFUNCTION("""COMPUTED_VALUE"""),42232.0)</f>
        <v>42232</v>
      </c>
      <c r="D34" s="39">
        <f>IFERROR(__xludf.DUMMYFUNCTION("""COMPUTED_VALUE"""),33.0)</f>
        <v>33</v>
      </c>
      <c r="E34" s="39">
        <f>IFERROR(__xludf.DUMMYFUNCTION("""COMPUTED_VALUE"""),11739.0)</f>
        <v>11739</v>
      </c>
    </row>
    <row r="35">
      <c r="A35" s="39" t="str">
        <f>IFERROR(__xludf.DUMMYFUNCTION("""COMPUTED_VALUE"""),"Mexico")</f>
        <v>Mexico</v>
      </c>
      <c r="B35" s="40">
        <f>IFERROR(__xludf.DUMMYFUNCTION("""COMPUTED_VALUE"""),42233.0)</f>
        <v>42233</v>
      </c>
      <c r="C35" s="41">
        <f>IFERROR(__xludf.DUMMYFUNCTION("""COMPUTED_VALUE"""),42239.0)</f>
        <v>42239</v>
      </c>
      <c r="D35" s="39">
        <f>IFERROR(__xludf.DUMMYFUNCTION("""COMPUTED_VALUE"""),34.0)</f>
        <v>34</v>
      </c>
      <c r="E35" s="39">
        <f>IFERROR(__xludf.DUMMYFUNCTION("""COMPUTED_VALUE"""),11670.0)</f>
        <v>11670</v>
      </c>
    </row>
    <row r="36">
      <c r="A36" s="39" t="str">
        <f>IFERROR(__xludf.DUMMYFUNCTION("""COMPUTED_VALUE"""),"Mexico")</f>
        <v>Mexico</v>
      </c>
      <c r="B36" s="40">
        <f>IFERROR(__xludf.DUMMYFUNCTION("""COMPUTED_VALUE"""),42240.0)</f>
        <v>42240</v>
      </c>
      <c r="C36" s="41">
        <f>IFERROR(__xludf.DUMMYFUNCTION("""COMPUTED_VALUE"""),42246.0)</f>
        <v>42246</v>
      </c>
      <c r="D36" s="39">
        <f>IFERROR(__xludf.DUMMYFUNCTION("""COMPUTED_VALUE"""),35.0)</f>
        <v>35</v>
      </c>
      <c r="E36" s="39">
        <f>IFERROR(__xludf.DUMMYFUNCTION("""COMPUTED_VALUE"""),11680.0)</f>
        <v>11680</v>
      </c>
    </row>
    <row r="37">
      <c r="A37" s="39" t="str">
        <f>IFERROR(__xludf.DUMMYFUNCTION("""COMPUTED_VALUE"""),"Mexico")</f>
        <v>Mexico</v>
      </c>
      <c r="B37" s="40">
        <f>IFERROR(__xludf.DUMMYFUNCTION("""COMPUTED_VALUE"""),42247.0)</f>
        <v>42247</v>
      </c>
      <c r="C37" s="41">
        <f>IFERROR(__xludf.DUMMYFUNCTION("""COMPUTED_VALUE"""),42253.0)</f>
        <v>42253</v>
      </c>
      <c r="D37" s="39">
        <f>IFERROR(__xludf.DUMMYFUNCTION("""COMPUTED_VALUE"""),36.0)</f>
        <v>36</v>
      </c>
      <c r="E37" s="39">
        <f>IFERROR(__xludf.DUMMYFUNCTION("""COMPUTED_VALUE"""),11668.0)</f>
        <v>11668</v>
      </c>
    </row>
    <row r="38">
      <c r="A38" s="39" t="str">
        <f>IFERROR(__xludf.DUMMYFUNCTION("""COMPUTED_VALUE"""),"Mexico")</f>
        <v>Mexico</v>
      </c>
      <c r="B38" s="40">
        <f>IFERROR(__xludf.DUMMYFUNCTION("""COMPUTED_VALUE"""),42254.0)</f>
        <v>42254</v>
      </c>
      <c r="C38" s="41">
        <f>IFERROR(__xludf.DUMMYFUNCTION("""COMPUTED_VALUE"""),42260.0)</f>
        <v>42260</v>
      </c>
      <c r="D38" s="39">
        <f>IFERROR(__xludf.DUMMYFUNCTION("""COMPUTED_VALUE"""),37.0)</f>
        <v>37</v>
      </c>
      <c r="E38" s="39">
        <f>IFERROR(__xludf.DUMMYFUNCTION("""COMPUTED_VALUE"""),11814.0)</f>
        <v>11814</v>
      </c>
    </row>
    <row r="39">
      <c r="A39" s="39" t="str">
        <f>IFERROR(__xludf.DUMMYFUNCTION("""COMPUTED_VALUE"""),"Mexico")</f>
        <v>Mexico</v>
      </c>
      <c r="B39" s="40">
        <f>IFERROR(__xludf.DUMMYFUNCTION("""COMPUTED_VALUE"""),42261.0)</f>
        <v>42261</v>
      </c>
      <c r="C39" s="41">
        <f>IFERROR(__xludf.DUMMYFUNCTION("""COMPUTED_VALUE"""),42267.0)</f>
        <v>42267</v>
      </c>
      <c r="D39" s="39">
        <f>IFERROR(__xludf.DUMMYFUNCTION("""COMPUTED_VALUE"""),38.0)</f>
        <v>38</v>
      </c>
      <c r="E39" s="39">
        <f>IFERROR(__xludf.DUMMYFUNCTION("""COMPUTED_VALUE"""),11957.0)</f>
        <v>11957</v>
      </c>
    </row>
    <row r="40">
      <c r="A40" s="39" t="str">
        <f>IFERROR(__xludf.DUMMYFUNCTION("""COMPUTED_VALUE"""),"Mexico")</f>
        <v>Mexico</v>
      </c>
      <c r="B40" s="40">
        <f>IFERROR(__xludf.DUMMYFUNCTION("""COMPUTED_VALUE"""),42268.0)</f>
        <v>42268</v>
      </c>
      <c r="C40" s="41">
        <f>IFERROR(__xludf.DUMMYFUNCTION("""COMPUTED_VALUE"""),42274.0)</f>
        <v>42274</v>
      </c>
      <c r="D40" s="39">
        <f>IFERROR(__xludf.DUMMYFUNCTION("""COMPUTED_VALUE"""),39.0)</f>
        <v>39</v>
      </c>
      <c r="E40" s="39">
        <f>IFERROR(__xludf.DUMMYFUNCTION("""COMPUTED_VALUE"""),11560.0)</f>
        <v>11560</v>
      </c>
    </row>
    <row r="41">
      <c r="A41" s="39" t="str">
        <f>IFERROR(__xludf.DUMMYFUNCTION("""COMPUTED_VALUE"""),"Mexico")</f>
        <v>Mexico</v>
      </c>
      <c r="B41" s="40">
        <f>IFERROR(__xludf.DUMMYFUNCTION("""COMPUTED_VALUE"""),42275.0)</f>
        <v>42275</v>
      </c>
      <c r="C41" s="41">
        <f>IFERROR(__xludf.DUMMYFUNCTION("""COMPUTED_VALUE"""),42281.0)</f>
        <v>42281</v>
      </c>
      <c r="D41" s="39">
        <f>IFERROR(__xludf.DUMMYFUNCTION("""COMPUTED_VALUE"""),40.0)</f>
        <v>40</v>
      </c>
      <c r="E41" s="39">
        <f>IFERROR(__xludf.DUMMYFUNCTION("""COMPUTED_VALUE"""),12484.0)</f>
        <v>12484</v>
      </c>
    </row>
    <row r="42">
      <c r="A42" s="39" t="str">
        <f>IFERROR(__xludf.DUMMYFUNCTION("""COMPUTED_VALUE"""),"Mexico")</f>
        <v>Mexico</v>
      </c>
      <c r="B42" s="40">
        <f>IFERROR(__xludf.DUMMYFUNCTION("""COMPUTED_VALUE"""),42282.0)</f>
        <v>42282</v>
      </c>
      <c r="C42" s="41">
        <f>IFERROR(__xludf.DUMMYFUNCTION("""COMPUTED_VALUE"""),42288.0)</f>
        <v>42288</v>
      </c>
      <c r="D42" s="39">
        <f>IFERROR(__xludf.DUMMYFUNCTION("""COMPUTED_VALUE"""),41.0)</f>
        <v>41</v>
      </c>
      <c r="E42" s="39">
        <f>IFERROR(__xludf.DUMMYFUNCTION("""COMPUTED_VALUE"""),12397.0)</f>
        <v>12397</v>
      </c>
    </row>
    <row r="43">
      <c r="A43" s="39" t="str">
        <f>IFERROR(__xludf.DUMMYFUNCTION("""COMPUTED_VALUE"""),"Mexico")</f>
        <v>Mexico</v>
      </c>
      <c r="B43" s="40">
        <f>IFERROR(__xludf.DUMMYFUNCTION("""COMPUTED_VALUE"""),42289.0)</f>
        <v>42289</v>
      </c>
      <c r="C43" s="41">
        <f>IFERROR(__xludf.DUMMYFUNCTION("""COMPUTED_VALUE"""),42295.0)</f>
        <v>42295</v>
      </c>
      <c r="D43" s="39">
        <f>IFERROR(__xludf.DUMMYFUNCTION("""COMPUTED_VALUE"""),42.0)</f>
        <v>42</v>
      </c>
      <c r="E43" s="39">
        <f>IFERROR(__xludf.DUMMYFUNCTION("""COMPUTED_VALUE"""),12063.0)</f>
        <v>12063</v>
      </c>
    </row>
    <row r="44">
      <c r="A44" s="39" t="str">
        <f>IFERROR(__xludf.DUMMYFUNCTION("""COMPUTED_VALUE"""),"Mexico")</f>
        <v>Mexico</v>
      </c>
      <c r="B44" s="40">
        <f>IFERROR(__xludf.DUMMYFUNCTION("""COMPUTED_VALUE"""),42296.0)</f>
        <v>42296</v>
      </c>
      <c r="C44" s="41">
        <f>IFERROR(__xludf.DUMMYFUNCTION("""COMPUTED_VALUE"""),42302.0)</f>
        <v>42302</v>
      </c>
      <c r="D44" s="39">
        <f>IFERROR(__xludf.DUMMYFUNCTION("""COMPUTED_VALUE"""),43.0)</f>
        <v>43</v>
      </c>
      <c r="E44" s="39">
        <f>IFERROR(__xludf.DUMMYFUNCTION("""COMPUTED_VALUE"""),12221.0)</f>
        <v>12221</v>
      </c>
    </row>
    <row r="45">
      <c r="A45" s="39" t="str">
        <f>IFERROR(__xludf.DUMMYFUNCTION("""COMPUTED_VALUE"""),"Mexico")</f>
        <v>Mexico</v>
      </c>
      <c r="B45" s="40">
        <f>IFERROR(__xludf.DUMMYFUNCTION("""COMPUTED_VALUE"""),42303.0)</f>
        <v>42303</v>
      </c>
      <c r="C45" s="41">
        <f>IFERROR(__xludf.DUMMYFUNCTION("""COMPUTED_VALUE"""),42309.0)</f>
        <v>42309</v>
      </c>
      <c r="D45" s="39">
        <f>IFERROR(__xludf.DUMMYFUNCTION("""COMPUTED_VALUE"""),44.0)</f>
        <v>44</v>
      </c>
      <c r="E45" s="39">
        <f>IFERROR(__xludf.DUMMYFUNCTION("""COMPUTED_VALUE"""),12153.0)</f>
        <v>12153</v>
      </c>
    </row>
    <row r="46">
      <c r="A46" s="39" t="str">
        <f>IFERROR(__xludf.DUMMYFUNCTION("""COMPUTED_VALUE"""),"Mexico")</f>
        <v>Mexico</v>
      </c>
      <c r="B46" s="40">
        <f>IFERROR(__xludf.DUMMYFUNCTION("""COMPUTED_VALUE"""),42310.0)</f>
        <v>42310</v>
      </c>
      <c r="C46" s="41">
        <f>IFERROR(__xludf.DUMMYFUNCTION("""COMPUTED_VALUE"""),42316.0)</f>
        <v>42316</v>
      </c>
      <c r="D46" s="39">
        <f>IFERROR(__xludf.DUMMYFUNCTION("""COMPUTED_VALUE"""),45.0)</f>
        <v>45</v>
      </c>
      <c r="E46" s="39">
        <f>IFERROR(__xludf.DUMMYFUNCTION("""COMPUTED_VALUE"""),12543.0)</f>
        <v>12543</v>
      </c>
    </row>
    <row r="47">
      <c r="A47" s="39" t="str">
        <f>IFERROR(__xludf.DUMMYFUNCTION("""COMPUTED_VALUE"""),"Mexico")</f>
        <v>Mexico</v>
      </c>
      <c r="B47" s="40">
        <f>IFERROR(__xludf.DUMMYFUNCTION("""COMPUTED_VALUE"""),42317.0)</f>
        <v>42317</v>
      </c>
      <c r="C47" s="41">
        <f>IFERROR(__xludf.DUMMYFUNCTION("""COMPUTED_VALUE"""),42323.0)</f>
        <v>42323</v>
      </c>
      <c r="D47" s="39">
        <f>IFERROR(__xludf.DUMMYFUNCTION("""COMPUTED_VALUE"""),46.0)</f>
        <v>46</v>
      </c>
      <c r="E47" s="39">
        <f>IFERROR(__xludf.DUMMYFUNCTION("""COMPUTED_VALUE"""),12217.0)</f>
        <v>12217</v>
      </c>
    </row>
    <row r="48">
      <c r="A48" s="39" t="str">
        <f>IFERROR(__xludf.DUMMYFUNCTION("""COMPUTED_VALUE"""),"Mexico")</f>
        <v>Mexico</v>
      </c>
      <c r="B48" s="40">
        <f>IFERROR(__xludf.DUMMYFUNCTION("""COMPUTED_VALUE"""),42324.0)</f>
        <v>42324</v>
      </c>
      <c r="C48" s="41">
        <f>IFERROR(__xludf.DUMMYFUNCTION("""COMPUTED_VALUE"""),42330.0)</f>
        <v>42330</v>
      </c>
      <c r="D48" s="39">
        <f>IFERROR(__xludf.DUMMYFUNCTION("""COMPUTED_VALUE"""),47.0)</f>
        <v>47</v>
      </c>
      <c r="E48" s="39">
        <f>IFERROR(__xludf.DUMMYFUNCTION("""COMPUTED_VALUE"""),12542.0)</f>
        <v>12542</v>
      </c>
    </row>
    <row r="49">
      <c r="A49" s="39" t="str">
        <f>IFERROR(__xludf.DUMMYFUNCTION("""COMPUTED_VALUE"""),"Mexico")</f>
        <v>Mexico</v>
      </c>
      <c r="B49" s="40">
        <f>IFERROR(__xludf.DUMMYFUNCTION("""COMPUTED_VALUE"""),42331.0)</f>
        <v>42331</v>
      </c>
      <c r="C49" s="41">
        <f>IFERROR(__xludf.DUMMYFUNCTION("""COMPUTED_VALUE"""),42337.0)</f>
        <v>42337</v>
      </c>
      <c r="D49" s="39">
        <f>IFERROR(__xludf.DUMMYFUNCTION("""COMPUTED_VALUE"""),48.0)</f>
        <v>48</v>
      </c>
      <c r="E49" s="39">
        <f>IFERROR(__xludf.DUMMYFUNCTION("""COMPUTED_VALUE"""),12597.0)</f>
        <v>12597</v>
      </c>
    </row>
    <row r="50">
      <c r="A50" s="39" t="str">
        <f>IFERROR(__xludf.DUMMYFUNCTION("""COMPUTED_VALUE"""),"Mexico")</f>
        <v>Mexico</v>
      </c>
      <c r="B50" s="40">
        <f>IFERROR(__xludf.DUMMYFUNCTION("""COMPUTED_VALUE"""),42338.0)</f>
        <v>42338</v>
      </c>
      <c r="C50" s="41">
        <f>IFERROR(__xludf.DUMMYFUNCTION("""COMPUTED_VALUE"""),42344.0)</f>
        <v>42344</v>
      </c>
      <c r="D50" s="39">
        <f>IFERROR(__xludf.DUMMYFUNCTION("""COMPUTED_VALUE"""),49.0)</f>
        <v>49</v>
      </c>
      <c r="E50" s="39">
        <f>IFERROR(__xludf.DUMMYFUNCTION("""COMPUTED_VALUE"""),12830.0)</f>
        <v>12830</v>
      </c>
    </row>
    <row r="51">
      <c r="A51" s="39" t="str">
        <f>IFERROR(__xludf.DUMMYFUNCTION("""COMPUTED_VALUE"""),"Mexico")</f>
        <v>Mexico</v>
      </c>
      <c r="B51" s="40">
        <f>IFERROR(__xludf.DUMMYFUNCTION("""COMPUTED_VALUE"""),42345.0)</f>
        <v>42345</v>
      </c>
      <c r="C51" s="41">
        <f>IFERROR(__xludf.DUMMYFUNCTION("""COMPUTED_VALUE"""),42351.0)</f>
        <v>42351</v>
      </c>
      <c r="D51" s="39">
        <f>IFERROR(__xludf.DUMMYFUNCTION("""COMPUTED_VALUE"""),50.0)</f>
        <v>50</v>
      </c>
      <c r="E51" s="39">
        <f>IFERROR(__xludf.DUMMYFUNCTION("""COMPUTED_VALUE"""),13526.0)</f>
        <v>13526</v>
      </c>
    </row>
    <row r="52">
      <c r="A52" s="39" t="str">
        <f>IFERROR(__xludf.DUMMYFUNCTION("""COMPUTED_VALUE"""),"Mexico")</f>
        <v>Mexico</v>
      </c>
      <c r="B52" s="40">
        <f>IFERROR(__xludf.DUMMYFUNCTION("""COMPUTED_VALUE"""),42352.0)</f>
        <v>42352</v>
      </c>
      <c r="C52" s="41">
        <f>IFERROR(__xludf.DUMMYFUNCTION("""COMPUTED_VALUE"""),42358.0)</f>
        <v>42358</v>
      </c>
      <c r="D52" s="39">
        <f>IFERROR(__xludf.DUMMYFUNCTION("""COMPUTED_VALUE"""),51.0)</f>
        <v>51</v>
      </c>
      <c r="E52" s="39">
        <f>IFERROR(__xludf.DUMMYFUNCTION("""COMPUTED_VALUE"""),13542.0)</f>
        <v>13542</v>
      </c>
    </row>
    <row r="53">
      <c r="A53" s="39" t="str">
        <f>IFERROR(__xludf.DUMMYFUNCTION("""COMPUTED_VALUE"""),"Mexico")</f>
        <v>Mexico</v>
      </c>
      <c r="B53" s="40">
        <f>IFERROR(__xludf.DUMMYFUNCTION("""COMPUTED_VALUE"""),42359.0)</f>
        <v>42359</v>
      </c>
      <c r="C53" s="41">
        <f>IFERROR(__xludf.DUMMYFUNCTION("""COMPUTED_VALUE"""),42365.0)</f>
        <v>42365</v>
      </c>
      <c r="D53" s="39">
        <f>IFERROR(__xludf.DUMMYFUNCTION("""COMPUTED_VALUE"""),52.0)</f>
        <v>52</v>
      </c>
      <c r="E53" s="39">
        <f>IFERROR(__xludf.DUMMYFUNCTION("""COMPUTED_VALUE"""),14351.0)</f>
        <v>14351</v>
      </c>
    </row>
    <row r="54">
      <c r="A54" s="39" t="str">
        <f>IFERROR(__xludf.DUMMYFUNCTION("""COMPUTED_VALUE"""),"Mexico")</f>
        <v>Mexico</v>
      </c>
      <c r="B54" s="40">
        <f>IFERROR(__xludf.DUMMYFUNCTION("""COMPUTED_VALUE"""),42366.0)</f>
        <v>42366</v>
      </c>
      <c r="C54" s="41">
        <f>IFERROR(__xludf.DUMMYFUNCTION("""COMPUTED_VALUE"""),42372.0)</f>
        <v>42372</v>
      </c>
      <c r="D54" s="39">
        <f>IFERROR(__xludf.DUMMYFUNCTION("""COMPUTED_VALUE"""),53.0)</f>
        <v>53</v>
      </c>
      <c r="E54" s="39">
        <f>IFERROR(__xludf.DUMMYFUNCTION("""COMPUTED_VALUE"""),14170.0)</f>
        <v>14170</v>
      </c>
    </row>
    <row r="55">
      <c r="A55" s="39" t="str">
        <f>IFERROR(__xludf.DUMMYFUNCTION("""COMPUTED_VALUE"""),"Mexico")</f>
        <v>Mexico</v>
      </c>
      <c r="B55" s="40">
        <f>IFERROR(__xludf.DUMMYFUNCTION("""COMPUTED_VALUE"""),42373.0)</f>
        <v>42373</v>
      </c>
      <c r="C55" s="41">
        <f>IFERROR(__xludf.DUMMYFUNCTION("""COMPUTED_VALUE"""),42379.0)</f>
        <v>42379</v>
      </c>
      <c r="D55" s="39">
        <f>IFERROR(__xludf.DUMMYFUNCTION("""COMPUTED_VALUE"""),1.0)</f>
        <v>1</v>
      </c>
      <c r="E55" s="39">
        <f>IFERROR(__xludf.DUMMYFUNCTION("""COMPUTED_VALUE"""),14299.0)</f>
        <v>14299</v>
      </c>
    </row>
    <row r="56">
      <c r="A56" s="39" t="str">
        <f>IFERROR(__xludf.DUMMYFUNCTION("""COMPUTED_VALUE"""),"Mexico")</f>
        <v>Mexico</v>
      </c>
      <c r="B56" s="40">
        <f>IFERROR(__xludf.DUMMYFUNCTION("""COMPUTED_VALUE"""),42380.0)</f>
        <v>42380</v>
      </c>
      <c r="C56" s="41">
        <f>IFERROR(__xludf.DUMMYFUNCTION("""COMPUTED_VALUE"""),42386.0)</f>
        <v>42386</v>
      </c>
      <c r="D56" s="39">
        <f>IFERROR(__xludf.DUMMYFUNCTION("""COMPUTED_VALUE"""),2.0)</f>
        <v>2</v>
      </c>
      <c r="E56" s="39">
        <f>IFERROR(__xludf.DUMMYFUNCTION("""COMPUTED_VALUE"""),14540.0)</f>
        <v>14540</v>
      </c>
    </row>
    <row r="57">
      <c r="A57" s="39" t="str">
        <f>IFERROR(__xludf.DUMMYFUNCTION("""COMPUTED_VALUE"""),"Mexico")</f>
        <v>Mexico</v>
      </c>
      <c r="B57" s="40">
        <f>IFERROR(__xludf.DUMMYFUNCTION("""COMPUTED_VALUE"""),42387.0)</f>
        <v>42387</v>
      </c>
      <c r="C57" s="41">
        <f>IFERROR(__xludf.DUMMYFUNCTION("""COMPUTED_VALUE"""),42393.0)</f>
        <v>42393</v>
      </c>
      <c r="D57" s="39">
        <f>IFERROR(__xludf.DUMMYFUNCTION("""COMPUTED_VALUE"""),3.0)</f>
        <v>3</v>
      </c>
      <c r="E57" s="39">
        <f>IFERROR(__xludf.DUMMYFUNCTION("""COMPUTED_VALUE"""),14557.0)</f>
        <v>14557</v>
      </c>
    </row>
    <row r="58">
      <c r="A58" s="39" t="str">
        <f>IFERROR(__xludf.DUMMYFUNCTION("""COMPUTED_VALUE"""),"Mexico")</f>
        <v>Mexico</v>
      </c>
      <c r="B58" s="40">
        <f>IFERROR(__xludf.DUMMYFUNCTION("""COMPUTED_VALUE"""),42394.0)</f>
        <v>42394</v>
      </c>
      <c r="C58" s="41">
        <f>IFERROR(__xludf.DUMMYFUNCTION("""COMPUTED_VALUE"""),42400.0)</f>
        <v>42400</v>
      </c>
      <c r="D58" s="39">
        <f>IFERROR(__xludf.DUMMYFUNCTION("""COMPUTED_VALUE"""),4.0)</f>
        <v>4</v>
      </c>
      <c r="E58" s="39">
        <f>IFERROR(__xludf.DUMMYFUNCTION("""COMPUTED_VALUE"""),14902.0)</f>
        <v>14902</v>
      </c>
    </row>
    <row r="59">
      <c r="A59" s="39" t="str">
        <f>IFERROR(__xludf.DUMMYFUNCTION("""COMPUTED_VALUE"""),"Mexico")</f>
        <v>Mexico</v>
      </c>
      <c r="B59" s="40">
        <f>IFERROR(__xludf.DUMMYFUNCTION("""COMPUTED_VALUE"""),42401.0)</f>
        <v>42401</v>
      </c>
      <c r="C59" s="41">
        <f>IFERROR(__xludf.DUMMYFUNCTION("""COMPUTED_VALUE"""),42407.0)</f>
        <v>42407</v>
      </c>
      <c r="D59" s="39">
        <f>IFERROR(__xludf.DUMMYFUNCTION("""COMPUTED_VALUE"""),5.0)</f>
        <v>5</v>
      </c>
      <c r="E59" s="39">
        <f>IFERROR(__xludf.DUMMYFUNCTION("""COMPUTED_VALUE"""),15160.0)</f>
        <v>15160</v>
      </c>
    </row>
    <row r="60">
      <c r="A60" s="39" t="str">
        <f>IFERROR(__xludf.DUMMYFUNCTION("""COMPUTED_VALUE"""),"Mexico")</f>
        <v>Mexico</v>
      </c>
      <c r="B60" s="40">
        <f>IFERROR(__xludf.DUMMYFUNCTION("""COMPUTED_VALUE"""),42408.0)</f>
        <v>42408</v>
      </c>
      <c r="C60" s="41">
        <f>IFERROR(__xludf.DUMMYFUNCTION("""COMPUTED_VALUE"""),42414.0)</f>
        <v>42414</v>
      </c>
      <c r="D60" s="39">
        <f>IFERROR(__xludf.DUMMYFUNCTION("""COMPUTED_VALUE"""),6.0)</f>
        <v>6</v>
      </c>
      <c r="E60" s="39">
        <f>IFERROR(__xludf.DUMMYFUNCTION("""COMPUTED_VALUE"""),15691.0)</f>
        <v>15691</v>
      </c>
    </row>
    <row r="61">
      <c r="A61" s="39" t="str">
        <f>IFERROR(__xludf.DUMMYFUNCTION("""COMPUTED_VALUE"""),"Mexico")</f>
        <v>Mexico</v>
      </c>
      <c r="B61" s="40">
        <f>IFERROR(__xludf.DUMMYFUNCTION("""COMPUTED_VALUE"""),42415.0)</f>
        <v>42415</v>
      </c>
      <c r="C61" s="41">
        <f>IFERROR(__xludf.DUMMYFUNCTION("""COMPUTED_VALUE"""),42421.0)</f>
        <v>42421</v>
      </c>
      <c r="D61" s="39">
        <f>IFERROR(__xludf.DUMMYFUNCTION("""COMPUTED_VALUE"""),7.0)</f>
        <v>7</v>
      </c>
      <c r="E61" s="39">
        <f>IFERROR(__xludf.DUMMYFUNCTION("""COMPUTED_VALUE"""),15725.0)</f>
        <v>15725</v>
      </c>
    </row>
    <row r="62">
      <c r="A62" s="39" t="str">
        <f>IFERROR(__xludf.DUMMYFUNCTION("""COMPUTED_VALUE"""),"Mexico")</f>
        <v>Mexico</v>
      </c>
      <c r="B62" s="40">
        <f>IFERROR(__xludf.DUMMYFUNCTION("""COMPUTED_VALUE"""),42422.0)</f>
        <v>42422</v>
      </c>
      <c r="C62" s="41">
        <f>IFERROR(__xludf.DUMMYFUNCTION("""COMPUTED_VALUE"""),42428.0)</f>
        <v>42428</v>
      </c>
      <c r="D62" s="39">
        <f>IFERROR(__xludf.DUMMYFUNCTION("""COMPUTED_VALUE"""),8.0)</f>
        <v>8</v>
      </c>
      <c r="E62" s="39">
        <f>IFERROR(__xludf.DUMMYFUNCTION("""COMPUTED_VALUE"""),15034.0)</f>
        <v>15034</v>
      </c>
    </row>
    <row r="63">
      <c r="A63" s="39" t="str">
        <f>IFERROR(__xludf.DUMMYFUNCTION("""COMPUTED_VALUE"""),"Mexico")</f>
        <v>Mexico</v>
      </c>
      <c r="B63" s="40">
        <f>IFERROR(__xludf.DUMMYFUNCTION("""COMPUTED_VALUE"""),42429.0)</f>
        <v>42429</v>
      </c>
      <c r="C63" s="41">
        <f>IFERROR(__xludf.DUMMYFUNCTION("""COMPUTED_VALUE"""),42435.0)</f>
        <v>42435</v>
      </c>
      <c r="D63" s="39">
        <f>IFERROR(__xludf.DUMMYFUNCTION("""COMPUTED_VALUE"""),9.0)</f>
        <v>9</v>
      </c>
      <c r="E63" s="39">
        <f>IFERROR(__xludf.DUMMYFUNCTION("""COMPUTED_VALUE"""),14797.0)</f>
        <v>14797</v>
      </c>
    </row>
    <row r="64">
      <c r="A64" s="39" t="str">
        <f>IFERROR(__xludf.DUMMYFUNCTION("""COMPUTED_VALUE"""),"Mexico")</f>
        <v>Mexico</v>
      </c>
      <c r="B64" s="40">
        <f>IFERROR(__xludf.DUMMYFUNCTION("""COMPUTED_VALUE"""),42436.0)</f>
        <v>42436</v>
      </c>
      <c r="C64" s="41">
        <f>IFERROR(__xludf.DUMMYFUNCTION("""COMPUTED_VALUE"""),42442.0)</f>
        <v>42442</v>
      </c>
      <c r="D64" s="39">
        <f>IFERROR(__xludf.DUMMYFUNCTION("""COMPUTED_VALUE"""),10.0)</f>
        <v>10</v>
      </c>
      <c r="E64" s="39">
        <f>IFERROR(__xludf.DUMMYFUNCTION("""COMPUTED_VALUE"""),14351.0)</f>
        <v>14351</v>
      </c>
    </row>
    <row r="65">
      <c r="A65" s="39" t="str">
        <f>IFERROR(__xludf.DUMMYFUNCTION("""COMPUTED_VALUE"""),"Mexico")</f>
        <v>Mexico</v>
      </c>
      <c r="B65" s="40">
        <f>IFERROR(__xludf.DUMMYFUNCTION("""COMPUTED_VALUE"""),42443.0)</f>
        <v>42443</v>
      </c>
      <c r="C65" s="41">
        <f>IFERROR(__xludf.DUMMYFUNCTION("""COMPUTED_VALUE"""),42449.0)</f>
        <v>42449</v>
      </c>
      <c r="D65" s="39">
        <f>IFERROR(__xludf.DUMMYFUNCTION("""COMPUTED_VALUE"""),11.0)</f>
        <v>11</v>
      </c>
      <c r="E65" s="39">
        <f>IFERROR(__xludf.DUMMYFUNCTION("""COMPUTED_VALUE"""),14025.0)</f>
        <v>14025</v>
      </c>
    </row>
    <row r="66">
      <c r="A66" s="39" t="str">
        <f>IFERROR(__xludf.DUMMYFUNCTION("""COMPUTED_VALUE"""),"Mexico")</f>
        <v>Mexico</v>
      </c>
      <c r="B66" s="40">
        <f>IFERROR(__xludf.DUMMYFUNCTION("""COMPUTED_VALUE"""),42450.0)</f>
        <v>42450</v>
      </c>
      <c r="C66" s="41">
        <f>IFERROR(__xludf.DUMMYFUNCTION("""COMPUTED_VALUE"""),42456.0)</f>
        <v>42456</v>
      </c>
      <c r="D66" s="39">
        <f>IFERROR(__xludf.DUMMYFUNCTION("""COMPUTED_VALUE"""),12.0)</f>
        <v>12</v>
      </c>
      <c r="E66" s="39">
        <f>IFERROR(__xludf.DUMMYFUNCTION("""COMPUTED_VALUE"""),13418.0)</f>
        <v>13418</v>
      </c>
    </row>
    <row r="67">
      <c r="A67" s="39" t="str">
        <f>IFERROR(__xludf.DUMMYFUNCTION("""COMPUTED_VALUE"""),"Mexico")</f>
        <v>Mexico</v>
      </c>
      <c r="B67" s="40">
        <f>IFERROR(__xludf.DUMMYFUNCTION("""COMPUTED_VALUE"""),42457.0)</f>
        <v>42457</v>
      </c>
      <c r="C67" s="41">
        <f>IFERROR(__xludf.DUMMYFUNCTION("""COMPUTED_VALUE"""),42463.0)</f>
        <v>42463</v>
      </c>
      <c r="D67" s="39">
        <f>IFERROR(__xludf.DUMMYFUNCTION("""COMPUTED_VALUE"""),13.0)</f>
        <v>13</v>
      </c>
      <c r="E67" s="39">
        <f>IFERROR(__xludf.DUMMYFUNCTION("""COMPUTED_VALUE"""),13411.0)</f>
        <v>13411</v>
      </c>
    </row>
    <row r="68">
      <c r="A68" s="39" t="str">
        <f>IFERROR(__xludf.DUMMYFUNCTION("""COMPUTED_VALUE"""),"Mexico")</f>
        <v>Mexico</v>
      </c>
      <c r="B68" s="40">
        <f>IFERROR(__xludf.DUMMYFUNCTION("""COMPUTED_VALUE"""),42464.0)</f>
        <v>42464</v>
      </c>
      <c r="C68" s="41">
        <f>IFERROR(__xludf.DUMMYFUNCTION("""COMPUTED_VALUE"""),42470.0)</f>
        <v>42470</v>
      </c>
      <c r="D68" s="39">
        <f>IFERROR(__xludf.DUMMYFUNCTION("""COMPUTED_VALUE"""),14.0)</f>
        <v>14</v>
      </c>
      <c r="E68" s="39">
        <f>IFERROR(__xludf.DUMMYFUNCTION("""COMPUTED_VALUE"""),12710.0)</f>
        <v>12710</v>
      </c>
    </row>
    <row r="69">
      <c r="A69" s="39" t="str">
        <f>IFERROR(__xludf.DUMMYFUNCTION("""COMPUTED_VALUE"""),"Mexico")</f>
        <v>Mexico</v>
      </c>
      <c r="B69" s="40">
        <f>IFERROR(__xludf.DUMMYFUNCTION("""COMPUTED_VALUE"""),42471.0)</f>
        <v>42471</v>
      </c>
      <c r="C69" s="41">
        <f>IFERROR(__xludf.DUMMYFUNCTION("""COMPUTED_VALUE"""),42477.0)</f>
        <v>42477</v>
      </c>
      <c r="D69" s="39">
        <f>IFERROR(__xludf.DUMMYFUNCTION("""COMPUTED_VALUE"""),15.0)</f>
        <v>15</v>
      </c>
      <c r="E69" s="39">
        <f>IFERROR(__xludf.DUMMYFUNCTION("""COMPUTED_VALUE"""),12422.0)</f>
        <v>12422</v>
      </c>
    </row>
    <row r="70">
      <c r="A70" s="39" t="str">
        <f>IFERROR(__xludf.DUMMYFUNCTION("""COMPUTED_VALUE"""),"Mexico")</f>
        <v>Mexico</v>
      </c>
      <c r="B70" s="40">
        <f>IFERROR(__xludf.DUMMYFUNCTION("""COMPUTED_VALUE"""),42478.0)</f>
        <v>42478</v>
      </c>
      <c r="C70" s="41">
        <f>IFERROR(__xludf.DUMMYFUNCTION("""COMPUTED_VALUE"""),42484.0)</f>
        <v>42484</v>
      </c>
      <c r="D70" s="39">
        <f>IFERROR(__xludf.DUMMYFUNCTION("""COMPUTED_VALUE"""),16.0)</f>
        <v>16</v>
      </c>
      <c r="E70" s="39">
        <f>IFERROR(__xludf.DUMMYFUNCTION("""COMPUTED_VALUE"""),11939.0)</f>
        <v>11939</v>
      </c>
    </row>
    <row r="71">
      <c r="A71" s="39" t="str">
        <f>IFERROR(__xludf.DUMMYFUNCTION("""COMPUTED_VALUE"""),"Mexico")</f>
        <v>Mexico</v>
      </c>
      <c r="B71" s="40">
        <f>IFERROR(__xludf.DUMMYFUNCTION("""COMPUTED_VALUE"""),42485.0)</f>
        <v>42485</v>
      </c>
      <c r="C71" s="41">
        <f>IFERROR(__xludf.DUMMYFUNCTION("""COMPUTED_VALUE"""),42491.0)</f>
        <v>42491</v>
      </c>
      <c r="D71" s="39">
        <f>IFERROR(__xludf.DUMMYFUNCTION("""COMPUTED_VALUE"""),17.0)</f>
        <v>17</v>
      </c>
      <c r="E71" s="39">
        <f>IFERROR(__xludf.DUMMYFUNCTION("""COMPUTED_VALUE"""),12481.0)</f>
        <v>12481</v>
      </c>
    </row>
    <row r="72">
      <c r="A72" s="39" t="str">
        <f>IFERROR(__xludf.DUMMYFUNCTION("""COMPUTED_VALUE"""),"Mexico")</f>
        <v>Mexico</v>
      </c>
      <c r="B72" s="40">
        <f>IFERROR(__xludf.DUMMYFUNCTION("""COMPUTED_VALUE"""),42492.0)</f>
        <v>42492</v>
      </c>
      <c r="C72" s="41">
        <f>IFERROR(__xludf.DUMMYFUNCTION("""COMPUTED_VALUE"""),42498.0)</f>
        <v>42498</v>
      </c>
      <c r="D72" s="39">
        <f>IFERROR(__xludf.DUMMYFUNCTION("""COMPUTED_VALUE"""),18.0)</f>
        <v>18</v>
      </c>
      <c r="E72" s="39">
        <f>IFERROR(__xludf.DUMMYFUNCTION("""COMPUTED_VALUE"""),12723.0)</f>
        <v>12723</v>
      </c>
    </row>
    <row r="73">
      <c r="A73" s="39" t="str">
        <f>IFERROR(__xludf.DUMMYFUNCTION("""COMPUTED_VALUE"""),"Mexico")</f>
        <v>Mexico</v>
      </c>
      <c r="B73" s="40">
        <f>IFERROR(__xludf.DUMMYFUNCTION("""COMPUTED_VALUE"""),42499.0)</f>
        <v>42499</v>
      </c>
      <c r="C73" s="41">
        <f>IFERROR(__xludf.DUMMYFUNCTION("""COMPUTED_VALUE"""),42505.0)</f>
        <v>42505</v>
      </c>
      <c r="D73" s="39">
        <f>IFERROR(__xludf.DUMMYFUNCTION("""COMPUTED_VALUE"""),19.0)</f>
        <v>19</v>
      </c>
      <c r="E73" s="39">
        <f>IFERROR(__xludf.DUMMYFUNCTION("""COMPUTED_VALUE"""),12478.0)</f>
        <v>12478</v>
      </c>
    </row>
    <row r="74">
      <c r="A74" s="39" t="str">
        <f>IFERROR(__xludf.DUMMYFUNCTION("""COMPUTED_VALUE"""),"Mexico")</f>
        <v>Mexico</v>
      </c>
      <c r="B74" s="40">
        <f>IFERROR(__xludf.DUMMYFUNCTION("""COMPUTED_VALUE"""),42506.0)</f>
        <v>42506</v>
      </c>
      <c r="C74" s="41">
        <f>IFERROR(__xludf.DUMMYFUNCTION("""COMPUTED_VALUE"""),42512.0)</f>
        <v>42512</v>
      </c>
      <c r="D74" s="39">
        <f>IFERROR(__xludf.DUMMYFUNCTION("""COMPUTED_VALUE"""),20.0)</f>
        <v>20</v>
      </c>
      <c r="E74" s="39">
        <f>IFERROR(__xludf.DUMMYFUNCTION("""COMPUTED_VALUE"""),12483.0)</f>
        <v>12483</v>
      </c>
    </row>
    <row r="75">
      <c r="A75" s="39" t="str">
        <f>IFERROR(__xludf.DUMMYFUNCTION("""COMPUTED_VALUE"""),"Mexico")</f>
        <v>Mexico</v>
      </c>
      <c r="B75" s="40">
        <f>IFERROR(__xludf.DUMMYFUNCTION("""COMPUTED_VALUE"""),42513.0)</f>
        <v>42513</v>
      </c>
      <c r="C75" s="41">
        <f>IFERROR(__xludf.DUMMYFUNCTION("""COMPUTED_VALUE"""),42519.0)</f>
        <v>42519</v>
      </c>
      <c r="D75" s="39">
        <f>IFERROR(__xludf.DUMMYFUNCTION("""COMPUTED_VALUE"""),21.0)</f>
        <v>21</v>
      </c>
      <c r="E75" s="39">
        <f>IFERROR(__xludf.DUMMYFUNCTION("""COMPUTED_VALUE"""),13019.0)</f>
        <v>13019</v>
      </c>
    </row>
    <row r="76">
      <c r="A76" s="39" t="str">
        <f>IFERROR(__xludf.DUMMYFUNCTION("""COMPUTED_VALUE"""),"Mexico")</f>
        <v>Mexico</v>
      </c>
      <c r="B76" s="40">
        <f>IFERROR(__xludf.DUMMYFUNCTION("""COMPUTED_VALUE"""),42520.0)</f>
        <v>42520</v>
      </c>
      <c r="C76" s="41">
        <f>IFERROR(__xludf.DUMMYFUNCTION("""COMPUTED_VALUE"""),42526.0)</f>
        <v>42526</v>
      </c>
      <c r="D76" s="39">
        <f>IFERROR(__xludf.DUMMYFUNCTION("""COMPUTED_VALUE"""),22.0)</f>
        <v>22</v>
      </c>
      <c r="E76" s="39">
        <f>IFERROR(__xludf.DUMMYFUNCTION("""COMPUTED_VALUE"""),12222.0)</f>
        <v>12222</v>
      </c>
    </row>
    <row r="77">
      <c r="A77" s="39" t="str">
        <f>IFERROR(__xludf.DUMMYFUNCTION("""COMPUTED_VALUE"""),"Mexico")</f>
        <v>Mexico</v>
      </c>
      <c r="B77" s="40">
        <f>IFERROR(__xludf.DUMMYFUNCTION("""COMPUTED_VALUE"""),42527.0)</f>
        <v>42527</v>
      </c>
      <c r="C77" s="41">
        <f>IFERROR(__xludf.DUMMYFUNCTION("""COMPUTED_VALUE"""),42533.0)</f>
        <v>42533</v>
      </c>
      <c r="D77" s="39">
        <f>IFERROR(__xludf.DUMMYFUNCTION("""COMPUTED_VALUE"""),23.0)</f>
        <v>23</v>
      </c>
      <c r="E77" s="39">
        <f>IFERROR(__xludf.DUMMYFUNCTION("""COMPUTED_VALUE"""),12011.0)</f>
        <v>12011</v>
      </c>
    </row>
    <row r="78">
      <c r="A78" s="39" t="str">
        <f>IFERROR(__xludf.DUMMYFUNCTION("""COMPUTED_VALUE"""),"Mexico")</f>
        <v>Mexico</v>
      </c>
      <c r="B78" s="40">
        <f>IFERROR(__xludf.DUMMYFUNCTION("""COMPUTED_VALUE"""),42534.0)</f>
        <v>42534</v>
      </c>
      <c r="C78" s="41">
        <f>IFERROR(__xludf.DUMMYFUNCTION("""COMPUTED_VALUE"""),42540.0)</f>
        <v>42540</v>
      </c>
      <c r="D78" s="39">
        <f>IFERROR(__xludf.DUMMYFUNCTION("""COMPUTED_VALUE"""),24.0)</f>
        <v>24</v>
      </c>
      <c r="E78" s="39">
        <f>IFERROR(__xludf.DUMMYFUNCTION("""COMPUTED_VALUE"""),11994.0)</f>
        <v>11994</v>
      </c>
    </row>
    <row r="79">
      <c r="A79" s="39" t="str">
        <f>IFERROR(__xludf.DUMMYFUNCTION("""COMPUTED_VALUE"""),"Mexico")</f>
        <v>Mexico</v>
      </c>
      <c r="B79" s="40">
        <f>IFERROR(__xludf.DUMMYFUNCTION("""COMPUTED_VALUE"""),42541.0)</f>
        <v>42541</v>
      </c>
      <c r="C79" s="41">
        <f>IFERROR(__xludf.DUMMYFUNCTION("""COMPUTED_VALUE"""),42547.0)</f>
        <v>42547</v>
      </c>
      <c r="D79" s="39">
        <f>IFERROR(__xludf.DUMMYFUNCTION("""COMPUTED_VALUE"""),25.0)</f>
        <v>25</v>
      </c>
      <c r="E79" s="39">
        <f>IFERROR(__xludf.DUMMYFUNCTION("""COMPUTED_VALUE"""),12117.0)</f>
        <v>12117</v>
      </c>
    </row>
    <row r="80">
      <c r="A80" s="39" t="str">
        <f>IFERROR(__xludf.DUMMYFUNCTION("""COMPUTED_VALUE"""),"Mexico")</f>
        <v>Mexico</v>
      </c>
      <c r="B80" s="40">
        <f>IFERROR(__xludf.DUMMYFUNCTION("""COMPUTED_VALUE"""),42548.0)</f>
        <v>42548</v>
      </c>
      <c r="C80" s="41">
        <f>IFERROR(__xludf.DUMMYFUNCTION("""COMPUTED_VALUE"""),42554.0)</f>
        <v>42554</v>
      </c>
      <c r="D80" s="39">
        <f>IFERROR(__xludf.DUMMYFUNCTION("""COMPUTED_VALUE"""),26.0)</f>
        <v>26</v>
      </c>
      <c r="E80" s="39">
        <f>IFERROR(__xludf.DUMMYFUNCTION("""COMPUTED_VALUE"""),12203.0)</f>
        <v>12203</v>
      </c>
    </row>
    <row r="81">
      <c r="A81" s="39" t="str">
        <f>IFERROR(__xludf.DUMMYFUNCTION("""COMPUTED_VALUE"""),"Mexico")</f>
        <v>Mexico</v>
      </c>
      <c r="B81" s="40">
        <f>IFERROR(__xludf.DUMMYFUNCTION("""COMPUTED_VALUE"""),42555.0)</f>
        <v>42555</v>
      </c>
      <c r="C81" s="41">
        <f>IFERROR(__xludf.DUMMYFUNCTION("""COMPUTED_VALUE"""),42561.0)</f>
        <v>42561</v>
      </c>
      <c r="D81" s="39">
        <f>IFERROR(__xludf.DUMMYFUNCTION("""COMPUTED_VALUE"""),27.0)</f>
        <v>27</v>
      </c>
      <c r="E81" s="39">
        <f>IFERROR(__xludf.DUMMYFUNCTION("""COMPUTED_VALUE"""),12439.0)</f>
        <v>12439</v>
      </c>
    </row>
    <row r="82">
      <c r="A82" s="39" t="str">
        <f>IFERROR(__xludf.DUMMYFUNCTION("""COMPUTED_VALUE"""),"Mexico")</f>
        <v>Mexico</v>
      </c>
      <c r="B82" s="40">
        <f>IFERROR(__xludf.DUMMYFUNCTION("""COMPUTED_VALUE"""),42562.0)</f>
        <v>42562</v>
      </c>
      <c r="C82" s="41">
        <f>IFERROR(__xludf.DUMMYFUNCTION("""COMPUTED_VALUE"""),42568.0)</f>
        <v>42568</v>
      </c>
      <c r="D82" s="39">
        <f>IFERROR(__xludf.DUMMYFUNCTION("""COMPUTED_VALUE"""),28.0)</f>
        <v>28</v>
      </c>
      <c r="E82" s="39">
        <f>IFERROR(__xludf.DUMMYFUNCTION("""COMPUTED_VALUE"""),12241.0)</f>
        <v>12241</v>
      </c>
    </row>
    <row r="83">
      <c r="A83" s="39" t="str">
        <f>IFERROR(__xludf.DUMMYFUNCTION("""COMPUTED_VALUE"""),"Mexico")</f>
        <v>Mexico</v>
      </c>
      <c r="B83" s="40">
        <f>IFERROR(__xludf.DUMMYFUNCTION("""COMPUTED_VALUE"""),42569.0)</f>
        <v>42569</v>
      </c>
      <c r="C83" s="41">
        <f>IFERROR(__xludf.DUMMYFUNCTION("""COMPUTED_VALUE"""),42575.0)</f>
        <v>42575</v>
      </c>
      <c r="D83" s="39">
        <f>IFERROR(__xludf.DUMMYFUNCTION("""COMPUTED_VALUE"""),29.0)</f>
        <v>29</v>
      </c>
      <c r="E83" s="39">
        <f>IFERROR(__xludf.DUMMYFUNCTION("""COMPUTED_VALUE"""),12316.0)</f>
        <v>12316</v>
      </c>
    </row>
    <row r="84">
      <c r="A84" s="39" t="str">
        <f>IFERROR(__xludf.DUMMYFUNCTION("""COMPUTED_VALUE"""),"Mexico")</f>
        <v>Mexico</v>
      </c>
      <c r="B84" s="40">
        <f>IFERROR(__xludf.DUMMYFUNCTION("""COMPUTED_VALUE"""),42576.0)</f>
        <v>42576</v>
      </c>
      <c r="C84" s="41">
        <f>IFERROR(__xludf.DUMMYFUNCTION("""COMPUTED_VALUE"""),42582.0)</f>
        <v>42582</v>
      </c>
      <c r="D84" s="39">
        <f>IFERROR(__xludf.DUMMYFUNCTION("""COMPUTED_VALUE"""),30.0)</f>
        <v>30</v>
      </c>
      <c r="E84" s="39">
        <f>IFERROR(__xludf.DUMMYFUNCTION("""COMPUTED_VALUE"""),12141.0)</f>
        <v>12141</v>
      </c>
    </row>
    <row r="85">
      <c r="A85" s="39" t="str">
        <f>IFERROR(__xludf.DUMMYFUNCTION("""COMPUTED_VALUE"""),"Mexico")</f>
        <v>Mexico</v>
      </c>
      <c r="B85" s="40">
        <f>IFERROR(__xludf.DUMMYFUNCTION("""COMPUTED_VALUE"""),42583.0)</f>
        <v>42583</v>
      </c>
      <c r="C85" s="41">
        <f>IFERROR(__xludf.DUMMYFUNCTION("""COMPUTED_VALUE"""),42589.0)</f>
        <v>42589</v>
      </c>
      <c r="D85" s="39">
        <f>IFERROR(__xludf.DUMMYFUNCTION("""COMPUTED_VALUE"""),31.0)</f>
        <v>31</v>
      </c>
      <c r="E85" s="39">
        <f>IFERROR(__xludf.DUMMYFUNCTION("""COMPUTED_VALUE"""),12456.0)</f>
        <v>12456</v>
      </c>
    </row>
    <row r="86">
      <c r="A86" s="39" t="str">
        <f>IFERROR(__xludf.DUMMYFUNCTION("""COMPUTED_VALUE"""),"Mexico")</f>
        <v>Mexico</v>
      </c>
      <c r="B86" s="40">
        <f>IFERROR(__xludf.DUMMYFUNCTION("""COMPUTED_VALUE"""),42590.0)</f>
        <v>42590</v>
      </c>
      <c r="C86" s="41">
        <f>IFERROR(__xludf.DUMMYFUNCTION("""COMPUTED_VALUE"""),42596.0)</f>
        <v>42596</v>
      </c>
      <c r="D86" s="39">
        <f>IFERROR(__xludf.DUMMYFUNCTION("""COMPUTED_VALUE"""),32.0)</f>
        <v>32</v>
      </c>
      <c r="E86" s="39">
        <f>IFERROR(__xludf.DUMMYFUNCTION("""COMPUTED_VALUE"""),12173.0)</f>
        <v>12173</v>
      </c>
    </row>
    <row r="87">
      <c r="A87" s="39" t="str">
        <f>IFERROR(__xludf.DUMMYFUNCTION("""COMPUTED_VALUE"""),"Mexico")</f>
        <v>Mexico</v>
      </c>
      <c r="B87" s="40">
        <f>IFERROR(__xludf.DUMMYFUNCTION("""COMPUTED_VALUE"""),42597.0)</f>
        <v>42597</v>
      </c>
      <c r="C87" s="41">
        <f>IFERROR(__xludf.DUMMYFUNCTION("""COMPUTED_VALUE"""),42603.0)</f>
        <v>42603</v>
      </c>
      <c r="D87" s="39">
        <f>IFERROR(__xludf.DUMMYFUNCTION("""COMPUTED_VALUE"""),33.0)</f>
        <v>33</v>
      </c>
      <c r="E87" s="39">
        <f>IFERROR(__xludf.DUMMYFUNCTION("""COMPUTED_VALUE"""),12261.0)</f>
        <v>12261</v>
      </c>
    </row>
    <row r="88">
      <c r="A88" s="39" t="str">
        <f>IFERROR(__xludf.DUMMYFUNCTION("""COMPUTED_VALUE"""),"Mexico")</f>
        <v>Mexico</v>
      </c>
      <c r="B88" s="40">
        <f>IFERROR(__xludf.DUMMYFUNCTION("""COMPUTED_VALUE"""),42604.0)</f>
        <v>42604</v>
      </c>
      <c r="C88" s="41">
        <f>IFERROR(__xludf.DUMMYFUNCTION("""COMPUTED_VALUE"""),42610.0)</f>
        <v>42610</v>
      </c>
      <c r="D88" s="39">
        <f>IFERROR(__xludf.DUMMYFUNCTION("""COMPUTED_VALUE"""),34.0)</f>
        <v>34</v>
      </c>
      <c r="E88" s="39">
        <f>IFERROR(__xludf.DUMMYFUNCTION("""COMPUTED_VALUE"""),12245.0)</f>
        <v>12245</v>
      </c>
    </row>
    <row r="89">
      <c r="A89" s="39" t="str">
        <f>IFERROR(__xludf.DUMMYFUNCTION("""COMPUTED_VALUE"""),"Mexico")</f>
        <v>Mexico</v>
      </c>
      <c r="B89" s="40">
        <f>IFERROR(__xludf.DUMMYFUNCTION("""COMPUTED_VALUE"""),42611.0)</f>
        <v>42611</v>
      </c>
      <c r="C89" s="41">
        <f>IFERROR(__xludf.DUMMYFUNCTION("""COMPUTED_VALUE"""),42617.0)</f>
        <v>42617</v>
      </c>
      <c r="D89" s="39">
        <f>IFERROR(__xludf.DUMMYFUNCTION("""COMPUTED_VALUE"""),35.0)</f>
        <v>35</v>
      </c>
      <c r="E89" s="39">
        <f>IFERROR(__xludf.DUMMYFUNCTION("""COMPUTED_VALUE"""),12137.0)</f>
        <v>12137</v>
      </c>
    </row>
    <row r="90">
      <c r="A90" s="39" t="str">
        <f>IFERROR(__xludf.DUMMYFUNCTION("""COMPUTED_VALUE"""),"Mexico")</f>
        <v>Mexico</v>
      </c>
      <c r="B90" s="40">
        <f>IFERROR(__xludf.DUMMYFUNCTION("""COMPUTED_VALUE"""),42618.0)</f>
        <v>42618</v>
      </c>
      <c r="C90" s="41">
        <f>IFERROR(__xludf.DUMMYFUNCTION("""COMPUTED_VALUE"""),42624.0)</f>
        <v>42624</v>
      </c>
      <c r="D90" s="39">
        <f>IFERROR(__xludf.DUMMYFUNCTION("""COMPUTED_VALUE"""),36.0)</f>
        <v>36</v>
      </c>
      <c r="E90" s="39">
        <f>IFERROR(__xludf.DUMMYFUNCTION("""COMPUTED_VALUE"""),12285.0)</f>
        <v>12285</v>
      </c>
    </row>
    <row r="91">
      <c r="A91" s="39" t="str">
        <f>IFERROR(__xludf.DUMMYFUNCTION("""COMPUTED_VALUE"""),"Mexico")</f>
        <v>Mexico</v>
      </c>
      <c r="B91" s="40">
        <f>IFERROR(__xludf.DUMMYFUNCTION("""COMPUTED_VALUE"""),42625.0)</f>
        <v>42625</v>
      </c>
      <c r="C91" s="41">
        <f>IFERROR(__xludf.DUMMYFUNCTION("""COMPUTED_VALUE"""),42631.0)</f>
        <v>42631</v>
      </c>
      <c r="D91" s="39">
        <f>IFERROR(__xludf.DUMMYFUNCTION("""COMPUTED_VALUE"""),37.0)</f>
        <v>37</v>
      </c>
      <c r="E91" s="39">
        <f>IFERROR(__xludf.DUMMYFUNCTION("""COMPUTED_VALUE"""),12491.0)</f>
        <v>12491</v>
      </c>
    </row>
    <row r="92">
      <c r="A92" s="39" t="str">
        <f>IFERROR(__xludf.DUMMYFUNCTION("""COMPUTED_VALUE"""),"Mexico")</f>
        <v>Mexico</v>
      </c>
      <c r="B92" s="40">
        <f>IFERROR(__xludf.DUMMYFUNCTION("""COMPUTED_VALUE"""),42632.0)</f>
        <v>42632</v>
      </c>
      <c r="C92" s="41">
        <f>IFERROR(__xludf.DUMMYFUNCTION("""COMPUTED_VALUE"""),42638.0)</f>
        <v>42638</v>
      </c>
      <c r="D92" s="39">
        <f>IFERROR(__xludf.DUMMYFUNCTION("""COMPUTED_VALUE"""),38.0)</f>
        <v>38</v>
      </c>
      <c r="E92" s="39">
        <f>IFERROR(__xludf.DUMMYFUNCTION("""COMPUTED_VALUE"""),12203.0)</f>
        <v>12203</v>
      </c>
    </row>
    <row r="93">
      <c r="A93" s="39" t="str">
        <f>IFERROR(__xludf.DUMMYFUNCTION("""COMPUTED_VALUE"""),"Mexico")</f>
        <v>Mexico</v>
      </c>
      <c r="B93" s="40">
        <f>IFERROR(__xludf.DUMMYFUNCTION("""COMPUTED_VALUE"""),42639.0)</f>
        <v>42639</v>
      </c>
      <c r="C93" s="41">
        <f>IFERROR(__xludf.DUMMYFUNCTION("""COMPUTED_VALUE"""),42645.0)</f>
        <v>42645</v>
      </c>
      <c r="D93" s="39">
        <f>IFERROR(__xludf.DUMMYFUNCTION("""COMPUTED_VALUE"""),39.0)</f>
        <v>39</v>
      </c>
      <c r="E93" s="39">
        <f>IFERROR(__xludf.DUMMYFUNCTION("""COMPUTED_VALUE"""),12300.0)</f>
        <v>12300</v>
      </c>
    </row>
    <row r="94">
      <c r="A94" s="39" t="str">
        <f>IFERROR(__xludf.DUMMYFUNCTION("""COMPUTED_VALUE"""),"Mexico")</f>
        <v>Mexico</v>
      </c>
      <c r="B94" s="40">
        <f>IFERROR(__xludf.DUMMYFUNCTION("""COMPUTED_VALUE"""),42646.0)</f>
        <v>42646</v>
      </c>
      <c r="C94" s="41">
        <f>IFERROR(__xludf.DUMMYFUNCTION("""COMPUTED_VALUE"""),42652.0)</f>
        <v>42652</v>
      </c>
      <c r="D94" s="39">
        <f>IFERROR(__xludf.DUMMYFUNCTION("""COMPUTED_VALUE"""),40.0)</f>
        <v>40</v>
      </c>
      <c r="E94" s="39">
        <f>IFERROR(__xludf.DUMMYFUNCTION("""COMPUTED_VALUE"""),12500.0)</f>
        <v>12500</v>
      </c>
    </row>
    <row r="95">
      <c r="A95" s="39" t="str">
        <f>IFERROR(__xludf.DUMMYFUNCTION("""COMPUTED_VALUE"""),"Mexico")</f>
        <v>Mexico</v>
      </c>
      <c r="B95" s="40">
        <f>IFERROR(__xludf.DUMMYFUNCTION("""COMPUTED_VALUE"""),42653.0)</f>
        <v>42653</v>
      </c>
      <c r="C95" s="41">
        <f>IFERROR(__xludf.DUMMYFUNCTION("""COMPUTED_VALUE"""),42659.0)</f>
        <v>42659</v>
      </c>
      <c r="D95" s="39">
        <f>IFERROR(__xludf.DUMMYFUNCTION("""COMPUTED_VALUE"""),41.0)</f>
        <v>41</v>
      </c>
      <c r="E95" s="39">
        <f>IFERROR(__xludf.DUMMYFUNCTION("""COMPUTED_VALUE"""),12201.0)</f>
        <v>12201</v>
      </c>
    </row>
    <row r="96">
      <c r="A96" s="39" t="str">
        <f>IFERROR(__xludf.DUMMYFUNCTION("""COMPUTED_VALUE"""),"Mexico")</f>
        <v>Mexico</v>
      </c>
      <c r="B96" s="40">
        <f>IFERROR(__xludf.DUMMYFUNCTION("""COMPUTED_VALUE"""),42660.0)</f>
        <v>42660</v>
      </c>
      <c r="C96" s="41">
        <f>IFERROR(__xludf.DUMMYFUNCTION("""COMPUTED_VALUE"""),42666.0)</f>
        <v>42666</v>
      </c>
      <c r="D96" s="39">
        <f>IFERROR(__xludf.DUMMYFUNCTION("""COMPUTED_VALUE"""),42.0)</f>
        <v>42</v>
      </c>
      <c r="E96" s="39">
        <f>IFERROR(__xludf.DUMMYFUNCTION("""COMPUTED_VALUE"""),12365.0)</f>
        <v>12365</v>
      </c>
    </row>
    <row r="97">
      <c r="A97" s="39" t="str">
        <f>IFERROR(__xludf.DUMMYFUNCTION("""COMPUTED_VALUE"""),"Mexico")</f>
        <v>Mexico</v>
      </c>
      <c r="B97" s="40">
        <f>IFERROR(__xludf.DUMMYFUNCTION("""COMPUTED_VALUE"""),42667.0)</f>
        <v>42667</v>
      </c>
      <c r="C97" s="41">
        <f>IFERROR(__xludf.DUMMYFUNCTION("""COMPUTED_VALUE"""),42673.0)</f>
        <v>42673</v>
      </c>
      <c r="D97" s="39">
        <f>IFERROR(__xludf.DUMMYFUNCTION("""COMPUTED_VALUE"""),43.0)</f>
        <v>43</v>
      </c>
      <c r="E97" s="39">
        <f>IFERROR(__xludf.DUMMYFUNCTION("""COMPUTED_VALUE"""),12506.0)</f>
        <v>12506</v>
      </c>
    </row>
    <row r="98">
      <c r="A98" s="39" t="str">
        <f>IFERROR(__xludf.DUMMYFUNCTION("""COMPUTED_VALUE"""),"Mexico")</f>
        <v>Mexico</v>
      </c>
      <c r="B98" s="40">
        <f>IFERROR(__xludf.DUMMYFUNCTION("""COMPUTED_VALUE"""),42674.0)</f>
        <v>42674</v>
      </c>
      <c r="C98" s="41">
        <f>IFERROR(__xludf.DUMMYFUNCTION("""COMPUTED_VALUE"""),42680.0)</f>
        <v>42680</v>
      </c>
      <c r="D98" s="39">
        <f>IFERROR(__xludf.DUMMYFUNCTION("""COMPUTED_VALUE"""),44.0)</f>
        <v>44</v>
      </c>
      <c r="E98" s="39">
        <f>IFERROR(__xludf.DUMMYFUNCTION("""COMPUTED_VALUE"""),12735.0)</f>
        <v>12735</v>
      </c>
    </row>
    <row r="99">
      <c r="A99" s="39" t="str">
        <f>IFERROR(__xludf.DUMMYFUNCTION("""COMPUTED_VALUE"""),"Mexico")</f>
        <v>Mexico</v>
      </c>
      <c r="B99" s="40">
        <f>IFERROR(__xludf.DUMMYFUNCTION("""COMPUTED_VALUE"""),42681.0)</f>
        <v>42681</v>
      </c>
      <c r="C99" s="41">
        <f>IFERROR(__xludf.DUMMYFUNCTION("""COMPUTED_VALUE"""),42687.0)</f>
        <v>42687</v>
      </c>
      <c r="D99" s="39">
        <f>IFERROR(__xludf.DUMMYFUNCTION("""COMPUTED_VALUE"""),45.0)</f>
        <v>45</v>
      </c>
      <c r="E99" s="39">
        <f>IFERROR(__xludf.DUMMYFUNCTION("""COMPUTED_VALUE"""),12478.0)</f>
        <v>12478</v>
      </c>
    </row>
    <row r="100">
      <c r="A100" s="39" t="str">
        <f>IFERROR(__xludf.DUMMYFUNCTION("""COMPUTED_VALUE"""),"Mexico")</f>
        <v>Mexico</v>
      </c>
      <c r="B100" s="40">
        <f>IFERROR(__xludf.DUMMYFUNCTION("""COMPUTED_VALUE"""),42688.0)</f>
        <v>42688</v>
      </c>
      <c r="C100" s="41">
        <f>IFERROR(__xludf.DUMMYFUNCTION("""COMPUTED_VALUE"""),42694.0)</f>
        <v>42694</v>
      </c>
      <c r="D100" s="39">
        <f>IFERROR(__xludf.DUMMYFUNCTION("""COMPUTED_VALUE"""),46.0)</f>
        <v>46</v>
      </c>
      <c r="E100" s="39">
        <f>IFERROR(__xludf.DUMMYFUNCTION("""COMPUTED_VALUE"""),12837.0)</f>
        <v>12837</v>
      </c>
    </row>
    <row r="101">
      <c r="A101" s="39" t="str">
        <f>IFERROR(__xludf.DUMMYFUNCTION("""COMPUTED_VALUE"""),"Mexico")</f>
        <v>Mexico</v>
      </c>
      <c r="B101" s="40">
        <f>IFERROR(__xludf.DUMMYFUNCTION("""COMPUTED_VALUE"""),42695.0)</f>
        <v>42695</v>
      </c>
      <c r="C101" s="41">
        <f>IFERROR(__xludf.DUMMYFUNCTION("""COMPUTED_VALUE"""),42701.0)</f>
        <v>42701</v>
      </c>
      <c r="D101" s="39">
        <f>IFERROR(__xludf.DUMMYFUNCTION("""COMPUTED_VALUE"""),47.0)</f>
        <v>47</v>
      </c>
      <c r="E101" s="39">
        <f>IFERROR(__xludf.DUMMYFUNCTION("""COMPUTED_VALUE"""),13616.0)</f>
        <v>13616</v>
      </c>
    </row>
    <row r="102">
      <c r="A102" s="39" t="str">
        <f>IFERROR(__xludf.DUMMYFUNCTION("""COMPUTED_VALUE"""),"Mexico")</f>
        <v>Mexico</v>
      </c>
      <c r="B102" s="40">
        <f>IFERROR(__xludf.DUMMYFUNCTION("""COMPUTED_VALUE"""),42702.0)</f>
        <v>42702</v>
      </c>
      <c r="C102" s="41">
        <f>IFERROR(__xludf.DUMMYFUNCTION("""COMPUTED_VALUE"""),42708.0)</f>
        <v>42708</v>
      </c>
      <c r="D102" s="39">
        <f>IFERROR(__xludf.DUMMYFUNCTION("""COMPUTED_VALUE"""),48.0)</f>
        <v>48</v>
      </c>
      <c r="E102" s="39">
        <f>IFERROR(__xludf.DUMMYFUNCTION("""COMPUTED_VALUE"""),13678.0)</f>
        <v>13678</v>
      </c>
    </row>
    <row r="103">
      <c r="A103" s="39" t="str">
        <f>IFERROR(__xludf.DUMMYFUNCTION("""COMPUTED_VALUE"""),"Mexico")</f>
        <v>Mexico</v>
      </c>
      <c r="B103" s="40">
        <f>IFERROR(__xludf.DUMMYFUNCTION("""COMPUTED_VALUE"""),42709.0)</f>
        <v>42709</v>
      </c>
      <c r="C103" s="41">
        <f>IFERROR(__xludf.DUMMYFUNCTION("""COMPUTED_VALUE"""),42715.0)</f>
        <v>42715</v>
      </c>
      <c r="D103" s="39">
        <f>IFERROR(__xludf.DUMMYFUNCTION("""COMPUTED_VALUE"""),49.0)</f>
        <v>49</v>
      </c>
      <c r="E103" s="39">
        <f>IFERROR(__xludf.DUMMYFUNCTION("""COMPUTED_VALUE"""),13396.0)</f>
        <v>13396</v>
      </c>
    </row>
    <row r="104">
      <c r="A104" s="39" t="str">
        <f>IFERROR(__xludf.DUMMYFUNCTION("""COMPUTED_VALUE"""),"Mexico")</f>
        <v>Mexico</v>
      </c>
      <c r="B104" s="40">
        <f>IFERROR(__xludf.DUMMYFUNCTION("""COMPUTED_VALUE"""),42716.0)</f>
        <v>42716</v>
      </c>
      <c r="C104" s="41">
        <f>IFERROR(__xludf.DUMMYFUNCTION("""COMPUTED_VALUE"""),42722.0)</f>
        <v>42722</v>
      </c>
      <c r="D104" s="39">
        <f>IFERROR(__xludf.DUMMYFUNCTION("""COMPUTED_VALUE"""),50.0)</f>
        <v>50</v>
      </c>
      <c r="E104" s="39">
        <f>IFERROR(__xludf.DUMMYFUNCTION("""COMPUTED_VALUE"""),13697.0)</f>
        <v>13697</v>
      </c>
    </row>
    <row r="105">
      <c r="A105" s="39" t="str">
        <f>IFERROR(__xludf.DUMMYFUNCTION("""COMPUTED_VALUE"""),"Mexico")</f>
        <v>Mexico</v>
      </c>
      <c r="B105" s="40">
        <f>IFERROR(__xludf.DUMMYFUNCTION("""COMPUTED_VALUE"""),42723.0)</f>
        <v>42723</v>
      </c>
      <c r="C105" s="41">
        <f>IFERROR(__xludf.DUMMYFUNCTION("""COMPUTED_VALUE"""),42729.0)</f>
        <v>42729</v>
      </c>
      <c r="D105" s="39">
        <f>IFERROR(__xludf.DUMMYFUNCTION("""COMPUTED_VALUE"""),51.0)</f>
        <v>51</v>
      </c>
      <c r="E105" s="39">
        <f>IFERROR(__xludf.DUMMYFUNCTION("""COMPUTED_VALUE"""),13784.0)</f>
        <v>13784</v>
      </c>
    </row>
    <row r="106">
      <c r="A106" s="39" t="str">
        <f>IFERROR(__xludf.DUMMYFUNCTION("""COMPUTED_VALUE"""),"Mexico")</f>
        <v>Mexico</v>
      </c>
      <c r="B106" s="40">
        <f>IFERROR(__xludf.DUMMYFUNCTION("""COMPUTED_VALUE"""),42730.0)</f>
        <v>42730</v>
      </c>
      <c r="C106" s="41">
        <f>IFERROR(__xludf.DUMMYFUNCTION("""COMPUTED_VALUE"""),42736.0)</f>
        <v>42736</v>
      </c>
      <c r="D106" s="39">
        <f>IFERROR(__xludf.DUMMYFUNCTION("""COMPUTED_VALUE"""),52.0)</f>
        <v>52</v>
      </c>
      <c r="E106" s="39">
        <f>IFERROR(__xludf.DUMMYFUNCTION("""COMPUTED_VALUE"""),14313.0)</f>
        <v>14313</v>
      </c>
    </row>
    <row r="107">
      <c r="A107" s="39" t="str">
        <f>IFERROR(__xludf.DUMMYFUNCTION("""COMPUTED_VALUE"""),"Mexico")</f>
        <v>Mexico</v>
      </c>
      <c r="B107" s="40">
        <f>IFERROR(__xludf.DUMMYFUNCTION("""COMPUTED_VALUE"""),42737.0)</f>
        <v>42737</v>
      </c>
      <c r="C107" s="41">
        <f>IFERROR(__xludf.DUMMYFUNCTION("""COMPUTED_VALUE"""),42743.0)</f>
        <v>42743</v>
      </c>
      <c r="D107" s="39">
        <f>IFERROR(__xludf.DUMMYFUNCTION("""COMPUTED_VALUE"""),1.0)</f>
        <v>1</v>
      </c>
      <c r="E107" s="39">
        <f>IFERROR(__xludf.DUMMYFUNCTION("""COMPUTED_VALUE"""),14312.0)</f>
        <v>14312</v>
      </c>
    </row>
    <row r="108">
      <c r="A108" s="39" t="str">
        <f>IFERROR(__xludf.DUMMYFUNCTION("""COMPUTED_VALUE"""),"Mexico")</f>
        <v>Mexico</v>
      </c>
      <c r="B108" s="40">
        <f>IFERROR(__xludf.DUMMYFUNCTION("""COMPUTED_VALUE"""),42744.0)</f>
        <v>42744</v>
      </c>
      <c r="C108" s="41">
        <f>IFERROR(__xludf.DUMMYFUNCTION("""COMPUTED_VALUE"""),42750.0)</f>
        <v>42750</v>
      </c>
      <c r="D108" s="39">
        <f>IFERROR(__xludf.DUMMYFUNCTION("""COMPUTED_VALUE"""),2.0)</f>
        <v>2</v>
      </c>
      <c r="E108" s="39">
        <f>IFERROR(__xludf.DUMMYFUNCTION("""COMPUTED_VALUE"""),14583.0)</f>
        <v>14583</v>
      </c>
    </row>
    <row r="109">
      <c r="A109" s="39" t="str">
        <f>IFERROR(__xludf.DUMMYFUNCTION("""COMPUTED_VALUE"""),"Mexico")</f>
        <v>Mexico</v>
      </c>
      <c r="B109" s="40">
        <f>IFERROR(__xludf.DUMMYFUNCTION("""COMPUTED_VALUE"""),42751.0)</f>
        <v>42751</v>
      </c>
      <c r="C109" s="41">
        <f>IFERROR(__xludf.DUMMYFUNCTION("""COMPUTED_VALUE"""),42757.0)</f>
        <v>42757</v>
      </c>
      <c r="D109" s="39">
        <f>IFERROR(__xludf.DUMMYFUNCTION("""COMPUTED_VALUE"""),3.0)</f>
        <v>3</v>
      </c>
      <c r="E109" s="39">
        <f>IFERROR(__xludf.DUMMYFUNCTION("""COMPUTED_VALUE"""),14163.0)</f>
        <v>14163</v>
      </c>
    </row>
    <row r="110">
      <c r="A110" s="39" t="str">
        <f>IFERROR(__xludf.DUMMYFUNCTION("""COMPUTED_VALUE"""),"Mexico")</f>
        <v>Mexico</v>
      </c>
      <c r="B110" s="40">
        <f>IFERROR(__xludf.DUMMYFUNCTION("""COMPUTED_VALUE"""),42758.0)</f>
        <v>42758</v>
      </c>
      <c r="C110" s="41">
        <f>IFERROR(__xludf.DUMMYFUNCTION("""COMPUTED_VALUE"""),42764.0)</f>
        <v>42764</v>
      </c>
      <c r="D110" s="39">
        <f>IFERROR(__xludf.DUMMYFUNCTION("""COMPUTED_VALUE"""),4.0)</f>
        <v>4</v>
      </c>
      <c r="E110" s="39">
        <f>IFERROR(__xludf.DUMMYFUNCTION("""COMPUTED_VALUE"""),14118.0)</f>
        <v>14118</v>
      </c>
    </row>
    <row r="111">
      <c r="A111" s="39" t="str">
        <f>IFERROR(__xludf.DUMMYFUNCTION("""COMPUTED_VALUE"""),"Mexico")</f>
        <v>Mexico</v>
      </c>
      <c r="B111" s="40">
        <f>IFERROR(__xludf.DUMMYFUNCTION("""COMPUTED_VALUE"""),42765.0)</f>
        <v>42765</v>
      </c>
      <c r="C111" s="41">
        <f>IFERROR(__xludf.DUMMYFUNCTION("""COMPUTED_VALUE"""),42771.0)</f>
        <v>42771</v>
      </c>
      <c r="D111" s="39">
        <f>IFERROR(__xludf.DUMMYFUNCTION("""COMPUTED_VALUE"""),5.0)</f>
        <v>5</v>
      </c>
      <c r="E111" s="39">
        <f>IFERROR(__xludf.DUMMYFUNCTION("""COMPUTED_VALUE"""),14444.0)</f>
        <v>14444</v>
      </c>
    </row>
    <row r="112">
      <c r="A112" s="39" t="str">
        <f>IFERROR(__xludf.DUMMYFUNCTION("""COMPUTED_VALUE"""),"Mexico")</f>
        <v>Mexico</v>
      </c>
      <c r="B112" s="40">
        <f>IFERROR(__xludf.DUMMYFUNCTION("""COMPUTED_VALUE"""),42772.0)</f>
        <v>42772</v>
      </c>
      <c r="C112" s="41">
        <f>IFERROR(__xludf.DUMMYFUNCTION("""COMPUTED_VALUE"""),42778.0)</f>
        <v>42778</v>
      </c>
      <c r="D112" s="39">
        <f>IFERROR(__xludf.DUMMYFUNCTION("""COMPUTED_VALUE"""),6.0)</f>
        <v>6</v>
      </c>
      <c r="E112" s="39">
        <f>IFERROR(__xludf.DUMMYFUNCTION("""COMPUTED_VALUE"""),14330.0)</f>
        <v>14330</v>
      </c>
    </row>
    <row r="113">
      <c r="A113" s="39" t="str">
        <f>IFERROR(__xludf.DUMMYFUNCTION("""COMPUTED_VALUE"""),"Mexico")</f>
        <v>Mexico</v>
      </c>
      <c r="B113" s="40">
        <f>IFERROR(__xludf.DUMMYFUNCTION("""COMPUTED_VALUE"""),42779.0)</f>
        <v>42779</v>
      </c>
      <c r="C113" s="41">
        <f>IFERROR(__xludf.DUMMYFUNCTION("""COMPUTED_VALUE"""),42785.0)</f>
        <v>42785</v>
      </c>
      <c r="D113" s="39">
        <f>IFERROR(__xludf.DUMMYFUNCTION("""COMPUTED_VALUE"""),7.0)</f>
        <v>7</v>
      </c>
      <c r="E113" s="39">
        <f>IFERROR(__xludf.DUMMYFUNCTION("""COMPUTED_VALUE"""),14165.0)</f>
        <v>14165</v>
      </c>
    </row>
    <row r="114">
      <c r="A114" s="39" t="str">
        <f>IFERROR(__xludf.DUMMYFUNCTION("""COMPUTED_VALUE"""),"Mexico")</f>
        <v>Mexico</v>
      </c>
      <c r="B114" s="40">
        <f>IFERROR(__xludf.DUMMYFUNCTION("""COMPUTED_VALUE"""),42786.0)</f>
        <v>42786</v>
      </c>
      <c r="C114" s="41">
        <f>IFERROR(__xludf.DUMMYFUNCTION("""COMPUTED_VALUE"""),42792.0)</f>
        <v>42792</v>
      </c>
      <c r="D114" s="39">
        <f>IFERROR(__xludf.DUMMYFUNCTION("""COMPUTED_VALUE"""),8.0)</f>
        <v>8</v>
      </c>
      <c r="E114" s="39">
        <f>IFERROR(__xludf.DUMMYFUNCTION("""COMPUTED_VALUE"""),14278.0)</f>
        <v>14278</v>
      </c>
    </row>
    <row r="115">
      <c r="A115" s="39" t="str">
        <f>IFERROR(__xludf.DUMMYFUNCTION("""COMPUTED_VALUE"""),"Mexico")</f>
        <v>Mexico</v>
      </c>
      <c r="B115" s="40">
        <f>IFERROR(__xludf.DUMMYFUNCTION("""COMPUTED_VALUE"""),42793.0)</f>
        <v>42793</v>
      </c>
      <c r="C115" s="41">
        <f>IFERROR(__xludf.DUMMYFUNCTION("""COMPUTED_VALUE"""),42799.0)</f>
        <v>42799</v>
      </c>
      <c r="D115" s="39">
        <f>IFERROR(__xludf.DUMMYFUNCTION("""COMPUTED_VALUE"""),9.0)</f>
        <v>9</v>
      </c>
      <c r="E115" s="39">
        <f>IFERROR(__xludf.DUMMYFUNCTION("""COMPUTED_VALUE"""),14456.0)</f>
        <v>14456</v>
      </c>
    </row>
    <row r="116">
      <c r="A116" s="39" t="str">
        <f>IFERROR(__xludf.DUMMYFUNCTION("""COMPUTED_VALUE"""),"Mexico")</f>
        <v>Mexico</v>
      </c>
      <c r="B116" s="40">
        <f>IFERROR(__xludf.DUMMYFUNCTION("""COMPUTED_VALUE"""),42800.0)</f>
        <v>42800</v>
      </c>
      <c r="C116" s="41">
        <f>IFERROR(__xludf.DUMMYFUNCTION("""COMPUTED_VALUE"""),42806.0)</f>
        <v>42806</v>
      </c>
      <c r="D116" s="39">
        <f>IFERROR(__xludf.DUMMYFUNCTION("""COMPUTED_VALUE"""),10.0)</f>
        <v>10</v>
      </c>
      <c r="E116" s="39">
        <f>IFERROR(__xludf.DUMMYFUNCTION("""COMPUTED_VALUE"""),13844.0)</f>
        <v>13844</v>
      </c>
    </row>
    <row r="117">
      <c r="A117" s="39" t="str">
        <f>IFERROR(__xludf.DUMMYFUNCTION("""COMPUTED_VALUE"""),"Mexico")</f>
        <v>Mexico</v>
      </c>
      <c r="B117" s="40">
        <f>IFERROR(__xludf.DUMMYFUNCTION("""COMPUTED_VALUE"""),42807.0)</f>
        <v>42807</v>
      </c>
      <c r="C117" s="41">
        <f>IFERROR(__xludf.DUMMYFUNCTION("""COMPUTED_VALUE"""),42813.0)</f>
        <v>42813</v>
      </c>
      <c r="D117" s="39">
        <f>IFERROR(__xludf.DUMMYFUNCTION("""COMPUTED_VALUE"""),11.0)</f>
        <v>11</v>
      </c>
      <c r="E117" s="39">
        <f>IFERROR(__xludf.DUMMYFUNCTION("""COMPUTED_VALUE"""),13948.0)</f>
        <v>13948</v>
      </c>
    </row>
    <row r="118">
      <c r="A118" s="39" t="str">
        <f>IFERROR(__xludf.DUMMYFUNCTION("""COMPUTED_VALUE"""),"Mexico")</f>
        <v>Mexico</v>
      </c>
      <c r="B118" s="40">
        <f>IFERROR(__xludf.DUMMYFUNCTION("""COMPUTED_VALUE"""),42814.0)</f>
        <v>42814</v>
      </c>
      <c r="C118" s="41">
        <f>IFERROR(__xludf.DUMMYFUNCTION("""COMPUTED_VALUE"""),42820.0)</f>
        <v>42820</v>
      </c>
      <c r="D118" s="39">
        <f>IFERROR(__xludf.DUMMYFUNCTION("""COMPUTED_VALUE"""),12.0)</f>
        <v>12</v>
      </c>
      <c r="E118" s="39">
        <f>IFERROR(__xludf.DUMMYFUNCTION("""COMPUTED_VALUE"""),13878.0)</f>
        <v>13878</v>
      </c>
    </row>
    <row r="119">
      <c r="A119" s="39" t="str">
        <f>IFERROR(__xludf.DUMMYFUNCTION("""COMPUTED_VALUE"""),"Mexico")</f>
        <v>Mexico</v>
      </c>
      <c r="B119" s="40">
        <f>IFERROR(__xludf.DUMMYFUNCTION("""COMPUTED_VALUE"""),42821.0)</f>
        <v>42821</v>
      </c>
      <c r="C119" s="41">
        <f>IFERROR(__xludf.DUMMYFUNCTION("""COMPUTED_VALUE"""),42827.0)</f>
        <v>42827</v>
      </c>
      <c r="D119" s="39">
        <f>IFERROR(__xludf.DUMMYFUNCTION("""COMPUTED_VALUE"""),13.0)</f>
        <v>13</v>
      </c>
      <c r="E119" s="39">
        <f>IFERROR(__xludf.DUMMYFUNCTION("""COMPUTED_VALUE"""),13307.0)</f>
        <v>13307</v>
      </c>
    </row>
    <row r="120">
      <c r="A120" s="39" t="str">
        <f>IFERROR(__xludf.DUMMYFUNCTION("""COMPUTED_VALUE"""),"Mexico")</f>
        <v>Mexico</v>
      </c>
      <c r="B120" s="40">
        <f>IFERROR(__xludf.DUMMYFUNCTION("""COMPUTED_VALUE"""),42828.0)</f>
        <v>42828</v>
      </c>
      <c r="C120" s="41">
        <f>IFERROR(__xludf.DUMMYFUNCTION("""COMPUTED_VALUE"""),42834.0)</f>
        <v>42834</v>
      </c>
      <c r="D120" s="39">
        <f>IFERROR(__xludf.DUMMYFUNCTION("""COMPUTED_VALUE"""),14.0)</f>
        <v>14</v>
      </c>
      <c r="E120" s="39">
        <f>IFERROR(__xludf.DUMMYFUNCTION("""COMPUTED_VALUE"""),13470.0)</f>
        <v>13470</v>
      </c>
    </row>
    <row r="121">
      <c r="A121" s="39" t="str">
        <f>IFERROR(__xludf.DUMMYFUNCTION("""COMPUTED_VALUE"""),"Mexico")</f>
        <v>Mexico</v>
      </c>
      <c r="B121" s="40">
        <f>IFERROR(__xludf.DUMMYFUNCTION("""COMPUTED_VALUE"""),42835.0)</f>
        <v>42835</v>
      </c>
      <c r="C121" s="41">
        <f>IFERROR(__xludf.DUMMYFUNCTION("""COMPUTED_VALUE"""),42841.0)</f>
        <v>42841</v>
      </c>
      <c r="D121" s="39">
        <f>IFERROR(__xludf.DUMMYFUNCTION("""COMPUTED_VALUE"""),15.0)</f>
        <v>15</v>
      </c>
      <c r="E121" s="39">
        <f>IFERROR(__xludf.DUMMYFUNCTION("""COMPUTED_VALUE"""),13210.0)</f>
        <v>13210</v>
      </c>
    </row>
    <row r="122">
      <c r="A122" s="39" t="str">
        <f>IFERROR(__xludf.DUMMYFUNCTION("""COMPUTED_VALUE"""),"Mexico")</f>
        <v>Mexico</v>
      </c>
      <c r="B122" s="40">
        <f>IFERROR(__xludf.DUMMYFUNCTION("""COMPUTED_VALUE"""),42842.0)</f>
        <v>42842</v>
      </c>
      <c r="C122" s="41">
        <f>IFERROR(__xludf.DUMMYFUNCTION("""COMPUTED_VALUE"""),42848.0)</f>
        <v>42848</v>
      </c>
      <c r="D122" s="39">
        <f>IFERROR(__xludf.DUMMYFUNCTION("""COMPUTED_VALUE"""),16.0)</f>
        <v>16</v>
      </c>
      <c r="E122" s="39">
        <f>IFERROR(__xludf.DUMMYFUNCTION("""COMPUTED_VALUE"""),13212.0)</f>
        <v>13212</v>
      </c>
    </row>
    <row r="123">
      <c r="A123" s="39" t="str">
        <f>IFERROR(__xludf.DUMMYFUNCTION("""COMPUTED_VALUE"""),"Mexico")</f>
        <v>Mexico</v>
      </c>
      <c r="B123" s="40">
        <f>IFERROR(__xludf.DUMMYFUNCTION("""COMPUTED_VALUE"""),42849.0)</f>
        <v>42849</v>
      </c>
      <c r="C123" s="41">
        <f>IFERROR(__xludf.DUMMYFUNCTION("""COMPUTED_VALUE"""),42855.0)</f>
        <v>42855</v>
      </c>
      <c r="D123" s="39">
        <f>IFERROR(__xludf.DUMMYFUNCTION("""COMPUTED_VALUE"""),17.0)</f>
        <v>17</v>
      </c>
      <c r="E123" s="39">
        <f>IFERROR(__xludf.DUMMYFUNCTION("""COMPUTED_VALUE"""),13363.0)</f>
        <v>13363</v>
      </c>
    </row>
    <row r="124">
      <c r="A124" s="39" t="str">
        <f>IFERROR(__xludf.DUMMYFUNCTION("""COMPUTED_VALUE"""),"Mexico")</f>
        <v>Mexico</v>
      </c>
      <c r="B124" s="40">
        <f>IFERROR(__xludf.DUMMYFUNCTION("""COMPUTED_VALUE"""),42856.0)</f>
        <v>42856</v>
      </c>
      <c r="C124" s="41">
        <f>IFERROR(__xludf.DUMMYFUNCTION("""COMPUTED_VALUE"""),42862.0)</f>
        <v>42862</v>
      </c>
      <c r="D124" s="39">
        <f>IFERROR(__xludf.DUMMYFUNCTION("""COMPUTED_VALUE"""),18.0)</f>
        <v>18</v>
      </c>
      <c r="E124" s="39">
        <f>IFERROR(__xludf.DUMMYFUNCTION("""COMPUTED_VALUE"""),13016.0)</f>
        <v>13016</v>
      </c>
    </row>
    <row r="125">
      <c r="A125" s="39" t="str">
        <f>IFERROR(__xludf.DUMMYFUNCTION("""COMPUTED_VALUE"""),"Mexico")</f>
        <v>Mexico</v>
      </c>
      <c r="B125" s="40">
        <f>IFERROR(__xludf.DUMMYFUNCTION("""COMPUTED_VALUE"""),42863.0)</f>
        <v>42863</v>
      </c>
      <c r="C125" s="41">
        <f>IFERROR(__xludf.DUMMYFUNCTION("""COMPUTED_VALUE"""),42869.0)</f>
        <v>42869</v>
      </c>
      <c r="D125" s="39">
        <f>IFERROR(__xludf.DUMMYFUNCTION("""COMPUTED_VALUE"""),19.0)</f>
        <v>19</v>
      </c>
      <c r="E125" s="39">
        <f>IFERROR(__xludf.DUMMYFUNCTION("""COMPUTED_VALUE"""),12868.0)</f>
        <v>12868</v>
      </c>
    </row>
    <row r="126">
      <c r="A126" s="39" t="str">
        <f>IFERROR(__xludf.DUMMYFUNCTION("""COMPUTED_VALUE"""),"Mexico")</f>
        <v>Mexico</v>
      </c>
      <c r="B126" s="40">
        <f>IFERROR(__xludf.DUMMYFUNCTION("""COMPUTED_VALUE"""),42870.0)</f>
        <v>42870</v>
      </c>
      <c r="C126" s="41">
        <f>IFERROR(__xludf.DUMMYFUNCTION("""COMPUTED_VALUE"""),42876.0)</f>
        <v>42876</v>
      </c>
      <c r="D126" s="39">
        <f>IFERROR(__xludf.DUMMYFUNCTION("""COMPUTED_VALUE"""),20.0)</f>
        <v>20</v>
      </c>
      <c r="E126" s="39">
        <f>IFERROR(__xludf.DUMMYFUNCTION("""COMPUTED_VALUE"""),13361.0)</f>
        <v>13361</v>
      </c>
    </row>
    <row r="127">
      <c r="A127" s="39" t="str">
        <f>IFERROR(__xludf.DUMMYFUNCTION("""COMPUTED_VALUE"""),"Mexico")</f>
        <v>Mexico</v>
      </c>
      <c r="B127" s="40">
        <f>IFERROR(__xludf.DUMMYFUNCTION("""COMPUTED_VALUE"""),42877.0)</f>
        <v>42877</v>
      </c>
      <c r="C127" s="41">
        <f>IFERROR(__xludf.DUMMYFUNCTION("""COMPUTED_VALUE"""),42883.0)</f>
        <v>42883</v>
      </c>
      <c r="D127" s="39">
        <f>IFERROR(__xludf.DUMMYFUNCTION("""COMPUTED_VALUE"""),21.0)</f>
        <v>21</v>
      </c>
      <c r="E127" s="39">
        <f>IFERROR(__xludf.DUMMYFUNCTION("""COMPUTED_VALUE"""),13165.0)</f>
        <v>13165</v>
      </c>
    </row>
    <row r="128">
      <c r="A128" s="39" t="str">
        <f>IFERROR(__xludf.DUMMYFUNCTION("""COMPUTED_VALUE"""),"Mexico")</f>
        <v>Mexico</v>
      </c>
      <c r="B128" s="40">
        <f>IFERROR(__xludf.DUMMYFUNCTION("""COMPUTED_VALUE"""),42884.0)</f>
        <v>42884</v>
      </c>
      <c r="C128" s="41">
        <f>IFERROR(__xludf.DUMMYFUNCTION("""COMPUTED_VALUE"""),42890.0)</f>
        <v>42890</v>
      </c>
      <c r="D128" s="39">
        <f>IFERROR(__xludf.DUMMYFUNCTION("""COMPUTED_VALUE"""),22.0)</f>
        <v>22</v>
      </c>
      <c r="E128" s="39">
        <f>IFERROR(__xludf.DUMMYFUNCTION("""COMPUTED_VALUE"""),12510.0)</f>
        <v>12510</v>
      </c>
    </row>
    <row r="129">
      <c r="A129" s="39" t="str">
        <f>IFERROR(__xludf.DUMMYFUNCTION("""COMPUTED_VALUE"""),"Mexico")</f>
        <v>Mexico</v>
      </c>
      <c r="B129" s="40">
        <f>IFERROR(__xludf.DUMMYFUNCTION("""COMPUTED_VALUE"""),42891.0)</f>
        <v>42891</v>
      </c>
      <c r="C129" s="41">
        <f>IFERROR(__xludf.DUMMYFUNCTION("""COMPUTED_VALUE"""),42897.0)</f>
        <v>42897</v>
      </c>
      <c r="D129" s="39">
        <f>IFERROR(__xludf.DUMMYFUNCTION("""COMPUTED_VALUE"""),23.0)</f>
        <v>23</v>
      </c>
      <c r="E129" s="39">
        <f>IFERROR(__xludf.DUMMYFUNCTION("""COMPUTED_VALUE"""),12753.0)</f>
        <v>12753</v>
      </c>
    </row>
    <row r="130">
      <c r="A130" s="39" t="str">
        <f>IFERROR(__xludf.DUMMYFUNCTION("""COMPUTED_VALUE"""),"Mexico")</f>
        <v>Mexico</v>
      </c>
      <c r="B130" s="40">
        <f>IFERROR(__xludf.DUMMYFUNCTION("""COMPUTED_VALUE"""),42898.0)</f>
        <v>42898</v>
      </c>
      <c r="C130" s="41">
        <f>IFERROR(__xludf.DUMMYFUNCTION("""COMPUTED_VALUE"""),42904.0)</f>
        <v>42904</v>
      </c>
      <c r="D130" s="39">
        <f>IFERROR(__xludf.DUMMYFUNCTION("""COMPUTED_VALUE"""),24.0)</f>
        <v>24</v>
      </c>
      <c r="E130" s="39">
        <f>IFERROR(__xludf.DUMMYFUNCTION("""COMPUTED_VALUE"""),12724.0)</f>
        <v>12724</v>
      </c>
    </row>
    <row r="131">
      <c r="A131" s="39" t="str">
        <f>IFERROR(__xludf.DUMMYFUNCTION("""COMPUTED_VALUE"""),"Mexico")</f>
        <v>Mexico</v>
      </c>
      <c r="B131" s="40">
        <f>IFERROR(__xludf.DUMMYFUNCTION("""COMPUTED_VALUE"""),42905.0)</f>
        <v>42905</v>
      </c>
      <c r="C131" s="41">
        <f>IFERROR(__xludf.DUMMYFUNCTION("""COMPUTED_VALUE"""),42911.0)</f>
        <v>42911</v>
      </c>
      <c r="D131" s="39">
        <f>IFERROR(__xludf.DUMMYFUNCTION("""COMPUTED_VALUE"""),25.0)</f>
        <v>25</v>
      </c>
      <c r="E131" s="39">
        <f>IFERROR(__xludf.DUMMYFUNCTION("""COMPUTED_VALUE"""),13154.0)</f>
        <v>13154</v>
      </c>
    </row>
    <row r="132">
      <c r="A132" s="39" t="str">
        <f>IFERROR(__xludf.DUMMYFUNCTION("""COMPUTED_VALUE"""),"Mexico")</f>
        <v>Mexico</v>
      </c>
      <c r="B132" s="40">
        <f>IFERROR(__xludf.DUMMYFUNCTION("""COMPUTED_VALUE"""),42912.0)</f>
        <v>42912</v>
      </c>
      <c r="C132" s="41">
        <f>IFERROR(__xludf.DUMMYFUNCTION("""COMPUTED_VALUE"""),42918.0)</f>
        <v>42918</v>
      </c>
      <c r="D132" s="39">
        <f>IFERROR(__xludf.DUMMYFUNCTION("""COMPUTED_VALUE"""),26.0)</f>
        <v>26</v>
      </c>
      <c r="E132" s="39">
        <f>IFERROR(__xludf.DUMMYFUNCTION("""COMPUTED_VALUE"""),12736.0)</f>
        <v>12736</v>
      </c>
    </row>
    <row r="133">
      <c r="A133" s="39" t="str">
        <f>IFERROR(__xludf.DUMMYFUNCTION("""COMPUTED_VALUE"""),"Mexico")</f>
        <v>Mexico</v>
      </c>
      <c r="B133" s="40">
        <f>IFERROR(__xludf.DUMMYFUNCTION("""COMPUTED_VALUE"""),42919.0)</f>
        <v>42919</v>
      </c>
      <c r="C133" s="41">
        <f>IFERROR(__xludf.DUMMYFUNCTION("""COMPUTED_VALUE"""),42925.0)</f>
        <v>42925</v>
      </c>
      <c r="D133" s="39">
        <f>IFERROR(__xludf.DUMMYFUNCTION("""COMPUTED_VALUE"""),27.0)</f>
        <v>27</v>
      </c>
      <c r="E133" s="39">
        <f>IFERROR(__xludf.DUMMYFUNCTION("""COMPUTED_VALUE"""),12502.0)</f>
        <v>12502</v>
      </c>
    </row>
    <row r="134">
      <c r="A134" s="39" t="str">
        <f>IFERROR(__xludf.DUMMYFUNCTION("""COMPUTED_VALUE"""),"Mexico")</f>
        <v>Mexico</v>
      </c>
      <c r="B134" s="40">
        <f>IFERROR(__xludf.DUMMYFUNCTION("""COMPUTED_VALUE"""),42926.0)</f>
        <v>42926</v>
      </c>
      <c r="C134" s="41">
        <f>IFERROR(__xludf.DUMMYFUNCTION("""COMPUTED_VALUE"""),42932.0)</f>
        <v>42932</v>
      </c>
      <c r="D134" s="39">
        <f>IFERROR(__xludf.DUMMYFUNCTION("""COMPUTED_VALUE"""),28.0)</f>
        <v>28</v>
      </c>
      <c r="E134" s="39">
        <f>IFERROR(__xludf.DUMMYFUNCTION("""COMPUTED_VALUE"""),12822.0)</f>
        <v>12822</v>
      </c>
    </row>
    <row r="135">
      <c r="A135" s="39" t="str">
        <f>IFERROR(__xludf.DUMMYFUNCTION("""COMPUTED_VALUE"""),"Mexico")</f>
        <v>Mexico</v>
      </c>
      <c r="B135" s="40">
        <f>IFERROR(__xludf.DUMMYFUNCTION("""COMPUTED_VALUE"""),42933.0)</f>
        <v>42933</v>
      </c>
      <c r="C135" s="41">
        <f>IFERROR(__xludf.DUMMYFUNCTION("""COMPUTED_VALUE"""),42939.0)</f>
        <v>42939</v>
      </c>
      <c r="D135" s="39">
        <f>IFERROR(__xludf.DUMMYFUNCTION("""COMPUTED_VALUE"""),29.0)</f>
        <v>29</v>
      </c>
      <c r="E135" s="39">
        <f>IFERROR(__xludf.DUMMYFUNCTION("""COMPUTED_VALUE"""),12512.0)</f>
        <v>12512</v>
      </c>
    </row>
    <row r="136">
      <c r="A136" s="39" t="str">
        <f>IFERROR(__xludf.DUMMYFUNCTION("""COMPUTED_VALUE"""),"Mexico")</f>
        <v>Mexico</v>
      </c>
      <c r="B136" s="40">
        <f>IFERROR(__xludf.DUMMYFUNCTION("""COMPUTED_VALUE"""),42940.0)</f>
        <v>42940</v>
      </c>
      <c r="C136" s="41">
        <f>IFERROR(__xludf.DUMMYFUNCTION("""COMPUTED_VALUE"""),42946.0)</f>
        <v>42946</v>
      </c>
      <c r="D136" s="39">
        <f>IFERROR(__xludf.DUMMYFUNCTION("""COMPUTED_VALUE"""),30.0)</f>
        <v>30</v>
      </c>
      <c r="E136" s="39">
        <f>IFERROR(__xludf.DUMMYFUNCTION("""COMPUTED_VALUE"""),12923.0)</f>
        <v>12923</v>
      </c>
    </row>
    <row r="137">
      <c r="A137" s="39" t="str">
        <f>IFERROR(__xludf.DUMMYFUNCTION("""COMPUTED_VALUE"""),"Mexico")</f>
        <v>Mexico</v>
      </c>
      <c r="B137" s="40">
        <f>IFERROR(__xludf.DUMMYFUNCTION("""COMPUTED_VALUE"""),42947.0)</f>
        <v>42947</v>
      </c>
      <c r="C137" s="41">
        <f>IFERROR(__xludf.DUMMYFUNCTION("""COMPUTED_VALUE"""),42953.0)</f>
        <v>42953</v>
      </c>
      <c r="D137" s="39">
        <f>IFERROR(__xludf.DUMMYFUNCTION("""COMPUTED_VALUE"""),31.0)</f>
        <v>31</v>
      </c>
      <c r="E137" s="39">
        <f>IFERROR(__xludf.DUMMYFUNCTION("""COMPUTED_VALUE"""),12967.0)</f>
        <v>12967</v>
      </c>
    </row>
    <row r="138">
      <c r="A138" s="39" t="str">
        <f>IFERROR(__xludf.DUMMYFUNCTION("""COMPUTED_VALUE"""),"Mexico")</f>
        <v>Mexico</v>
      </c>
      <c r="B138" s="40">
        <f>IFERROR(__xludf.DUMMYFUNCTION("""COMPUTED_VALUE"""),42954.0)</f>
        <v>42954</v>
      </c>
      <c r="C138" s="41">
        <f>IFERROR(__xludf.DUMMYFUNCTION("""COMPUTED_VALUE"""),42960.0)</f>
        <v>42960</v>
      </c>
      <c r="D138" s="39">
        <f>IFERROR(__xludf.DUMMYFUNCTION("""COMPUTED_VALUE"""),32.0)</f>
        <v>32</v>
      </c>
      <c r="E138" s="39">
        <f>IFERROR(__xludf.DUMMYFUNCTION("""COMPUTED_VALUE"""),12464.0)</f>
        <v>12464</v>
      </c>
    </row>
    <row r="139">
      <c r="A139" s="39" t="str">
        <f>IFERROR(__xludf.DUMMYFUNCTION("""COMPUTED_VALUE"""),"Mexico")</f>
        <v>Mexico</v>
      </c>
      <c r="B139" s="40">
        <f>IFERROR(__xludf.DUMMYFUNCTION("""COMPUTED_VALUE"""),42961.0)</f>
        <v>42961</v>
      </c>
      <c r="C139" s="41">
        <f>IFERROR(__xludf.DUMMYFUNCTION("""COMPUTED_VALUE"""),42967.0)</f>
        <v>42967</v>
      </c>
      <c r="D139" s="39">
        <f>IFERROR(__xludf.DUMMYFUNCTION("""COMPUTED_VALUE"""),33.0)</f>
        <v>33</v>
      </c>
      <c r="E139" s="39">
        <f>IFERROR(__xludf.DUMMYFUNCTION("""COMPUTED_VALUE"""),12638.0)</f>
        <v>12638</v>
      </c>
    </row>
    <row r="140">
      <c r="A140" s="39" t="str">
        <f>IFERROR(__xludf.DUMMYFUNCTION("""COMPUTED_VALUE"""),"Mexico")</f>
        <v>Mexico</v>
      </c>
      <c r="B140" s="40">
        <f>IFERROR(__xludf.DUMMYFUNCTION("""COMPUTED_VALUE"""),42968.0)</f>
        <v>42968</v>
      </c>
      <c r="C140" s="41">
        <f>IFERROR(__xludf.DUMMYFUNCTION("""COMPUTED_VALUE"""),42974.0)</f>
        <v>42974</v>
      </c>
      <c r="D140" s="39">
        <f>IFERROR(__xludf.DUMMYFUNCTION("""COMPUTED_VALUE"""),34.0)</f>
        <v>34</v>
      </c>
      <c r="E140" s="39">
        <f>IFERROR(__xludf.DUMMYFUNCTION("""COMPUTED_VALUE"""),12432.0)</f>
        <v>12432</v>
      </c>
    </row>
    <row r="141">
      <c r="A141" s="39" t="str">
        <f>IFERROR(__xludf.DUMMYFUNCTION("""COMPUTED_VALUE"""),"Mexico")</f>
        <v>Mexico</v>
      </c>
      <c r="B141" s="40">
        <f>IFERROR(__xludf.DUMMYFUNCTION("""COMPUTED_VALUE"""),42975.0)</f>
        <v>42975</v>
      </c>
      <c r="C141" s="41">
        <f>IFERROR(__xludf.DUMMYFUNCTION("""COMPUTED_VALUE"""),42981.0)</f>
        <v>42981</v>
      </c>
      <c r="D141" s="39">
        <f>IFERROR(__xludf.DUMMYFUNCTION("""COMPUTED_VALUE"""),35.0)</f>
        <v>35</v>
      </c>
      <c r="E141" s="39">
        <f>IFERROR(__xludf.DUMMYFUNCTION("""COMPUTED_VALUE"""),12172.0)</f>
        <v>12172</v>
      </c>
    </row>
    <row r="142">
      <c r="A142" s="39" t="str">
        <f>IFERROR(__xludf.DUMMYFUNCTION("""COMPUTED_VALUE"""),"Mexico")</f>
        <v>Mexico</v>
      </c>
      <c r="B142" s="40">
        <f>IFERROR(__xludf.DUMMYFUNCTION("""COMPUTED_VALUE"""),42982.0)</f>
        <v>42982</v>
      </c>
      <c r="C142" s="41">
        <f>IFERROR(__xludf.DUMMYFUNCTION("""COMPUTED_VALUE"""),42988.0)</f>
        <v>42988</v>
      </c>
      <c r="D142" s="39">
        <f>IFERROR(__xludf.DUMMYFUNCTION("""COMPUTED_VALUE"""),36.0)</f>
        <v>36</v>
      </c>
      <c r="E142" s="39">
        <f>IFERROR(__xludf.DUMMYFUNCTION("""COMPUTED_VALUE"""),12933.0)</f>
        <v>12933</v>
      </c>
    </row>
    <row r="143">
      <c r="A143" s="39" t="str">
        <f>IFERROR(__xludf.DUMMYFUNCTION("""COMPUTED_VALUE"""),"Mexico")</f>
        <v>Mexico</v>
      </c>
      <c r="B143" s="40">
        <f>IFERROR(__xludf.DUMMYFUNCTION("""COMPUTED_VALUE"""),42989.0)</f>
        <v>42989</v>
      </c>
      <c r="C143" s="41">
        <f>IFERROR(__xludf.DUMMYFUNCTION("""COMPUTED_VALUE"""),42995.0)</f>
        <v>42995</v>
      </c>
      <c r="D143" s="39">
        <f>IFERROR(__xludf.DUMMYFUNCTION("""COMPUTED_VALUE"""),37.0)</f>
        <v>37</v>
      </c>
      <c r="E143" s="39">
        <f>IFERROR(__xludf.DUMMYFUNCTION("""COMPUTED_VALUE"""),13333.0)</f>
        <v>13333</v>
      </c>
    </row>
    <row r="144">
      <c r="A144" s="39" t="str">
        <f>IFERROR(__xludf.DUMMYFUNCTION("""COMPUTED_VALUE"""),"Mexico")</f>
        <v>Mexico</v>
      </c>
      <c r="B144" s="40">
        <f>IFERROR(__xludf.DUMMYFUNCTION("""COMPUTED_VALUE"""),42996.0)</f>
        <v>42996</v>
      </c>
      <c r="C144" s="41">
        <f>IFERROR(__xludf.DUMMYFUNCTION("""COMPUTED_VALUE"""),43002.0)</f>
        <v>43002</v>
      </c>
      <c r="D144" s="39">
        <f>IFERROR(__xludf.DUMMYFUNCTION("""COMPUTED_VALUE"""),38.0)</f>
        <v>38</v>
      </c>
      <c r="E144" s="39">
        <f>IFERROR(__xludf.DUMMYFUNCTION("""COMPUTED_VALUE"""),13164.0)</f>
        <v>13164</v>
      </c>
    </row>
    <row r="145">
      <c r="A145" s="39" t="str">
        <f>IFERROR(__xludf.DUMMYFUNCTION("""COMPUTED_VALUE"""),"Mexico")</f>
        <v>Mexico</v>
      </c>
      <c r="B145" s="40">
        <f>IFERROR(__xludf.DUMMYFUNCTION("""COMPUTED_VALUE"""),43003.0)</f>
        <v>43003</v>
      </c>
      <c r="C145" s="41">
        <f>IFERROR(__xludf.DUMMYFUNCTION("""COMPUTED_VALUE"""),43009.0)</f>
        <v>43009</v>
      </c>
      <c r="D145" s="39">
        <f>IFERROR(__xludf.DUMMYFUNCTION("""COMPUTED_VALUE"""),39.0)</f>
        <v>39</v>
      </c>
      <c r="E145" s="39">
        <f>IFERROR(__xludf.DUMMYFUNCTION("""COMPUTED_VALUE"""),12604.0)</f>
        <v>12604</v>
      </c>
    </row>
    <row r="146">
      <c r="A146" s="39" t="str">
        <f>IFERROR(__xludf.DUMMYFUNCTION("""COMPUTED_VALUE"""),"Mexico")</f>
        <v>Mexico</v>
      </c>
      <c r="B146" s="40">
        <f>IFERROR(__xludf.DUMMYFUNCTION("""COMPUTED_VALUE"""),43010.0)</f>
        <v>43010</v>
      </c>
      <c r="C146" s="41">
        <f>IFERROR(__xludf.DUMMYFUNCTION("""COMPUTED_VALUE"""),43016.0)</f>
        <v>43016</v>
      </c>
      <c r="D146" s="39">
        <f>IFERROR(__xludf.DUMMYFUNCTION("""COMPUTED_VALUE"""),40.0)</f>
        <v>40</v>
      </c>
      <c r="E146" s="39">
        <f>IFERROR(__xludf.DUMMYFUNCTION("""COMPUTED_VALUE"""),13026.0)</f>
        <v>13026</v>
      </c>
    </row>
    <row r="147">
      <c r="A147" s="39" t="str">
        <f>IFERROR(__xludf.DUMMYFUNCTION("""COMPUTED_VALUE"""),"Mexico")</f>
        <v>Mexico</v>
      </c>
      <c r="B147" s="40">
        <f>IFERROR(__xludf.DUMMYFUNCTION("""COMPUTED_VALUE"""),43017.0)</f>
        <v>43017</v>
      </c>
      <c r="C147" s="41">
        <f>IFERROR(__xludf.DUMMYFUNCTION("""COMPUTED_VALUE"""),43023.0)</f>
        <v>43023</v>
      </c>
      <c r="D147" s="39">
        <f>IFERROR(__xludf.DUMMYFUNCTION("""COMPUTED_VALUE"""),41.0)</f>
        <v>41</v>
      </c>
      <c r="E147" s="39">
        <f>IFERROR(__xludf.DUMMYFUNCTION("""COMPUTED_VALUE"""),13031.0)</f>
        <v>13031</v>
      </c>
    </row>
    <row r="148">
      <c r="A148" s="39" t="str">
        <f>IFERROR(__xludf.DUMMYFUNCTION("""COMPUTED_VALUE"""),"Mexico")</f>
        <v>Mexico</v>
      </c>
      <c r="B148" s="40">
        <f>IFERROR(__xludf.DUMMYFUNCTION("""COMPUTED_VALUE"""),43024.0)</f>
        <v>43024</v>
      </c>
      <c r="C148" s="41">
        <f>IFERROR(__xludf.DUMMYFUNCTION("""COMPUTED_VALUE"""),43030.0)</f>
        <v>43030</v>
      </c>
      <c r="D148" s="39">
        <f>IFERROR(__xludf.DUMMYFUNCTION("""COMPUTED_VALUE"""),42.0)</f>
        <v>42</v>
      </c>
      <c r="E148" s="39">
        <f>IFERROR(__xludf.DUMMYFUNCTION("""COMPUTED_VALUE"""),13390.0)</f>
        <v>13390</v>
      </c>
    </row>
    <row r="149">
      <c r="A149" s="39" t="str">
        <f>IFERROR(__xludf.DUMMYFUNCTION("""COMPUTED_VALUE"""),"Mexico")</f>
        <v>Mexico</v>
      </c>
      <c r="B149" s="40">
        <f>IFERROR(__xludf.DUMMYFUNCTION("""COMPUTED_VALUE"""),43031.0)</f>
        <v>43031</v>
      </c>
      <c r="C149" s="41">
        <f>IFERROR(__xludf.DUMMYFUNCTION("""COMPUTED_VALUE"""),43037.0)</f>
        <v>43037</v>
      </c>
      <c r="D149" s="39">
        <f>IFERROR(__xludf.DUMMYFUNCTION("""COMPUTED_VALUE"""),43.0)</f>
        <v>43</v>
      </c>
      <c r="E149" s="39">
        <f>IFERROR(__xludf.DUMMYFUNCTION("""COMPUTED_VALUE"""),13216.0)</f>
        <v>13216</v>
      </c>
    </row>
    <row r="150">
      <c r="A150" s="39" t="str">
        <f>IFERROR(__xludf.DUMMYFUNCTION("""COMPUTED_VALUE"""),"Mexico")</f>
        <v>Mexico</v>
      </c>
      <c r="B150" s="40">
        <f>IFERROR(__xludf.DUMMYFUNCTION("""COMPUTED_VALUE"""),43038.0)</f>
        <v>43038</v>
      </c>
      <c r="C150" s="41">
        <f>IFERROR(__xludf.DUMMYFUNCTION("""COMPUTED_VALUE"""),43044.0)</f>
        <v>43044</v>
      </c>
      <c r="D150" s="39">
        <f>IFERROR(__xludf.DUMMYFUNCTION("""COMPUTED_VALUE"""),44.0)</f>
        <v>44</v>
      </c>
      <c r="E150" s="39">
        <f>IFERROR(__xludf.DUMMYFUNCTION("""COMPUTED_VALUE"""),13538.0)</f>
        <v>13538</v>
      </c>
    </row>
    <row r="151">
      <c r="A151" s="39" t="str">
        <f>IFERROR(__xludf.DUMMYFUNCTION("""COMPUTED_VALUE"""),"Mexico")</f>
        <v>Mexico</v>
      </c>
      <c r="B151" s="40">
        <f>IFERROR(__xludf.DUMMYFUNCTION("""COMPUTED_VALUE"""),43045.0)</f>
        <v>43045</v>
      </c>
      <c r="C151" s="41">
        <f>IFERROR(__xludf.DUMMYFUNCTION("""COMPUTED_VALUE"""),43051.0)</f>
        <v>43051</v>
      </c>
      <c r="D151" s="39">
        <f>IFERROR(__xludf.DUMMYFUNCTION("""COMPUTED_VALUE"""),45.0)</f>
        <v>45</v>
      </c>
      <c r="E151" s="39">
        <f>IFERROR(__xludf.DUMMYFUNCTION("""COMPUTED_VALUE"""),13258.0)</f>
        <v>13258</v>
      </c>
    </row>
    <row r="152">
      <c r="A152" s="39" t="str">
        <f>IFERROR(__xludf.DUMMYFUNCTION("""COMPUTED_VALUE"""),"Mexico")</f>
        <v>Mexico</v>
      </c>
      <c r="B152" s="40">
        <f>IFERROR(__xludf.DUMMYFUNCTION("""COMPUTED_VALUE"""),43052.0)</f>
        <v>43052</v>
      </c>
      <c r="C152" s="41">
        <f>IFERROR(__xludf.DUMMYFUNCTION("""COMPUTED_VALUE"""),43058.0)</f>
        <v>43058</v>
      </c>
      <c r="D152" s="39">
        <f>IFERROR(__xludf.DUMMYFUNCTION("""COMPUTED_VALUE"""),46.0)</f>
        <v>46</v>
      </c>
      <c r="E152" s="39">
        <f>IFERROR(__xludf.DUMMYFUNCTION("""COMPUTED_VALUE"""),13197.0)</f>
        <v>13197</v>
      </c>
    </row>
    <row r="153">
      <c r="A153" s="39" t="str">
        <f>IFERROR(__xludf.DUMMYFUNCTION("""COMPUTED_VALUE"""),"Mexico")</f>
        <v>Mexico</v>
      </c>
      <c r="B153" s="40">
        <f>IFERROR(__xludf.DUMMYFUNCTION("""COMPUTED_VALUE"""),43059.0)</f>
        <v>43059</v>
      </c>
      <c r="C153" s="41">
        <f>IFERROR(__xludf.DUMMYFUNCTION("""COMPUTED_VALUE"""),43065.0)</f>
        <v>43065</v>
      </c>
      <c r="D153" s="39">
        <f>IFERROR(__xludf.DUMMYFUNCTION("""COMPUTED_VALUE"""),47.0)</f>
        <v>47</v>
      </c>
      <c r="E153" s="39">
        <f>IFERROR(__xludf.DUMMYFUNCTION("""COMPUTED_VALUE"""),13584.0)</f>
        <v>13584</v>
      </c>
    </row>
    <row r="154">
      <c r="A154" s="39" t="str">
        <f>IFERROR(__xludf.DUMMYFUNCTION("""COMPUTED_VALUE"""),"Mexico")</f>
        <v>Mexico</v>
      </c>
      <c r="B154" s="40">
        <f>IFERROR(__xludf.DUMMYFUNCTION("""COMPUTED_VALUE"""),43066.0)</f>
        <v>43066</v>
      </c>
      <c r="C154" s="41">
        <f>IFERROR(__xludf.DUMMYFUNCTION("""COMPUTED_VALUE"""),43072.0)</f>
        <v>43072</v>
      </c>
      <c r="D154" s="39">
        <f>IFERROR(__xludf.DUMMYFUNCTION("""COMPUTED_VALUE"""),48.0)</f>
        <v>48</v>
      </c>
      <c r="E154" s="39">
        <f>IFERROR(__xludf.DUMMYFUNCTION("""COMPUTED_VALUE"""),14233.0)</f>
        <v>14233</v>
      </c>
    </row>
    <row r="155">
      <c r="A155" s="39" t="str">
        <f>IFERROR(__xludf.DUMMYFUNCTION("""COMPUTED_VALUE"""),"Mexico")</f>
        <v>Mexico</v>
      </c>
      <c r="B155" s="40">
        <f>IFERROR(__xludf.DUMMYFUNCTION("""COMPUTED_VALUE"""),43073.0)</f>
        <v>43073</v>
      </c>
      <c r="C155" s="41">
        <f>IFERROR(__xludf.DUMMYFUNCTION("""COMPUTED_VALUE"""),43079.0)</f>
        <v>43079</v>
      </c>
      <c r="D155" s="39">
        <f>IFERROR(__xludf.DUMMYFUNCTION("""COMPUTED_VALUE"""),49.0)</f>
        <v>49</v>
      </c>
      <c r="E155" s="39">
        <f>IFERROR(__xludf.DUMMYFUNCTION("""COMPUTED_VALUE"""),14470.0)</f>
        <v>14470</v>
      </c>
    </row>
    <row r="156">
      <c r="A156" s="39" t="str">
        <f>IFERROR(__xludf.DUMMYFUNCTION("""COMPUTED_VALUE"""),"Mexico")</f>
        <v>Mexico</v>
      </c>
      <c r="B156" s="40">
        <f>IFERROR(__xludf.DUMMYFUNCTION("""COMPUTED_VALUE"""),43080.0)</f>
        <v>43080</v>
      </c>
      <c r="C156" s="41">
        <f>IFERROR(__xludf.DUMMYFUNCTION("""COMPUTED_VALUE"""),43086.0)</f>
        <v>43086</v>
      </c>
      <c r="D156" s="39">
        <f>IFERROR(__xludf.DUMMYFUNCTION("""COMPUTED_VALUE"""),50.0)</f>
        <v>50</v>
      </c>
      <c r="E156" s="39">
        <f>IFERROR(__xludf.DUMMYFUNCTION("""COMPUTED_VALUE"""),16334.0)</f>
        <v>16334</v>
      </c>
    </row>
    <row r="157">
      <c r="A157" s="39" t="str">
        <f>IFERROR(__xludf.DUMMYFUNCTION("""COMPUTED_VALUE"""),"Mexico")</f>
        <v>Mexico</v>
      </c>
      <c r="B157" s="40">
        <f>IFERROR(__xludf.DUMMYFUNCTION("""COMPUTED_VALUE"""),43087.0)</f>
        <v>43087</v>
      </c>
      <c r="C157" s="41">
        <f>IFERROR(__xludf.DUMMYFUNCTION("""COMPUTED_VALUE"""),43093.0)</f>
        <v>43093</v>
      </c>
      <c r="D157" s="39">
        <f>IFERROR(__xludf.DUMMYFUNCTION("""COMPUTED_VALUE"""),51.0)</f>
        <v>51</v>
      </c>
      <c r="E157" s="39">
        <f>IFERROR(__xludf.DUMMYFUNCTION("""COMPUTED_VALUE"""),15557.0)</f>
        <v>15557</v>
      </c>
    </row>
    <row r="158">
      <c r="A158" s="39" t="str">
        <f>IFERROR(__xludf.DUMMYFUNCTION("""COMPUTED_VALUE"""),"Mexico")</f>
        <v>Mexico</v>
      </c>
      <c r="B158" s="40">
        <f>IFERROR(__xludf.DUMMYFUNCTION("""COMPUTED_VALUE"""),43094.0)</f>
        <v>43094</v>
      </c>
      <c r="C158" s="41">
        <f>IFERROR(__xludf.DUMMYFUNCTION("""COMPUTED_VALUE"""),43100.0)</f>
        <v>43100</v>
      </c>
      <c r="D158" s="39">
        <f>IFERROR(__xludf.DUMMYFUNCTION("""COMPUTED_VALUE"""),52.0)</f>
        <v>52</v>
      </c>
      <c r="E158" s="39">
        <f>IFERROR(__xludf.DUMMYFUNCTION("""COMPUTED_VALUE"""),15492.0)</f>
        <v>15492</v>
      </c>
    </row>
    <row r="159">
      <c r="A159" s="39" t="str">
        <f>IFERROR(__xludf.DUMMYFUNCTION("""COMPUTED_VALUE"""),"Mexico")</f>
        <v>Mexico</v>
      </c>
      <c r="B159" s="40">
        <f>IFERROR(__xludf.DUMMYFUNCTION("""COMPUTED_VALUE"""),43101.0)</f>
        <v>43101</v>
      </c>
      <c r="C159" s="41">
        <f>IFERROR(__xludf.DUMMYFUNCTION("""COMPUTED_VALUE"""),43107.0)</f>
        <v>43107</v>
      </c>
      <c r="D159" s="39">
        <f>IFERROR(__xludf.DUMMYFUNCTION("""COMPUTED_VALUE"""),1.0)</f>
        <v>1</v>
      </c>
      <c r="E159" s="39">
        <f>IFERROR(__xludf.DUMMYFUNCTION("""COMPUTED_VALUE"""),16721.0)</f>
        <v>16721</v>
      </c>
    </row>
    <row r="160">
      <c r="A160" s="39" t="str">
        <f>IFERROR(__xludf.DUMMYFUNCTION("""COMPUTED_VALUE"""),"Mexico")</f>
        <v>Mexico</v>
      </c>
      <c r="B160" s="40">
        <f>IFERROR(__xludf.DUMMYFUNCTION("""COMPUTED_VALUE"""),43108.0)</f>
        <v>43108</v>
      </c>
      <c r="C160" s="41">
        <f>IFERROR(__xludf.DUMMYFUNCTION("""COMPUTED_VALUE"""),43114.0)</f>
        <v>43114</v>
      </c>
      <c r="D160" s="39">
        <f>IFERROR(__xludf.DUMMYFUNCTION("""COMPUTED_VALUE"""),2.0)</f>
        <v>2</v>
      </c>
      <c r="E160" s="39">
        <f>IFERROR(__xludf.DUMMYFUNCTION("""COMPUTED_VALUE"""),16170.0)</f>
        <v>16170</v>
      </c>
    </row>
    <row r="161">
      <c r="A161" s="39" t="str">
        <f>IFERROR(__xludf.DUMMYFUNCTION("""COMPUTED_VALUE"""),"Mexico")</f>
        <v>Mexico</v>
      </c>
      <c r="B161" s="40">
        <f>IFERROR(__xludf.DUMMYFUNCTION("""COMPUTED_VALUE"""),43115.0)</f>
        <v>43115</v>
      </c>
      <c r="C161" s="41">
        <f>IFERROR(__xludf.DUMMYFUNCTION("""COMPUTED_VALUE"""),43121.0)</f>
        <v>43121</v>
      </c>
      <c r="D161" s="39">
        <f>IFERROR(__xludf.DUMMYFUNCTION("""COMPUTED_VALUE"""),3.0)</f>
        <v>3</v>
      </c>
      <c r="E161" s="39">
        <f>IFERROR(__xludf.DUMMYFUNCTION("""COMPUTED_VALUE"""),16738.0)</f>
        <v>16738</v>
      </c>
    </row>
    <row r="162">
      <c r="A162" s="39" t="str">
        <f>IFERROR(__xludf.DUMMYFUNCTION("""COMPUTED_VALUE"""),"Mexico")</f>
        <v>Mexico</v>
      </c>
      <c r="B162" s="40">
        <f>IFERROR(__xludf.DUMMYFUNCTION("""COMPUTED_VALUE"""),43122.0)</f>
        <v>43122</v>
      </c>
      <c r="C162" s="41">
        <f>IFERROR(__xludf.DUMMYFUNCTION("""COMPUTED_VALUE"""),43128.0)</f>
        <v>43128</v>
      </c>
      <c r="D162" s="39">
        <f>IFERROR(__xludf.DUMMYFUNCTION("""COMPUTED_VALUE"""),4.0)</f>
        <v>4</v>
      </c>
      <c r="E162" s="39">
        <f>IFERROR(__xludf.DUMMYFUNCTION("""COMPUTED_VALUE"""),16041.0)</f>
        <v>16041</v>
      </c>
    </row>
    <row r="163">
      <c r="A163" s="39" t="str">
        <f>IFERROR(__xludf.DUMMYFUNCTION("""COMPUTED_VALUE"""),"Mexico")</f>
        <v>Mexico</v>
      </c>
      <c r="B163" s="40">
        <f>IFERROR(__xludf.DUMMYFUNCTION("""COMPUTED_VALUE"""),43129.0)</f>
        <v>43129</v>
      </c>
      <c r="C163" s="41">
        <f>IFERROR(__xludf.DUMMYFUNCTION("""COMPUTED_VALUE"""),43135.0)</f>
        <v>43135</v>
      </c>
      <c r="D163" s="39">
        <f>IFERROR(__xludf.DUMMYFUNCTION("""COMPUTED_VALUE"""),5.0)</f>
        <v>5</v>
      </c>
      <c r="E163" s="39">
        <f>IFERROR(__xludf.DUMMYFUNCTION("""COMPUTED_VALUE"""),15770.0)</f>
        <v>15770</v>
      </c>
    </row>
    <row r="164">
      <c r="A164" s="39" t="str">
        <f>IFERROR(__xludf.DUMMYFUNCTION("""COMPUTED_VALUE"""),"Mexico")</f>
        <v>Mexico</v>
      </c>
      <c r="B164" s="40">
        <f>IFERROR(__xludf.DUMMYFUNCTION("""COMPUTED_VALUE"""),43136.0)</f>
        <v>43136</v>
      </c>
      <c r="C164" s="41">
        <f>IFERROR(__xludf.DUMMYFUNCTION("""COMPUTED_VALUE"""),43142.0)</f>
        <v>43142</v>
      </c>
      <c r="D164" s="39">
        <f>IFERROR(__xludf.DUMMYFUNCTION("""COMPUTED_VALUE"""),6.0)</f>
        <v>6</v>
      </c>
      <c r="E164" s="39">
        <f>IFERROR(__xludf.DUMMYFUNCTION("""COMPUTED_VALUE"""),15306.0)</f>
        <v>15306</v>
      </c>
    </row>
    <row r="165">
      <c r="A165" s="39" t="str">
        <f>IFERROR(__xludf.DUMMYFUNCTION("""COMPUTED_VALUE"""),"Mexico")</f>
        <v>Mexico</v>
      </c>
      <c r="B165" s="40">
        <f>IFERROR(__xludf.DUMMYFUNCTION("""COMPUTED_VALUE"""),43143.0)</f>
        <v>43143</v>
      </c>
      <c r="C165" s="41">
        <f>IFERROR(__xludf.DUMMYFUNCTION("""COMPUTED_VALUE"""),43149.0)</f>
        <v>43149</v>
      </c>
      <c r="D165" s="39">
        <f>IFERROR(__xludf.DUMMYFUNCTION("""COMPUTED_VALUE"""),7.0)</f>
        <v>7</v>
      </c>
      <c r="E165" s="39">
        <f>IFERROR(__xludf.DUMMYFUNCTION("""COMPUTED_VALUE"""),14588.0)</f>
        <v>14588</v>
      </c>
    </row>
    <row r="166">
      <c r="A166" s="39" t="str">
        <f>IFERROR(__xludf.DUMMYFUNCTION("""COMPUTED_VALUE"""),"Mexico")</f>
        <v>Mexico</v>
      </c>
      <c r="B166" s="40">
        <f>IFERROR(__xludf.DUMMYFUNCTION("""COMPUTED_VALUE"""),43150.0)</f>
        <v>43150</v>
      </c>
      <c r="C166" s="41">
        <f>IFERROR(__xludf.DUMMYFUNCTION("""COMPUTED_VALUE"""),43156.0)</f>
        <v>43156</v>
      </c>
      <c r="D166" s="39">
        <f>IFERROR(__xludf.DUMMYFUNCTION("""COMPUTED_VALUE"""),8.0)</f>
        <v>8</v>
      </c>
      <c r="E166" s="39">
        <f>IFERROR(__xludf.DUMMYFUNCTION("""COMPUTED_VALUE"""),14199.0)</f>
        <v>14199</v>
      </c>
    </row>
    <row r="167">
      <c r="A167" s="39" t="str">
        <f>IFERROR(__xludf.DUMMYFUNCTION("""COMPUTED_VALUE"""),"Mexico")</f>
        <v>Mexico</v>
      </c>
      <c r="B167" s="40">
        <f>IFERROR(__xludf.DUMMYFUNCTION("""COMPUTED_VALUE"""),43157.0)</f>
        <v>43157</v>
      </c>
      <c r="C167" s="41">
        <f>IFERROR(__xludf.DUMMYFUNCTION("""COMPUTED_VALUE"""),43163.0)</f>
        <v>43163</v>
      </c>
      <c r="D167" s="39">
        <f>IFERROR(__xludf.DUMMYFUNCTION("""COMPUTED_VALUE"""),9.0)</f>
        <v>9</v>
      </c>
      <c r="E167" s="39">
        <f>IFERROR(__xludf.DUMMYFUNCTION("""COMPUTED_VALUE"""),14001.0)</f>
        <v>14001</v>
      </c>
    </row>
    <row r="168">
      <c r="A168" s="39" t="str">
        <f>IFERROR(__xludf.DUMMYFUNCTION("""COMPUTED_VALUE"""),"Mexico")</f>
        <v>Mexico</v>
      </c>
      <c r="B168" s="40">
        <f>IFERROR(__xludf.DUMMYFUNCTION("""COMPUTED_VALUE"""),43164.0)</f>
        <v>43164</v>
      </c>
      <c r="C168" s="41">
        <f>IFERROR(__xludf.DUMMYFUNCTION("""COMPUTED_VALUE"""),43170.0)</f>
        <v>43170</v>
      </c>
      <c r="D168" s="39">
        <f>IFERROR(__xludf.DUMMYFUNCTION("""COMPUTED_VALUE"""),10.0)</f>
        <v>10</v>
      </c>
      <c r="E168" s="39">
        <f>IFERROR(__xludf.DUMMYFUNCTION("""COMPUTED_VALUE"""),13552.0)</f>
        <v>13552</v>
      </c>
    </row>
    <row r="169">
      <c r="A169" s="39" t="str">
        <f>IFERROR(__xludf.DUMMYFUNCTION("""COMPUTED_VALUE"""),"Mexico")</f>
        <v>Mexico</v>
      </c>
      <c r="B169" s="40">
        <f>IFERROR(__xludf.DUMMYFUNCTION("""COMPUTED_VALUE"""),43171.0)</f>
        <v>43171</v>
      </c>
      <c r="C169" s="41">
        <f>IFERROR(__xludf.DUMMYFUNCTION("""COMPUTED_VALUE"""),43177.0)</f>
        <v>43177</v>
      </c>
      <c r="D169" s="39">
        <f>IFERROR(__xludf.DUMMYFUNCTION("""COMPUTED_VALUE"""),11.0)</f>
        <v>11</v>
      </c>
      <c r="E169" s="39">
        <f>IFERROR(__xludf.DUMMYFUNCTION("""COMPUTED_VALUE"""),13497.0)</f>
        <v>13497</v>
      </c>
    </row>
    <row r="170">
      <c r="A170" s="39" t="str">
        <f>IFERROR(__xludf.DUMMYFUNCTION("""COMPUTED_VALUE"""),"Mexico")</f>
        <v>Mexico</v>
      </c>
      <c r="B170" s="40">
        <f>IFERROR(__xludf.DUMMYFUNCTION("""COMPUTED_VALUE"""),43178.0)</f>
        <v>43178</v>
      </c>
      <c r="C170" s="41">
        <f>IFERROR(__xludf.DUMMYFUNCTION("""COMPUTED_VALUE"""),43184.0)</f>
        <v>43184</v>
      </c>
      <c r="D170" s="39">
        <f>IFERROR(__xludf.DUMMYFUNCTION("""COMPUTED_VALUE"""),12.0)</f>
        <v>12</v>
      </c>
      <c r="E170" s="39">
        <f>IFERROR(__xludf.DUMMYFUNCTION("""COMPUTED_VALUE"""),13254.0)</f>
        <v>13254</v>
      </c>
    </row>
    <row r="171">
      <c r="A171" s="39" t="str">
        <f>IFERROR(__xludf.DUMMYFUNCTION("""COMPUTED_VALUE"""),"Mexico")</f>
        <v>Mexico</v>
      </c>
      <c r="B171" s="40">
        <f>IFERROR(__xludf.DUMMYFUNCTION("""COMPUTED_VALUE"""),43185.0)</f>
        <v>43185</v>
      </c>
      <c r="C171" s="41">
        <f>IFERROR(__xludf.DUMMYFUNCTION("""COMPUTED_VALUE"""),43191.0)</f>
        <v>43191</v>
      </c>
      <c r="D171" s="39">
        <f>IFERROR(__xludf.DUMMYFUNCTION("""COMPUTED_VALUE"""),13.0)</f>
        <v>13</v>
      </c>
      <c r="E171" s="39">
        <f>IFERROR(__xludf.DUMMYFUNCTION("""COMPUTED_VALUE"""),13191.0)</f>
        <v>13191</v>
      </c>
    </row>
    <row r="172">
      <c r="A172" s="39" t="str">
        <f>IFERROR(__xludf.DUMMYFUNCTION("""COMPUTED_VALUE"""),"Mexico")</f>
        <v>Mexico</v>
      </c>
      <c r="B172" s="40">
        <f>IFERROR(__xludf.DUMMYFUNCTION("""COMPUTED_VALUE"""),43192.0)</f>
        <v>43192</v>
      </c>
      <c r="C172" s="41">
        <f>IFERROR(__xludf.DUMMYFUNCTION("""COMPUTED_VALUE"""),43198.0)</f>
        <v>43198</v>
      </c>
      <c r="D172" s="39">
        <f>IFERROR(__xludf.DUMMYFUNCTION("""COMPUTED_VALUE"""),14.0)</f>
        <v>14</v>
      </c>
      <c r="E172" s="39">
        <f>IFERROR(__xludf.DUMMYFUNCTION("""COMPUTED_VALUE"""),13577.0)</f>
        <v>13577</v>
      </c>
    </row>
    <row r="173">
      <c r="A173" s="39" t="str">
        <f>IFERROR(__xludf.DUMMYFUNCTION("""COMPUTED_VALUE"""),"Mexico")</f>
        <v>Mexico</v>
      </c>
      <c r="B173" s="40">
        <f>IFERROR(__xludf.DUMMYFUNCTION("""COMPUTED_VALUE"""),43199.0)</f>
        <v>43199</v>
      </c>
      <c r="C173" s="41">
        <f>IFERROR(__xludf.DUMMYFUNCTION("""COMPUTED_VALUE"""),43205.0)</f>
        <v>43205</v>
      </c>
      <c r="D173" s="39">
        <f>IFERROR(__xludf.DUMMYFUNCTION("""COMPUTED_VALUE"""),15.0)</f>
        <v>15</v>
      </c>
      <c r="E173" s="39">
        <f>IFERROR(__xludf.DUMMYFUNCTION("""COMPUTED_VALUE"""),12888.0)</f>
        <v>12888</v>
      </c>
    </row>
    <row r="174">
      <c r="A174" s="39" t="str">
        <f>IFERROR(__xludf.DUMMYFUNCTION("""COMPUTED_VALUE"""),"Mexico")</f>
        <v>Mexico</v>
      </c>
      <c r="B174" s="40">
        <f>IFERROR(__xludf.DUMMYFUNCTION("""COMPUTED_VALUE"""),43206.0)</f>
        <v>43206</v>
      </c>
      <c r="C174" s="41">
        <f>IFERROR(__xludf.DUMMYFUNCTION("""COMPUTED_VALUE"""),43212.0)</f>
        <v>43212</v>
      </c>
      <c r="D174" s="39">
        <f>IFERROR(__xludf.DUMMYFUNCTION("""COMPUTED_VALUE"""),16.0)</f>
        <v>16</v>
      </c>
      <c r="E174" s="39">
        <f>IFERROR(__xludf.DUMMYFUNCTION("""COMPUTED_VALUE"""),13080.0)</f>
        <v>13080</v>
      </c>
    </row>
    <row r="175">
      <c r="A175" s="39" t="str">
        <f>IFERROR(__xludf.DUMMYFUNCTION("""COMPUTED_VALUE"""),"Mexico")</f>
        <v>Mexico</v>
      </c>
      <c r="B175" s="40">
        <f>IFERROR(__xludf.DUMMYFUNCTION("""COMPUTED_VALUE"""),43213.0)</f>
        <v>43213</v>
      </c>
      <c r="C175" s="41">
        <f>IFERROR(__xludf.DUMMYFUNCTION("""COMPUTED_VALUE"""),43219.0)</f>
        <v>43219</v>
      </c>
      <c r="D175" s="39">
        <f>IFERROR(__xludf.DUMMYFUNCTION("""COMPUTED_VALUE"""),17.0)</f>
        <v>17</v>
      </c>
      <c r="E175" s="39">
        <f>IFERROR(__xludf.DUMMYFUNCTION("""COMPUTED_VALUE"""),12657.0)</f>
        <v>12657</v>
      </c>
    </row>
    <row r="176">
      <c r="A176" s="39" t="str">
        <f>IFERROR(__xludf.DUMMYFUNCTION("""COMPUTED_VALUE"""),"Mexico")</f>
        <v>Mexico</v>
      </c>
      <c r="B176" s="40">
        <f>IFERROR(__xludf.DUMMYFUNCTION("""COMPUTED_VALUE"""),43220.0)</f>
        <v>43220</v>
      </c>
      <c r="C176" s="41">
        <f>IFERROR(__xludf.DUMMYFUNCTION("""COMPUTED_VALUE"""),43226.0)</f>
        <v>43226</v>
      </c>
      <c r="D176" s="39">
        <f>IFERROR(__xludf.DUMMYFUNCTION("""COMPUTED_VALUE"""),18.0)</f>
        <v>18</v>
      </c>
      <c r="E176" s="39">
        <f>IFERROR(__xludf.DUMMYFUNCTION("""COMPUTED_VALUE"""),13040.0)</f>
        <v>13040</v>
      </c>
    </row>
    <row r="177">
      <c r="A177" s="39" t="str">
        <f>IFERROR(__xludf.DUMMYFUNCTION("""COMPUTED_VALUE"""),"Mexico")</f>
        <v>Mexico</v>
      </c>
      <c r="B177" s="40">
        <f>IFERROR(__xludf.DUMMYFUNCTION("""COMPUTED_VALUE"""),43227.0)</f>
        <v>43227</v>
      </c>
      <c r="C177" s="41">
        <f>IFERROR(__xludf.DUMMYFUNCTION("""COMPUTED_VALUE"""),43233.0)</f>
        <v>43233</v>
      </c>
      <c r="D177" s="39">
        <f>IFERROR(__xludf.DUMMYFUNCTION("""COMPUTED_VALUE"""),19.0)</f>
        <v>19</v>
      </c>
      <c r="E177" s="39">
        <f>IFERROR(__xludf.DUMMYFUNCTION("""COMPUTED_VALUE"""),12784.0)</f>
        <v>12784</v>
      </c>
    </row>
    <row r="178">
      <c r="A178" s="39" t="str">
        <f>IFERROR(__xludf.DUMMYFUNCTION("""COMPUTED_VALUE"""),"Mexico")</f>
        <v>Mexico</v>
      </c>
      <c r="B178" s="40">
        <f>IFERROR(__xludf.DUMMYFUNCTION("""COMPUTED_VALUE"""),43234.0)</f>
        <v>43234</v>
      </c>
      <c r="C178" s="41">
        <f>IFERROR(__xludf.DUMMYFUNCTION("""COMPUTED_VALUE"""),43240.0)</f>
        <v>43240</v>
      </c>
      <c r="D178" s="39">
        <f>IFERROR(__xludf.DUMMYFUNCTION("""COMPUTED_VALUE"""),20.0)</f>
        <v>20</v>
      </c>
      <c r="E178" s="39">
        <f>IFERROR(__xludf.DUMMYFUNCTION("""COMPUTED_VALUE"""),13172.0)</f>
        <v>13172</v>
      </c>
    </row>
    <row r="179">
      <c r="A179" s="39" t="str">
        <f>IFERROR(__xludf.DUMMYFUNCTION("""COMPUTED_VALUE"""),"Mexico")</f>
        <v>Mexico</v>
      </c>
      <c r="B179" s="40">
        <f>IFERROR(__xludf.DUMMYFUNCTION("""COMPUTED_VALUE"""),43241.0)</f>
        <v>43241</v>
      </c>
      <c r="C179" s="41">
        <f>IFERROR(__xludf.DUMMYFUNCTION("""COMPUTED_VALUE"""),43247.0)</f>
        <v>43247</v>
      </c>
      <c r="D179" s="39">
        <f>IFERROR(__xludf.DUMMYFUNCTION("""COMPUTED_VALUE"""),21.0)</f>
        <v>21</v>
      </c>
      <c r="E179" s="39">
        <f>IFERROR(__xludf.DUMMYFUNCTION("""COMPUTED_VALUE"""),13125.0)</f>
        <v>13125</v>
      </c>
    </row>
    <row r="180">
      <c r="A180" s="39" t="str">
        <f>IFERROR(__xludf.DUMMYFUNCTION("""COMPUTED_VALUE"""),"Mexico")</f>
        <v>Mexico</v>
      </c>
      <c r="B180" s="40">
        <f>IFERROR(__xludf.DUMMYFUNCTION("""COMPUTED_VALUE"""),43248.0)</f>
        <v>43248</v>
      </c>
      <c r="C180" s="41">
        <f>IFERROR(__xludf.DUMMYFUNCTION("""COMPUTED_VALUE"""),43254.0)</f>
        <v>43254</v>
      </c>
      <c r="D180" s="39">
        <f>IFERROR(__xludf.DUMMYFUNCTION("""COMPUTED_VALUE"""),22.0)</f>
        <v>22</v>
      </c>
      <c r="E180" s="39">
        <f>IFERROR(__xludf.DUMMYFUNCTION("""COMPUTED_VALUE"""),13567.0)</f>
        <v>13567</v>
      </c>
    </row>
    <row r="181">
      <c r="A181" s="39" t="str">
        <f>IFERROR(__xludf.DUMMYFUNCTION("""COMPUTED_VALUE"""),"Mexico")</f>
        <v>Mexico</v>
      </c>
      <c r="B181" s="40">
        <f>IFERROR(__xludf.DUMMYFUNCTION("""COMPUTED_VALUE"""),43255.0)</f>
        <v>43255</v>
      </c>
      <c r="C181" s="41">
        <f>IFERROR(__xludf.DUMMYFUNCTION("""COMPUTED_VALUE"""),43261.0)</f>
        <v>43261</v>
      </c>
      <c r="D181" s="39">
        <f>IFERROR(__xludf.DUMMYFUNCTION("""COMPUTED_VALUE"""),23.0)</f>
        <v>23</v>
      </c>
      <c r="E181" s="39">
        <f>IFERROR(__xludf.DUMMYFUNCTION("""COMPUTED_VALUE"""),13025.0)</f>
        <v>13025</v>
      </c>
    </row>
    <row r="182">
      <c r="A182" s="39" t="str">
        <f>IFERROR(__xludf.DUMMYFUNCTION("""COMPUTED_VALUE"""),"Mexico")</f>
        <v>Mexico</v>
      </c>
      <c r="B182" s="40">
        <f>IFERROR(__xludf.DUMMYFUNCTION("""COMPUTED_VALUE"""),43262.0)</f>
        <v>43262</v>
      </c>
      <c r="C182" s="41">
        <f>IFERROR(__xludf.DUMMYFUNCTION("""COMPUTED_VALUE"""),43268.0)</f>
        <v>43268</v>
      </c>
      <c r="D182" s="39">
        <f>IFERROR(__xludf.DUMMYFUNCTION("""COMPUTED_VALUE"""),24.0)</f>
        <v>24</v>
      </c>
      <c r="E182" s="39">
        <f>IFERROR(__xludf.DUMMYFUNCTION("""COMPUTED_VALUE"""),12451.0)</f>
        <v>12451</v>
      </c>
    </row>
    <row r="183">
      <c r="A183" s="39" t="str">
        <f>IFERROR(__xludf.DUMMYFUNCTION("""COMPUTED_VALUE"""),"Mexico")</f>
        <v>Mexico</v>
      </c>
      <c r="B183" s="40">
        <f>IFERROR(__xludf.DUMMYFUNCTION("""COMPUTED_VALUE"""),43269.0)</f>
        <v>43269</v>
      </c>
      <c r="C183" s="41">
        <f>IFERROR(__xludf.DUMMYFUNCTION("""COMPUTED_VALUE"""),43275.0)</f>
        <v>43275</v>
      </c>
      <c r="D183" s="39">
        <f>IFERROR(__xludf.DUMMYFUNCTION("""COMPUTED_VALUE"""),25.0)</f>
        <v>25</v>
      </c>
      <c r="E183" s="39">
        <f>IFERROR(__xludf.DUMMYFUNCTION("""COMPUTED_VALUE"""),12932.0)</f>
        <v>12932</v>
      </c>
    </row>
    <row r="184">
      <c r="A184" s="39" t="str">
        <f>IFERROR(__xludf.DUMMYFUNCTION("""COMPUTED_VALUE"""),"Mexico")</f>
        <v>Mexico</v>
      </c>
      <c r="B184" s="40">
        <f>IFERROR(__xludf.DUMMYFUNCTION("""COMPUTED_VALUE"""),43276.0)</f>
        <v>43276</v>
      </c>
      <c r="C184" s="41">
        <f>IFERROR(__xludf.DUMMYFUNCTION("""COMPUTED_VALUE"""),43282.0)</f>
        <v>43282</v>
      </c>
      <c r="D184" s="39">
        <f>IFERROR(__xludf.DUMMYFUNCTION("""COMPUTED_VALUE"""),26.0)</f>
        <v>26</v>
      </c>
      <c r="E184" s="39">
        <f>IFERROR(__xludf.DUMMYFUNCTION("""COMPUTED_VALUE"""),12610.0)</f>
        <v>12610</v>
      </c>
    </row>
    <row r="185">
      <c r="A185" s="39" t="str">
        <f>IFERROR(__xludf.DUMMYFUNCTION("""COMPUTED_VALUE"""),"Mexico")</f>
        <v>Mexico</v>
      </c>
      <c r="B185" s="40">
        <f>IFERROR(__xludf.DUMMYFUNCTION("""COMPUTED_VALUE"""),43283.0)</f>
        <v>43283</v>
      </c>
      <c r="C185" s="41">
        <f>IFERROR(__xludf.DUMMYFUNCTION("""COMPUTED_VALUE"""),43289.0)</f>
        <v>43289</v>
      </c>
      <c r="D185" s="39">
        <f>IFERROR(__xludf.DUMMYFUNCTION("""COMPUTED_VALUE"""),27.0)</f>
        <v>27</v>
      </c>
      <c r="E185" s="39">
        <f>IFERROR(__xludf.DUMMYFUNCTION("""COMPUTED_VALUE"""),12845.0)</f>
        <v>12845</v>
      </c>
    </row>
    <row r="186">
      <c r="A186" s="39" t="str">
        <f>IFERROR(__xludf.DUMMYFUNCTION("""COMPUTED_VALUE"""),"Mexico")</f>
        <v>Mexico</v>
      </c>
      <c r="B186" s="40">
        <f>IFERROR(__xludf.DUMMYFUNCTION("""COMPUTED_VALUE"""),43290.0)</f>
        <v>43290</v>
      </c>
      <c r="C186" s="41">
        <f>IFERROR(__xludf.DUMMYFUNCTION("""COMPUTED_VALUE"""),43296.0)</f>
        <v>43296</v>
      </c>
      <c r="D186" s="39">
        <f>IFERROR(__xludf.DUMMYFUNCTION("""COMPUTED_VALUE"""),28.0)</f>
        <v>28</v>
      </c>
      <c r="E186" s="39">
        <f>IFERROR(__xludf.DUMMYFUNCTION("""COMPUTED_VALUE"""),13114.0)</f>
        <v>13114</v>
      </c>
    </row>
    <row r="187">
      <c r="A187" s="39" t="str">
        <f>IFERROR(__xludf.DUMMYFUNCTION("""COMPUTED_VALUE"""),"Mexico")</f>
        <v>Mexico</v>
      </c>
      <c r="B187" s="40">
        <f>IFERROR(__xludf.DUMMYFUNCTION("""COMPUTED_VALUE"""),43297.0)</f>
        <v>43297</v>
      </c>
      <c r="C187" s="41">
        <f>IFERROR(__xludf.DUMMYFUNCTION("""COMPUTED_VALUE"""),43303.0)</f>
        <v>43303</v>
      </c>
      <c r="D187" s="39">
        <f>IFERROR(__xludf.DUMMYFUNCTION("""COMPUTED_VALUE"""),29.0)</f>
        <v>29</v>
      </c>
      <c r="E187" s="39">
        <f>IFERROR(__xludf.DUMMYFUNCTION("""COMPUTED_VALUE"""),13334.0)</f>
        <v>13334</v>
      </c>
    </row>
    <row r="188">
      <c r="A188" s="39" t="str">
        <f>IFERROR(__xludf.DUMMYFUNCTION("""COMPUTED_VALUE"""),"Mexico")</f>
        <v>Mexico</v>
      </c>
      <c r="B188" s="40">
        <f>IFERROR(__xludf.DUMMYFUNCTION("""COMPUTED_VALUE"""),43304.0)</f>
        <v>43304</v>
      </c>
      <c r="C188" s="41">
        <f>IFERROR(__xludf.DUMMYFUNCTION("""COMPUTED_VALUE"""),43310.0)</f>
        <v>43310</v>
      </c>
      <c r="D188" s="39">
        <f>IFERROR(__xludf.DUMMYFUNCTION("""COMPUTED_VALUE"""),30.0)</f>
        <v>30</v>
      </c>
      <c r="E188" s="39">
        <f>IFERROR(__xludf.DUMMYFUNCTION("""COMPUTED_VALUE"""),13455.0)</f>
        <v>13455</v>
      </c>
    </row>
    <row r="189">
      <c r="A189" s="39" t="str">
        <f>IFERROR(__xludf.DUMMYFUNCTION("""COMPUTED_VALUE"""),"Mexico")</f>
        <v>Mexico</v>
      </c>
      <c r="B189" s="40">
        <f>IFERROR(__xludf.DUMMYFUNCTION("""COMPUTED_VALUE"""),43311.0)</f>
        <v>43311</v>
      </c>
      <c r="C189" s="41">
        <f>IFERROR(__xludf.DUMMYFUNCTION("""COMPUTED_VALUE"""),43317.0)</f>
        <v>43317</v>
      </c>
      <c r="D189" s="39">
        <f>IFERROR(__xludf.DUMMYFUNCTION("""COMPUTED_VALUE"""),31.0)</f>
        <v>31</v>
      </c>
      <c r="E189" s="39">
        <f>IFERROR(__xludf.DUMMYFUNCTION("""COMPUTED_VALUE"""),12997.0)</f>
        <v>12997</v>
      </c>
    </row>
    <row r="190">
      <c r="A190" s="39" t="str">
        <f>IFERROR(__xludf.DUMMYFUNCTION("""COMPUTED_VALUE"""),"Mexico")</f>
        <v>Mexico</v>
      </c>
      <c r="B190" s="40">
        <f>IFERROR(__xludf.DUMMYFUNCTION("""COMPUTED_VALUE"""),43318.0)</f>
        <v>43318</v>
      </c>
      <c r="C190" s="41">
        <f>IFERROR(__xludf.DUMMYFUNCTION("""COMPUTED_VALUE"""),43324.0)</f>
        <v>43324</v>
      </c>
      <c r="D190" s="39">
        <f>IFERROR(__xludf.DUMMYFUNCTION("""COMPUTED_VALUE"""),32.0)</f>
        <v>32</v>
      </c>
      <c r="E190" s="39">
        <f>IFERROR(__xludf.DUMMYFUNCTION("""COMPUTED_VALUE"""),12602.0)</f>
        <v>12602</v>
      </c>
    </row>
    <row r="191">
      <c r="A191" s="39" t="str">
        <f>IFERROR(__xludf.DUMMYFUNCTION("""COMPUTED_VALUE"""),"Mexico")</f>
        <v>Mexico</v>
      </c>
      <c r="B191" s="40">
        <f>IFERROR(__xludf.DUMMYFUNCTION("""COMPUTED_VALUE"""),43325.0)</f>
        <v>43325</v>
      </c>
      <c r="C191" s="41">
        <f>IFERROR(__xludf.DUMMYFUNCTION("""COMPUTED_VALUE"""),43331.0)</f>
        <v>43331</v>
      </c>
      <c r="D191" s="39">
        <f>IFERROR(__xludf.DUMMYFUNCTION("""COMPUTED_VALUE"""),33.0)</f>
        <v>33</v>
      </c>
      <c r="E191" s="39">
        <f>IFERROR(__xludf.DUMMYFUNCTION("""COMPUTED_VALUE"""),12767.0)</f>
        <v>12767</v>
      </c>
    </row>
    <row r="192">
      <c r="A192" s="39" t="str">
        <f>IFERROR(__xludf.DUMMYFUNCTION("""COMPUTED_VALUE"""),"Mexico")</f>
        <v>Mexico</v>
      </c>
      <c r="B192" s="40">
        <f>IFERROR(__xludf.DUMMYFUNCTION("""COMPUTED_VALUE"""),43332.0)</f>
        <v>43332</v>
      </c>
      <c r="C192" s="41">
        <f>IFERROR(__xludf.DUMMYFUNCTION("""COMPUTED_VALUE"""),43338.0)</f>
        <v>43338</v>
      </c>
      <c r="D192" s="39">
        <f>IFERROR(__xludf.DUMMYFUNCTION("""COMPUTED_VALUE"""),34.0)</f>
        <v>34</v>
      </c>
      <c r="E192" s="39">
        <f>IFERROR(__xludf.DUMMYFUNCTION("""COMPUTED_VALUE"""),12503.0)</f>
        <v>12503</v>
      </c>
    </row>
    <row r="193">
      <c r="A193" s="39" t="str">
        <f>IFERROR(__xludf.DUMMYFUNCTION("""COMPUTED_VALUE"""),"Mexico")</f>
        <v>Mexico</v>
      </c>
      <c r="B193" s="40">
        <f>IFERROR(__xludf.DUMMYFUNCTION("""COMPUTED_VALUE"""),43339.0)</f>
        <v>43339</v>
      </c>
      <c r="C193" s="41">
        <f>IFERROR(__xludf.DUMMYFUNCTION("""COMPUTED_VALUE"""),43345.0)</f>
        <v>43345</v>
      </c>
      <c r="D193" s="39">
        <f>IFERROR(__xludf.DUMMYFUNCTION("""COMPUTED_VALUE"""),35.0)</f>
        <v>35</v>
      </c>
      <c r="E193" s="39">
        <f>IFERROR(__xludf.DUMMYFUNCTION("""COMPUTED_VALUE"""),12811.0)</f>
        <v>12811</v>
      </c>
    </row>
    <row r="194">
      <c r="A194" s="39" t="str">
        <f>IFERROR(__xludf.DUMMYFUNCTION("""COMPUTED_VALUE"""),"Mexico")</f>
        <v>Mexico</v>
      </c>
      <c r="B194" s="40">
        <f>IFERROR(__xludf.DUMMYFUNCTION("""COMPUTED_VALUE"""),43346.0)</f>
        <v>43346</v>
      </c>
      <c r="C194" s="41">
        <f>IFERROR(__xludf.DUMMYFUNCTION("""COMPUTED_VALUE"""),43352.0)</f>
        <v>43352</v>
      </c>
      <c r="D194" s="39">
        <f>IFERROR(__xludf.DUMMYFUNCTION("""COMPUTED_VALUE"""),36.0)</f>
        <v>36</v>
      </c>
      <c r="E194" s="39">
        <f>IFERROR(__xludf.DUMMYFUNCTION("""COMPUTED_VALUE"""),12556.0)</f>
        <v>12556</v>
      </c>
    </row>
    <row r="195">
      <c r="A195" s="39" t="str">
        <f>IFERROR(__xludf.DUMMYFUNCTION("""COMPUTED_VALUE"""),"Mexico")</f>
        <v>Mexico</v>
      </c>
      <c r="B195" s="40">
        <f>IFERROR(__xludf.DUMMYFUNCTION("""COMPUTED_VALUE"""),43353.0)</f>
        <v>43353</v>
      </c>
      <c r="C195" s="41">
        <f>IFERROR(__xludf.DUMMYFUNCTION("""COMPUTED_VALUE"""),43359.0)</f>
        <v>43359</v>
      </c>
      <c r="D195" s="39">
        <f>IFERROR(__xludf.DUMMYFUNCTION("""COMPUTED_VALUE"""),37.0)</f>
        <v>37</v>
      </c>
      <c r="E195" s="39">
        <f>IFERROR(__xludf.DUMMYFUNCTION("""COMPUTED_VALUE"""),12780.0)</f>
        <v>12780</v>
      </c>
    </row>
    <row r="196">
      <c r="A196" s="39" t="str">
        <f>IFERROR(__xludf.DUMMYFUNCTION("""COMPUTED_VALUE"""),"Mexico")</f>
        <v>Mexico</v>
      </c>
      <c r="B196" s="40">
        <f>IFERROR(__xludf.DUMMYFUNCTION("""COMPUTED_VALUE"""),43360.0)</f>
        <v>43360</v>
      </c>
      <c r="C196" s="41">
        <f>IFERROR(__xludf.DUMMYFUNCTION("""COMPUTED_VALUE"""),43366.0)</f>
        <v>43366</v>
      </c>
      <c r="D196" s="39">
        <f>IFERROR(__xludf.DUMMYFUNCTION("""COMPUTED_VALUE"""),38.0)</f>
        <v>38</v>
      </c>
      <c r="E196" s="39">
        <f>IFERROR(__xludf.DUMMYFUNCTION("""COMPUTED_VALUE"""),12994.0)</f>
        <v>12994</v>
      </c>
    </row>
    <row r="197">
      <c r="A197" s="39" t="str">
        <f>IFERROR(__xludf.DUMMYFUNCTION("""COMPUTED_VALUE"""),"Mexico")</f>
        <v>Mexico</v>
      </c>
      <c r="B197" s="40">
        <f>IFERROR(__xludf.DUMMYFUNCTION("""COMPUTED_VALUE"""),43367.0)</f>
        <v>43367</v>
      </c>
      <c r="C197" s="41">
        <f>IFERROR(__xludf.DUMMYFUNCTION("""COMPUTED_VALUE"""),43373.0)</f>
        <v>43373</v>
      </c>
      <c r="D197" s="39">
        <f>IFERROR(__xludf.DUMMYFUNCTION("""COMPUTED_VALUE"""),39.0)</f>
        <v>39</v>
      </c>
      <c r="E197" s="39">
        <f>IFERROR(__xludf.DUMMYFUNCTION("""COMPUTED_VALUE"""),12807.0)</f>
        <v>12807</v>
      </c>
    </row>
    <row r="198">
      <c r="A198" s="39" t="str">
        <f>IFERROR(__xludf.DUMMYFUNCTION("""COMPUTED_VALUE"""),"Mexico")</f>
        <v>Mexico</v>
      </c>
      <c r="B198" s="40">
        <f>IFERROR(__xludf.DUMMYFUNCTION("""COMPUTED_VALUE"""),43374.0)</f>
        <v>43374</v>
      </c>
      <c r="C198" s="41">
        <f>IFERROR(__xludf.DUMMYFUNCTION("""COMPUTED_VALUE"""),43380.0)</f>
        <v>43380</v>
      </c>
      <c r="D198" s="39">
        <f>IFERROR(__xludf.DUMMYFUNCTION("""COMPUTED_VALUE"""),40.0)</f>
        <v>40</v>
      </c>
      <c r="E198" s="39">
        <f>IFERROR(__xludf.DUMMYFUNCTION("""COMPUTED_VALUE"""),12931.0)</f>
        <v>12931</v>
      </c>
    </row>
    <row r="199">
      <c r="A199" s="39" t="str">
        <f>IFERROR(__xludf.DUMMYFUNCTION("""COMPUTED_VALUE"""),"Mexico")</f>
        <v>Mexico</v>
      </c>
      <c r="B199" s="40">
        <f>IFERROR(__xludf.DUMMYFUNCTION("""COMPUTED_VALUE"""),43381.0)</f>
        <v>43381</v>
      </c>
      <c r="C199" s="41">
        <f>IFERROR(__xludf.DUMMYFUNCTION("""COMPUTED_VALUE"""),43387.0)</f>
        <v>43387</v>
      </c>
      <c r="D199" s="39">
        <f>IFERROR(__xludf.DUMMYFUNCTION("""COMPUTED_VALUE"""),41.0)</f>
        <v>41</v>
      </c>
      <c r="E199" s="39">
        <f>IFERROR(__xludf.DUMMYFUNCTION("""COMPUTED_VALUE"""),13232.0)</f>
        <v>13232</v>
      </c>
    </row>
    <row r="200">
      <c r="A200" s="39" t="str">
        <f>IFERROR(__xludf.DUMMYFUNCTION("""COMPUTED_VALUE"""),"Mexico")</f>
        <v>Mexico</v>
      </c>
      <c r="B200" s="40">
        <f>IFERROR(__xludf.DUMMYFUNCTION("""COMPUTED_VALUE"""),43388.0)</f>
        <v>43388</v>
      </c>
      <c r="C200" s="41">
        <f>IFERROR(__xludf.DUMMYFUNCTION("""COMPUTED_VALUE"""),43394.0)</f>
        <v>43394</v>
      </c>
      <c r="D200" s="39">
        <f>IFERROR(__xludf.DUMMYFUNCTION("""COMPUTED_VALUE"""),42.0)</f>
        <v>42</v>
      </c>
      <c r="E200" s="39">
        <f>IFERROR(__xludf.DUMMYFUNCTION("""COMPUTED_VALUE"""),13115.0)</f>
        <v>13115</v>
      </c>
    </row>
    <row r="201">
      <c r="A201" s="39" t="str">
        <f>IFERROR(__xludf.DUMMYFUNCTION("""COMPUTED_VALUE"""),"Mexico")</f>
        <v>Mexico</v>
      </c>
      <c r="B201" s="40">
        <f>IFERROR(__xludf.DUMMYFUNCTION("""COMPUTED_VALUE"""),43395.0)</f>
        <v>43395</v>
      </c>
      <c r="C201" s="41">
        <f>IFERROR(__xludf.DUMMYFUNCTION("""COMPUTED_VALUE"""),43401.0)</f>
        <v>43401</v>
      </c>
      <c r="D201" s="39">
        <f>IFERROR(__xludf.DUMMYFUNCTION("""COMPUTED_VALUE"""),43.0)</f>
        <v>43</v>
      </c>
      <c r="E201" s="39">
        <f>IFERROR(__xludf.DUMMYFUNCTION("""COMPUTED_VALUE"""),13435.0)</f>
        <v>13435</v>
      </c>
    </row>
    <row r="202">
      <c r="A202" s="39" t="str">
        <f>IFERROR(__xludf.DUMMYFUNCTION("""COMPUTED_VALUE"""),"Mexico")</f>
        <v>Mexico</v>
      </c>
      <c r="B202" s="40">
        <f>IFERROR(__xludf.DUMMYFUNCTION("""COMPUTED_VALUE"""),43402.0)</f>
        <v>43402</v>
      </c>
      <c r="C202" s="41">
        <f>IFERROR(__xludf.DUMMYFUNCTION("""COMPUTED_VALUE"""),43408.0)</f>
        <v>43408</v>
      </c>
      <c r="D202" s="39">
        <f>IFERROR(__xludf.DUMMYFUNCTION("""COMPUTED_VALUE"""),44.0)</f>
        <v>44</v>
      </c>
      <c r="E202" s="39">
        <f>IFERROR(__xludf.DUMMYFUNCTION("""COMPUTED_VALUE"""),13772.0)</f>
        <v>13772</v>
      </c>
    </row>
    <row r="203">
      <c r="A203" s="39" t="str">
        <f>IFERROR(__xludf.DUMMYFUNCTION("""COMPUTED_VALUE"""),"Mexico")</f>
        <v>Mexico</v>
      </c>
      <c r="B203" s="40">
        <f>IFERROR(__xludf.DUMMYFUNCTION("""COMPUTED_VALUE"""),43409.0)</f>
        <v>43409</v>
      </c>
      <c r="C203" s="41">
        <f>IFERROR(__xludf.DUMMYFUNCTION("""COMPUTED_VALUE"""),43415.0)</f>
        <v>43415</v>
      </c>
      <c r="D203" s="39">
        <f>IFERROR(__xludf.DUMMYFUNCTION("""COMPUTED_VALUE"""),45.0)</f>
        <v>45</v>
      </c>
      <c r="E203" s="39">
        <f>IFERROR(__xludf.DUMMYFUNCTION("""COMPUTED_VALUE"""),13897.0)</f>
        <v>13897</v>
      </c>
    </row>
    <row r="204">
      <c r="A204" s="39" t="str">
        <f>IFERROR(__xludf.DUMMYFUNCTION("""COMPUTED_VALUE"""),"Mexico")</f>
        <v>Mexico</v>
      </c>
      <c r="B204" s="40">
        <f>IFERROR(__xludf.DUMMYFUNCTION("""COMPUTED_VALUE"""),43416.0)</f>
        <v>43416</v>
      </c>
      <c r="C204" s="41">
        <f>IFERROR(__xludf.DUMMYFUNCTION("""COMPUTED_VALUE"""),43422.0)</f>
        <v>43422</v>
      </c>
      <c r="D204" s="39">
        <f>IFERROR(__xludf.DUMMYFUNCTION("""COMPUTED_VALUE"""),46.0)</f>
        <v>46</v>
      </c>
      <c r="E204" s="39">
        <f>IFERROR(__xludf.DUMMYFUNCTION("""COMPUTED_VALUE"""),14612.0)</f>
        <v>14612</v>
      </c>
    </row>
    <row r="205">
      <c r="A205" s="39" t="str">
        <f>IFERROR(__xludf.DUMMYFUNCTION("""COMPUTED_VALUE"""),"Mexico")</f>
        <v>Mexico</v>
      </c>
      <c r="B205" s="40">
        <f>IFERROR(__xludf.DUMMYFUNCTION("""COMPUTED_VALUE"""),43423.0)</f>
        <v>43423</v>
      </c>
      <c r="C205" s="41">
        <f>IFERROR(__xludf.DUMMYFUNCTION("""COMPUTED_VALUE"""),43429.0)</f>
        <v>43429</v>
      </c>
      <c r="D205" s="39">
        <f>IFERROR(__xludf.DUMMYFUNCTION("""COMPUTED_VALUE"""),47.0)</f>
        <v>47</v>
      </c>
      <c r="E205" s="39">
        <f>IFERROR(__xludf.DUMMYFUNCTION("""COMPUTED_VALUE"""),15202.0)</f>
        <v>15202</v>
      </c>
    </row>
    <row r="206">
      <c r="A206" s="39" t="str">
        <f>IFERROR(__xludf.DUMMYFUNCTION("""COMPUTED_VALUE"""),"Mexico")</f>
        <v>Mexico</v>
      </c>
      <c r="B206" s="40">
        <f>IFERROR(__xludf.DUMMYFUNCTION("""COMPUTED_VALUE"""),43430.0)</f>
        <v>43430</v>
      </c>
      <c r="C206" s="41">
        <f>IFERROR(__xludf.DUMMYFUNCTION("""COMPUTED_VALUE"""),43436.0)</f>
        <v>43436</v>
      </c>
      <c r="D206" s="39">
        <f>IFERROR(__xludf.DUMMYFUNCTION("""COMPUTED_VALUE"""),48.0)</f>
        <v>48</v>
      </c>
      <c r="E206" s="39">
        <f>IFERROR(__xludf.DUMMYFUNCTION("""COMPUTED_VALUE"""),14647.0)</f>
        <v>14647</v>
      </c>
    </row>
    <row r="207">
      <c r="A207" s="39" t="str">
        <f>IFERROR(__xludf.DUMMYFUNCTION("""COMPUTED_VALUE"""),"Mexico")</f>
        <v>Mexico</v>
      </c>
      <c r="B207" s="40">
        <f>IFERROR(__xludf.DUMMYFUNCTION("""COMPUTED_VALUE"""),43437.0)</f>
        <v>43437</v>
      </c>
      <c r="C207" s="41">
        <f>IFERROR(__xludf.DUMMYFUNCTION("""COMPUTED_VALUE"""),43443.0)</f>
        <v>43443</v>
      </c>
      <c r="D207" s="39">
        <f>IFERROR(__xludf.DUMMYFUNCTION("""COMPUTED_VALUE"""),49.0)</f>
        <v>49</v>
      </c>
      <c r="E207" s="39">
        <f>IFERROR(__xludf.DUMMYFUNCTION("""COMPUTED_VALUE"""),14833.0)</f>
        <v>14833</v>
      </c>
    </row>
    <row r="208">
      <c r="A208" s="39" t="str">
        <f>IFERROR(__xludf.DUMMYFUNCTION("""COMPUTED_VALUE"""),"Mexico")</f>
        <v>Mexico</v>
      </c>
      <c r="B208" s="40">
        <f>IFERROR(__xludf.DUMMYFUNCTION("""COMPUTED_VALUE"""),43444.0)</f>
        <v>43444</v>
      </c>
      <c r="C208" s="41">
        <f>IFERROR(__xludf.DUMMYFUNCTION("""COMPUTED_VALUE"""),43450.0)</f>
        <v>43450</v>
      </c>
      <c r="D208" s="39">
        <f>IFERROR(__xludf.DUMMYFUNCTION("""COMPUTED_VALUE"""),50.0)</f>
        <v>50</v>
      </c>
      <c r="E208" s="39">
        <f>IFERROR(__xludf.DUMMYFUNCTION("""COMPUTED_VALUE"""),15216.0)</f>
        <v>15216</v>
      </c>
    </row>
    <row r="209">
      <c r="A209" s="39" t="str">
        <f>IFERROR(__xludf.DUMMYFUNCTION("""COMPUTED_VALUE"""),"Mexico")</f>
        <v>Mexico</v>
      </c>
      <c r="B209" s="40">
        <f>IFERROR(__xludf.DUMMYFUNCTION("""COMPUTED_VALUE"""),43451.0)</f>
        <v>43451</v>
      </c>
      <c r="C209" s="41">
        <f>IFERROR(__xludf.DUMMYFUNCTION("""COMPUTED_VALUE"""),43457.0)</f>
        <v>43457</v>
      </c>
      <c r="D209" s="39">
        <f>IFERROR(__xludf.DUMMYFUNCTION("""COMPUTED_VALUE"""),51.0)</f>
        <v>51</v>
      </c>
      <c r="E209" s="39">
        <f>IFERROR(__xludf.DUMMYFUNCTION("""COMPUTED_VALUE"""),16440.0)</f>
        <v>16440</v>
      </c>
    </row>
    <row r="210">
      <c r="A210" s="39" t="str">
        <f>IFERROR(__xludf.DUMMYFUNCTION("""COMPUTED_VALUE"""),"Mexico")</f>
        <v>Mexico</v>
      </c>
      <c r="B210" s="40">
        <f>IFERROR(__xludf.DUMMYFUNCTION("""COMPUTED_VALUE"""),43458.0)</f>
        <v>43458</v>
      </c>
      <c r="C210" s="41">
        <f>IFERROR(__xludf.DUMMYFUNCTION("""COMPUTED_VALUE"""),43464.0)</f>
        <v>43464</v>
      </c>
      <c r="D210" s="39">
        <f>IFERROR(__xludf.DUMMYFUNCTION("""COMPUTED_VALUE"""),52.0)</f>
        <v>52</v>
      </c>
      <c r="E210" s="39">
        <f>IFERROR(__xludf.DUMMYFUNCTION("""COMPUTED_VALUE"""),17373.0)</f>
        <v>17373</v>
      </c>
    </row>
    <row r="211">
      <c r="A211" s="39" t="str">
        <f>IFERROR(__xludf.DUMMYFUNCTION("""COMPUTED_VALUE"""),"Mexico")</f>
        <v>Mexico</v>
      </c>
      <c r="B211" s="40">
        <f>IFERROR(__xludf.DUMMYFUNCTION("""COMPUTED_VALUE"""),43465.0)</f>
        <v>43465</v>
      </c>
      <c r="C211" s="41">
        <f>IFERROR(__xludf.DUMMYFUNCTION("""COMPUTED_VALUE"""),43471.0)</f>
        <v>43471</v>
      </c>
      <c r="D211" s="39">
        <f>IFERROR(__xludf.DUMMYFUNCTION("""COMPUTED_VALUE"""),1.0)</f>
        <v>1</v>
      </c>
      <c r="E211" s="39">
        <f>IFERROR(__xludf.DUMMYFUNCTION("""COMPUTED_VALUE"""),17723.0)</f>
        <v>17723</v>
      </c>
    </row>
    <row r="212">
      <c r="A212" s="39" t="str">
        <f>IFERROR(__xludf.DUMMYFUNCTION("""COMPUTED_VALUE"""),"Mexico")</f>
        <v>Mexico</v>
      </c>
      <c r="B212" s="40">
        <f>IFERROR(__xludf.DUMMYFUNCTION("""COMPUTED_VALUE"""),43472.0)</f>
        <v>43472</v>
      </c>
      <c r="C212" s="41">
        <f>IFERROR(__xludf.DUMMYFUNCTION("""COMPUTED_VALUE"""),43478.0)</f>
        <v>43478</v>
      </c>
      <c r="D212" s="39">
        <f>IFERROR(__xludf.DUMMYFUNCTION("""COMPUTED_VALUE"""),2.0)</f>
        <v>2</v>
      </c>
      <c r="E212" s="39">
        <f>IFERROR(__xludf.DUMMYFUNCTION("""COMPUTED_VALUE"""),16602.0)</f>
        <v>16602</v>
      </c>
    </row>
    <row r="213">
      <c r="A213" s="39" t="str">
        <f>IFERROR(__xludf.DUMMYFUNCTION("""COMPUTED_VALUE"""),"Mexico")</f>
        <v>Mexico</v>
      </c>
      <c r="B213" s="40">
        <f>IFERROR(__xludf.DUMMYFUNCTION("""COMPUTED_VALUE"""),43479.0)</f>
        <v>43479</v>
      </c>
      <c r="C213" s="41">
        <f>IFERROR(__xludf.DUMMYFUNCTION("""COMPUTED_VALUE"""),43485.0)</f>
        <v>43485</v>
      </c>
      <c r="D213" s="39">
        <f>IFERROR(__xludf.DUMMYFUNCTION("""COMPUTED_VALUE"""),3.0)</f>
        <v>3</v>
      </c>
      <c r="E213" s="39">
        <f>IFERROR(__xludf.DUMMYFUNCTION("""COMPUTED_VALUE"""),16252.0)</f>
        <v>16252</v>
      </c>
    </row>
    <row r="214">
      <c r="A214" s="39" t="str">
        <f>IFERROR(__xludf.DUMMYFUNCTION("""COMPUTED_VALUE"""),"Mexico")</f>
        <v>Mexico</v>
      </c>
      <c r="B214" s="40">
        <f>IFERROR(__xludf.DUMMYFUNCTION("""COMPUTED_VALUE"""),43486.0)</f>
        <v>43486</v>
      </c>
      <c r="C214" s="41">
        <f>IFERROR(__xludf.DUMMYFUNCTION("""COMPUTED_VALUE"""),43492.0)</f>
        <v>43492</v>
      </c>
      <c r="D214" s="39">
        <f>IFERROR(__xludf.DUMMYFUNCTION("""COMPUTED_VALUE"""),4.0)</f>
        <v>4</v>
      </c>
      <c r="E214" s="39">
        <f>IFERROR(__xludf.DUMMYFUNCTION("""COMPUTED_VALUE"""),15864.0)</f>
        <v>15864</v>
      </c>
    </row>
    <row r="215">
      <c r="A215" s="39" t="str">
        <f>IFERROR(__xludf.DUMMYFUNCTION("""COMPUTED_VALUE"""),"Mexico")</f>
        <v>Mexico</v>
      </c>
      <c r="B215" s="40">
        <f>IFERROR(__xludf.DUMMYFUNCTION("""COMPUTED_VALUE"""),43493.0)</f>
        <v>43493</v>
      </c>
      <c r="C215" s="41">
        <f>IFERROR(__xludf.DUMMYFUNCTION("""COMPUTED_VALUE"""),43499.0)</f>
        <v>43499</v>
      </c>
      <c r="D215" s="39">
        <f>IFERROR(__xludf.DUMMYFUNCTION("""COMPUTED_VALUE"""),5.0)</f>
        <v>5</v>
      </c>
      <c r="E215" s="39">
        <f>IFERROR(__xludf.DUMMYFUNCTION("""COMPUTED_VALUE"""),15862.0)</f>
        <v>15862</v>
      </c>
    </row>
    <row r="216">
      <c r="A216" s="39" t="str">
        <f>IFERROR(__xludf.DUMMYFUNCTION("""COMPUTED_VALUE"""),"Mexico")</f>
        <v>Mexico</v>
      </c>
      <c r="B216" s="40">
        <f>IFERROR(__xludf.DUMMYFUNCTION("""COMPUTED_VALUE"""),43500.0)</f>
        <v>43500</v>
      </c>
      <c r="C216" s="41">
        <f>IFERROR(__xludf.DUMMYFUNCTION("""COMPUTED_VALUE"""),43506.0)</f>
        <v>43506</v>
      </c>
      <c r="D216" s="39">
        <f>IFERROR(__xludf.DUMMYFUNCTION("""COMPUTED_VALUE"""),6.0)</f>
        <v>6</v>
      </c>
      <c r="E216" s="39">
        <f>IFERROR(__xludf.DUMMYFUNCTION("""COMPUTED_VALUE"""),15689.0)</f>
        <v>15689</v>
      </c>
    </row>
    <row r="217">
      <c r="A217" s="39" t="str">
        <f>IFERROR(__xludf.DUMMYFUNCTION("""COMPUTED_VALUE"""),"Mexico")</f>
        <v>Mexico</v>
      </c>
      <c r="B217" s="40">
        <f>IFERROR(__xludf.DUMMYFUNCTION("""COMPUTED_VALUE"""),43507.0)</f>
        <v>43507</v>
      </c>
      <c r="C217" s="41">
        <f>IFERROR(__xludf.DUMMYFUNCTION("""COMPUTED_VALUE"""),43513.0)</f>
        <v>43513</v>
      </c>
      <c r="D217" s="39">
        <f>IFERROR(__xludf.DUMMYFUNCTION("""COMPUTED_VALUE"""),7.0)</f>
        <v>7</v>
      </c>
      <c r="E217" s="39">
        <f>IFERROR(__xludf.DUMMYFUNCTION("""COMPUTED_VALUE"""),15445.0)</f>
        <v>15445</v>
      </c>
    </row>
    <row r="218">
      <c r="A218" s="39" t="str">
        <f>IFERROR(__xludf.DUMMYFUNCTION("""COMPUTED_VALUE"""),"Mexico")</f>
        <v>Mexico</v>
      </c>
      <c r="B218" s="40">
        <f>IFERROR(__xludf.DUMMYFUNCTION("""COMPUTED_VALUE"""),43514.0)</f>
        <v>43514</v>
      </c>
      <c r="C218" s="41">
        <f>IFERROR(__xludf.DUMMYFUNCTION("""COMPUTED_VALUE"""),43520.0)</f>
        <v>43520</v>
      </c>
      <c r="D218" s="39">
        <f>IFERROR(__xludf.DUMMYFUNCTION("""COMPUTED_VALUE"""),8.0)</f>
        <v>8</v>
      </c>
      <c r="E218" s="39">
        <f>IFERROR(__xludf.DUMMYFUNCTION("""COMPUTED_VALUE"""),14755.0)</f>
        <v>14755</v>
      </c>
    </row>
    <row r="219">
      <c r="A219" s="39" t="str">
        <f>IFERROR(__xludf.DUMMYFUNCTION("""COMPUTED_VALUE"""),"Mexico")</f>
        <v>Mexico</v>
      </c>
      <c r="B219" s="40">
        <f>IFERROR(__xludf.DUMMYFUNCTION("""COMPUTED_VALUE"""),43521.0)</f>
        <v>43521</v>
      </c>
      <c r="C219" s="41">
        <f>IFERROR(__xludf.DUMMYFUNCTION("""COMPUTED_VALUE"""),43527.0)</f>
        <v>43527</v>
      </c>
      <c r="D219" s="39">
        <f>IFERROR(__xludf.DUMMYFUNCTION("""COMPUTED_VALUE"""),9.0)</f>
        <v>9</v>
      </c>
      <c r="E219" s="39">
        <f>IFERROR(__xludf.DUMMYFUNCTION("""COMPUTED_VALUE"""),14639.0)</f>
        <v>14639</v>
      </c>
    </row>
    <row r="220">
      <c r="A220" s="39" t="str">
        <f>IFERROR(__xludf.DUMMYFUNCTION("""COMPUTED_VALUE"""),"Mexico")</f>
        <v>Mexico</v>
      </c>
      <c r="B220" s="40">
        <f>IFERROR(__xludf.DUMMYFUNCTION("""COMPUTED_VALUE"""),43528.0)</f>
        <v>43528</v>
      </c>
      <c r="C220" s="41">
        <f>IFERROR(__xludf.DUMMYFUNCTION("""COMPUTED_VALUE"""),43534.0)</f>
        <v>43534</v>
      </c>
      <c r="D220" s="39">
        <f>IFERROR(__xludf.DUMMYFUNCTION("""COMPUTED_VALUE"""),10.0)</f>
        <v>10</v>
      </c>
      <c r="E220" s="39">
        <f>IFERROR(__xludf.DUMMYFUNCTION("""COMPUTED_VALUE"""),14391.0)</f>
        <v>14391</v>
      </c>
    </row>
    <row r="221">
      <c r="A221" s="39" t="str">
        <f>IFERROR(__xludf.DUMMYFUNCTION("""COMPUTED_VALUE"""),"Mexico")</f>
        <v>Mexico</v>
      </c>
      <c r="B221" s="40">
        <f>IFERROR(__xludf.DUMMYFUNCTION("""COMPUTED_VALUE"""),43535.0)</f>
        <v>43535</v>
      </c>
      <c r="C221" s="41">
        <f>IFERROR(__xludf.DUMMYFUNCTION("""COMPUTED_VALUE"""),43541.0)</f>
        <v>43541</v>
      </c>
      <c r="D221" s="39">
        <f>IFERROR(__xludf.DUMMYFUNCTION("""COMPUTED_VALUE"""),11.0)</f>
        <v>11</v>
      </c>
      <c r="E221" s="39">
        <f>IFERROR(__xludf.DUMMYFUNCTION("""COMPUTED_VALUE"""),13749.0)</f>
        <v>13749</v>
      </c>
    </row>
    <row r="222">
      <c r="A222" s="39" t="str">
        <f>IFERROR(__xludf.DUMMYFUNCTION("""COMPUTED_VALUE"""),"Mexico")</f>
        <v>Mexico</v>
      </c>
      <c r="B222" s="40">
        <f>IFERROR(__xludf.DUMMYFUNCTION("""COMPUTED_VALUE"""),43542.0)</f>
        <v>43542</v>
      </c>
      <c r="C222" s="41">
        <f>IFERROR(__xludf.DUMMYFUNCTION("""COMPUTED_VALUE"""),43548.0)</f>
        <v>43548</v>
      </c>
      <c r="D222" s="39">
        <f>IFERROR(__xludf.DUMMYFUNCTION("""COMPUTED_VALUE"""),12.0)</f>
        <v>12</v>
      </c>
      <c r="E222" s="39">
        <f>IFERROR(__xludf.DUMMYFUNCTION("""COMPUTED_VALUE"""),13660.0)</f>
        <v>13660</v>
      </c>
    </row>
    <row r="223">
      <c r="A223" s="39" t="str">
        <f>IFERROR(__xludf.DUMMYFUNCTION("""COMPUTED_VALUE"""),"Mexico")</f>
        <v>Mexico</v>
      </c>
      <c r="B223" s="40">
        <f>IFERROR(__xludf.DUMMYFUNCTION("""COMPUTED_VALUE"""),43549.0)</f>
        <v>43549</v>
      </c>
      <c r="C223" s="41">
        <f>IFERROR(__xludf.DUMMYFUNCTION("""COMPUTED_VALUE"""),43555.0)</f>
        <v>43555</v>
      </c>
      <c r="D223" s="39">
        <f>IFERROR(__xludf.DUMMYFUNCTION("""COMPUTED_VALUE"""),13.0)</f>
        <v>13</v>
      </c>
      <c r="E223" s="39">
        <f>IFERROR(__xludf.DUMMYFUNCTION("""COMPUTED_VALUE"""),13903.0)</f>
        <v>13903</v>
      </c>
    </row>
    <row r="224">
      <c r="A224" s="39" t="str">
        <f>IFERROR(__xludf.DUMMYFUNCTION("""COMPUTED_VALUE"""),"Mexico")</f>
        <v>Mexico</v>
      </c>
      <c r="B224" s="40">
        <f>IFERROR(__xludf.DUMMYFUNCTION("""COMPUTED_VALUE"""),43556.0)</f>
        <v>43556</v>
      </c>
      <c r="C224" s="41">
        <f>IFERROR(__xludf.DUMMYFUNCTION("""COMPUTED_VALUE"""),43562.0)</f>
        <v>43562</v>
      </c>
      <c r="D224" s="39">
        <f>IFERROR(__xludf.DUMMYFUNCTION("""COMPUTED_VALUE"""),14.0)</f>
        <v>14</v>
      </c>
      <c r="E224" s="39">
        <f>IFERROR(__xludf.DUMMYFUNCTION("""COMPUTED_VALUE"""),14049.0)</f>
        <v>14049</v>
      </c>
    </row>
    <row r="225">
      <c r="A225" s="39" t="str">
        <f>IFERROR(__xludf.DUMMYFUNCTION("""COMPUTED_VALUE"""),"Mexico")</f>
        <v>Mexico</v>
      </c>
      <c r="B225" s="40">
        <f>IFERROR(__xludf.DUMMYFUNCTION("""COMPUTED_VALUE"""),43563.0)</f>
        <v>43563</v>
      </c>
      <c r="C225" s="41">
        <f>IFERROR(__xludf.DUMMYFUNCTION("""COMPUTED_VALUE"""),43569.0)</f>
        <v>43569</v>
      </c>
      <c r="D225" s="39">
        <f>IFERROR(__xludf.DUMMYFUNCTION("""COMPUTED_VALUE"""),15.0)</f>
        <v>15</v>
      </c>
      <c r="E225" s="39">
        <f>IFERROR(__xludf.DUMMYFUNCTION("""COMPUTED_VALUE"""),13718.0)</f>
        <v>13718</v>
      </c>
    </row>
    <row r="226">
      <c r="A226" s="39" t="str">
        <f>IFERROR(__xludf.DUMMYFUNCTION("""COMPUTED_VALUE"""),"Mexico")</f>
        <v>Mexico</v>
      </c>
      <c r="B226" s="40">
        <f>IFERROR(__xludf.DUMMYFUNCTION("""COMPUTED_VALUE"""),43570.0)</f>
        <v>43570</v>
      </c>
      <c r="C226" s="41">
        <f>IFERROR(__xludf.DUMMYFUNCTION("""COMPUTED_VALUE"""),43576.0)</f>
        <v>43576</v>
      </c>
      <c r="D226" s="39">
        <f>IFERROR(__xludf.DUMMYFUNCTION("""COMPUTED_VALUE"""),16.0)</f>
        <v>16</v>
      </c>
      <c r="E226" s="39">
        <f>IFERROR(__xludf.DUMMYFUNCTION("""COMPUTED_VALUE"""),13743.0)</f>
        <v>13743</v>
      </c>
    </row>
    <row r="227">
      <c r="A227" s="39" t="str">
        <f>IFERROR(__xludf.DUMMYFUNCTION("""COMPUTED_VALUE"""),"Mexico")</f>
        <v>Mexico</v>
      </c>
      <c r="B227" s="40">
        <f>IFERROR(__xludf.DUMMYFUNCTION("""COMPUTED_VALUE"""),43577.0)</f>
        <v>43577</v>
      </c>
      <c r="C227" s="41">
        <f>IFERROR(__xludf.DUMMYFUNCTION("""COMPUTED_VALUE"""),43583.0)</f>
        <v>43583</v>
      </c>
      <c r="D227" s="39">
        <f>IFERROR(__xludf.DUMMYFUNCTION("""COMPUTED_VALUE"""),17.0)</f>
        <v>17</v>
      </c>
      <c r="E227" s="39">
        <f>IFERROR(__xludf.DUMMYFUNCTION("""COMPUTED_VALUE"""),13718.0)</f>
        <v>13718</v>
      </c>
    </row>
    <row r="228">
      <c r="A228" s="39" t="str">
        <f>IFERROR(__xludf.DUMMYFUNCTION("""COMPUTED_VALUE"""),"Mexico")</f>
        <v>Mexico</v>
      </c>
      <c r="B228" s="40">
        <f>IFERROR(__xludf.DUMMYFUNCTION("""COMPUTED_VALUE"""),43584.0)</f>
        <v>43584</v>
      </c>
      <c r="C228" s="41">
        <f>IFERROR(__xludf.DUMMYFUNCTION("""COMPUTED_VALUE"""),43590.0)</f>
        <v>43590</v>
      </c>
      <c r="D228" s="39">
        <f>IFERROR(__xludf.DUMMYFUNCTION("""COMPUTED_VALUE"""),18.0)</f>
        <v>18</v>
      </c>
      <c r="E228" s="39">
        <f>IFERROR(__xludf.DUMMYFUNCTION("""COMPUTED_VALUE"""),13698.0)</f>
        <v>13698</v>
      </c>
    </row>
    <row r="229">
      <c r="A229" s="39" t="str">
        <f>IFERROR(__xludf.DUMMYFUNCTION("""COMPUTED_VALUE"""),"Mexico")</f>
        <v>Mexico</v>
      </c>
      <c r="B229" s="40">
        <f>IFERROR(__xludf.DUMMYFUNCTION("""COMPUTED_VALUE"""),43591.0)</f>
        <v>43591</v>
      </c>
      <c r="C229" s="41">
        <f>IFERROR(__xludf.DUMMYFUNCTION("""COMPUTED_VALUE"""),43597.0)</f>
        <v>43597</v>
      </c>
      <c r="D229" s="39">
        <f>IFERROR(__xludf.DUMMYFUNCTION("""COMPUTED_VALUE"""),19.0)</f>
        <v>19</v>
      </c>
      <c r="E229" s="39">
        <f>IFERROR(__xludf.DUMMYFUNCTION("""COMPUTED_VALUE"""),13792.0)</f>
        <v>13792</v>
      </c>
    </row>
    <row r="230">
      <c r="A230" s="39" t="str">
        <f>IFERROR(__xludf.DUMMYFUNCTION("""COMPUTED_VALUE"""),"Mexico")</f>
        <v>Mexico</v>
      </c>
      <c r="B230" s="40">
        <f>IFERROR(__xludf.DUMMYFUNCTION("""COMPUTED_VALUE"""),43598.0)</f>
        <v>43598</v>
      </c>
      <c r="C230" s="41">
        <f>IFERROR(__xludf.DUMMYFUNCTION("""COMPUTED_VALUE"""),43604.0)</f>
        <v>43604</v>
      </c>
      <c r="D230" s="39">
        <f>IFERROR(__xludf.DUMMYFUNCTION("""COMPUTED_VALUE"""),20.0)</f>
        <v>20</v>
      </c>
      <c r="E230" s="39">
        <f>IFERROR(__xludf.DUMMYFUNCTION("""COMPUTED_VALUE"""),13590.0)</f>
        <v>13590</v>
      </c>
    </row>
    <row r="231">
      <c r="A231" s="39" t="str">
        <f>IFERROR(__xludf.DUMMYFUNCTION("""COMPUTED_VALUE"""),"Mexico")</f>
        <v>Mexico</v>
      </c>
      <c r="B231" s="40">
        <f>IFERROR(__xludf.DUMMYFUNCTION("""COMPUTED_VALUE"""),43605.0)</f>
        <v>43605</v>
      </c>
      <c r="C231" s="41">
        <f>IFERROR(__xludf.DUMMYFUNCTION("""COMPUTED_VALUE"""),43611.0)</f>
        <v>43611</v>
      </c>
      <c r="D231" s="39">
        <f>IFERROR(__xludf.DUMMYFUNCTION("""COMPUTED_VALUE"""),21.0)</f>
        <v>21</v>
      </c>
      <c r="E231" s="39">
        <f>IFERROR(__xludf.DUMMYFUNCTION("""COMPUTED_VALUE"""),14160.0)</f>
        <v>14160</v>
      </c>
    </row>
    <row r="232">
      <c r="A232" s="39" t="str">
        <f>IFERROR(__xludf.DUMMYFUNCTION("""COMPUTED_VALUE"""),"Mexico")</f>
        <v>Mexico</v>
      </c>
      <c r="B232" s="40">
        <f>IFERROR(__xludf.DUMMYFUNCTION("""COMPUTED_VALUE"""),43612.0)</f>
        <v>43612</v>
      </c>
      <c r="C232" s="41">
        <f>IFERROR(__xludf.DUMMYFUNCTION("""COMPUTED_VALUE"""),43618.0)</f>
        <v>43618</v>
      </c>
      <c r="D232" s="39">
        <f>IFERROR(__xludf.DUMMYFUNCTION("""COMPUTED_VALUE"""),22.0)</f>
        <v>22</v>
      </c>
      <c r="E232" s="39">
        <f>IFERROR(__xludf.DUMMYFUNCTION("""COMPUTED_VALUE"""),13438.0)</f>
        <v>13438</v>
      </c>
    </row>
    <row r="233">
      <c r="A233" s="39" t="str">
        <f>IFERROR(__xludf.DUMMYFUNCTION("""COMPUTED_VALUE"""),"Mexico")</f>
        <v>Mexico</v>
      </c>
      <c r="B233" s="40">
        <f>IFERROR(__xludf.DUMMYFUNCTION("""COMPUTED_VALUE"""),43619.0)</f>
        <v>43619</v>
      </c>
      <c r="C233" s="41">
        <f>IFERROR(__xludf.DUMMYFUNCTION("""COMPUTED_VALUE"""),43625.0)</f>
        <v>43625</v>
      </c>
      <c r="D233" s="39">
        <f>IFERROR(__xludf.DUMMYFUNCTION("""COMPUTED_VALUE"""),23.0)</f>
        <v>23</v>
      </c>
      <c r="E233" s="39">
        <f>IFERROR(__xludf.DUMMYFUNCTION("""COMPUTED_VALUE"""),13382.0)</f>
        <v>13382</v>
      </c>
    </row>
    <row r="234">
      <c r="A234" s="39" t="str">
        <f>IFERROR(__xludf.DUMMYFUNCTION("""COMPUTED_VALUE"""),"Mexico")</f>
        <v>Mexico</v>
      </c>
      <c r="B234" s="40">
        <f>IFERROR(__xludf.DUMMYFUNCTION("""COMPUTED_VALUE"""),43626.0)</f>
        <v>43626</v>
      </c>
      <c r="C234" s="41">
        <f>IFERROR(__xludf.DUMMYFUNCTION("""COMPUTED_VALUE"""),43632.0)</f>
        <v>43632</v>
      </c>
      <c r="D234" s="39">
        <f>IFERROR(__xludf.DUMMYFUNCTION("""COMPUTED_VALUE"""),24.0)</f>
        <v>24</v>
      </c>
      <c r="E234" s="39">
        <f>IFERROR(__xludf.DUMMYFUNCTION("""COMPUTED_VALUE"""),13398.0)</f>
        <v>13398</v>
      </c>
    </row>
    <row r="235">
      <c r="A235" s="39" t="str">
        <f>IFERROR(__xludf.DUMMYFUNCTION("""COMPUTED_VALUE"""),"Mexico")</f>
        <v>Mexico</v>
      </c>
      <c r="B235" s="40">
        <f>IFERROR(__xludf.DUMMYFUNCTION("""COMPUTED_VALUE"""),43633.0)</f>
        <v>43633</v>
      </c>
      <c r="C235" s="41">
        <f>IFERROR(__xludf.DUMMYFUNCTION("""COMPUTED_VALUE"""),43639.0)</f>
        <v>43639</v>
      </c>
      <c r="D235" s="39">
        <f>IFERROR(__xludf.DUMMYFUNCTION("""COMPUTED_VALUE"""),25.0)</f>
        <v>25</v>
      </c>
      <c r="E235" s="39">
        <f>IFERROR(__xludf.DUMMYFUNCTION("""COMPUTED_VALUE"""),13562.0)</f>
        <v>13562</v>
      </c>
    </row>
    <row r="236">
      <c r="A236" s="39" t="str">
        <f>IFERROR(__xludf.DUMMYFUNCTION("""COMPUTED_VALUE"""),"Mexico")</f>
        <v>Mexico</v>
      </c>
      <c r="B236" s="40">
        <f>IFERROR(__xludf.DUMMYFUNCTION("""COMPUTED_VALUE"""),43640.0)</f>
        <v>43640</v>
      </c>
      <c r="C236" s="41">
        <f>IFERROR(__xludf.DUMMYFUNCTION("""COMPUTED_VALUE"""),43646.0)</f>
        <v>43646</v>
      </c>
      <c r="D236" s="39">
        <f>IFERROR(__xludf.DUMMYFUNCTION("""COMPUTED_VALUE"""),26.0)</f>
        <v>26</v>
      </c>
      <c r="E236" s="39">
        <f>IFERROR(__xludf.DUMMYFUNCTION("""COMPUTED_VALUE"""),13111.0)</f>
        <v>13111</v>
      </c>
    </row>
    <row r="237">
      <c r="A237" s="39" t="str">
        <f>IFERROR(__xludf.DUMMYFUNCTION("""COMPUTED_VALUE"""),"Mexico")</f>
        <v>Mexico</v>
      </c>
      <c r="B237" s="40">
        <f>IFERROR(__xludf.DUMMYFUNCTION("""COMPUTED_VALUE"""),43647.0)</f>
        <v>43647</v>
      </c>
      <c r="C237" s="41">
        <f>IFERROR(__xludf.DUMMYFUNCTION("""COMPUTED_VALUE"""),43653.0)</f>
        <v>43653</v>
      </c>
      <c r="D237" s="39">
        <f>IFERROR(__xludf.DUMMYFUNCTION("""COMPUTED_VALUE"""),27.0)</f>
        <v>27</v>
      </c>
      <c r="E237" s="39">
        <f>IFERROR(__xludf.DUMMYFUNCTION("""COMPUTED_VALUE"""),13496.0)</f>
        <v>13496</v>
      </c>
    </row>
    <row r="238">
      <c r="A238" s="39" t="str">
        <f>IFERROR(__xludf.DUMMYFUNCTION("""COMPUTED_VALUE"""),"Mexico")</f>
        <v>Mexico</v>
      </c>
      <c r="B238" s="40">
        <f>IFERROR(__xludf.DUMMYFUNCTION("""COMPUTED_VALUE"""),43654.0)</f>
        <v>43654</v>
      </c>
      <c r="C238" s="41">
        <f>IFERROR(__xludf.DUMMYFUNCTION("""COMPUTED_VALUE"""),43660.0)</f>
        <v>43660</v>
      </c>
      <c r="D238" s="39">
        <f>IFERROR(__xludf.DUMMYFUNCTION("""COMPUTED_VALUE"""),28.0)</f>
        <v>28</v>
      </c>
      <c r="E238" s="39">
        <f>IFERROR(__xludf.DUMMYFUNCTION("""COMPUTED_VALUE"""),13146.0)</f>
        <v>13146</v>
      </c>
    </row>
    <row r="239">
      <c r="A239" s="39" t="str">
        <f>IFERROR(__xludf.DUMMYFUNCTION("""COMPUTED_VALUE"""),"Mexico")</f>
        <v>Mexico</v>
      </c>
      <c r="B239" s="40">
        <f>IFERROR(__xludf.DUMMYFUNCTION("""COMPUTED_VALUE"""),43661.0)</f>
        <v>43661</v>
      </c>
      <c r="C239" s="41">
        <f>IFERROR(__xludf.DUMMYFUNCTION("""COMPUTED_VALUE"""),43667.0)</f>
        <v>43667</v>
      </c>
      <c r="D239" s="39">
        <f>IFERROR(__xludf.DUMMYFUNCTION("""COMPUTED_VALUE"""),29.0)</f>
        <v>29</v>
      </c>
      <c r="E239" s="39">
        <f>IFERROR(__xludf.DUMMYFUNCTION("""COMPUTED_VALUE"""),13276.0)</f>
        <v>13276</v>
      </c>
    </row>
    <row r="240">
      <c r="A240" s="39" t="str">
        <f>IFERROR(__xludf.DUMMYFUNCTION("""COMPUTED_VALUE"""),"Mexico")</f>
        <v>Mexico</v>
      </c>
      <c r="B240" s="40">
        <f>IFERROR(__xludf.DUMMYFUNCTION("""COMPUTED_VALUE"""),43668.0)</f>
        <v>43668</v>
      </c>
      <c r="C240" s="41">
        <f>IFERROR(__xludf.DUMMYFUNCTION("""COMPUTED_VALUE"""),43674.0)</f>
        <v>43674</v>
      </c>
      <c r="D240" s="39">
        <f>IFERROR(__xludf.DUMMYFUNCTION("""COMPUTED_VALUE"""),30.0)</f>
        <v>30</v>
      </c>
      <c r="E240" s="39">
        <f>IFERROR(__xludf.DUMMYFUNCTION("""COMPUTED_VALUE"""),13256.0)</f>
        <v>13256</v>
      </c>
    </row>
    <row r="241">
      <c r="A241" s="39" t="str">
        <f>IFERROR(__xludf.DUMMYFUNCTION("""COMPUTED_VALUE"""),"Mexico")</f>
        <v>Mexico</v>
      </c>
      <c r="B241" s="40">
        <f>IFERROR(__xludf.DUMMYFUNCTION("""COMPUTED_VALUE"""),43675.0)</f>
        <v>43675</v>
      </c>
      <c r="C241" s="41">
        <f>IFERROR(__xludf.DUMMYFUNCTION("""COMPUTED_VALUE"""),43681.0)</f>
        <v>43681</v>
      </c>
      <c r="D241" s="39">
        <f>IFERROR(__xludf.DUMMYFUNCTION("""COMPUTED_VALUE"""),31.0)</f>
        <v>31</v>
      </c>
      <c r="E241" s="39">
        <f>IFERROR(__xludf.DUMMYFUNCTION("""COMPUTED_VALUE"""),13596.0)</f>
        <v>13596</v>
      </c>
    </row>
    <row r="242">
      <c r="A242" s="39" t="str">
        <f>IFERROR(__xludf.DUMMYFUNCTION("""COMPUTED_VALUE"""),"Mexico")</f>
        <v>Mexico</v>
      </c>
      <c r="B242" s="40">
        <f>IFERROR(__xludf.DUMMYFUNCTION("""COMPUTED_VALUE"""),43682.0)</f>
        <v>43682</v>
      </c>
      <c r="C242" s="41">
        <f>IFERROR(__xludf.DUMMYFUNCTION("""COMPUTED_VALUE"""),43688.0)</f>
        <v>43688</v>
      </c>
      <c r="D242" s="39">
        <f>IFERROR(__xludf.DUMMYFUNCTION("""COMPUTED_VALUE"""),32.0)</f>
        <v>32</v>
      </c>
      <c r="E242" s="39">
        <f>IFERROR(__xludf.DUMMYFUNCTION("""COMPUTED_VALUE"""),13242.0)</f>
        <v>13242</v>
      </c>
    </row>
    <row r="243">
      <c r="A243" s="39" t="str">
        <f>IFERROR(__xludf.DUMMYFUNCTION("""COMPUTED_VALUE"""),"Mexico")</f>
        <v>Mexico</v>
      </c>
      <c r="B243" s="40">
        <f>IFERROR(__xludf.DUMMYFUNCTION("""COMPUTED_VALUE"""),43689.0)</f>
        <v>43689</v>
      </c>
      <c r="C243" s="41">
        <f>IFERROR(__xludf.DUMMYFUNCTION("""COMPUTED_VALUE"""),43695.0)</f>
        <v>43695</v>
      </c>
      <c r="D243" s="39">
        <f>IFERROR(__xludf.DUMMYFUNCTION("""COMPUTED_VALUE"""),33.0)</f>
        <v>33</v>
      </c>
      <c r="E243" s="39">
        <f>IFERROR(__xludf.DUMMYFUNCTION("""COMPUTED_VALUE"""),13610.0)</f>
        <v>13610</v>
      </c>
    </row>
    <row r="244">
      <c r="A244" s="39" t="str">
        <f>IFERROR(__xludf.DUMMYFUNCTION("""COMPUTED_VALUE"""),"Mexico")</f>
        <v>Mexico</v>
      </c>
      <c r="B244" s="40">
        <f>IFERROR(__xludf.DUMMYFUNCTION("""COMPUTED_VALUE"""),43696.0)</f>
        <v>43696</v>
      </c>
      <c r="C244" s="41">
        <f>IFERROR(__xludf.DUMMYFUNCTION("""COMPUTED_VALUE"""),43702.0)</f>
        <v>43702</v>
      </c>
      <c r="D244" s="39">
        <f>IFERROR(__xludf.DUMMYFUNCTION("""COMPUTED_VALUE"""),34.0)</f>
        <v>34</v>
      </c>
      <c r="E244" s="39">
        <f>IFERROR(__xludf.DUMMYFUNCTION("""COMPUTED_VALUE"""),13293.0)</f>
        <v>13293</v>
      </c>
    </row>
    <row r="245">
      <c r="A245" s="39" t="str">
        <f>IFERROR(__xludf.DUMMYFUNCTION("""COMPUTED_VALUE"""),"Mexico")</f>
        <v>Mexico</v>
      </c>
      <c r="B245" s="40">
        <f>IFERROR(__xludf.DUMMYFUNCTION("""COMPUTED_VALUE"""),43703.0)</f>
        <v>43703</v>
      </c>
      <c r="C245" s="41">
        <f>IFERROR(__xludf.DUMMYFUNCTION("""COMPUTED_VALUE"""),43709.0)</f>
        <v>43709</v>
      </c>
      <c r="D245" s="39">
        <f>IFERROR(__xludf.DUMMYFUNCTION("""COMPUTED_VALUE"""),35.0)</f>
        <v>35</v>
      </c>
      <c r="E245" s="39">
        <f>IFERROR(__xludf.DUMMYFUNCTION("""COMPUTED_VALUE"""),13023.0)</f>
        <v>13023</v>
      </c>
    </row>
    <row r="246">
      <c r="A246" s="39" t="str">
        <f>IFERROR(__xludf.DUMMYFUNCTION("""COMPUTED_VALUE"""),"Mexico")</f>
        <v>Mexico</v>
      </c>
      <c r="B246" s="40">
        <f>IFERROR(__xludf.DUMMYFUNCTION("""COMPUTED_VALUE"""),43710.0)</f>
        <v>43710</v>
      </c>
      <c r="C246" s="41">
        <f>IFERROR(__xludf.DUMMYFUNCTION("""COMPUTED_VALUE"""),43716.0)</f>
        <v>43716</v>
      </c>
      <c r="D246" s="39">
        <f>IFERROR(__xludf.DUMMYFUNCTION("""COMPUTED_VALUE"""),36.0)</f>
        <v>36</v>
      </c>
      <c r="E246" s="39">
        <f>IFERROR(__xludf.DUMMYFUNCTION("""COMPUTED_VALUE"""),12986.0)</f>
        <v>12986</v>
      </c>
    </row>
    <row r="247">
      <c r="A247" s="39" t="str">
        <f>IFERROR(__xludf.DUMMYFUNCTION("""COMPUTED_VALUE"""),"Mexico")</f>
        <v>Mexico</v>
      </c>
      <c r="B247" s="40">
        <f>IFERROR(__xludf.DUMMYFUNCTION("""COMPUTED_VALUE"""),43717.0)</f>
        <v>43717</v>
      </c>
      <c r="C247" s="41">
        <f>IFERROR(__xludf.DUMMYFUNCTION("""COMPUTED_VALUE"""),43723.0)</f>
        <v>43723</v>
      </c>
      <c r="D247" s="39">
        <f>IFERROR(__xludf.DUMMYFUNCTION("""COMPUTED_VALUE"""),37.0)</f>
        <v>37</v>
      </c>
      <c r="E247" s="39">
        <f>IFERROR(__xludf.DUMMYFUNCTION("""COMPUTED_VALUE"""),12943.0)</f>
        <v>12943</v>
      </c>
    </row>
    <row r="248">
      <c r="A248" s="39" t="str">
        <f>IFERROR(__xludf.DUMMYFUNCTION("""COMPUTED_VALUE"""),"Mexico")</f>
        <v>Mexico</v>
      </c>
      <c r="B248" s="40">
        <f>IFERROR(__xludf.DUMMYFUNCTION("""COMPUTED_VALUE"""),43724.0)</f>
        <v>43724</v>
      </c>
      <c r="C248" s="41">
        <f>IFERROR(__xludf.DUMMYFUNCTION("""COMPUTED_VALUE"""),43730.0)</f>
        <v>43730</v>
      </c>
      <c r="D248" s="39">
        <f>IFERROR(__xludf.DUMMYFUNCTION("""COMPUTED_VALUE"""),38.0)</f>
        <v>38</v>
      </c>
      <c r="E248" s="39">
        <f>IFERROR(__xludf.DUMMYFUNCTION("""COMPUTED_VALUE"""),13838.0)</f>
        <v>13838</v>
      </c>
    </row>
    <row r="249">
      <c r="A249" s="39" t="str">
        <f>IFERROR(__xludf.DUMMYFUNCTION("""COMPUTED_VALUE"""),"Mexico")</f>
        <v>Mexico</v>
      </c>
      <c r="B249" s="40">
        <f>IFERROR(__xludf.DUMMYFUNCTION("""COMPUTED_VALUE"""),43731.0)</f>
        <v>43731</v>
      </c>
      <c r="C249" s="41">
        <f>IFERROR(__xludf.DUMMYFUNCTION("""COMPUTED_VALUE"""),43737.0)</f>
        <v>43737</v>
      </c>
      <c r="D249" s="39">
        <f>IFERROR(__xludf.DUMMYFUNCTION("""COMPUTED_VALUE"""),39.0)</f>
        <v>39</v>
      </c>
      <c r="E249" s="39">
        <f>IFERROR(__xludf.DUMMYFUNCTION("""COMPUTED_VALUE"""),13521.0)</f>
        <v>13521</v>
      </c>
    </row>
    <row r="250">
      <c r="A250" s="39" t="str">
        <f>IFERROR(__xludf.DUMMYFUNCTION("""COMPUTED_VALUE"""),"Mexico")</f>
        <v>Mexico</v>
      </c>
      <c r="B250" s="40">
        <f>IFERROR(__xludf.DUMMYFUNCTION("""COMPUTED_VALUE"""),43738.0)</f>
        <v>43738</v>
      </c>
      <c r="C250" s="41">
        <f>IFERROR(__xludf.DUMMYFUNCTION("""COMPUTED_VALUE"""),43744.0)</f>
        <v>43744</v>
      </c>
      <c r="D250" s="39">
        <f>IFERROR(__xludf.DUMMYFUNCTION("""COMPUTED_VALUE"""),40.0)</f>
        <v>40</v>
      </c>
      <c r="E250" s="39">
        <f>IFERROR(__xludf.DUMMYFUNCTION("""COMPUTED_VALUE"""),13433.0)</f>
        <v>13433</v>
      </c>
    </row>
    <row r="251">
      <c r="A251" s="39" t="str">
        <f>IFERROR(__xludf.DUMMYFUNCTION("""COMPUTED_VALUE"""),"Mexico")</f>
        <v>Mexico</v>
      </c>
      <c r="B251" s="40">
        <f>IFERROR(__xludf.DUMMYFUNCTION("""COMPUTED_VALUE"""),43745.0)</f>
        <v>43745</v>
      </c>
      <c r="C251" s="41">
        <f>IFERROR(__xludf.DUMMYFUNCTION("""COMPUTED_VALUE"""),43751.0)</f>
        <v>43751</v>
      </c>
      <c r="D251" s="39">
        <f>IFERROR(__xludf.DUMMYFUNCTION("""COMPUTED_VALUE"""),41.0)</f>
        <v>41</v>
      </c>
      <c r="E251" s="39">
        <f>IFERROR(__xludf.DUMMYFUNCTION("""COMPUTED_VALUE"""),13438.0)</f>
        <v>13438</v>
      </c>
    </row>
    <row r="252">
      <c r="A252" s="39" t="str">
        <f>IFERROR(__xludf.DUMMYFUNCTION("""COMPUTED_VALUE"""),"Mexico")</f>
        <v>Mexico</v>
      </c>
      <c r="B252" s="40">
        <f>IFERROR(__xludf.DUMMYFUNCTION("""COMPUTED_VALUE"""),43752.0)</f>
        <v>43752</v>
      </c>
      <c r="C252" s="41">
        <f>IFERROR(__xludf.DUMMYFUNCTION("""COMPUTED_VALUE"""),43758.0)</f>
        <v>43758</v>
      </c>
      <c r="D252" s="39">
        <f>IFERROR(__xludf.DUMMYFUNCTION("""COMPUTED_VALUE"""),42.0)</f>
        <v>42</v>
      </c>
      <c r="E252" s="39">
        <f>IFERROR(__xludf.DUMMYFUNCTION("""COMPUTED_VALUE"""),13736.0)</f>
        <v>13736</v>
      </c>
    </row>
    <row r="253">
      <c r="A253" s="39" t="str">
        <f>IFERROR(__xludf.DUMMYFUNCTION("""COMPUTED_VALUE"""),"Mexico")</f>
        <v>Mexico</v>
      </c>
      <c r="B253" s="40">
        <f>IFERROR(__xludf.DUMMYFUNCTION("""COMPUTED_VALUE"""),43759.0)</f>
        <v>43759</v>
      </c>
      <c r="C253" s="41">
        <f>IFERROR(__xludf.DUMMYFUNCTION("""COMPUTED_VALUE"""),43765.0)</f>
        <v>43765</v>
      </c>
      <c r="D253" s="39">
        <f>IFERROR(__xludf.DUMMYFUNCTION("""COMPUTED_VALUE"""),43.0)</f>
        <v>43</v>
      </c>
      <c r="E253" s="39">
        <f>IFERROR(__xludf.DUMMYFUNCTION("""COMPUTED_VALUE"""),13611.0)</f>
        <v>13611</v>
      </c>
    </row>
    <row r="254">
      <c r="A254" s="39" t="str">
        <f>IFERROR(__xludf.DUMMYFUNCTION("""COMPUTED_VALUE"""),"Mexico")</f>
        <v>Mexico</v>
      </c>
      <c r="B254" s="40">
        <f>IFERROR(__xludf.DUMMYFUNCTION("""COMPUTED_VALUE"""),43766.0)</f>
        <v>43766</v>
      </c>
      <c r="C254" s="41">
        <f>IFERROR(__xludf.DUMMYFUNCTION("""COMPUTED_VALUE"""),43772.0)</f>
        <v>43772</v>
      </c>
      <c r="D254" s="39">
        <f>IFERROR(__xludf.DUMMYFUNCTION("""COMPUTED_VALUE"""),44.0)</f>
        <v>44</v>
      </c>
      <c r="E254" s="39">
        <f>IFERROR(__xludf.DUMMYFUNCTION("""COMPUTED_VALUE"""),13959.0)</f>
        <v>13959</v>
      </c>
    </row>
    <row r="255">
      <c r="A255" s="39" t="str">
        <f>IFERROR(__xludf.DUMMYFUNCTION("""COMPUTED_VALUE"""),"Mexico")</f>
        <v>Mexico</v>
      </c>
      <c r="B255" s="40">
        <f>IFERROR(__xludf.DUMMYFUNCTION("""COMPUTED_VALUE"""),43773.0)</f>
        <v>43773</v>
      </c>
      <c r="C255" s="41">
        <f>IFERROR(__xludf.DUMMYFUNCTION("""COMPUTED_VALUE"""),43779.0)</f>
        <v>43779</v>
      </c>
      <c r="D255" s="39">
        <f>IFERROR(__xludf.DUMMYFUNCTION("""COMPUTED_VALUE"""),45.0)</f>
        <v>45</v>
      </c>
      <c r="E255" s="39">
        <f>IFERROR(__xludf.DUMMYFUNCTION("""COMPUTED_VALUE"""),14035.0)</f>
        <v>14035</v>
      </c>
    </row>
    <row r="256">
      <c r="A256" s="39" t="str">
        <f>IFERROR(__xludf.DUMMYFUNCTION("""COMPUTED_VALUE"""),"Mexico")</f>
        <v>Mexico</v>
      </c>
      <c r="B256" s="40">
        <f>IFERROR(__xludf.DUMMYFUNCTION("""COMPUTED_VALUE"""),43780.0)</f>
        <v>43780</v>
      </c>
      <c r="C256" s="41">
        <f>IFERROR(__xludf.DUMMYFUNCTION("""COMPUTED_VALUE"""),43786.0)</f>
        <v>43786</v>
      </c>
      <c r="D256" s="39">
        <f>IFERROR(__xludf.DUMMYFUNCTION("""COMPUTED_VALUE"""),46.0)</f>
        <v>46</v>
      </c>
      <c r="E256" s="39">
        <f>IFERROR(__xludf.DUMMYFUNCTION("""COMPUTED_VALUE"""),14238.0)</f>
        <v>14238</v>
      </c>
    </row>
    <row r="257">
      <c r="A257" s="39" t="str">
        <f>IFERROR(__xludf.DUMMYFUNCTION("""COMPUTED_VALUE"""),"Mexico")</f>
        <v>Mexico</v>
      </c>
      <c r="B257" s="40">
        <f>IFERROR(__xludf.DUMMYFUNCTION("""COMPUTED_VALUE"""),43787.0)</f>
        <v>43787</v>
      </c>
      <c r="C257" s="41">
        <f>IFERROR(__xludf.DUMMYFUNCTION("""COMPUTED_VALUE"""),43793.0)</f>
        <v>43793</v>
      </c>
      <c r="D257" s="39">
        <f>IFERROR(__xludf.DUMMYFUNCTION("""COMPUTED_VALUE"""),47.0)</f>
        <v>47</v>
      </c>
      <c r="E257" s="39">
        <f>IFERROR(__xludf.DUMMYFUNCTION("""COMPUTED_VALUE"""),14855.0)</f>
        <v>14855</v>
      </c>
    </row>
    <row r="258">
      <c r="A258" s="39" t="str">
        <f>IFERROR(__xludf.DUMMYFUNCTION("""COMPUTED_VALUE"""),"Mexico")</f>
        <v>Mexico</v>
      </c>
      <c r="B258" s="40">
        <f>IFERROR(__xludf.DUMMYFUNCTION("""COMPUTED_VALUE"""),43794.0)</f>
        <v>43794</v>
      </c>
      <c r="C258" s="41">
        <f>IFERROR(__xludf.DUMMYFUNCTION("""COMPUTED_VALUE"""),43800.0)</f>
        <v>43800</v>
      </c>
      <c r="D258" s="39">
        <f>IFERROR(__xludf.DUMMYFUNCTION("""COMPUTED_VALUE"""),48.0)</f>
        <v>48</v>
      </c>
      <c r="E258" s="39">
        <f>IFERROR(__xludf.DUMMYFUNCTION("""COMPUTED_VALUE"""),13793.0)</f>
        <v>13793</v>
      </c>
    </row>
    <row r="259">
      <c r="A259" s="39" t="str">
        <f>IFERROR(__xludf.DUMMYFUNCTION("""COMPUTED_VALUE"""),"Mexico")</f>
        <v>Mexico</v>
      </c>
      <c r="B259" s="40">
        <f>IFERROR(__xludf.DUMMYFUNCTION("""COMPUTED_VALUE"""),43801.0)</f>
        <v>43801</v>
      </c>
      <c r="C259" s="41">
        <f>IFERROR(__xludf.DUMMYFUNCTION("""COMPUTED_VALUE"""),43807.0)</f>
        <v>43807</v>
      </c>
      <c r="D259" s="39">
        <f>IFERROR(__xludf.DUMMYFUNCTION("""COMPUTED_VALUE"""),49.0)</f>
        <v>49</v>
      </c>
      <c r="E259" s="39">
        <f>IFERROR(__xludf.DUMMYFUNCTION("""COMPUTED_VALUE"""),13894.0)</f>
        <v>13894</v>
      </c>
    </row>
    <row r="260">
      <c r="A260" s="39" t="str">
        <f>IFERROR(__xludf.DUMMYFUNCTION("""COMPUTED_VALUE"""),"Mexico")</f>
        <v>Mexico</v>
      </c>
      <c r="B260" s="40">
        <f>IFERROR(__xludf.DUMMYFUNCTION("""COMPUTED_VALUE"""),43808.0)</f>
        <v>43808</v>
      </c>
      <c r="C260" s="41">
        <f>IFERROR(__xludf.DUMMYFUNCTION("""COMPUTED_VALUE"""),43814.0)</f>
        <v>43814</v>
      </c>
      <c r="D260" s="39">
        <f>IFERROR(__xludf.DUMMYFUNCTION("""COMPUTED_VALUE"""),50.0)</f>
        <v>50</v>
      </c>
      <c r="E260" s="39">
        <f>IFERROR(__xludf.DUMMYFUNCTION("""COMPUTED_VALUE"""),13926.0)</f>
        <v>13926</v>
      </c>
    </row>
    <row r="261">
      <c r="A261" s="39" t="str">
        <f>IFERROR(__xludf.DUMMYFUNCTION("""COMPUTED_VALUE"""),"Mexico")</f>
        <v>Mexico</v>
      </c>
      <c r="B261" s="40">
        <f>IFERROR(__xludf.DUMMYFUNCTION("""COMPUTED_VALUE"""),43815.0)</f>
        <v>43815</v>
      </c>
      <c r="C261" s="41">
        <f>IFERROR(__xludf.DUMMYFUNCTION("""COMPUTED_VALUE"""),43821.0)</f>
        <v>43821</v>
      </c>
      <c r="D261" s="39">
        <f>IFERROR(__xludf.DUMMYFUNCTION("""COMPUTED_VALUE"""),51.0)</f>
        <v>51</v>
      </c>
      <c r="E261" s="39">
        <f>IFERROR(__xludf.DUMMYFUNCTION("""COMPUTED_VALUE"""),13545.0)</f>
        <v>13545</v>
      </c>
    </row>
    <row r="262">
      <c r="A262" s="39" t="str">
        <f>IFERROR(__xludf.DUMMYFUNCTION("""COMPUTED_VALUE"""),"Mexico")</f>
        <v>Mexico</v>
      </c>
      <c r="B262" s="40">
        <f>IFERROR(__xludf.DUMMYFUNCTION("""COMPUTED_VALUE"""),43822.0)</f>
        <v>43822</v>
      </c>
      <c r="C262" s="41">
        <f>IFERROR(__xludf.DUMMYFUNCTION("""COMPUTED_VALUE"""),43828.0)</f>
        <v>43828</v>
      </c>
      <c r="D262" s="39">
        <f>IFERROR(__xludf.DUMMYFUNCTION("""COMPUTED_VALUE"""),52.0)</f>
        <v>52</v>
      </c>
      <c r="E262" s="39">
        <f>IFERROR(__xludf.DUMMYFUNCTION("""COMPUTED_VALUE"""),15621.0)</f>
        <v>15621</v>
      </c>
    </row>
    <row r="263">
      <c r="A263" s="39" t="str">
        <f>IFERROR(__xludf.DUMMYFUNCTION("""COMPUTED_VALUE"""),"Mexico")</f>
        <v>Mexico</v>
      </c>
      <c r="B263" s="40">
        <f>IFERROR(__xludf.DUMMYFUNCTION("""COMPUTED_VALUE"""),43829.0)</f>
        <v>43829</v>
      </c>
      <c r="C263" s="41">
        <f>IFERROR(__xludf.DUMMYFUNCTION("""COMPUTED_VALUE"""),43835.0)</f>
        <v>43835</v>
      </c>
      <c r="D263" s="39">
        <f>IFERROR(__xludf.DUMMYFUNCTION("""COMPUTED_VALUE"""),1.0)</f>
        <v>1</v>
      </c>
      <c r="E263" s="39">
        <f>IFERROR(__xludf.DUMMYFUNCTION("""COMPUTED_VALUE"""),16518.0)</f>
        <v>16518</v>
      </c>
    </row>
    <row r="264">
      <c r="A264" s="39" t="str">
        <f>IFERROR(__xludf.DUMMYFUNCTION("""COMPUTED_VALUE"""),"Mexico")</f>
        <v>Mexico</v>
      </c>
      <c r="B264" s="40">
        <f>IFERROR(__xludf.DUMMYFUNCTION("""COMPUTED_VALUE"""),43836.0)</f>
        <v>43836</v>
      </c>
      <c r="C264" s="41">
        <f>IFERROR(__xludf.DUMMYFUNCTION("""COMPUTED_VALUE"""),43842.0)</f>
        <v>43842</v>
      </c>
      <c r="D264" s="39">
        <f>IFERROR(__xludf.DUMMYFUNCTION("""COMPUTED_VALUE"""),2.0)</f>
        <v>2</v>
      </c>
      <c r="E264" s="39">
        <f>IFERROR(__xludf.DUMMYFUNCTION("""COMPUTED_VALUE"""),16736.0)</f>
        <v>16736</v>
      </c>
    </row>
    <row r="265">
      <c r="A265" s="39" t="str">
        <f>IFERROR(__xludf.DUMMYFUNCTION("""COMPUTED_VALUE"""),"Mexico")</f>
        <v>Mexico</v>
      </c>
      <c r="B265" s="40">
        <f>IFERROR(__xludf.DUMMYFUNCTION("""COMPUTED_VALUE"""),43843.0)</f>
        <v>43843</v>
      </c>
      <c r="C265" s="41">
        <f>IFERROR(__xludf.DUMMYFUNCTION("""COMPUTED_VALUE"""),43849.0)</f>
        <v>43849</v>
      </c>
      <c r="D265" s="39">
        <f>IFERROR(__xludf.DUMMYFUNCTION("""COMPUTED_VALUE"""),3.0)</f>
        <v>3</v>
      </c>
      <c r="E265" s="39">
        <f>IFERROR(__xludf.DUMMYFUNCTION("""COMPUTED_VALUE"""),16195.0)</f>
        <v>16195</v>
      </c>
    </row>
    <row r="266">
      <c r="A266" s="39" t="str">
        <f>IFERROR(__xludf.DUMMYFUNCTION("""COMPUTED_VALUE"""),"Mexico")</f>
        <v>Mexico</v>
      </c>
      <c r="B266" s="40">
        <f>IFERROR(__xludf.DUMMYFUNCTION("""COMPUTED_VALUE"""),43850.0)</f>
        <v>43850</v>
      </c>
      <c r="C266" s="41">
        <f>IFERROR(__xludf.DUMMYFUNCTION("""COMPUTED_VALUE"""),43856.0)</f>
        <v>43856</v>
      </c>
      <c r="D266" s="39">
        <f>IFERROR(__xludf.DUMMYFUNCTION("""COMPUTED_VALUE"""),4.0)</f>
        <v>4</v>
      </c>
      <c r="E266" s="39">
        <f>IFERROR(__xludf.DUMMYFUNCTION("""COMPUTED_VALUE"""),15601.0)</f>
        <v>15601</v>
      </c>
    </row>
    <row r="267">
      <c r="A267" s="39" t="str">
        <f>IFERROR(__xludf.DUMMYFUNCTION("""COMPUTED_VALUE"""),"Mexico")</f>
        <v>Mexico</v>
      </c>
      <c r="B267" s="40">
        <f>IFERROR(__xludf.DUMMYFUNCTION("""COMPUTED_VALUE"""),43857.0)</f>
        <v>43857</v>
      </c>
      <c r="C267" s="41">
        <f>IFERROR(__xludf.DUMMYFUNCTION("""COMPUTED_VALUE"""),43863.0)</f>
        <v>43863</v>
      </c>
      <c r="D267" s="39">
        <f>IFERROR(__xludf.DUMMYFUNCTION("""COMPUTED_VALUE"""),5.0)</f>
        <v>5</v>
      </c>
      <c r="E267" s="39">
        <f>IFERROR(__xludf.DUMMYFUNCTION("""COMPUTED_VALUE"""),15217.0)</f>
        <v>15217</v>
      </c>
    </row>
    <row r="268">
      <c r="A268" s="39" t="str">
        <f>IFERROR(__xludf.DUMMYFUNCTION("""COMPUTED_VALUE"""),"Mexico")</f>
        <v>Mexico</v>
      </c>
      <c r="B268" s="40">
        <f>IFERROR(__xludf.DUMMYFUNCTION("""COMPUTED_VALUE"""),43864.0)</f>
        <v>43864</v>
      </c>
      <c r="C268" s="41">
        <f>IFERROR(__xludf.DUMMYFUNCTION("""COMPUTED_VALUE"""),43870.0)</f>
        <v>43870</v>
      </c>
      <c r="D268" s="39">
        <f>IFERROR(__xludf.DUMMYFUNCTION("""COMPUTED_VALUE"""),6.0)</f>
        <v>6</v>
      </c>
      <c r="E268" s="39">
        <f>IFERROR(__xludf.DUMMYFUNCTION("""COMPUTED_VALUE"""),15711.0)</f>
        <v>15711</v>
      </c>
    </row>
    <row r="269">
      <c r="A269" s="39" t="str">
        <f>IFERROR(__xludf.DUMMYFUNCTION("""COMPUTED_VALUE"""),"Mexico")</f>
        <v>Mexico</v>
      </c>
      <c r="B269" s="40">
        <f>IFERROR(__xludf.DUMMYFUNCTION("""COMPUTED_VALUE"""),43871.0)</f>
        <v>43871</v>
      </c>
      <c r="C269" s="41">
        <f>IFERROR(__xludf.DUMMYFUNCTION("""COMPUTED_VALUE"""),43877.0)</f>
        <v>43877</v>
      </c>
      <c r="D269" s="39">
        <f>IFERROR(__xludf.DUMMYFUNCTION("""COMPUTED_VALUE"""),7.0)</f>
        <v>7</v>
      </c>
      <c r="E269" s="39">
        <f>IFERROR(__xludf.DUMMYFUNCTION("""COMPUTED_VALUE"""),14875.0)</f>
        <v>14875</v>
      </c>
    </row>
    <row r="270">
      <c r="A270" s="39" t="str">
        <f>IFERROR(__xludf.DUMMYFUNCTION("""COMPUTED_VALUE"""),"Mexico")</f>
        <v>Mexico</v>
      </c>
      <c r="B270" s="40">
        <f>IFERROR(__xludf.DUMMYFUNCTION("""COMPUTED_VALUE"""),43878.0)</f>
        <v>43878</v>
      </c>
      <c r="C270" s="41">
        <f>IFERROR(__xludf.DUMMYFUNCTION("""COMPUTED_VALUE"""),43884.0)</f>
        <v>43884</v>
      </c>
      <c r="D270" s="39">
        <f>IFERROR(__xludf.DUMMYFUNCTION("""COMPUTED_VALUE"""),8.0)</f>
        <v>8</v>
      </c>
      <c r="E270" s="39">
        <f>IFERROR(__xludf.DUMMYFUNCTION("""COMPUTED_VALUE"""),14501.0)</f>
        <v>14501</v>
      </c>
    </row>
    <row r="271">
      <c r="A271" s="39" t="str">
        <f>IFERROR(__xludf.DUMMYFUNCTION("""COMPUTED_VALUE"""),"Mexico")</f>
        <v>Mexico</v>
      </c>
      <c r="B271" s="40">
        <f>IFERROR(__xludf.DUMMYFUNCTION("""COMPUTED_VALUE"""),43885.0)</f>
        <v>43885</v>
      </c>
      <c r="C271" s="41">
        <f>IFERROR(__xludf.DUMMYFUNCTION("""COMPUTED_VALUE"""),43891.0)</f>
        <v>43891</v>
      </c>
      <c r="D271" s="39">
        <f>IFERROR(__xludf.DUMMYFUNCTION("""COMPUTED_VALUE"""),9.0)</f>
        <v>9</v>
      </c>
      <c r="E271" s="39">
        <f>IFERROR(__xludf.DUMMYFUNCTION("""COMPUTED_VALUE"""),13916.0)</f>
        <v>13916</v>
      </c>
    </row>
    <row r="272">
      <c r="A272" s="39" t="str">
        <f>IFERROR(__xludf.DUMMYFUNCTION("""COMPUTED_VALUE"""),"Mexico")</f>
        <v>Mexico</v>
      </c>
      <c r="B272" s="40">
        <f>IFERROR(__xludf.DUMMYFUNCTION("""COMPUTED_VALUE"""),43892.0)</f>
        <v>43892</v>
      </c>
      <c r="C272" s="41">
        <f>IFERROR(__xludf.DUMMYFUNCTION("""COMPUTED_VALUE"""),43898.0)</f>
        <v>43898</v>
      </c>
      <c r="D272" s="39">
        <f>IFERROR(__xludf.DUMMYFUNCTION("""COMPUTED_VALUE"""),10.0)</f>
        <v>10</v>
      </c>
      <c r="E272" s="39">
        <f>IFERROR(__xludf.DUMMYFUNCTION("""COMPUTED_VALUE"""),14017.0)</f>
        <v>14017</v>
      </c>
    </row>
    <row r="273">
      <c r="A273" s="39" t="str">
        <f>IFERROR(__xludf.DUMMYFUNCTION("""COMPUTED_VALUE"""),"Mexico")</f>
        <v>Mexico</v>
      </c>
      <c r="B273" s="40">
        <f>IFERROR(__xludf.DUMMYFUNCTION("""COMPUTED_VALUE"""),43899.0)</f>
        <v>43899</v>
      </c>
      <c r="C273" s="41">
        <f>IFERROR(__xludf.DUMMYFUNCTION("""COMPUTED_VALUE"""),43905.0)</f>
        <v>43905</v>
      </c>
      <c r="D273" s="39">
        <f>IFERROR(__xludf.DUMMYFUNCTION("""COMPUTED_VALUE"""),11.0)</f>
        <v>11</v>
      </c>
      <c r="E273" s="39">
        <f>IFERROR(__xludf.DUMMYFUNCTION("""COMPUTED_VALUE"""),13857.0)</f>
        <v>13857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tr">
        <f>IFERROR(__xludf.DUMMYFUNCTION("QUERY(DATASET!A:F, ""SELECT A,B,C,D,E WHERE A='Peru' AND C&lt; date '2020-03-02' "")"),"País")</f>
        <v>País</v>
      </c>
      <c r="B1" s="39" t="str">
        <f>IFERROR(__xludf.DUMMYFUNCTION("""COMPUTED_VALUE"""),"Fecha de Inicio")</f>
        <v>Fecha de Inicio</v>
      </c>
      <c r="C1" s="39" t="str">
        <f>IFERROR(__xludf.DUMMYFUNCTION("""COMPUTED_VALUE"""),"Fecha Fin")</f>
        <v>Fecha Fin</v>
      </c>
      <c r="D1" s="39" t="str">
        <f>IFERROR(__xludf.DUMMYFUNCTION("""COMPUTED_VALUE"""),"Semana")</f>
        <v>Semana</v>
      </c>
      <c r="E1" s="39" t="str">
        <f>IFERROR(__xludf.DUMMYFUNCTION("""COMPUTED_VALUE"""),"Total de Muertes Reportadas")</f>
        <v>Total de Muertes Reportadas</v>
      </c>
    </row>
    <row r="2">
      <c r="A2" s="39" t="str">
        <f>IFERROR(__xludf.DUMMYFUNCTION("""COMPUTED_VALUE"""),"Peru")</f>
        <v>Peru</v>
      </c>
      <c r="B2" s="40">
        <f>IFERROR(__xludf.DUMMYFUNCTION("""COMPUTED_VALUE"""),42737.0)</f>
        <v>42737</v>
      </c>
      <c r="C2" s="41">
        <f>IFERROR(__xludf.DUMMYFUNCTION("""COMPUTED_VALUE"""),42743.0)</f>
        <v>42743</v>
      </c>
      <c r="D2" s="39">
        <f>IFERROR(__xludf.DUMMYFUNCTION("""COMPUTED_VALUE"""),1.0)</f>
        <v>1</v>
      </c>
      <c r="E2" s="39">
        <f>IFERROR(__xludf.DUMMYFUNCTION("""COMPUTED_VALUE"""),1586.0)</f>
        <v>1586</v>
      </c>
    </row>
    <row r="3">
      <c r="A3" s="39" t="str">
        <f>IFERROR(__xludf.DUMMYFUNCTION("""COMPUTED_VALUE"""),"Peru")</f>
        <v>Peru</v>
      </c>
      <c r="B3" s="40">
        <f>IFERROR(__xludf.DUMMYFUNCTION("""COMPUTED_VALUE"""),42744.0)</f>
        <v>42744</v>
      </c>
      <c r="C3" s="41">
        <f>IFERROR(__xludf.DUMMYFUNCTION("""COMPUTED_VALUE"""),42750.0)</f>
        <v>42750</v>
      </c>
      <c r="D3" s="39">
        <f>IFERROR(__xludf.DUMMYFUNCTION("""COMPUTED_VALUE"""),2.0)</f>
        <v>2</v>
      </c>
      <c r="E3" s="39">
        <f>IFERROR(__xludf.DUMMYFUNCTION("""COMPUTED_VALUE"""),1672.0)</f>
        <v>1672</v>
      </c>
    </row>
    <row r="4">
      <c r="A4" s="39" t="str">
        <f>IFERROR(__xludf.DUMMYFUNCTION("""COMPUTED_VALUE"""),"Peru")</f>
        <v>Peru</v>
      </c>
      <c r="B4" s="40">
        <f>IFERROR(__xludf.DUMMYFUNCTION("""COMPUTED_VALUE"""),42751.0)</f>
        <v>42751</v>
      </c>
      <c r="C4" s="41">
        <f>IFERROR(__xludf.DUMMYFUNCTION("""COMPUTED_VALUE"""),42757.0)</f>
        <v>42757</v>
      </c>
      <c r="D4" s="39">
        <f>IFERROR(__xludf.DUMMYFUNCTION("""COMPUTED_VALUE"""),3.0)</f>
        <v>3</v>
      </c>
      <c r="E4" s="39">
        <f>IFERROR(__xludf.DUMMYFUNCTION("""COMPUTED_VALUE"""),1740.0)</f>
        <v>1740</v>
      </c>
    </row>
    <row r="5">
      <c r="A5" s="39" t="str">
        <f>IFERROR(__xludf.DUMMYFUNCTION("""COMPUTED_VALUE"""),"Peru")</f>
        <v>Peru</v>
      </c>
      <c r="B5" s="40">
        <f>IFERROR(__xludf.DUMMYFUNCTION("""COMPUTED_VALUE"""),42758.0)</f>
        <v>42758</v>
      </c>
      <c r="C5" s="41">
        <f>IFERROR(__xludf.DUMMYFUNCTION("""COMPUTED_VALUE"""),42764.0)</f>
        <v>42764</v>
      </c>
      <c r="D5" s="39">
        <f>IFERROR(__xludf.DUMMYFUNCTION("""COMPUTED_VALUE"""),4.0)</f>
        <v>4</v>
      </c>
      <c r="E5" s="39">
        <f>IFERROR(__xludf.DUMMYFUNCTION("""COMPUTED_VALUE"""),1760.0)</f>
        <v>1760</v>
      </c>
    </row>
    <row r="6">
      <c r="A6" s="39" t="str">
        <f>IFERROR(__xludf.DUMMYFUNCTION("""COMPUTED_VALUE"""),"Peru")</f>
        <v>Peru</v>
      </c>
      <c r="B6" s="40">
        <f>IFERROR(__xludf.DUMMYFUNCTION("""COMPUTED_VALUE"""),42765.0)</f>
        <v>42765</v>
      </c>
      <c r="C6" s="41">
        <f>IFERROR(__xludf.DUMMYFUNCTION("""COMPUTED_VALUE"""),42771.0)</f>
        <v>42771</v>
      </c>
      <c r="D6" s="39">
        <f>IFERROR(__xludf.DUMMYFUNCTION("""COMPUTED_VALUE"""),5.0)</f>
        <v>5</v>
      </c>
      <c r="E6" s="39">
        <f>IFERROR(__xludf.DUMMYFUNCTION("""COMPUTED_VALUE"""),1881.0)</f>
        <v>1881</v>
      </c>
    </row>
    <row r="7">
      <c r="A7" s="39" t="str">
        <f>IFERROR(__xludf.DUMMYFUNCTION("""COMPUTED_VALUE"""),"Peru")</f>
        <v>Peru</v>
      </c>
      <c r="B7" s="40">
        <f>IFERROR(__xludf.DUMMYFUNCTION("""COMPUTED_VALUE"""),42772.0)</f>
        <v>42772</v>
      </c>
      <c r="C7" s="41">
        <f>IFERROR(__xludf.DUMMYFUNCTION("""COMPUTED_VALUE"""),42778.0)</f>
        <v>42778</v>
      </c>
      <c r="D7" s="39">
        <f>IFERROR(__xludf.DUMMYFUNCTION("""COMPUTED_VALUE"""),6.0)</f>
        <v>6</v>
      </c>
      <c r="E7" s="39">
        <f>IFERROR(__xludf.DUMMYFUNCTION("""COMPUTED_VALUE"""),1682.0)</f>
        <v>1682</v>
      </c>
    </row>
    <row r="8">
      <c r="A8" s="39" t="str">
        <f>IFERROR(__xludf.DUMMYFUNCTION("""COMPUTED_VALUE"""),"Peru")</f>
        <v>Peru</v>
      </c>
      <c r="B8" s="40">
        <f>IFERROR(__xludf.DUMMYFUNCTION("""COMPUTED_VALUE"""),42779.0)</f>
        <v>42779</v>
      </c>
      <c r="C8" s="41">
        <f>IFERROR(__xludf.DUMMYFUNCTION("""COMPUTED_VALUE"""),42785.0)</f>
        <v>42785</v>
      </c>
      <c r="D8" s="39">
        <f>IFERROR(__xludf.DUMMYFUNCTION("""COMPUTED_VALUE"""),7.0)</f>
        <v>7</v>
      </c>
      <c r="E8" s="39">
        <f>IFERROR(__xludf.DUMMYFUNCTION("""COMPUTED_VALUE"""),1715.0)</f>
        <v>1715</v>
      </c>
    </row>
    <row r="9">
      <c r="A9" s="39" t="str">
        <f>IFERROR(__xludf.DUMMYFUNCTION("""COMPUTED_VALUE"""),"Peru")</f>
        <v>Peru</v>
      </c>
      <c r="B9" s="40">
        <f>IFERROR(__xludf.DUMMYFUNCTION("""COMPUTED_VALUE"""),42786.0)</f>
        <v>42786</v>
      </c>
      <c r="C9" s="41">
        <f>IFERROR(__xludf.DUMMYFUNCTION("""COMPUTED_VALUE"""),42792.0)</f>
        <v>42792</v>
      </c>
      <c r="D9" s="39">
        <f>IFERROR(__xludf.DUMMYFUNCTION("""COMPUTED_VALUE"""),8.0)</f>
        <v>8</v>
      </c>
      <c r="E9" s="39">
        <f>IFERROR(__xludf.DUMMYFUNCTION("""COMPUTED_VALUE"""),1933.0)</f>
        <v>1933</v>
      </c>
    </row>
    <row r="10">
      <c r="A10" s="39" t="str">
        <f>IFERROR(__xludf.DUMMYFUNCTION("""COMPUTED_VALUE"""),"Peru")</f>
        <v>Peru</v>
      </c>
      <c r="B10" s="40">
        <f>IFERROR(__xludf.DUMMYFUNCTION("""COMPUTED_VALUE"""),42793.0)</f>
        <v>42793</v>
      </c>
      <c r="C10" s="41">
        <f>IFERROR(__xludf.DUMMYFUNCTION("""COMPUTED_VALUE"""),42799.0)</f>
        <v>42799</v>
      </c>
      <c r="D10" s="39">
        <f>IFERROR(__xludf.DUMMYFUNCTION("""COMPUTED_VALUE"""),9.0)</f>
        <v>9</v>
      </c>
      <c r="E10" s="39">
        <f>IFERROR(__xludf.DUMMYFUNCTION("""COMPUTED_VALUE"""),2052.0)</f>
        <v>2052</v>
      </c>
    </row>
    <row r="11">
      <c r="A11" s="39" t="str">
        <f>IFERROR(__xludf.DUMMYFUNCTION("""COMPUTED_VALUE"""),"Peru")</f>
        <v>Peru</v>
      </c>
      <c r="B11" s="40">
        <f>IFERROR(__xludf.DUMMYFUNCTION("""COMPUTED_VALUE"""),42800.0)</f>
        <v>42800</v>
      </c>
      <c r="C11" s="41">
        <f>IFERROR(__xludf.DUMMYFUNCTION("""COMPUTED_VALUE"""),42806.0)</f>
        <v>42806</v>
      </c>
      <c r="D11" s="39">
        <f>IFERROR(__xludf.DUMMYFUNCTION("""COMPUTED_VALUE"""),10.0)</f>
        <v>10</v>
      </c>
      <c r="E11" s="39">
        <f>IFERROR(__xludf.DUMMYFUNCTION("""COMPUTED_VALUE"""),1839.0)</f>
        <v>1839</v>
      </c>
    </row>
    <row r="12">
      <c r="A12" s="39" t="str">
        <f>IFERROR(__xludf.DUMMYFUNCTION("""COMPUTED_VALUE"""),"Peru")</f>
        <v>Peru</v>
      </c>
      <c r="B12" s="40">
        <f>IFERROR(__xludf.DUMMYFUNCTION("""COMPUTED_VALUE"""),42807.0)</f>
        <v>42807</v>
      </c>
      <c r="C12" s="41">
        <f>IFERROR(__xludf.DUMMYFUNCTION("""COMPUTED_VALUE"""),42813.0)</f>
        <v>42813</v>
      </c>
      <c r="D12" s="39">
        <f>IFERROR(__xludf.DUMMYFUNCTION("""COMPUTED_VALUE"""),11.0)</f>
        <v>11</v>
      </c>
      <c r="E12" s="39">
        <f>IFERROR(__xludf.DUMMYFUNCTION("""COMPUTED_VALUE"""),1931.0)</f>
        <v>1931</v>
      </c>
    </row>
    <row r="13">
      <c r="A13" s="39" t="str">
        <f>IFERROR(__xludf.DUMMYFUNCTION("""COMPUTED_VALUE"""),"Peru")</f>
        <v>Peru</v>
      </c>
      <c r="B13" s="40">
        <f>IFERROR(__xludf.DUMMYFUNCTION("""COMPUTED_VALUE"""),42814.0)</f>
        <v>42814</v>
      </c>
      <c r="C13" s="41">
        <f>IFERROR(__xludf.DUMMYFUNCTION("""COMPUTED_VALUE"""),42820.0)</f>
        <v>42820</v>
      </c>
      <c r="D13" s="39">
        <f>IFERROR(__xludf.DUMMYFUNCTION("""COMPUTED_VALUE"""),12.0)</f>
        <v>12</v>
      </c>
      <c r="E13" s="39">
        <f>IFERROR(__xludf.DUMMYFUNCTION("""COMPUTED_VALUE"""),1911.0)</f>
        <v>1911</v>
      </c>
    </row>
    <row r="14">
      <c r="A14" s="39" t="str">
        <f>IFERROR(__xludf.DUMMYFUNCTION("""COMPUTED_VALUE"""),"Peru")</f>
        <v>Peru</v>
      </c>
      <c r="B14" s="40">
        <f>IFERROR(__xludf.DUMMYFUNCTION("""COMPUTED_VALUE"""),42821.0)</f>
        <v>42821</v>
      </c>
      <c r="C14" s="41">
        <f>IFERROR(__xludf.DUMMYFUNCTION("""COMPUTED_VALUE"""),42827.0)</f>
        <v>42827</v>
      </c>
      <c r="D14" s="39">
        <f>IFERROR(__xludf.DUMMYFUNCTION("""COMPUTED_VALUE"""),13.0)</f>
        <v>13</v>
      </c>
      <c r="E14" s="39">
        <f>IFERROR(__xludf.DUMMYFUNCTION("""COMPUTED_VALUE"""),1786.0)</f>
        <v>1786</v>
      </c>
    </row>
    <row r="15">
      <c r="A15" s="39" t="str">
        <f>IFERROR(__xludf.DUMMYFUNCTION("""COMPUTED_VALUE"""),"Peru")</f>
        <v>Peru</v>
      </c>
      <c r="B15" s="40">
        <f>IFERROR(__xludf.DUMMYFUNCTION("""COMPUTED_VALUE"""),42828.0)</f>
        <v>42828</v>
      </c>
      <c r="C15" s="41">
        <f>IFERROR(__xludf.DUMMYFUNCTION("""COMPUTED_VALUE"""),42834.0)</f>
        <v>42834</v>
      </c>
      <c r="D15" s="39">
        <f>IFERROR(__xludf.DUMMYFUNCTION("""COMPUTED_VALUE"""),14.0)</f>
        <v>14</v>
      </c>
      <c r="E15" s="39">
        <f>IFERROR(__xludf.DUMMYFUNCTION("""COMPUTED_VALUE"""),1765.0)</f>
        <v>1765</v>
      </c>
    </row>
    <row r="16">
      <c r="A16" s="39" t="str">
        <f>IFERROR(__xludf.DUMMYFUNCTION("""COMPUTED_VALUE"""),"Peru")</f>
        <v>Peru</v>
      </c>
      <c r="B16" s="40">
        <f>IFERROR(__xludf.DUMMYFUNCTION("""COMPUTED_VALUE"""),42835.0)</f>
        <v>42835</v>
      </c>
      <c r="C16" s="41">
        <f>IFERROR(__xludf.DUMMYFUNCTION("""COMPUTED_VALUE"""),42841.0)</f>
        <v>42841</v>
      </c>
      <c r="D16" s="39">
        <f>IFERROR(__xludf.DUMMYFUNCTION("""COMPUTED_VALUE"""),15.0)</f>
        <v>15</v>
      </c>
      <c r="E16" s="39">
        <f>IFERROR(__xludf.DUMMYFUNCTION("""COMPUTED_VALUE"""),1758.0)</f>
        <v>1758</v>
      </c>
    </row>
    <row r="17">
      <c r="A17" s="39" t="str">
        <f>IFERROR(__xludf.DUMMYFUNCTION("""COMPUTED_VALUE"""),"Peru")</f>
        <v>Peru</v>
      </c>
      <c r="B17" s="40">
        <f>IFERROR(__xludf.DUMMYFUNCTION("""COMPUTED_VALUE"""),42842.0)</f>
        <v>42842</v>
      </c>
      <c r="C17" s="41">
        <f>IFERROR(__xludf.DUMMYFUNCTION("""COMPUTED_VALUE"""),42848.0)</f>
        <v>42848</v>
      </c>
      <c r="D17" s="39">
        <f>IFERROR(__xludf.DUMMYFUNCTION("""COMPUTED_VALUE"""),16.0)</f>
        <v>16</v>
      </c>
      <c r="E17" s="39">
        <f>IFERROR(__xludf.DUMMYFUNCTION("""COMPUTED_VALUE"""),1804.0)</f>
        <v>1804</v>
      </c>
    </row>
    <row r="18">
      <c r="A18" s="39" t="str">
        <f>IFERROR(__xludf.DUMMYFUNCTION("""COMPUTED_VALUE"""),"Peru")</f>
        <v>Peru</v>
      </c>
      <c r="B18" s="40">
        <f>IFERROR(__xludf.DUMMYFUNCTION("""COMPUTED_VALUE"""),42849.0)</f>
        <v>42849</v>
      </c>
      <c r="C18" s="41">
        <f>IFERROR(__xludf.DUMMYFUNCTION("""COMPUTED_VALUE"""),42855.0)</f>
        <v>42855</v>
      </c>
      <c r="D18" s="39">
        <f>IFERROR(__xludf.DUMMYFUNCTION("""COMPUTED_VALUE"""),17.0)</f>
        <v>17</v>
      </c>
      <c r="E18" s="39">
        <f>IFERROR(__xludf.DUMMYFUNCTION("""COMPUTED_VALUE"""),1685.0)</f>
        <v>1685</v>
      </c>
    </row>
    <row r="19">
      <c r="A19" s="39" t="str">
        <f>IFERROR(__xludf.DUMMYFUNCTION("""COMPUTED_VALUE"""),"Peru")</f>
        <v>Peru</v>
      </c>
      <c r="B19" s="40">
        <f>IFERROR(__xludf.DUMMYFUNCTION("""COMPUTED_VALUE"""),42856.0)</f>
        <v>42856</v>
      </c>
      <c r="C19" s="41">
        <f>IFERROR(__xludf.DUMMYFUNCTION("""COMPUTED_VALUE"""),42862.0)</f>
        <v>42862</v>
      </c>
      <c r="D19" s="39">
        <f>IFERROR(__xludf.DUMMYFUNCTION("""COMPUTED_VALUE"""),18.0)</f>
        <v>18</v>
      </c>
      <c r="E19" s="39">
        <f>IFERROR(__xludf.DUMMYFUNCTION("""COMPUTED_VALUE"""),1780.0)</f>
        <v>1780</v>
      </c>
    </row>
    <row r="20">
      <c r="A20" s="39" t="str">
        <f>IFERROR(__xludf.DUMMYFUNCTION("""COMPUTED_VALUE"""),"Peru")</f>
        <v>Peru</v>
      </c>
      <c r="B20" s="40">
        <f>IFERROR(__xludf.DUMMYFUNCTION("""COMPUTED_VALUE"""),42863.0)</f>
        <v>42863</v>
      </c>
      <c r="C20" s="41">
        <f>IFERROR(__xludf.DUMMYFUNCTION("""COMPUTED_VALUE"""),42869.0)</f>
        <v>42869</v>
      </c>
      <c r="D20" s="39">
        <f>IFERROR(__xludf.DUMMYFUNCTION("""COMPUTED_VALUE"""),19.0)</f>
        <v>19</v>
      </c>
      <c r="E20" s="39">
        <f>IFERROR(__xludf.DUMMYFUNCTION("""COMPUTED_VALUE"""),1751.0)</f>
        <v>1751</v>
      </c>
    </row>
    <row r="21">
      <c r="A21" s="39" t="str">
        <f>IFERROR(__xludf.DUMMYFUNCTION("""COMPUTED_VALUE"""),"Peru")</f>
        <v>Peru</v>
      </c>
      <c r="B21" s="40">
        <f>IFERROR(__xludf.DUMMYFUNCTION("""COMPUTED_VALUE"""),42870.0)</f>
        <v>42870</v>
      </c>
      <c r="C21" s="41">
        <f>IFERROR(__xludf.DUMMYFUNCTION("""COMPUTED_VALUE"""),42876.0)</f>
        <v>42876</v>
      </c>
      <c r="D21" s="39">
        <f>IFERROR(__xludf.DUMMYFUNCTION("""COMPUTED_VALUE"""),20.0)</f>
        <v>20</v>
      </c>
      <c r="E21" s="39">
        <f>IFERROR(__xludf.DUMMYFUNCTION("""COMPUTED_VALUE"""),1813.0)</f>
        <v>1813</v>
      </c>
    </row>
    <row r="22">
      <c r="A22" s="39" t="str">
        <f>IFERROR(__xludf.DUMMYFUNCTION("""COMPUTED_VALUE"""),"Peru")</f>
        <v>Peru</v>
      </c>
      <c r="B22" s="40">
        <f>IFERROR(__xludf.DUMMYFUNCTION("""COMPUTED_VALUE"""),42877.0)</f>
        <v>42877</v>
      </c>
      <c r="C22" s="41">
        <f>IFERROR(__xludf.DUMMYFUNCTION("""COMPUTED_VALUE"""),42883.0)</f>
        <v>42883</v>
      </c>
      <c r="D22" s="39">
        <f>IFERROR(__xludf.DUMMYFUNCTION("""COMPUTED_VALUE"""),21.0)</f>
        <v>21</v>
      </c>
      <c r="E22" s="39">
        <f>IFERROR(__xludf.DUMMYFUNCTION("""COMPUTED_VALUE"""),1813.0)</f>
        <v>1813</v>
      </c>
    </row>
    <row r="23">
      <c r="A23" s="39" t="str">
        <f>IFERROR(__xludf.DUMMYFUNCTION("""COMPUTED_VALUE"""),"Peru")</f>
        <v>Peru</v>
      </c>
      <c r="B23" s="40">
        <f>IFERROR(__xludf.DUMMYFUNCTION("""COMPUTED_VALUE"""),42884.0)</f>
        <v>42884</v>
      </c>
      <c r="C23" s="41">
        <f>IFERROR(__xludf.DUMMYFUNCTION("""COMPUTED_VALUE"""),42890.0)</f>
        <v>42890</v>
      </c>
      <c r="D23" s="39">
        <f>IFERROR(__xludf.DUMMYFUNCTION("""COMPUTED_VALUE"""),22.0)</f>
        <v>22</v>
      </c>
      <c r="E23" s="39">
        <f>IFERROR(__xludf.DUMMYFUNCTION("""COMPUTED_VALUE"""),1782.0)</f>
        <v>1782</v>
      </c>
    </row>
    <row r="24">
      <c r="A24" s="39" t="str">
        <f>IFERROR(__xludf.DUMMYFUNCTION("""COMPUTED_VALUE"""),"Peru")</f>
        <v>Peru</v>
      </c>
      <c r="B24" s="40">
        <f>IFERROR(__xludf.DUMMYFUNCTION("""COMPUTED_VALUE"""),42891.0)</f>
        <v>42891</v>
      </c>
      <c r="C24" s="41">
        <f>IFERROR(__xludf.DUMMYFUNCTION("""COMPUTED_VALUE"""),42897.0)</f>
        <v>42897</v>
      </c>
      <c r="D24" s="39">
        <f>IFERROR(__xludf.DUMMYFUNCTION("""COMPUTED_VALUE"""),23.0)</f>
        <v>23</v>
      </c>
      <c r="E24" s="39">
        <f>IFERROR(__xludf.DUMMYFUNCTION("""COMPUTED_VALUE"""),1934.0)</f>
        <v>1934</v>
      </c>
    </row>
    <row r="25">
      <c r="A25" s="39" t="str">
        <f>IFERROR(__xludf.DUMMYFUNCTION("""COMPUTED_VALUE"""),"Peru")</f>
        <v>Peru</v>
      </c>
      <c r="B25" s="40">
        <f>IFERROR(__xludf.DUMMYFUNCTION("""COMPUTED_VALUE"""),42898.0)</f>
        <v>42898</v>
      </c>
      <c r="C25" s="41">
        <f>IFERROR(__xludf.DUMMYFUNCTION("""COMPUTED_VALUE"""),42904.0)</f>
        <v>42904</v>
      </c>
      <c r="D25" s="39">
        <f>IFERROR(__xludf.DUMMYFUNCTION("""COMPUTED_VALUE"""),24.0)</f>
        <v>24</v>
      </c>
      <c r="E25" s="39">
        <f>IFERROR(__xludf.DUMMYFUNCTION("""COMPUTED_VALUE"""),1839.0)</f>
        <v>1839</v>
      </c>
    </row>
    <row r="26">
      <c r="A26" s="39" t="str">
        <f>IFERROR(__xludf.DUMMYFUNCTION("""COMPUTED_VALUE"""),"Peru")</f>
        <v>Peru</v>
      </c>
      <c r="B26" s="40">
        <f>IFERROR(__xludf.DUMMYFUNCTION("""COMPUTED_VALUE"""),42905.0)</f>
        <v>42905</v>
      </c>
      <c r="C26" s="41">
        <f>IFERROR(__xludf.DUMMYFUNCTION("""COMPUTED_VALUE"""),42911.0)</f>
        <v>42911</v>
      </c>
      <c r="D26" s="39">
        <f>IFERROR(__xludf.DUMMYFUNCTION("""COMPUTED_VALUE"""),25.0)</f>
        <v>25</v>
      </c>
      <c r="E26" s="39">
        <f>IFERROR(__xludf.DUMMYFUNCTION("""COMPUTED_VALUE"""),1917.0)</f>
        <v>1917</v>
      </c>
    </row>
    <row r="27">
      <c r="A27" s="39" t="str">
        <f>IFERROR(__xludf.DUMMYFUNCTION("""COMPUTED_VALUE"""),"Peru")</f>
        <v>Peru</v>
      </c>
      <c r="B27" s="40">
        <f>IFERROR(__xludf.DUMMYFUNCTION("""COMPUTED_VALUE"""),42912.0)</f>
        <v>42912</v>
      </c>
      <c r="C27" s="41">
        <f>IFERROR(__xludf.DUMMYFUNCTION("""COMPUTED_VALUE"""),42918.0)</f>
        <v>42918</v>
      </c>
      <c r="D27" s="39">
        <f>IFERROR(__xludf.DUMMYFUNCTION("""COMPUTED_VALUE"""),26.0)</f>
        <v>26</v>
      </c>
      <c r="E27" s="39">
        <f>IFERROR(__xludf.DUMMYFUNCTION("""COMPUTED_VALUE"""),1965.0)</f>
        <v>1965</v>
      </c>
    </row>
    <row r="28">
      <c r="A28" s="39" t="str">
        <f>IFERROR(__xludf.DUMMYFUNCTION("""COMPUTED_VALUE"""),"Peru")</f>
        <v>Peru</v>
      </c>
      <c r="B28" s="40">
        <f>IFERROR(__xludf.DUMMYFUNCTION("""COMPUTED_VALUE"""),42919.0)</f>
        <v>42919</v>
      </c>
      <c r="C28" s="41">
        <f>IFERROR(__xludf.DUMMYFUNCTION("""COMPUTED_VALUE"""),42925.0)</f>
        <v>42925</v>
      </c>
      <c r="D28" s="39">
        <f>IFERROR(__xludf.DUMMYFUNCTION("""COMPUTED_VALUE"""),27.0)</f>
        <v>27</v>
      </c>
      <c r="E28" s="39">
        <f>IFERROR(__xludf.DUMMYFUNCTION("""COMPUTED_VALUE"""),2009.0)</f>
        <v>2009</v>
      </c>
    </row>
    <row r="29">
      <c r="A29" s="39" t="str">
        <f>IFERROR(__xludf.DUMMYFUNCTION("""COMPUTED_VALUE"""),"Peru")</f>
        <v>Peru</v>
      </c>
      <c r="B29" s="40">
        <f>IFERROR(__xludf.DUMMYFUNCTION("""COMPUTED_VALUE"""),42926.0)</f>
        <v>42926</v>
      </c>
      <c r="C29" s="41">
        <f>IFERROR(__xludf.DUMMYFUNCTION("""COMPUTED_VALUE"""),42932.0)</f>
        <v>42932</v>
      </c>
      <c r="D29" s="39">
        <f>IFERROR(__xludf.DUMMYFUNCTION("""COMPUTED_VALUE"""),28.0)</f>
        <v>28</v>
      </c>
      <c r="E29" s="39">
        <f>IFERROR(__xludf.DUMMYFUNCTION("""COMPUTED_VALUE"""),1923.0)</f>
        <v>1923</v>
      </c>
    </row>
    <row r="30">
      <c r="A30" s="39" t="str">
        <f>IFERROR(__xludf.DUMMYFUNCTION("""COMPUTED_VALUE"""),"Peru")</f>
        <v>Peru</v>
      </c>
      <c r="B30" s="40">
        <f>IFERROR(__xludf.DUMMYFUNCTION("""COMPUTED_VALUE"""),42933.0)</f>
        <v>42933</v>
      </c>
      <c r="C30" s="41">
        <f>IFERROR(__xludf.DUMMYFUNCTION("""COMPUTED_VALUE"""),42939.0)</f>
        <v>42939</v>
      </c>
      <c r="D30" s="39">
        <f>IFERROR(__xludf.DUMMYFUNCTION("""COMPUTED_VALUE"""),29.0)</f>
        <v>29</v>
      </c>
      <c r="E30" s="39">
        <f>IFERROR(__xludf.DUMMYFUNCTION("""COMPUTED_VALUE"""),1955.0)</f>
        <v>1955</v>
      </c>
    </row>
    <row r="31">
      <c r="A31" s="39" t="str">
        <f>IFERROR(__xludf.DUMMYFUNCTION("""COMPUTED_VALUE"""),"Peru")</f>
        <v>Peru</v>
      </c>
      <c r="B31" s="40">
        <f>IFERROR(__xludf.DUMMYFUNCTION("""COMPUTED_VALUE"""),42940.0)</f>
        <v>42940</v>
      </c>
      <c r="C31" s="41">
        <f>IFERROR(__xludf.DUMMYFUNCTION("""COMPUTED_VALUE"""),42946.0)</f>
        <v>42946</v>
      </c>
      <c r="D31" s="39">
        <f>IFERROR(__xludf.DUMMYFUNCTION("""COMPUTED_VALUE"""),30.0)</f>
        <v>30</v>
      </c>
      <c r="E31" s="39">
        <f>IFERROR(__xludf.DUMMYFUNCTION("""COMPUTED_VALUE"""),2004.0)</f>
        <v>2004</v>
      </c>
    </row>
    <row r="32">
      <c r="A32" s="39" t="str">
        <f>IFERROR(__xludf.DUMMYFUNCTION("""COMPUTED_VALUE"""),"Peru")</f>
        <v>Peru</v>
      </c>
      <c r="B32" s="40">
        <f>IFERROR(__xludf.DUMMYFUNCTION("""COMPUTED_VALUE"""),42947.0)</f>
        <v>42947</v>
      </c>
      <c r="C32" s="41">
        <f>IFERROR(__xludf.DUMMYFUNCTION("""COMPUTED_VALUE"""),42953.0)</f>
        <v>42953</v>
      </c>
      <c r="D32" s="39">
        <f>IFERROR(__xludf.DUMMYFUNCTION("""COMPUTED_VALUE"""),31.0)</f>
        <v>31</v>
      </c>
      <c r="E32" s="39">
        <f>IFERROR(__xludf.DUMMYFUNCTION("""COMPUTED_VALUE"""),1929.0)</f>
        <v>1929</v>
      </c>
    </row>
    <row r="33">
      <c r="A33" s="39" t="str">
        <f>IFERROR(__xludf.DUMMYFUNCTION("""COMPUTED_VALUE"""),"Peru")</f>
        <v>Peru</v>
      </c>
      <c r="B33" s="40">
        <f>IFERROR(__xludf.DUMMYFUNCTION("""COMPUTED_VALUE"""),42954.0)</f>
        <v>42954</v>
      </c>
      <c r="C33" s="41">
        <f>IFERROR(__xludf.DUMMYFUNCTION("""COMPUTED_VALUE"""),42960.0)</f>
        <v>42960</v>
      </c>
      <c r="D33" s="39">
        <f>IFERROR(__xludf.DUMMYFUNCTION("""COMPUTED_VALUE"""),32.0)</f>
        <v>32</v>
      </c>
      <c r="E33" s="39">
        <f>IFERROR(__xludf.DUMMYFUNCTION("""COMPUTED_VALUE"""),1962.0)</f>
        <v>1962</v>
      </c>
    </row>
    <row r="34">
      <c r="A34" s="39" t="str">
        <f>IFERROR(__xludf.DUMMYFUNCTION("""COMPUTED_VALUE"""),"Peru")</f>
        <v>Peru</v>
      </c>
      <c r="B34" s="40">
        <f>IFERROR(__xludf.DUMMYFUNCTION("""COMPUTED_VALUE"""),42961.0)</f>
        <v>42961</v>
      </c>
      <c r="C34" s="41">
        <f>IFERROR(__xludf.DUMMYFUNCTION("""COMPUTED_VALUE"""),42967.0)</f>
        <v>42967</v>
      </c>
      <c r="D34" s="39">
        <f>IFERROR(__xludf.DUMMYFUNCTION("""COMPUTED_VALUE"""),33.0)</f>
        <v>33</v>
      </c>
      <c r="E34" s="39">
        <f>IFERROR(__xludf.DUMMYFUNCTION("""COMPUTED_VALUE"""),1913.0)</f>
        <v>1913</v>
      </c>
    </row>
    <row r="35">
      <c r="A35" s="39" t="str">
        <f>IFERROR(__xludf.DUMMYFUNCTION("""COMPUTED_VALUE"""),"Peru")</f>
        <v>Peru</v>
      </c>
      <c r="B35" s="40">
        <f>IFERROR(__xludf.DUMMYFUNCTION("""COMPUTED_VALUE"""),42968.0)</f>
        <v>42968</v>
      </c>
      <c r="C35" s="41">
        <f>IFERROR(__xludf.DUMMYFUNCTION("""COMPUTED_VALUE"""),42974.0)</f>
        <v>42974</v>
      </c>
      <c r="D35" s="39">
        <f>IFERROR(__xludf.DUMMYFUNCTION("""COMPUTED_VALUE"""),34.0)</f>
        <v>34</v>
      </c>
      <c r="E35" s="39">
        <f>IFERROR(__xludf.DUMMYFUNCTION("""COMPUTED_VALUE"""),1969.0)</f>
        <v>1969</v>
      </c>
    </row>
    <row r="36">
      <c r="A36" s="39" t="str">
        <f>IFERROR(__xludf.DUMMYFUNCTION("""COMPUTED_VALUE"""),"Peru")</f>
        <v>Peru</v>
      </c>
      <c r="B36" s="40">
        <f>IFERROR(__xludf.DUMMYFUNCTION("""COMPUTED_VALUE"""),42975.0)</f>
        <v>42975</v>
      </c>
      <c r="C36" s="41">
        <f>IFERROR(__xludf.DUMMYFUNCTION("""COMPUTED_VALUE"""),42981.0)</f>
        <v>42981</v>
      </c>
      <c r="D36" s="39">
        <f>IFERROR(__xludf.DUMMYFUNCTION("""COMPUTED_VALUE"""),35.0)</f>
        <v>35</v>
      </c>
      <c r="E36" s="39">
        <f>IFERROR(__xludf.DUMMYFUNCTION("""COMPUTED_VALUE"""),1972.0)</f>
        <v>1972</v>
      </c>
    </row>
    <row r="37">
      <c r="A37" s="39" t="str">
        <f>IFERROR(__xludf.DUMMYFUNCTION("""COMPUTED_VALUE"""),"Peru")</f>
        <v>Peru</v>
      </c>
      <c r="B37" s="40">
        <f>IFERROR(__xludf.DUMMYFUNCTION("""COMPUTED_VALUE"""),42982.0)</f>
        <v>42982</v>
      </c>
      <c r="C37" s="41">
        <f>IFERROR(__xludf.DUMMYFUNCTION("""COMPUTED_VALUE"""),42988.0)</f>
        <v>42988</v>
      </c>
      <c r="D37" s="39">
        <f>IFERROR(__xludf.DUMMYFUNCTION("""COMPUTED_VALUE"""),36.0)</f>
        <v>36</v>
      </c>
      <c r="E37" s="39">
        <f>IFERROR(__xludf.DUMMYFUNCTION("""COMPUTED_VALUE"""),2027.0)</f>
        <v>2027</v>
      </c>
    </row>
    <row r="38">
      <c r="A38" s="39" t="str">
        <f>IFERROR(__xludf.DUMMYFUNCTION("""COMPUTED_VALUE"""),"Peru")</f>
        <v>Peru</v>
      </c>
      <c r="B38" s="40">
        <f>IFERROR(__xludf.DUMMYFUNCTION("""COMPUTED_VALUE"""),42989.0)</f>
        <v>42989</v>
      </c>
      <c r="C38" s="41">
        <f>IFERROR(__xludf.DUMMYFUNCTION("""COMPUTED_VALUE"""),42995.0)</f>
        <v>42995</v>
      </c>
      <c r="D38" s="39">
        <f>IFERROR(__xludf.DUMMYFUNCTION("""COMPUTED_VALUE"""),37.0)</f>
        <v>37</v>
      </c>
      <c r="E38" s="39">
        <f>IFERROR(__xludf.DUMMYFUNCTION("""COMPUTED_VALUE"""),2058.0)</f>
        <v>2058</v>
      </c>
    </row>
    <row r="39">
      <c r="A39" s="39" t="str">
        <f>IFERROR(__xludf.DUMMYFUNCTION("""COMPUTED_VALUE"""),"Peru")</f>
        <v>Peru</v>
      </c>
      <c r="B39" s="40">
        <f>IFERROR(__xludf.DUMMYFUNCTION("""COMPUTED_VALUE"""),42996.0)</f>
        <v>42996</v>
      </c>
      <c r="C39" s="41">
        <f>IFERROR(__xludf.DUMMYFUNCTION("""COMPUTED_VALUE"""),43002.0)</f>
        <v>43002</v>
      </c>
      <c r="D39" s="39">
        <f>IFERROR(__xludf.DUMMYFUNCTION("""COMPUTED_VALUE"""),38.0)</f>
        <v>38</v>
      </c>
      <c r="E39" s="39">
        <f>IFERROR(__xludf.DUMMYFUNCTION("""COMPUTED_VALUE"""),2014.0)</f>
        <v>2014</v>
      </c>
    </row>
    <row r="40">
      <c r="A40" s="39" t="str">
        <f>IFERROR(__xludf.DUMMYFUNCTION("""COMPUTED_VALUE"""),"Peru")</f>
        <v>Peru</v>
      </c>
      <c r="B40" s="40">
        <f>IFERROR(__xludf.DUMMYFUNCTION("""COMPUTED_VALUE"""),43003.0)</f>
        <v>43003</v>
      </c>
      <c r="C40" s="41">
        <f>IFERROR(__xludf.DUMMYFUNCTION("""COMPUTED_VALUE"""),43009.0)</f>
        <v>43009</v>
      </c>
      <c r="D40" s="39">
        <f>IFERROR(__xludf.DUMMYFUNCTION("""COMPUTED_VALUE"""),39.0)</f>
        <v>39</v>
      </c>
      <c r="E40" s="39">
        <f>IFERROR(__xludf.DUMMYFUNCTION("""COMPUTED_VALUE"""),2081.0)</f>
        <v>2081</v>
      </c>
    </row>
    <row r="41">
      <c r="A41" s="39" t="str">
        <f>IFERROR(__xludf.DUMMYFUNCTION("""COMPUTED_VALUE"""),"Peru")</f>
        <v>Peru</v>
      </c>
      <c r="B41" s="40">
        <f>IFERROR(__xludf.DUMMYFUNCTION("""COMPUTED_VALUE"""),43010.0)</f>
        <v>43010</v>
      </c>
      <c r="C41" s="41">
        <f>IFERROR(__xludf.DUMMYFUNCTION("""COMPUTED_VALUE"""),43016.0)</f>
        <v>43016</v>
      </c>
      <c r="D41" s="39">
        <f>IFERROR(__xludf.DUMMYFUNCTION("""COMPUTED_VALUE"""),40.0)</f>
        <v>40</v>
      </c>
      <c r="E41" s="39">
        <f>IFERROR(__xludf.DUMMYFUNCTION("""COMPUTED_VALUE"""),1969.0)</f>
        <v>1969</v>
      </c>
    </row>
    <row r="42">
      <c r="A42" s="39" t="str">
        <f>IFERROR(__xludf.DUMMYFUNCTION("""COMPUTED_VALUE"""),"Peru")</f>
        <v>Peru</v>
      </c>
      <c r="B42" s="40">
        <f>IFERROR(__xludf.DUMMYFUNCTION("""COMPUTED_VALUE"""),43017.0)</f>
        <v>43017</v>
      </c>
      <c r="C42" s="41">
        <f>IFERROR(__xludf.DUMMYFUNCTION("""COMPUTED_VALUE"""),43023.0)</f>
        <v>43023</v>
      </c>
      <c r="D42" s="39">
        <f>IFERROR(__xludf.DUMMYFUNCTION("""COMPUTED_VALUE"""),41.0)</f>
        <v>41</v>
      </c>
      <c r="E42" s="39">
        <f>IFERROR(__xludf.DUMMYFUNCTION("""COMPUTED_VALUE"""),2077.0)</f>
        <v>2077</v>
      </c>
    </row>
    <row r="43">
      <c r="A43" s="39" t="str">
        <f>IFERROR(__xludf.DUMMYFUNCTION("""COMPUTED_VALUE"""),"Peru")</f>
        <v>Peru</v>
      </c>
      <c r="B43" s="40">
        <f>IFERROR(__xludf.DUMMYFUNCTION("""COMPUTED_VALUE"""),43024.0)</f>
        <v>43024</v>
      </c>
      <c r="C43" s="41">
        <f>IFERROR(__xludf.DUMMYFUNCTION("""COMPUTED_VALUE"""),43030.0)</f>
        <v>43030</v>
      </c>
      <c r="D43" s="39">
        <f>IFERROR(__xludf.DUMMYFUNCTION("""COMPUTED_VALUE"""),42.0)</f>
        <v>42</v>
      </c>
      <c r="E43" s="39">
        <f>IFERROR(__xludf.DUMMYFUNCTION("""COMPUTED_VALUE"""),2070.0)</f>
        <v>2070</v>
      </c>
    </row>
    <row r="44">
      <c r="A44" s="39" t="str">
        <f>IFERROR(__xludf.DUMMYFUNCTION("""COMPUTED_VALUE"""),"Peru")</f>
        <v>Peru</v>
      </c>
      <c r="B44" s="40">
        <f>IFERROR(__xludf.DUMMYFUNCTION("""COMPUTED_VALUE"""),43031.0)</f>
        <v>43031</v>
      </c>
      <c r="C44" s="41">
        <f>IFERROR(__xludf.DUMMYFUNCTION("""COMPUTED_VALUE"""),43037.0)</f>
        <v>43037</v>
      </c>
      <c r="D44" s="39">
        <f>IFERROR(__xludf.DUMMYFUNCTION("""COMPUTED_VALUE"""),43.0)</f>
        <v>43</v>
      </c>
      <c r="E44" s="39">
        <f>IFERROR(__xludf.DUMMYFUNCTION("""COMPUTED_VALUE"""),2041.0)</f>
        <v>2041</v>
      </c>
    </row>
    <row r="45">
      <c r="A45" s="39" t="str">
        <f>IFERROR(__xludf.DUMMYFUNCTION("""COMPUTED_VALUE"""),"Peru")</f>
        <v>Peru</v>
      </c>
      <c r="B45" s="40">
        <f>IFERROR(__xludf.DUMMYFUNCTION("""COMPUTED_VALUE"""),43038.0)</f>
        <v>43038</v>
      </c>
      <c r="C45" s="41">
        <f>IFERROR(__xludf.DUMMYFUNCTION("""COMPUTED_VALUE"""),43044.0)</f>
        <v>43044</v>
      </c>
      <c r="D45" s="39">
        <f>IFERROR(__xludf.DUMMYFUNCTION("""COMPUTED_VALUE"""),44.0)</f>
        <v>44</v>
      </c>
      <c r="E45" s="39">
        <f>IFERROR(__xludf.DUMMYFUNCTION("""COMPUTED_VALUE"""),2029.0)</f>
        <v>2029</v>
      </c>
    </row>
    <row r="46">
      <c r="A46" s="39" t="str">
        <f>IFERROR(__xludf.DUMMYFUNCTION("""COMPUTED_VALUE"""),"Peru")</f>
        <v>Peru</v>
      </c>
      <c r="B46" s="40">
        <f>IFERROR(__xludf.DUMMYFUNCTION("""COMPUTED_VALUE"""),43045.0)</f>
        <v>43045</v>
      </c>
      <c r="C46" s="41">
        <f>IFERROR(__xludf.DUMMYFUNCTION("""COMPUTED_VALUE"""),43051.0)</f>
        <v>43051</v>
      </c>
      <c r="D46" s="39">
        <f>IFERROR(__xludf.DUMMYFUNCTION("""COMPUTED_VALUE"""),45.0)</f>
        <v>45</v>
      </c>
      <c r="E46" s="39">
        <f>IFERROR(__xludf.DUMMYFUNCTION("""COMPUTED_VALUE"""),1997.0)</f>
        <v>1997</v>
      </c>
    </row>
    <row r="47">
      <c r="A47" s="39" t="str">
        <f>IFERROR(__xludf.DUMMYFUNCTION("""COMPUTED_VALUE"""),"Peru")</f>
        <v>Peru</v>
      </c>
      <c r="B47" s="40">
        <f>IFERROR(__xludf.DUMMYFUNCTION("""COMPUTED_VALUE"""),43052.0)</f>
        <v>43052</v>
      </c>
      <c r="C47" s="41">
        <f>IFERROR(__xludf.DUMMYFUNCTION("""COMPUTED_VALUE"""),43058.0)</f>
        <v>43058</v>
      </c>
      <c r="D47" s="39">
        <f>IFERROR(__xludf.DUMMYFUNCTION("""COMPUTED_VALUE"""),46.0)</f>
        <v>46</v>
      </c>
      <c r="E47" s="39">
        <f>IFERROR(__xludf.DUMMYFUNCTION("""COMPUTED_VALUE"""),1892.0)</f>
        <v>1892</v>
      </c>
    </row>
    <row r="48">
      <c r="A48" s="39" t="str">
        <f>IFERROR(__xludf.DUMMYFUNCTION("""COMPUTED_VALUE"""),"Peru")</f>
        <v>Peru</v>
      </c>
      <c r="B48" s="40">
        <f>IFERROR(__xludf.DUMMYFUNCTION("""COMPUTED_VALUE"""),43059.0)</f>
        <v>43059</v>
      </c>
      <c r="C48" s="41">
        <f>IFERROR(__xludf.DUMMYFUNCTION("""COMPUTED_VALUE"""),43065.0)</f>
        <v>43065</v>
      </c>
      <c r="D48" s="39">
        <f>IFERROR(__xludf.DUMMYFUNCTION("""COMPUTED_VALUE"""),47.0)</f>
        <v>47</v>
      </c>
      <c r="E48" s="39">
        <f>IFERROR(__xludf.DUMMYFUNCTION("""COMPUTED_VALUE"""),2035.0)</f>
        <v>2035</v>
      </c>
    </row>
    <row r="49">
      <c r="A49" s="39" t="str">
        <f>IFERROR(__xludf.DUMMYFUNCTION("""COMPUTED_VALUE"""),"Peru")</f>
        <v>Peru</v>
      </c>
      <c r="B49" s="40">
        <f>IFERROR(__xludf.DUMMYFUNCTION("""COMPUTED_VALUE"""),43066.0)</f>
        <v>43066</v>
      </c>
      <c r="C49" s="41">
        <f>IFERROR(__xludf.DUMMYFUNCTION("""COMPUTED_VALUE"""),43072.0)</f>
        <v>43072</v>
      </c>
      <c r="D49" s="39">
        <f>IFERROR(__xludf.DUMMYFUNCTION("""COMPUTED_VALUE"""),48.0)</f>
        <v>48</v>
      </c>
      <c r="E49" s="39">
        <f>IFERROR(__xludf.DUMMYFUNCTION("""COMPUTED_VALUE"""),1951.0)</f>
        <v>1951</v>
      </c>
    </row>
    <row r="50">
      <c r="A50" s="39" t="str">
        <f>IFERROR(__xludf.DUMMYFUNCTION("""COMPUTED_VALUE"""),"Peru")</f>
        <v>Peru</v>
      </c>
      <c r="B50" s="40">
        <f>IFERROR(__xludf.DUMMYFUNCTION("""COMPUTED_VALUE"""),43073.0)</f>
        <v>43073</v>
      </c>
      <c r="C50" s="41">
        <f>IFERROR(__xludf.DUMMYFUNCTION("""COMPUTED_VALUE"""),43079.0)</f>
        <v>43079</v>
      </c>
      <c r="D50" s="39">
        <f>IFERROR(__xludf.DUMMYFUNCTION("""COMPUTED_VALUE"""),49.0)</f>
        <v>49</v>
      </c>
      <c r="E50" s="39">
        <f>IFERROR(__xludf.DUMMYFUNCTION("""COMPUTED_VALUE"""),1868.0)</f>
        <v>1868</v>
      </c>
    </row>
    <row r="51">
      <c r="A51" s="39" t="str">
        <f>IFERROR(__xludf.DUMMYFUNCTION("""COMPUTED_VALUE"""),"Peru")</f>
        <v>Peru</v>
      </c>
      <c r="B51" s="40">
        <f>IFERROR(__xludf.DUMMYFUNCTION("""COMPUTED_VALUE"""),43080.0)</f>
        <v>43080</v>
      </c>
      <c r="C51" s="41">
        <f>IFERROR(__xludf.DUMMYFUNCTION("""COMPUTED_VALUE"""),43086.0)</f>
        <v>43086</v>
      </c>
      <c r="D51" s="39">
        <f>IFERROR(__xludf.DUMMYFUNCTION("""COMPUTED_VALUE"""),50.0)</f>
        <v>50</v>
      </c>
      <c r="E51" s="39">
        <f>IFERROR(__xludf.DUMMYFUNCTION("""COMPUTED_VALUE"""),1968.0)</f>
        <v>1968</v>
      </c>
    </row>
    <row r="52">
      <c r="A52" s="39" t="str">
        <f>IFERROR(__xludf.DUMMYFUNCTION("""COMPUTED_VALUE"""),"Peru")</f>
        <v>Peru</v>
      </c>
      <c r="B52" s="40">
        <f>IFERROR(__xludf.DUMMYFUNCTION("""COMPUTED_VALUE"""),43087.0)</f>
        <v>43087</v>
      </c>
      <c r="C52" s="41">
        <f>IFERROR(__xludf.DUMMYFUNCTION("""COMPUTED_VALUE"""),43093.0)</f>
        <v>43093</v>
      </c>
      <c r="D52" s="39">
        <f>IFERROR(__xludf.DUMMYFUNCTION("""COMPUTED_VALUE"""),51.0)</f>
        <v>51</v>
      </c>
      <c r="E52" s="39">
        <f>IFERROR(__xludf.DUMMYFUNCTION("""COMPUTED_VALUE"""),1949.0)</f>
        <v>1949</v>
      </c>
    </row>
    <row r="53">
      <c r="A53" s="39" t="str">
        <f>IFERROR(__xludf.DUMMYFUNCTION("""COMPUTED_VALUE"""),"Peru")</f>
        <v>Peru</v>
      </c>
      <c r="B53" s="40">
        <f>IFERROR(__xludf.DUMMYFUNCTION("""COMPUTED_VALUE"""),43094.0)</f>
        <v>43094</v>
      </c>
      <c r="C53" s="41">
        <f>IFERROR(__xludf.DUMMYFUNCTION("""COMPUTED_VALUE"""),43100.0)</f>
        <v>43100</v>
      </c>
      <c r="D53" s="39">
        <f>IFERROR(__xludf.DUMMYFUNCTION("""COMPUTED_VALUE"""),52.0)</f>
        <v>52</v>
      </c>
      <c r="E53" s="39">
        <f>IFERROR(__xludf.DUMMYFUNCTION("""COMPUTED_VALUE"""),1948.0)</f>
        <v>1948</v>
      </c>
    </row>
    <row r="54">
      <c r="A54" s="39" t="str">
        <f>IFERROR(__xludf.DUMMYFUNCTION("""COMPUTED_VALUE"""),"Peru")</f>
        <v>Peru</v>
      </c>
      <c r="B54" s="40">
        <f>IFERROR(__xludf.DUMMYFUNCTION("""COMPUTED_VALUE"""),43101.0)</f>
        <v>43101</v>
      </c>
      <c r="C54" s="41">
        <f>IFERROR(__xludf.DUMMYFUNCTION("""COMPUTED_VALUE"""),43107.0)</f>
        <v>43107</v>
      </c>
      <c r="D54" s="39">
        <f>IFERROR(__xludf.DUMMYFUNCTION("""COMPUTED_VALUE"""),1.0)</f>
        <v>1</v>
      </c>
      <c r="E54" s="39">
        <f>IFERROR(__xludf.DUMMYFUNCTION("""COMPUTED_VALUE"""),1987.0)</f>
        <v>1987</v>
      </c>
    </row>
    <row r="55">
      <c r="A55" s="39" t="str">
        <f>IFERROR(__xludf.DUMMYFUNCTION("""COMPUTED_VALUE"""),"Peru")</f>
        <v>Peru</v>
      </c>
      <c r="B55" s="40">
        <f>IFERROR(__xludf.DUMMYFUNCTION("""COMPUTED_VALUE"""),43108.0)</f>
        <v>43108</v>
      </c>
      <c r="C55" s="41">
        <f>IFERROR(__xludf.DUMMYFUNCTION("""COMPUTED_VALUE"""),43114.0)</f>
        <v>43114</v>
      </c>
      <c r="D55" s="39">
        <f>IFERROR(__xludf.DUMMYFUNCTION("""COMPUTED_VALUE"""),2.0)</f>
        <v>2</v>
      </c>
      <c r="E55" s="39">
        <f>IFERROR(__xludf.DUMMYFUNCTION("""COMPUTED_VALUE"""),1980.0)</f>
        <v>1980</v>
      </c>
    </row>
    <row r="56">
      <c r="A56" s="39" t="str">
        <f>IFERROR(__xludf.DUMMYFUNCTION("""COMPUTED_VALUE"""),"Peru")</f>
        <v>Peru</v>
      </c>
      <c r="B56" s="40">
        <f>IFERROR(__xludf.DUMMYFUNCTION("""COMPUTED_VALUE"""),43115.0)</f>
        <v>43115</v>
      </c>
      <c r="C56" s="41">
        <f>IFERROR(__xludf.DUMMYFUNCTION("""COMPUTED_VALUE"""),43121.0)</f>
        <v>43121</v>
      </c>
      <c r="D56" s="39">
        <f>IFERROR(__xludf.DUMMYFUNCTION("""COMPUTED_VALUE"""),3.0)</f>
        <v>3</v>
      </c>
      <c r="E56" s="39">
        <f>IFERROR(__xludf.DUMMYFUNCTION("""COMPUTED_VALUE"""),1922.0)</f>
        <v>1922</v>
      </c>
    </row>
    <row r="57">
      <c r="A57" s="39" t="str">
        <f>IFERROR(__xludf.DUMMYFUNCTION("""COMPUTED_VALUE"""),"Peru")</f>
        <v>Peru</v>
      </c>
      <c r="B57" s="40">
        <f>IFERROR(__xludf.DUMMYFUNCTION("""COMPUTED_VALUE"""),43122.0)</f>
        <v>43122</v>
      </c>
      <c r="C57" s="41">
        <f>IFERROR(__xludf.DUMMYFUNCTION("""COMPUTED_VALUE"""),43128.0)</f>
        <v>43128</v>
      </c>
      <c r="D57" s="39">
        <f>IFERROR(__xludf.DUMMYFUNCTION("""COMPUTED_VALUE"""),4.0)</f>
        <v>4</v>
      </c>
      <c r="E57" s="39">
        <f>IFERROR(__xludf.DUMMYFUNCTION("""COMPUTED_VALUE"""),1953.0)</f>
        <v>1953</v>
      </c>
    </row>
    <row r="58">
      <c r="A58" s="39" t="str">
        <f>IFERROR(__xludf.DUMMYFUNCTION("""COMPUTED_VALUE"""),"Peru")</f>
        <v>Peru</v>
      </c>
      <c r="B58" s="40">
        <f>IFERROR(__xludf.DUMMYFUNCTION("""COMPUTED_VALUE"""),43129.0)</f>
        <v>43129</v>
      </c>
      <c r="C58" s="41">
        <f>IFERROR(__xludf.DUMMYFUNCTION("""COMPUTED_VALUE"""),43135.0)</f>
        <v>43135</v>
      </c>
      <c r="D58" s="39">
        <f>IFERROR(__xludf.DUMMYFUNCTION("""COMPUTED_VALUE"""),5.0)</f>
        <v>5</v>
      </c>
      <c r="E58" s="39">
        <f>IFERROR(__xludf.DUMMYFUNCTION("""COMPUTED_VALUE"""),1888.0)</f>
        <v>1888</v>
      </c>
    </row>
    <row r="59">
      <c r="A59" s="39" t="str">
        <f>IFERROR(__xludf.DUMMYFUNCTION("""COMPUTED_VALUE"""),"Peru")</f>
        <v>Peru</v>
      </c>
      <c r="B59" s="40">
        <f>IFERROR(__xludf.DUMMYFUNCTION("""COMPUTED_VALUE"""),43136.0)</f>
        <v>43136</v>
      </c>
      <c r="C59" s="41">
        <f>IFERROR(__xludf.DUMMYFUNCTION("""COMPUTED_VALUE"""),43142.0)</f>
        <v>43142</v>
      </c>
      <c r="D59" s="39">
        <f>IFERROR(__xludf.DUMMYFUNCTION("""COMPUTED_VALUE"""),6.0)</f>
        <v>6</v>
      </c>
      <c r="E59" s="39">
        <f>IFERROR(__xludf.DUMMYFUNCTION("""COMPUTED_VALUE"""),1914.0)</f>
        <v>1914</v>
      </c>
    </row>
    <row r="60">
      <c r="A60" s="39" t="str">
        <f>IFERROR(__xludf.DUMMYFUNCTION("""COMPUTED_VALUE"""),"Peru")</f>
        <v>Peru</v>
      </c>
      <c r="B60" s="40">
        <f>IFERROR(__xludf.DUMMYFUNCTION("""COMPUTED_VALUE"""),43143.0)</f>
        <v>43143</v>
      </c>
      <c r="C60" s="41">
        <f>IFERROR(__xludf.DUMMYFUNCTION("""COMPUTED_VALUE"""),43149.0)</f>
        <v>43149</v>
      </c>
      <c r="D60" s="39">
        <f>IFERROR(__xludf.DUMMYFUNCTION("""COMPUTED_VALUE"""),7.0)</f>
        <v>7</v>
      </c>
      <c r="E60" s="39">
        <f>IFERROR(__xludf.DUMMYFUNCTION("""COMPUTED_VALUE"""),2024.0)</f>
        <v>2024</v>
      </c>
    </row>
    <row r="61">
      <c r="A61" s="39" t="str">
        <f>IFERROR(__xludf.DUMMYFUNCTION("""COMPUTED_VALUE"""),"Peru")</f>
        <v>Peru</v>
      </c>
      <c r="B61" s="40">
        <f>IFERROR(__xludf.DUMMYFUNCTION("""COMPUTED_VALUE"""),43150.0)</f>
        <v>43150</v>
      </c>
      <c r="C61" s="41">
        <f>IFERROR(__xludf.DUMMYFUNCTION("""COMPUTED_VALUE"""),43156.0)</f>
        <v>43156</v>
      </c>
      <c r="D61" s="39">
        <f>IFERROR(__xludf.DUMMYFUNCTION("""COMPUTED_VALUE"""),8.0)</f>
        <v>8</v>
      </c>
      <c r="E61" s="39">
        <f>IFERROR(__xludf.DUMMYFUNCTION("""COMPUTED_VALUE"""),1948.0)</f>
        <v>1948</v>
      </c>
    </row>
    <row r="62">
      <c r="A62" s="39" t="str">
        <f>IFERROR(__xludf.DUMMYFUNCTION("""COMPUTED_VALUE"""),"Peru")</f>
        <v>Peru</v>
      </c>
      <c r="B62" s="40">
        <f>IFERROR(__xludf.DUMMYFUNCTION("""COMPUTED_VALUE"""),43157.0)</f>
        <v>43157</v>
      </c>
      <c r="C62" s="41">
        <f>IFERROR(__xludf.DUMMYFUNCTION("""COMPUTED_VALUE"""),43163.0)</f>
        <v>43163</v>
      </c>
      <c r="D62" s="39">
        <f>IFERROR(__xludf.DUMMYFUNCTION("""COMPUTED_VALUE"""),9.0)</f>
        <v>9</v>
      </c>
      <c r="E62" s="39">
        <f>IFERROR(__xludf.DUMMYFUNCTION("""COMPUTED_VALUE"""),1947.0)</f>
        <v>1947</v>
      </c>
    </row>
    <row r="63">
      <c r="A63" s="39" t="str">
        <f>IFERROR(__xludf.DUMMYFUNCTION("""COMPUTED_VALUE"""),"Peru")</f>
        <v>Peru</v>
      </c>
      <c r="B63" s="40">
        <f>IFERROR(__xludf.DUMMYFUNCTION("""COMPUTED_VALUE"""),43164.0)</f>
        <v>43164</v>
      </c>
      <c r="C63" s="41">
        <f>IFERROR(__xludf.DUMMYFUNCTION("""COMPUTED_VALUE"""),43170.0)</f>
        <v>43170</v>
      </c>
      <c r="D63" s="39">
        <f>IFERROR(__xludf.DUMMYFUNCTION("""COMPUTED_VALUE"""),10.0)</f>
        <v>10</v>
      </c>
      <c r="E63" s="39">
        <f>IFERROR(__xludf.DUMMYFUNCTION("""COMPUTED_VALUE"""),1893.0)</f>
        <v>1893</v>
      </c>
    </row>
    <row r="64">
      <c r="A64" s="39" t="str">
        <f>IFERROR(__xludf.DUMMYFUNCTION("""COMPUTED_VALUE"""),"Peru")</f>
        <v>Peru</v>
      </c>
      <c r="B64" s="40">
        <f>IFERROR(__xludf.DUMMYFUNCTION("""COMPUTED_VALUE"""),43171.0)</f>
        <v>43171</v>
      </c>
      <c r="C64" s="41">
        <f>IFERROR(__xludf.DUMMYFUNCTION("""COMPUTED_VALUE"""),43177.0)</f>
        <v>43177</v>
      </c>
      <c r="D64" s="39">
        <f>IFERROR(__xludf.DUMMYFUNCTION("""COMPUTED_VALUE"""),11.0)</f>
        <v>11</v>
      </c>
      <c r="E64" s="39">
        <f>IFERROR(__xludf.DUMMYFUNCTION("""COMPUTED_VALUE"""),1972.0)</f>
        <v>1972</v>
      </c>
    </row>
    <row r="65">
      <c r="A65" s="39" t="str">
        <f>IFERROR(__xludf.DUMMYFUNCTION("""COMPUTED_VALUE"""),"Peru")</f>
        <v>Peru</v>
      </c>
      <c r="B65" s="40">
        <f>IFERROR(__xludf.DUMMYFUNCTION("""COMPUTED_VALUE"""),43178.0)</f>
        <v>43178</v>
      </c>
      <c r="C65" s="41">
        <f>IFERROR(__xludf.DUMMYFUNCTION("""COMPUTED_VALUE"""),43184.0)</f>
        <v>43184</v>
      </c>
      <c r="D65" s="39">
        <f>IFERROR(__xludf.DUMMYFUNCTION("""COMPUTED_VALUE"""),12.0)</f>
        <v>12</v>
      </c>
      <c r="E65" s="39">
        <f>IFERROR(__xludf.DUMMYFUNCTION("""COMPUTED_VALUE"""),1970.0)</f>
        <v>1970</v>
      </c>
    </row>
    <row r="66">
      <c r="A66" s="39" t="str">
        <f>IFERROR(__xludf.DUMMYFUNCTION("""COMPUTED_VALUE"""),"Peru")</f>
        <v>Peru</v>
      </c>
      <c r="B66" s="40">
        <f>IFERROR(__xludf.DUMMYFUNCTION("""COMPUTED_VALUE"""),43185.0)</f>
        <v>43185</v>
      </c>
      <c r="C66" s="41">
        <f>IFERROR(__xludf.DUMMYFUNCTION("""COMPUTED_VALUE"""),43191.0)</f>
        <v>43191</v>
      </c>
      <c r="D66" s="39">
        <f>IFERROR(__xludf.DUMMYFUNCTION("""COMPUTED_VALUE"""),13.0)</f>
        <v>13</v>
      </c>
      <c r="E66" s="39">
        <f>IFERROR(__xludf.DUMMYFUNCTION("""COMPUTED_VALUE"""),1984.0)</f>
        <v>1984</v>
      </c>
    </row>
    <row r="67">
      <c r="A67" s="39" t="str">
        <f>IFERROR(__xludf.DUMMYFUNCTION("""COMPUTED_VALUE"""),"Peru")</f>
        <v>Peru</v>
      </c>
      <c r="B67" s="40">
        <f>IFERROR(__xludf.DUMMYFUNCTION("""COMPUTED_VALUE"""),43192.0)</f>
        <v>43192</v>
      </c>
      <c r="C67" s="41">
        <f>IFERROR(__xludf.DUMMYFUNCTION("""COMPUTED_VALUE"""),43198.0)</f>
        <v>43198</v>
      </c>
      <c r="D67" s="39">
        <f>IFERROR(__xludf.DUMMYFUNCTION("""COMPUTED_VALUE"""),14.0)</f>
        <v>14</v>
      </c>
      <c r="E67" s="39">
        <f>IFERROR(__xludf.DUMMYFUNCTION("""COMPUTED_VALUE"""),2100.0)</f>
        <v>2100</v>
      </c>
    </row>
    <row r="68">
      <c r="A68" s="39" t="str">
        <f>IFERROR(__xludf.DUMMYFUNCTION("""COMPUTED_VALUE"""),"Peru")</f>
        <v>Peru</v>
      </c>
      <c r="B68" s="40">
        <f>IFERROR(__xludf.DUMMYFUNCTION("""COMPUTED_VALUE"""),43199.0)</f>
        <v>43199</v>
      </c>
      <c r="C68" s="41">
        <f>IFERROR(__xludf.DUMMYFUNCTION("""COMPUTED_VALUE"""),43205.0)</f>
        <v>43205</v>
      </c>
      <c r="D68" s="39">
        <f>IFERROR(__xludf.DUMMYFUNCTION("""COMPUTED_VALUE"""),15.0)</f>
        <v>15</v>
      </c>
      <c r="E68" s="39">
        <f>IFERROR(__xludf.DUMMYFUNCTION("""COMPUTED_VALUE"""),1835.0)</f>
        <v>1835</v>
      </c>
    </row>
    <row r="69">
      <c r="A69" s="39" t="str">
        <f>IFERROR(__xludf.DUMMYFUNCTION("""COMPUTED_VALUE"""),"Peru")</f>
        <v>Peru</v>
      </c>
      <c r="B69" s="40">
        <f>IFERROR(__xludf.DUMMYFUNCTION("""COMPUTED_VALUE"""),43206.0)</f>
        <v>43206</v>
      </c>
      <c r="C69" s="41">
        <f>IFERROR(__xludf.DUMMYFUNCTION("""COMPUTED_VALUE"""),43212.0)</f>
        <v>43212</v>
      </c>
      <c r="D69" s="39">
        <f>IFERROR(__xludf.DUMMYFUNCTION("""COMPUTED_VALUE"""),16.0)</f>
        <v>16</v>
      </c>
      <c r="E69" s="39">
        <f>IFERROR(__xludf.DUMMYFUNCTION("""COMPUTED_VALUE"""),1985.0)</f>
        <v>1985</v>
      </c>
    </row>
    <row r="70">
      <c r="A70" s="39" t="str">
        <f>IFERROR(__xludf.DUMMYFUNCTION("""COMPUTED_VALUE"""),"Peru")</f>
        <v>Peru</v>
      </c>
      <c r="B70" s="40">
        <f>IFERROR(__xludf.DUMMYFUNCTION("""COMPUTED_VALUE"""),43213.0)</f>
        <v>43213</v>
      </c>
      <c r="C70" s="41">
        <f>IFERROR(__xludf.DUMMYFUNCTION("""COMPUTED_VALUE"""),43219.0)</f>
        <v>43219</v>
      </c>
      <c r="D70" s="39">
        <f>IFERROR(__xludf.DUMMYFUNCTION("""COMPUTED_VALUE"""),17.0)</f>
        <v>17</v>
      </c>
      <c r="E70" s="39">
        <f>IFERROR(__xludf.DUMMYFUNCTION("""COMPUTED_VALUE"""),1991.0)</f>
        <v>1991</v>
      </c>
    </row>
    <row r="71">
      <c r="A71" s="39" t="str">
        <f>IFERROR(__xludf.DUMMYFUNCTION("""COMPUTED_VALUE"""),"Peru")</f>
        <v>Peru</v>
      </c>
      <c r="B71" s="40">
        <f>IFERROR(__xludf.DUMMYFUNCTION("""COMPUTED_VALUE"""),43220.0)</f>
        <v>43220</v>
      </c>
      <c r="C71" s="41">
        <f>IFERROR(__xludf.DUMMYFUNCTION("""COMPUTED_VALUE"""),43226.0)</f>
        <v>43226</v>
      </c>
      <c r="D71" s="39">
        <f>IFERROR(__xludf.DUMMYFUNCTION("""COMPUTED_VALUE"""),18.0)</f>
        <v>18</v>
      </c>
      <c r="E71" s="39">
        <f>IFERROR(__xludf.DUMMYFUNCTION("""COMPUTED_VALUE"""),2129.0)</f>
        <v>2129</v>
      </c>
    </row>
    <row r="72">
      <c r="A72" s="39" t="str">
        <f>IFERROR(__xludf.DUMMYFUNCTION("""COMPUTED_VALUE"""),"Peru")</f>
        <v>Peru</v>
      </c>
      <c r="B72" s="40">
        <f>IFERROR(__xludf.DUMMYFUNCTION("""COMPUTED_VALUE"""),43227.0)</f>
        <v>43227</v>
      </c>
      <c r="C72" s="41">
        <f>IFERROR(__xludf.DUMMYFUNCTION("""COMPUTED_VALUE"""),43233.0)</f>
        <v>43233</v>
      </c>
      <c r="D72" s="39">
        <f>IFERROR(__xludf.DUMMYFUNCTION("""COMPUTED_VALUE"""),19.0)</f>
        <v>19</v>
      </c>
      <c r="E72" s="39">
        <f>IFERROR(__xludf.DUMMYFUNCTION("""COMPUTED_VALUE"""),2001.0)</f>
        <v>2001</v>
      </c>
    </row>
    <row r="73">
      <c r="A73" s="39" t="str">
        <f>IFERROR(__xludf.DUMMYFUNCTION("""COMPUTED_VALUE"""),"Peru")</f>
        <v>Peru</v>
      </c>
      <c r="B73" s="40">
        <f>IFERROR(__xludf.DUMMYFUNCTION("""COMPUTED_VALUE"""),43234.0)</f>
        <v>43234</v>
      </c>
      <c r="C73" s="41">
        <f>IFERROR(__xludf.DUMMYFUNCTION("""COMPUTED_VALUE"""),43240.0)</f>
        <v>43240</v>
      </c>
      <c r="D73" s="39">
        <f>IFERROR(__xludf.DUMMYFUNCTION("""COMPUTED_VALUE"""),20.0)</f>
        <v>20</v>
      </c>
      <c r="E73" s="39">
        <f>IFERROR(__xludf.DUMMYFUNCTION("""COMPUTED_VALUE"""),2118.0)</f>
        <v>2118</v>
      </c>
    </row>
    <row r="74">
      <c r="A74" s="39" t="str">
        <f>IFERROR(__xludf.DUMMYFUNCTION("""COMPUTED_VALUE"""),"Peru")</f>
        <v>Peru</v>
      </c>
      <c r="B74" s="40">
        <f>IFERROR(__xludf.DUMMYFUNCTION("""COMPUTED_VALUE"""),43241.0)</f>
        <v>43241</v>
      </c>
      <c r="C74" s="41">
        <f>IFERROR(__xludf.DUMMYFUNCTION("""COMPUTED_VALUE"""),43247.0)</f>
        <v>43247</v>
      </c>
      <c r="D74" s="39">
        <f>IFERROR(__xludf.DUMMYFUNCTION("""COMPUTED_VALUE"""),21.0)</f>
        <v>21</v>
      </c>
      <c r="E74" s="39">
        <f>IFERROR(__xludf.DUMMYFUNCTION("""COMPUTED_VALUE"""),2294.0)</f>
        <v>2294</v>
      </c>
    </row>
    <row r="75">
      <c r="A75" s="39" t="str">
        <f>IFERROR(__xludf.DUMMYFUNCTION("""COMPUTED_VALUE"""),"Peru")</f>
        <v>Peru</v>
      </c>
      <c r="B75" s="40">
        <f>IFERROR(__xludf.DUMMYFUNCTION("""COMPUTED_VALUE"""),43248.0)</f>
        <v>43248</v>
      </c>
      <c r="C75" s="41">
        <f>IFERROR(__xludf.DUMMYFUNCTION("""COMPUTED_VALUE"""),43254.0)</f>
        <v>43254</v>
      </c>
      <c r="D75" s="39">
        <f>IFERROR(__xludf.DUMMYFUNCTION("""COMPUTED_VALUE"""),22.0)</f>
        <v>22</v>
      </c>
      <c r="E75" s="39">
        <f>IFERROR(__xludf.DUMMYFUNCTION("""COMPUTED_VALUE"""),2288.0)</f>
        <v>2288</v>
      </c>
    </row>
    <row r="76">
      <c r="A76" s="39" t="str">
        <f>IFERROR(__xludf.DUMMYFUNCTION("""COMPUTED_VALUE"""),"Peru")</f>
        <v>Peru</v>
      </c>
      <c r="B76" s="40">
        <f>IFERROR(__xludf.DUMMYFUNCTION("""COMPUTED_VALUE"""),43255.0)</f>
        <v>43255</v>
      </c>
      <c r="C76" s="41">
        <f>IFERROR(__xludf.DUMMYFUNCTION("""COMPUTED_VALUE"""),43261.0)</f>
        <v>43261</v>
      </c>
      <c r="D76" s="39">
        <f>IFERROR(__xludf.DUMMYFUNCTION("""COMPUTED_VALUE"""),23.0)</f>
        <v>23</v>
      </c>
      <c r="E76" s="39">
        <f>IFERROR(__xludf.DUMMYFUNCTION("""COMPUTED_VALUE"""),2347.0)</f>
        <v>2347</v>
      </c>
    </row>
    <row r="77">
      <c r="A77" s="39" t="str">
        <f>IFERROR(__xludf.DUMMYFUNCTION("""COMPUTED_VALUE"""),"Peru")</f>
        <v>Peru</v>
      </c>
      <c r="B77" s="40">
        <f>IFERROR(__xludf.DUMMYFUNCTION("""COMPUTED_VALUE"""),43262.0)</f>
        <v>43262</v>
      </c>
      <c r="C77" s="41">
        <f>IFERROR(__xludf.DUMMYFUNCTION("""COMPUTED_VALUE"""),43268.0)</f>
        <v>43268</v>
      </c>
      <c r="D77" s="39">
        <f>IFERROR(__xludf.DUMMYFUNCTION("""COMPUTED_VALUE"""),24.0)</f>
        <v>24</v>
      </c>
      <c r="E77" s="39">
        <f>IFERROR(__xludf.DUMMYFUNCTION("""COMPUTED_VALUE"""),2442.0)</f>
        <v>2442</v>
      </c>
    </row>
    <row r="78">
      <c r="A78" s="39" t="str">
        <f>IFERROR(__xludf.DUMMYFUNCTION("""COMPUTED_VALUE"""),"Peru")</f>
        <v>Peru</v>
      </c>
      <c r="B78" s="40">
        <f>IFERROR(__xludf.DUMMYFUNCTION("""COMPUTED_VALUE"""),43269.0)</f>
        <v>43269</v>
      </c>
      <c r="C78" s="41">
        <f>IFERROR(__xludf.DUMMYFUNCTION("""COMPUTED_VALUE"""),43275.0)</f>
        <v>43275</v>
      </c>
      <c r="D78" s="39">
        <f>IFERROR(__xludf.DUMMYFUNCTION("""COMPUTED_VALUE"""),25.0)</f>
        <v>25</v>
      </c>
      <c r="E78" s="39">
        <f>IFERROR(__xludf.DUMMYFUNCTION("""COMPUTED_VALUE"""),2496.0)</f>
        <v>2496</v>
      </c>
    </row>
    <row r="79">
      <c r="A79" s="39" t="str">
        <f>IFERROR(__xludf.DUMMYFUNCTION("""COMPUTED_VALUE"""),"Peru")</f>
        <v>Peru</v>
      </c>
      <c r="B79" s="40">
        <f>IFERROR(__xludf.DUMMYFUNCTION("""COMPUTED_VALUE"""),43276.0)</f>
        <v>43276</v>
      </c>
      <c r="C79" s="41">
        <f>IFERROR(__xludf.DUMMYFUNCTION("""COMPUTED_VALUE"""),43282.0)</f>
        <v>43282</v>
      </c>
      <c r="D79" s="39">
        <f>IFERROR(__xludf.DUMMYFUNCTION("""COMPUTED_VALUE"""),26.0)</f>
        <v>26</v>
      </c>
      <c r="E79" s="39">
        <f>IFERROR(__xludf.DUMMYFUNCTION("""COMPUTED_VALUE"""),2454.0)</f>
        <v>2454</v>
      </c>
    </row>
    <row r="80">
      <c r="A80" s="39" t="str">
        <f>IFERROR(__xludf.DUMMYFUNCTION("""COMPUTED_VALUE"""),"Peru")</f>
        <v>Peru</v>
      </c>
      <c r="B80" s="40">
        <f>IFERROR(__xludf.DUMMYFUNCTION("""COMPUTED_VALUE"""),43283.0)</f>
        <v>43283</v>
      </c>
      <c r="C80" s="41">
        <f>IFERROR(__xludf.DUMMYFUNCTION("""COMPUTED_VALUE"""),43289.0)</f>
        <v>43289</v>
      </c>
      <c r="D80" s="39">
        <f>IFERROR(__xludf.DUMMYFUNCTION("""COMPUTED_VALUE"""),27.0)</f>
        <v>27</v>
      </c>
      <c r="E80" s="39">
        <f>IFERROR(__xludf.DUMMYFUNCTION("""COMPUTED_VALUE"""),2477.0)</f>
        <v>2477</v>
      </c>
    </row>
    <row r="81">
      <c r="A81" s="39" t="str">
        <f>IFERROR(__xludf.DUMMYFUNCTION("""COMPUTED_VALUE"""),"Peru")</f>
        <v>Peru</v>
      </c>
      <c r="B81" s="40">
        <f>IFERROR(__xludf.DUMMYFUNCTION("""COMPUTED_VALUE"""),43290.0)</f>
        <v>43290</v>
      </c>
      <c r="C81" s="41">
        <f>IFERROR(__xludf.DUMMYFUNCTION("""COMPUTED_VALUE"""),43296.0)</f>
        <v>43296</v>
      </c>
      <c r="D81" s="39">
        <f>IFERROR(__xludf.DUMMYFUNCTION("""COMPUTED_VALUE"""),28.0)</f>
        <v>28</v>
      </c>
      <c r="E81" s="39">
        <f>IFERROR(__xludf.DUMMYFUNCTION("""COMPUTED_VALUE"""),2320.0)</f>
        <v>2320</v>
      </c>
    </row>
    <row r="82">
      <c r="A82" s="39" t="str">
        <f>IFERROR(__xludf.DUMMYFUNCTION("""COMPUTED_VALUE"""),"Peru")</f>
        <v>Peru</v>
      </c>
      <c r="B82" s="40">
        <f>IFERROR(__xludf.DUMMYFUNCTION("""COMPUTED_VALUE"""),43297.0)</f>
        <v>43297</v>
      </c>
      <c r="C82" s="41">
        <f>IFERROR(__xludf.DUMMYFUNCTION("""COMPUTED_VALUE"""),43303.0)</f>
        <v>43303</v>
      </c>
      <c r="D82" s="39">
        <f>IFERROR(__xludf.DUMMYFUNCTION("""COMPUTED_VALUE"""),29.0)</f>
        <v>29</v>
      </c>
      <c r="E82" s="39">
        <f>IFERROR(__xludf.DUMMYFUNCTION("""COMPUTED_VALUE"""),2389.0)</f>
        <v>2389</v>
      </c>
    </row>
    <row r="83">
      <c r="A83" s="39" t="str">
        <f>IFERROR(__xludf.DUMMYFUNCTION("""COMPUTED_VALUE"""),"Peru")</f>
        <v>Peru</v>
      </c>
      <c r="B83" s="40">
        <f>IFERROR(__xludf.DUMMYFUNCTION("""COMPUTED_VALUE"""),43304.0)</f>
        <v>43304</v>
      </c>
      <c r="C83" s="41">
        <f>IFERROR(__xludf.DUMMYFUNCTION("""COMPUTED_VALUE"""),43310.0)</f>
        <v>43310</v>
      </c>
      <c r="D83" s="39">
        <f>IFERROR(__xludf.DUMMYFUNCTION("""COMPUTED_VALUE"""),30.0)</f>
        <v>30</v>
      </c>
      <c r="E83" s="39">
        <f>IFERROR(__xludf.DUMMYFUNCTION("""COMPUTED_VALUE"""),2377.0)</f>
        <v>2377</v>
      </c>
    </row>
    <row r="84">
      <c r="A84" s="39" t="str">
        <f>IFERROR(__xludf.DUMMYFUNCTION("""COMPUTED_VALUE"""),"Peru")</f>
        <v>Peru</v>
      </c>
      <c r="B84" s="40">
        <f>IFERROR(__xludf.DUMMYFUNCTION("""COMPUTED_VALUE"""),43311.0)</f>
        <v>43311</v>
      </c>
      <c r="C84" s="41">
        <f>IFERROR(__xludf.DUMMYFUNCTION("""COMPUTED_VALUE"""),43317.0)</f>
        <v>43317</v>
      </c>
      <c r="D84" s="39">
        <f>IFERROR(__xludf.DUMMYFUNCTION("""COMPUTED_VALUE"""),31.0)</f>
        <v>31</v>
      </c>
      <c r="E84" s="39">
        <f>IFERROR(__xludf.DUMMYFUNCTION("""COMPUTED_VALUE"""),2388.0)</f>
        <v>2388</v>
      </c>
    </row>
    <row r="85">
      <c r="A85" s="39" t="str">
        <f>IFERROR(__xludf.DUMMYFUNCTION("""COMPUTED_VALUE"""),"Peru")</f>
        <v>Peru</v>
      </c>
      <c r="B85" s="40">
        <f>IFERROR(__xludf.DUMMYFUNCTION("""COMPUTED_VALUE"""),43318.0)</f>
        <v>43318</v>
      </c>
      <c r="C85" s="41">
        <f>IFERROR(__xludf.DUMMYFUNCTION("""COMPUTED_VALUE"""),43324.0)</f>
        <v>43324</v>
      </c>
      <c r="D85" s="39">
        <f>IFERROR(__xludf.DUMMYFUNCTION("""COMPUTED_VALUE"""),32.0)</f>
        <v>32</v>
      </c>
      <c r="E85" s="39">
        <f>IFERROR(__xludf.DUMMYFUNCTION("""COMPUTED_VALUE"""),2373.0)</f>
        <v>2373</v>
      </c>
    </row>
    <row r="86">
      <c r="A86" s="39" t="str">
        <f>IFERROR(__xludf.DUMMYFUNCTION("""COMPUTED_VALUE"""),"Peru")</f>
        <v>Peru</v>
      </c>
      <c r="B86" s="40">
        <f>IFERROR(__xludf.DUMMYFUNCTION("""COMPUTED_VALUE"""),43325.0)</f>
        <v>43325</v>
      </c>
      <c r="C86" s="41">
        <f>IFERROR(__xludf.DUMMYFUNCTION("""COMPUTED_VALUE"""),43331.0)</f>
        <v>43331</v>
      </c>
      <c r="D86" s="39">
        <f>IFERROR(__xludf.DUMMYFUNCTION("""COMPUTED_VALUE"""),33.0)</f>
        <v>33</v>
      </c>
      <c r="E86" s="39">
        <f>IFERROR(__xludf.DUMMYFUNCTION("""COMPUTED_VALUE"""),2286.0)</f>
        <v>2286</v>
      </c>
    </row>
    <row r="87">
      <c r="A87" s="39" t="str">
        <f>IFERROR(__xludf.DUMMYFUNCTION("""COMPUTED_VALUE"""),"Peru")</f>
        <v>Peru</v>
      </c>
      <c r="B87" s="40">
        <f>IFERROR(__xludf.DUMMYFUNCTION("""COMPUTED_VALUE"""),43332.0)</f>
        <v>43332</v>
      </c>
      <c r="C87" s="41">
        <f>IFERROR(__xludf.DUMMYFUNCTION("""COMPUTED_VALUE"""),43338.0)</f>
        <v>43338</v>
      </c>
      <c r="D87" s="39">
        <f>IFERROR(__xludf.DUMMYFUNCTION("""COMPUTED_VALUE"""),34.0)</f>
        <v>34</v>
      </c>
      <c r="E87" s="39">
        <f>IFERROR(__xludf.DUMMYFUNCTION("""COMPUTED_VALUE"""),2217.0)</f>
        <v>2217</v>
      </c>
    </row>
    <row r="88">
      <c r="A88" s="39" t="str">
        <f>IFERROR(__xludf.DUMMYFUNCTION("""COMPUTED_VALUE"""),"Peru")</f>
        <v>Peru</v>
      </c>
      <c r="B88" s="40">
        <f>IFERROR(__xludf.DUMMYFUNCTION("""COMPUTED_VALUE"""),43339.0)</f>
        <v>43339</v>
      </c>
      <c r="C88" s="41">
        <f>IFERROR(__xludf.DUMMYFUNCTION("""COMPUTED_VALUE"""),43345.0)</f>
        <v>43345</v>
      </c>
      <c r="D88" s="39">
        <f>IFERROR(__xludf.DUMMYFUNCTION("""COMPUTED_VALUE"""),35.0)</f>
        <v>35</v>
      </c>
      <c r="E88" s="39">
        <f>IFERROR(__xludf.DUMMYFUNCTION("""COMPUTED_VALUE"""),2312.0)</f>
        <v>2312</v>
      </c>
    </row>
    <row r="89">
      <c r="A89" s="39" t="str">
        <f>IFERROR(__xludf.DUMMYFUNCTION("""COMPUTED_VALUE"""),"Peru")</f>
        <v>Peru</v>
      </c>
      <c r="B89" s="40">
        <f>IFERROR(__xludf.DUMMYFUNCTION("""COMPUTED_VALUE"""),43346.0)</f>
        <v>43346</v>
      </c>
      <c r="C89" s="41">
        <f>IFERROR(__xludf.DUMMYFUNCTION("""COMPUTED_VALUE"""),43352.0)</f>
        <v>43352</v>
      </c>
      <c r="D89" s="39">
        <f>IFERROR(__xludf.DUMMYFUNCTION("""COMPUTED_VALUE"""),36.0)</f>
        <v>36</v>
      </c>
      <c r="E89" s="39">
        <f>IFERROR(__xludf.DUMMYFUNCTION("""COMPUTED_VALUE"""),2288.0)</f>
        <v>2288</v>
      </c>
    </row>
    <row r="90">
      <c r="A90" s="39" t="str">
        <f>IFERROR(__xludf.DUMMYFUNCTION("""COMPUTED_VALUE"""),"Peru")</f>
        <v>Peru</v>
      </c>
      <c r="B90" s="40">
        <f>IFERROR(__xludf.DUMMYFUNCTION("""COMPUTED_VALUE"""),43353.0)</f>
        <v>43353</v>
      </c>
      <c r="C90" s="41">
        <f>IFERROR(__xludf.DUMMYFUNCTION("""COMPUTED_VALUE"""),43359.0)</f>
        <v>43359</v>
      </c>
      <c r="D90" s="39">
        <f>IFERROR(__xludf.DUMMYFUNCTION("""COMPUTED_VALUE"""),37.0)</f>
        <v>37</v>
      </c>
      <c r="E90" s="39">
        <f>IFERROR(__xludf.DUMMYFUNCTION("""COMPUTED_VALUE"""),2224.0)</f>
        <v>2224</v>
      </c>
    </row>
    <row r="91">
      <c r="A91" s="39" t="str">
        <f>IFERROR(__xludf.DUMMYFUNCTION("""COMPUTED_VALUE"""),"Peru")</f>
        <v>Peru</v>
      </c>
      <c r="B91" s="40">
        <f>IFERROR(__xludf.DUMMYFUNCTION("""COMPUTED_VALUE"""),43360.0)</f>
        <v>43360</v>
      </c>
      <c r="C91" s="41">
        <f>IFERROR(__xludf.DUMMYFUNCTION("""COMPUTED_VALUE"""),43366.0)</f>
        <v>43366</v>
      </c>
      <c r="D91" s="39">
        <f>IFERROR(__xludf.DUMMYFUNCTION("""COMPUTED_VALUE"""),38.0)</f>
        <v>38</v>
      </c>
      <c r="E91" s="39">
        <f>IFERROR(__xludf.DUMMYFUNCTION("""COMPUTED_VALUE"""),2259.0)</f>
        <v>2259</v>
      </c>
    </row>
    <row r="92">
      <c r="A92" s="39" t="str">
        <f>IFERROR(__xludf.DUMMYFUNCTION("""COMPUTED_VALUE"""),"Peru")</f>
        <v>Peru</v>
      </c>
      <c r="B92" s="40">
        <f>IFERROR(__xludf.DUMMYFUNCTION("""COMPUTED_VALUE"""),43367.0)</f>
        <v>43367</v>
      </c>
      <c r="C92" s="41">
        <f>IFERROR(__xludf.DUMMYFUNCTION("""COMPUTED_VALUE"""),43373.0)</f>
        <v>43373</v>
      </c>
      <c r="D92" s="39">
        <f>IFERROR(__xludf.DUMMYFUNCTION("""COMPUTED_VALUE"""),39.0)</f>
        <v>39</v>
      </c>
      <c r="E92" s="39">
        <f>IFERROR(__xludf.DUMMYFUNCTION("""COMPUTED_VALUE"""),2328.0)</f>
        <v>2328</v>
      </c>
    </row>
    <row r="93">
      <c r="A93" s="39" t="str">
        <f>IFERROR(__xludf.DUMMYFUNCTION("""COMPUTED_VALUE"""),"Peru")</f>
        <v>Peru</v>
      </c>
      <c r="B93" s="40">
        <f>IFERROR(__xludf.DUMMYFUNCTION("""COMPUTED_VALUE"""),43374.0)</f>
        <v>43374</v>
      </c>
      <c r="C93" s="41">
        <f>IFERROR(__xludf.DUMMYFUNCTION("""COMPUTED_VALUE"""),43380.0)</f>
        <v>43380</v>
      </c>
      <c r="D93" s="39">
        <f>IFERROR(__xludf.DUMMYFUNCTION("""COMPUTED_VALUE"""),40.0)</f>
        <v>40</v>
      </c>
      <c r="E93" s="39">
        <f>IFERROR(__xludf.DUMMYFUNCTION("""COMPUTED_VALUE"""),2244.0)</f>
        <v>2244</v>
      </c>
    </row>
    <row r="94">
      <c r="A94" s="39" t="str">
        <f>IFERROR(__xludf.DUMMYFUNCTION("""COMPUTED_VALUE"""),"Peru")</f>
        <v>Peru</v>
      </c>
      <c r="B94" s="40">
        <f>IFERROR(__xludf.DUMMYFUNCTION("""COMPUTED_VALUE"""),43381.0)</f>
        <v>43381</v>
      </c>
      <c r="C94" s="41">
        <f>IFERROR(__xludf.DUMMYFUNCTION("""COMPUTED_VALUE"""),43387.0)</f>
        <v>43387</v>
      </c>
      <c r="D94" s="39">
        <f>IFERROR(__xludf.DUMMYFUNCTION("""COMPUTED_VALUE"""),41.0)</f>
        <v>41</v>
      </c>
      <c r="E94" s="39">
        <f>IFERROR(__xludf.DUMMYFUNCTION("""COMPUTED_VALUE"""),2286.0)</f>
        <v>2286</v>
      </c>
    </row>
    <row r="95">
      <c r="A95" s="39" t="str">
        <f>IFERROR(__xludf.DUMMYFUNCTION("""COMPUTED_VALUE"""),"Peru")</f>
        <v>Peru</v>
      </c>
      <c r="B95" s="40">
        <f>IFERROR(__xludf.DUMMYFUNCTION("""COMPUTED_VALUE"""),43388.0)</f>
        <v>43388</v>
      </c>
      <c r="C95" s="41">
        <f>IFERROR(__xludf.DUMMYFUNCTION("""COMPUTED_VALUE"""),43394.0)</f>
        <v>43394</v>
      </c>
      <c r="D95" s="39">
        <f>IFERROR(__xludf.DUMMYFUNCTION("""COMPUTED_VALUE"""),42.0)</f>
        <v>42</v>
      </c>
      <c r="E95" s="39">
        <f>IFERROR(__xludf.DUMMYFUNCTION("""COMPUTED_VALUE"""),2296.0)</f>
        <v>2296</v>
      </c>
    </row>
    <row r="96">
      <c r="A96" s="39" t="str">
        <f>IFERROR(__xludf.DUMMYFUNCTION("""COMPUTED_VALUE"""),"Peru")</f>
        <v>Peru</v>
      </c>
      <c r="B96" s="40">
        <f>IFERROR(__xludf.DUMMYFUNCTION("""COMPUTED_VALUE"""),43395.0)</f>
        <v>43395</v>
      </c>
      <c r="C96" s="41">
        <f>IFERROR(__xludf.DUMMYFUNCTION("""COMPUTED_VALUE"""),43401.0)</f>
        <v>43401</v>
      </c>
      <c r="D96" s="39">
        <f>IFERROR(__xludf.DUMMYFUNCTION("""COMPUTED_VALUE"""),43.0)</f>
        <v>43</v>
      </c>
      <c r="E96" s="39">
        <f>IFERROR(__xludf.DUMMYFUNCTION("""COMPUTED_VALUE"""),2296.0)</f>
        <v>2296</v>
      </c>
    </row>
    <row r="97">
      <c r="A97" s="39" t="str">
        <f>IFERROR(__xludf.DUMMYFUNCTION("""COMPUTED_VALUE"""),"Peru")</f>
        <v>Peru</v>
      </c>
      <c r="B97" s="40">
        <f>IFERROR(__xludf.DUMMYFUNCTION("""COMPUTED_VALUE"""),43402.0)</f>
        <v>43402</v>
      </c>
      <c r="C97" s="41">
        <f>IFERROR(__xludf.DUMMYFUNCTION("""COMPUTED_VALUE"""),43408.0)</f>
        <v>43408</v>
      </c>
      <c r="D97" s="39">
        <f>IFERROR(__xludf.DUMMYFUNCTION("""COMPUTED_VALUE"""),44.0)</f>
        <v>44</v>
      </c>
      <c r="E97" s="39">
        <f>IFERROR(__xludf.DUMMYFUNCTION("""COMPUTED_VALUE"""),2243.0)</f>
        <v>2243</v>
      </c>
    </row>
    <row r="98">
      <c r="A98" s="39" t="str">
        <f>IFERROR(__xludf.DUMMYFUNCTION("""COMPUTED_VALUE"""),"Peru")</f>
        <v>Peru</v>
      </c>
      <c r="B98" s="40">
        <f>IFERROR(__xludf.DUMMYFUNCTION("""COMPUTED_VALUE"""),43409.0)</f>
        <v>43409</v>
      </c>
      <c r="C98" s="41">
        <f>IFERROR(__xludf.DUMMYFUNCTION("""COMPUTED_VALUE"""),43415.0)</f>
        <v>43415</v>
      </c>
      <c r="D98" s="39">
        <f>IFERROR(__xludf.DUMMYFUNCTION("""COMPUTED_VALUE"""),45.0)</f>
        <v>45</v>
      </c>
      <c r="E98" s="39">
        <f>IFERROR(__xludf.DUMMYFUNCTION("""COMPUTED_VALUE"""),2244.0)</f>
        <v>2244</v>
      </c>
    </row>
    <row r="99">
      <c r="A99" s="39" t="str">
        <f>IFERROR(__xludf.DUMMYFUNCTION("""COMPUTED_VALUE"""),"Peru")</f>
        <v>Peru</v>
      </c>
      <c r="B99" s="40">
        <f>IFERROR(__xludf.DUMMYFUNCTION("""COMPUTED_VALUE"""),43416.0)</f>
        <v>43416</v>
      </c>
      <c r="C99" s="41">
        <f>IFERROR(__xludf.DUMMYFUNCTION("""COMPUTED_VALUE"""),43422.0)</f>
        <v>43422</v>
      </c>
      <c r="D99" s="39">
        <f>IFERROR(__xludf.DUMMYFUNCTION("""COMPUTED_VALUE"""),46.0)</f>
        <v>46</v>
      </c>
      <c r="E99" s="39">
        <f>IFERROR(__xludf.DUMMYFUNCTION("""COMPUTED_VALUE"""),2059.0)</f>
        <v>2059</v>
      </c>
    </row>
    <row r="100">
      <c r="A100" s="39" t="str">
        <f>IFERROR(__xludf.DUMMYFUNCTION("""COMPUTED_VALUE"""),"Peru")</f>
        <v>Peru</v>
      </c>
      <c r="B100" s="40">
        <f>IFERROR(__xludf.DUMMYFUNCTION("""COMPUTED_VALUE"""),43423.0)</f>
        <v>43423</v>
      </c>
      <c r="C100" s="41">
        <f>IFERROR(__xludf.DUMMYFUNCTION("""COMPUTED_VALUE"""),43429.0)</f>
        <v>43429</v>
      </c>
      <c r="D100" s="39">
        <f>IFERROR(__xludf.DUMMYFUNCTION("""COMPUTED_VALUE"""),47.0)</f>
        <v>47</v>
      </c>
      <c r="E100" s="39">
        <f>IFERROR(__xludf.DUMMYFUNCTION("""COMPUTED_VALUE"""),2015.0)</f>
        <v>2015</v>
      </c>
    </row>
    <row r="101">
      <c r="A101" s="39" t="str">
        <f>IFERROR(__xludf.DUMMYFUNCTION("""COMPUTED_VALUE"""),"Peru")</f>
        <v>Peru</v>
      </c>
      <c r="B101" s="40">
        <f>IFERROR(__xludf.DUMMYFUNCTION("""COMPUTED_VALUE"""),43430.0)</f>
        <v>43430</v>
      </c>
      <c r="C101" s="41">
        <f>IFERROR(__xludf.DUMMYFUNCTION("""COMPUTED_VALUE"""),43436.0)</f>
        <v>43436</v>
      </c>
      <c r="D101" s="39">
        <f>IFERROR(__xludf.DUMMYFUNCTION("""COMPUTED_VALUE"""),48.0)</f>
        <v>48</v>
      </c>
      <c r="E101" s="39">
        <f>IFERROR(__xludf.DUMMYFUNCTION("""COMPUTED_VALUE"""),2029.0)</f>
        <v>2029</v>
      </c>
    </row>
    <row r="102">
      <c r="A102" s="39" t="str">
        <f>IFERROR(__xludf.DUMMYFUNCTION("""COMPUTED_VALUE"""),"Peru")</f>
        <v>Peru</v>
      </c>
      <c r="B102" s="40">
        <f>IFERROR(__xludf.DUMMYFUNCTION("""COMPUTED_VALUE"""),43437.0)</f>
        <v>43437</v>
      </c>
      <c r="C102" s="41">
        <f>IFERROR(__xludf.DUMMYFUNCTION("""COMPUTED_VALUE"""),43443.0)</f>
        <v>43443</v>
      </c>
      <c r="D102" s="39">
        <f>IFERROR(__xludf.DUMMYFUNCTION("""COMPUTED_VALUE"""),49.0)</f>
        <v>49</v>
      </c>
      <c r="E102" s="39">
        <f>IFERROR(__xludf.DUMMYFUNCTION("""COMPUTED_VALUE"""),2147.0)</f>
        <v>2147</v>
      </c>
    </row>
    <row r="103">
      <c r="A103" s="39" t="str">
        <f>IFERROR(__xludf.DUMMYFUNCTION("""COMPUTED_VALUE"""),"Peru")</f>
        <v>Peru</v>
      </c>
      <c r="B103" s="40">
        <f>IFERROR(__xludf.DUMMYFUNCTION("""COMPUTED_VALUE"""),43444.0)</f>
        <v>43444</v>
      </c>
      <c r="C103" s="41">
        <f>IFERROR(__xludf.DUMMYFUNCTION("""COMPUTED_VALUE"""),43450.0)</f>
        <v>43450</v>
      </c>
      <c r="D103" s="39">
        <f>IFERROR(__xludf.DUMMYFUNCTION("""COMPUTED_VALUE"""),50.0)</f>
        <v>50</v>
      </c>
      <c r="E103" s="39">
        <f>IFERROR(__xludf.DUMMYFUNCTION("""COMPUTED_VALUE"""),2169.0)</f>
        <v>2169</v>
      </c>
    </row>
    <row r="104">
      <c r="A104" s="39" t="str">
        <f>IFERROR(__xludf.DUMMYFUNCTION("""COMPUTED_VALUE"""),"Peru")</f>
        <v>Peru</v>
      </c>
      <c r="B104" s="40">
        <f>IFERROR(__xludf.DUMMYFUNCTION("""COMPUTED_VALUE"""),43451.0)</f>
        <v>43451</v>
      </c>
      <c r="C104" s="41">
        <f>IFERROR(__xludf.DUMMYFUNCTION("""COMPUTED_VALUE"""),43457.0)</f>
        <v>43457</v>
      </c>
      <c r="D104" s="39">
        <f>IFERROR(__xludf.DUMMYFUNCTION("""COMPUTED_VALUE"""),51.0)</f>
        <v>51</v>
      </c>
      <c r="E104" s="39">
        <f>IFERROR(__xludf.DUMMYFUNCTION("""COMPUTED_VALUE"""),2181.0)</f>
        <v>2181</v>
      </c>
    </row>
    <row r="105">
      <c r="A105" s="39" t="str">
        <f>IFERROR(__xludf.DUMMYFUNCTION("""COMPUTED_VALUE"""),"Peru")</f>
        <v>Peru</v>
      </c>
      <c r="B105" s="40">
        <f>IFERROR(__xludf.DUMMYFUNCTION("""COMPUTED_VALUE"""),43458.0)</f>
        <v>43458</v>
      </c>
      <c r="C105" s="41">
        <f>IFERROR(__xludf.DUMMYFUNCTION("""COMPUTED_VALUE"""),43464.0)</f>
        <v>43464</v>
      </c>
      <c r="D105" s="39">
        <f>IFERROR(__xludf.DUMMYFUNCTION("""COMPUTED_VALUE"""),52.0)</f>
        <v>52</v>
      </c>
      <c r="E105" s="39">
        <f>IFERROR(__xludf.DUMMYFUNCTION("""COMPUTED_VALUE"""),2204.0)</f>
        <v>2204</v>
      </c>
    </row>
    <row r="106">
      <c r="A106" s="39" t="str">
        <f>IFERROR(__xludf.DUMMYFUNCTION("""COMPUTED_VALUE"""),"Peru")</f>
        <v>Peru</v>
      </c>
      <c r="B106" s="40">
        <f>IFERROR(__xludf.DUMMYFUNCTION("""COMPUTED_VALUE"""),43465.0)</f>
        <v>43465</v>
      </c>
      <c r="C106" s="41">
        <f>IFERROR(__xludf.DUMMYFUNCTION("""COMPUTED_VALUE"""),43471.0)</f>
        <v>43471</v>
      </c>
      <c r="D106" s="39">
        <f>IFERROR(__xludf.DUMMYFUNCTION("""COMPUTED_VALUE"""),1.0)</f>
        <v>1</v>
      </c>
      <c r="E106" s="39">
        <f>IFERROR(__xludf.DUMMYFUNCTION("""COMPUTED_VALUE"""),2238.0)</f>
        <v>2238</v>
      </c>
    </row>
    <row r="107">
      <c r="A107" s="39" t="str">
        <f>IFERROR(__xludf.DUMMYFUNCTION("""COMPUTED_VALUE"""),"Peru")</f>
        <v>Peru</v>
      </c>
      <c r="B107" s="40">
        <f>IFERROR(__xludf.DUMMYFUNCTION("""COMPUTED_VALUE"""),43472.0)</f>
        <v>43472</v>
      </c>
      <c r="C107" s="41">
        <f>IFERROR(__xludf.DUMMYFUNCTION("""COMPUTED_VALUE"""),43478.0)</f>
        <v>43478</v>
      </c>
      <c r="D107" s="39">
        <f>IFERROR(__xludf.DUMMYFUNCTION("""COMPUTED_VALUE"""),2.0)</f>
        <v>2</v>
      </c>
      <c r="E107" s="39">
        <f>IFERROR(__xludf.DUMMYFUNCTION("""COMPUTED_VALUE"""),2126.0)</f>
        <v>2126</v>
      </c>
    </row>
    <row r="108">
      <c r="A108" s="39" t="str">
        <f>IFERROR(__xludf.DUMMYFUNCTION("""COMPUTED_VALUE"""),"Peru")</f>
        <v>Peru</v>
      </c>
      <c r="B108" s="40">
        <f>IFERROR(__xludf.DUMMYFUNCTION("""COMPUTED_VALUE"""),43479.0)</f>
        <v>43479</v>
      </c>
      <c r="C108" s="41">
        <f>IFERROR(__xludf.DUMMYFUNCTION("""COMPUTED_VALUE"""),43485.0)</f>
        <v>43485</v>
      </c>
      <c r="D108" s="39">
        <f>IFERROR(__xludf.DUMMYFUNCTION("""COMPUTED_VALUE"""),3.0)</f>
        <v>3</v>
      </c>
      <c r="E108" s="39">
        <f>IFERROR(__xludf.DUMMYFUNCTION("""COMPUTED_VALUE"""),2132.0)</f>
        <v>2132</v>
      </c>
    </row>
    <row r="109">
      <c r="A109" s="39" t="str">
        <f>IFERROR(__xludf.DUMMYFUNCTION("""COMPUTED_VALUE"""),"Peru")</f>
        <v>Peru</v>
      </c>
      <c r="B109" s="40">
        <f>IFERROR(__xludf.DUMMYFUNCTION("""COMPUTED_VALUE"""),43486.0)</f>
        <v>43486</v>
      </c>
      <c r="C109" s="41">
        <f>IFERROR(__xludf.DUMMYFUNCTION("""COMPUTED_VALUE"""),43492.0)</f>
        <v>43492</v>
      </c>
      <c r="D109" s="39">
        <f>IFERROR(__xludf.DUMMYFUNCTION("""COMPUTED_VALUE"""),4.0)</f>
        <v>4</v>
      </c>
      <c r="E109" s="39">
        <f>IFERROR(__xludf.DUMMYFUNCTION("""COMPUTED_VALUE"""),2126.0)</f>
        <v>2126</v>
      </c>
    </row>
    <row r="110">
      <c r="A110" s="39" t="str">
        <f>IFERROR(__xludf.DUMMYFUNCTION("""COMPUTED_VALUE"""),"Peru")</f>
        <v>Peru</v>
      </c>
      <c r="B110" s="40">
        <f>IFERROR(__xludf.DUMMYFUNCTION("""COMPUTED_VALUE"""),43493.0)</f>
        <v>43493</v>
      </c>
      <c r="C110" s="41">
        <f>IFERROR(__xludf.DUMMYFUNCTION("""COMPUTED_VALUE"""),43499.0)</f>
        <v>43499</v>
      </c>
      <c r="D110" s="39">
        <f>IFERROR(__xludf.DUMMYFUNCTION("""COMPUTED_VALUE"""),5.0)</f>
        <v>5</v>
      </c>
      <c r="E110" s="39">
        <f>IFERROR(__xludf.DUMMYFUNCTION("""COMPUTED_VALUE"""),2345.0)</f>
        <v>2345</v>
      </c>
    </row>
    <row r="111">
      <c r="A111" s="39" t="str">
        <f>IFERROR(__xludf.DUMMYFUNCTION("""COMPUTED_VALUE"""),"Peru")</f>
        <v>Peru</v>
      </c>
      <c r="B111" s="40">
        <f>IFERROR(__xludf.DUMMYFUNCTION("""COMPUTED_VALUE"""),43500.0)</f>
        <v>43500</v>
      </c>
      <c r="C111" s="41">
        <f>IFERROR(__xludf.DUMMYFUNCTION("""COMPUTED_VALUE"""),43506.0)</f>
        <v>43506</v>
      </c>
      <c r="D111" s="39">
        <f>IFERROR(__xludf.DUMMYFUNCTION("""COMPUTED_VALUE"""),6.0)</f>
        <v>6</v>
      </c>
      <c r="E111" s="39">
        <f>IFERROR(__xludf.DUMMYFUNCTION("""COMPUTED_VALUE"""),2307.0)</f>
        <v>2307</v>
      </c>
    </row>
    <row r="112">
      <c r="A112" s="39" t="str">
        <f>IFERROR(__xludf.DUMMYFUNCTION("""COMPUTED_VALUE"""),"Peru")</f>
        <v>Peru</v>
      </c>
      <c r="B112" s="40">
        <f>IFERROR(__xludf.DUMMYFUNCTION("""COMPUTED_VALUE"""),43507.0)</f>
        <v>43507</v>
      </c>
      <c r="C112" s="41">
        <f>IFERROR(__xludf.DUMMYFUNCTION("""COMPUTED_VALUE"""),43513.0)</f>
        <v>43513</v>
      </c>
      <c r="D112" s="39">
        <f>IFERROR(__xludf.DUMMYFUNCTION("""COMPUTED_VALUE"""),7.0)</f>
        <v>7</v>
      </c>
      <c r="E112" s="39">
        <f>IFERROR(__xludf.DUMMYFUNCTION("""COMPUTED_VALUE"""),2251.0)</f>
        <v>2251</v>
      </c>
    </row>
    <row r="113">
      <c r="A113" s="39" t="str">
        <f>IFERROR(__xludf.DUMMYFUNCTION("""COMPUTED_VALUE"""),"Peru")</f>
        <v>Peru</v>
      </c>
      <c r="B113" s="40">
        <f>IFERROR(__xludf.DUMMYFUNCTION("""COMPUTED_VALUE"""),43514.0)</f>
        <v>43514</v>
      </c>
      <c r="C113" s="41">
        <f>IFERROR(__xludf.DUMMYFUNCTION("""COMPUTED_VALUE"""),43520.0)</f>
        <v>43520</v>
      </c>
      <c r="D113" s="39">
        <f>IFERROR(__xludf.DUMMYFUNCTION("""COMPUTED_VALUE"""),8.0)</f>
        <v>8</v>
      </c>
      <c r="E113" s="39">
        <f>IFERROR(__xludf.DUMMYFUNCTION("""COMPUTED_VALUE"""),2317.0)</f>
        <v>2317</v>
      </c>
    </row>
    <row r="114">
      <c r="A114" s="39" t="str">
        <f>IFERROR(__xludf.DUMMYFUNCTION("""COMPUTED_VALUE"""),"Peru")</f>
        <v>Peru</v>
      </c>
      <c r="B114" s="40">
        <f>IFERROR(__xludf.DUMMYFUNCTION("""COMPUTED_VALUE"""),43521.0)</f>
        <v>43521</v>
      </c>
      <c r="C114" s="41">
        <f>IFERROR(__xludf.DUMMYFUNCTION("""COMPUTED_VALUE"""),43527.0)</f>
        <v>43527</v>
      </c>
      <c r="D114" s="39">
        <f>IFERROR(__xludf.DUMMYFUNCTION("""COMPUTED_VALUE"""),9.0)</f>
        <v>9</v>
      </c>
      <c r="E114" s="39">
        <f>IFERROR(__xludf.DUMMYFUNCTION("""COMPUTED_VALUE"""),2372.0)</f>
        <v>2372</v>
      </c>
    </row>
    <row r="115">
      <c r="A115" s="39" t="str">
        <f>IFERROR(__xludf.DUMMYFUNCTION("""COMPUTED_VALUE"""),"Peru")</f>
        <v>Peru</v>
      </c>
      <c r="B115" s="40">
        <f>IFERROR(__xludf.DUMMYFUNCTION("""COMPUTED_VALUE"""),43528.0)</f>
        <v>43528</v>
      </c>
      <c r="C115" s="41">
        <f>IFERROR(__xludf.DUMMYFUNCTION("""COMPUTED_VALUE"""),43534.0)</f>
        <v>43534</v>
      </c>
      <c r="D115" s="39">
        <f>IFERROR(__xludf.DUMMYFUNCTION("""COMPUTED_VALUE"""),10.0)</f>
        <v>10</v>
      </c>
      <c r="E115" s="39">
        <f>IFERROR(__xludf.DUMMYFUNCTION("""COMPUTED_VALUE"""),2293.0)</f>
        <v>2293</v>
      </c>
    </row>
    <row r="116">
      <c r="A116" s="39" t="str">
        <f>IFERROR(__xludf.DUMMYFUNCTION("""COMPUTED_VALUE"""),"Peru")</f>
        <v>Peru</v>
      </c>
      <c r="B116" s="40">
        <f>IFERROR(__xludf.DUMMYFUNCTION("""COMPUTED_VALUE"""),43535.0)</f>
        <v>43535</v>
      </c>
      <c r="C116" s="41">
        <f>IFERROR(__xludf.DUMMYFUNCTION("""COMPUTED_VALUE"""),43541.0)</f>
        <v>43541</v>
      </c>
      <c r="D116" s="39">
        <f>IFERROR(__xludf.DUMMYFUNCTION("""COMPUTED_VALUE"""),11.0)</f>
        <v>11</v>
      </c>
      <c r="E116" s="39">
        <f>IFERROR(__xludf.DUMMYFUNCTION("""COMPUTED_VALUE"""),2252.0)</f>
        <v>2252</v>
      </c>
    </row>
    <row r="117">
      <c r="A117" s="39" t="str">
        <f>IFERROR(__xludf.DUMMYFUNCTION("""COMPUTED_VALUE"""),"Peru")</f>
        <v>Peru</v>
      </c>
      <c r="B117" s="40">
        <f>IFERROR(__xludf.DUMMYFUNCTION("""COMPUTED_VALUE"""),43542.0)</f>
        <v>43542</v>
      </c>
      <c r="C117" s="41">
        <f>IFERROR(__xludf.DUMMYFUNCTION("""COMPUTED_VALUE"""),43548.0)</f>
        <v>43548</v>
      </c>
      <c r="D117" s="39">
        <f>IFERROR(__xludf.DUMMYFUNCTION("""COMPUTED_VALUE"""),12.0)</f>
        <v>12</v>
      </c>
      <c r="E117" s="39">
        <f>IFERROR(__xludf.DUMMYFUNCTION("""COMPUTED_VALUE"""),2107.0)</f>
        <v>2107</v>
      </c>
    </row>
    <row r="118">
      <c r="A118" s="39" t="str">
        <f>IFERROR(__xludf.DUMMYFUNCTION("""COMPUTED_VALUE"""),"Peru")</f>
        <v>Peru</v>
      </c>
      <c r="B118" s="40">
        <f>IFERROR(__xludf.DUMMYFUNCTION("""COMPUTED_VALUE"""),43549.0)</f>
        <v>43549</v>
      </c>
      <c r="C118" s="41">
        <f>IFERROR(__xludf.DUMMYFUNCTION("""COMPUTED_VALUE"""),43555.0)</f>
        <v>43555</v>
      </c>
      <c r="D118" s="39">
        <f>IFERROR(__xludf.DUMMYFUNCTION("""COMPUTED_VALUE"""),13.0)</f>
        <v>13</v>
      </c>
      <c r="E118" s="39">
        <f>IFERROR(__xludf.DUMMYFUNCTION("""COMPUTED_VALUE"""),2110.0)</f>
        <v>2110</v>
      </c>
    </row>
    <row r="119">
      <c r="A119" s="39" t="str">
        <f>IFERROR(__xludf.DUMMYFUNCTION("""COMPUTED_VALUE"""),"Peru")</f>
        <v>Peru</v>
      </c>
      <c r="B119" s="40">
        <f>IFERROR(__xludf.DUMMYFUNCTION("""COMPUTED_VALUE"""),43556.0)</f>
        <v>43556</v>
      </c>
      <c r="C119" s="41">
        <f>IFERROR(__xludf.DUMMYFUNCTION("""COMPUTED_VALUE"""),43562.0)</f>
        <v>43562</v>
      </c>
      <c r="D119" s="39">
        <f>IFERROR(__xludf.DUMMYFUNCTION("""COMPUTED_VALUE"""),14.0)</f>
        <v>14</v>
      </c>
      <c r="E119" s="39">
        <f>IFERROR(__xludf.DUMMYFUNCTION("""COMPUTED_VALUE"""),2039.0)</f>
        <v>2039</v>
      </c>
    </row>
    <row r="120">
      <c r="A120" s="39" t="str">
        <f>IFERROR(__xludf.DUMMYFUNCTION("""COMPUTED_VALUE"""),"Peru")</f>
        <v>Peru</v>
      </c>
      <c r="B120" s="40">
        <f>IFERROR(__xludf.DUMMYFUNCTION("""COMPUTED_VALUE"""),43563.0)</f>
        <v>43563</v>
      </c>
      <c r="C120" s="41">
        <f>IFERROR(__xludf.DUMMYFUNCTION("""COMPUTED_VALUE"""),43569.0)</f>
        <v>43569</v>
      </c>
      <c r="D120" s="39">
        <f>IFERROR(__xludf.DUMMYFUNCTION("""COMPUTED_VALUE"""),15.0)</f>
        <v>15</v>
      </c>
      <c r="E120" s="39">
        <f>IFERROR(__xludf.DUMMYFUNCTION("""COMPUTED_VALUE"""),2096.0)</f>
        <v>2096</v>
      </c>
    </row>
    <row r="121">
      <c r="A121" s="39" t="str">
        <f>IFERROR(__xludf.DUMMYFUNCTION("""COMPUTED_VALUE"""),"Peru")</f>
        <v>Peru</v>
      </c>
      <c r="B121" s="40">
        <f>IFERROR(__xludf.DUMMYFUNCTION("""COMPUTED_VALUE"""),43570.0)</f>
        <v>43570</v>
      </c>
      <c r="C121" s="41">
        <f>IFERROR(__xludf.DUMMYFUNCTION("""COMPUTED_VALUE"""),43576.0)</f>
        <v>43576</v>
      </c>
      <c r="D121" s="39">
        <f>IFERROR(__xludf.DUMMYFUNCTION("""COMPUTED_VALUE"""),16.0)</f>
        <v>16</v>
      </c>
      <c r="E121" s="39">
        <f>IFERROR(__xludf.DUMMYFUNCTION("""COMPUTED_VALUE"""),2139.0)</f>
        <v>2139</v>
      </c>
    </row>
    <row r="122">
      <c r="A122" s="39" t="str">
        <f>IFERROR(__xludf.DUMMYFUNCTION("""COMPUTED_VALUE"""),"Peru")</f>
        <v>Peru</v>
      </c>
      <c r="B122" s="40">
        <f>IFERROR(__xludf.DUMMYFUNCTION("""COMPUTED_VALUE"""),43577.0)</f>
        <v>43577</v>
      </c>
      <c r="C122" s="41">
        <f>IFERROR(__xludf.DUMMYFUNCTION("""COMPUTED_VALUE"""),43583.0)</f>
        <v>43583</v>
      </c>
      <c r="D122" s="39">
        <f>IFERROR(__xludf.DUMMYFUNCTION("""COMPUTED_VALUE"""),17.0)</f>
        <v>17</v>
      </c>
      <c r="E122" s="39">
        <f>IFERROR(__xludf.DUMMYFUNCTION("""COMPUTED_VALUE"""),2023.0)</f>
        <v>2023</v>
      </c>
    </row>
    <row r="123">
      <c r="A123" s="39" t="str">
        <f>IFERROR(__xludf.DUMMYFUNCTION("""COMPUTED_VALUE"""),"Peru")</f>
        <v>Peru</v>
      </c>
      <c r="B123" s="40">
        <f>IFERROR(__xludf.DUMMYFUNCTION("""COMPUTED_VALUE"""),43584.0)</f>
        <v>43584</v>
      </c>
      <c r="C123" s="41">
        <f>IFERROR(__xludf.DUMMYFUNCTION("""COMPUTED_VALUE"""),43590.0)</f>
        <v>43590</v>
      </c>
      <c r="D123" s="39">
        <f>IFERROR(__xludf.DUMMYFUNCTION("""COMPUTED_VALUE"""),18.0)</f>
        <v>18</v>
      </c>
      <c r="E123" s="39">
        <f>IFERROR(__xludf.DUMMYFUNCTION("""COMPUTED_VALUE"""),2042.0)</f>
        <v>2042</v>
      </c>
    </row>
    <row r="124">
      <c r="A124" s="39" t="str">
        <f>IFERROR(__xludf.DUMMYFUNCTION("""COMPUTED_VALUE"""),"Peru")</f>
        <v>Peru</v>
      </c>
      <c r="B124" s="40">
        <f>IFERROR(__xludf.DUMMYFUNCTION("""COMPUTED_VALUE"""),43591.0)</f>
        <v>43591</v>
      </c>
      <c r="C124" s="41">
        <f>IFERROR(__xludf.DUMMYFUNCTION("""COMPUTED_VALUE"""),43597.0)</f>
        <v>43597</v>
      </c>
      <c r="D124" s="39">
        <f>IFERROR(__xludf.DUMMYFUNCTION("""COMPUTED_VALUE"""),19.0)</f>
        <v>19</v>
      </c>
      <c r="E124" s="39">
        <f>IFERROR(__xludf.DUMMYFUNCTION("""COMPUTED_VALUE"""),1981.0)</f>
        <v>1981</v>
      </c>
    </row>
    <row r="125">
      <c r="A125" s="39" t="str">
        <f>IFERROR(__xludf.DUMMYFUNCTION("""COMPUTED_VALUE"""),"Peru")</f>
        <v>Peru</v>
      </c>
      <c r="B125" s="40">
        <f>IFERROR(__xludf.DUMMYFUNCTION("""COMPUTED_VALUE"""),43598.0)</f>
        <v>43598</v>
      </c>
      <c r="C125" s="41">
        <f>IFERROR(__xludf.DUMMYFUNCTION("""COMPUTED_VALUE"""),43604.0)</f>
        <v>43604</v>
      </c>
      <c r="D125" s="39">
        <f>IFERROR(__xludf.DUMMYFUNCTION("""COMPUTED_VALUE"""),20.0)</f>
        <v>20</v>
      </c>
      <c r="E125" s="39">
        <f>IFERROR(__xludf.DUMMYFUNCTION("""COMPUTED_VALUE"""),2021.0)</f>
        <v>2021</v>
      </c>
    </row>
    <row r="126">
      <c r="A126" s="39" t="str">
        <f>IFERROR(__xludf.DUMMYFUNCTION("""COMPUTED_VALUE"""),"Peru")</f>
        <v>Peru</v>
      </c>
      <c r="B126" s="40">
        <f>IFERROR(__xludf.DUMMYFUNCTION("""COMPUTED_VALUE"""),43605.0)</f>
        <v>43605</v>
      </c>
      <c r="C126" s="41">
        <f>IFERROR(__xludf.DUMMYFUNCTION("""COMPUTED_VALUE"""),43611.0)</f>
        <v>43611</v>
      </c>
      <c r="D126" s="39">
        <f>IFERROR(__xludf.DUMMYFUNCTION("""COMPUTED_VALUE"""),21.0)</f>
        <v>21</v>
      </c>
      <c r="E126" s="39">
        <f>IFERROR(__xludf.DUMMYFUNCTION("""COMPUTED_VALUE"""),1995.0)</f>
        <v>1995</v>
      </c>
    </row>
    <row r="127">
      <c r="A127" s="39" t="str">
        <f>IFERROR(__xludf.DUMMYFUNCTION("""COMPUTED_VALUE"""),"Peru")</f>
        <v>Peru</v>
      </c>
      <c r="B127" s="40">
        <f>IFERROR(__xludf.DUMMYFUNCTION("""COMPUTED_VALUE"""),43612.0)</f>
        <v>43612</v>
      </c>
      <c r="C127" s="41">
        <f>IFERROR(__xludf.DUMMYFUNCTION("""COMPUTED_VALUE"""),43618.0)</f>
        <v>43618</v>
      </c>
      <c r="D127" s="39">
        <f>IFERROR(__xludf.DUMMYFUNCTION("""COMPUTED_VALUE"""),22.0)</f>
        <v>22</v>
      </c>
      <c r="E127" s="39">
        <f>IFERROR(__xludf.DUMMYFUNCTION("""COMPUTED_VALUE"""),2080.0)</f>
        <v>2080</v>
      </c>
    </row>
    <row r="128">
      <c r="A128" s="39" t="str">
        <f>IFERROR(__xludf.DUMMYFUNCTION("""COMPUTED_VALUE"""),"Peru")</f>
        <v>Peru</v>
      </c>
      <c r="B128" s="40">
        <f>IFERROR(__xludf.DUMMYFUNCTION("""COMPUTED_VALUE"""),43619.0)</f>
        <v>43619</v>
      </c>
      <c r="C128" s="41">
        <f>IFERROR(__xludf.DUMMYFUNCTION("""COMPUTED_VALUE"""),43625.0)</f>
        <v>43625</v>
      </c>
      <c r="D128" s="39">
        <f>IFERROR(__xludf.DUMMYFUNCTION("""COMPUTED_VALUE"""),23.0)</f>
        <v>23</v>
      </c>
      <c r="E128" s="39">
        <f>IFERROR(__xludf.DUMMYFUNCTION("""COMPUTED_VALUE"""),2124.0)</f>
        <v>2124</v>
      </c>
    </row>
    <row r="129">
      <c r="A129" s="39" t="str">
        <f>IFERROR(__xludf.DUMMYFUNCTION("""COMPUTED_VALUE"""),"Peru")</f>
        <v>Peru</v>
      </c>
      <c r="B129" s="40">
        <f>IFERROR(__xludf.DUMMYFUNCTION("""COMPUTED_VALUE"""),43626.0)</f>
        <v>43626</v>
      </c>
      <c r="C129" s="41">
        <f>IFERROR(__xludf.DUMMYFUNCTION("""COMPUTED_VALUE"""),43632.0)</f>
        <v>43632</v>
      </c>
      <c r="D129" s="39">
        <f>IFERROR(__xludf.DUMMYFUNCTION("""COMPUTED_VALUE"""),24.0)</f>
        <v>24</v>
      </c>
      <c r="E129" s="39">
        <f>IFERROR(__xludf.DUMMYFUNCTION("""COMPUTED_VALUE"""),2169.0)</f>
        <v>2169</v>
      </c>
    </row>
    <row r="130">
      <c r="A130" s="39" t="str">
        <f>IFERROR(__xludf.DUMMYFUNCTION("""COMPUTED_VALUE"""),"Peru")</f>
        <v>Peru</v>
      </c>
      <c r="B130" s="40">
        <f>IFERROR(__xludf.DUMMYFUNCTION("""COMPUTED_VALUE"""),43633.0)</f>
        <v>43633</v>
      </c>
      <c r="C130" s="41">
        <f>IFERROR(__xludf.DUMMYFUNCTION("""COMPUTED_VALUE"""),43639.0)</f>
        <v>43639</v>
      </c>
      <c r="D130" s="39">
        <f>IFERROR(__xludf.DUMMYFUNCTION("""COMPUTED_VALUE"""),25.0)</f>
        <v>25</v>
      </c>
      <c r="E130" s="39">
        <f>IFERROR(__xludf.DUMMYFUNCTION("""COMPUTED_VALUE"""),2257.0)</f>
        <v>2257</v>
      </c>
    </row>
    <row r="131">
      <c r="A131" s="39" t="str">
        <f>IFERROR(__xludf.DUMMYFUNCTION("""COMPUTED_VALUE"""),"Peru")</f>
        <v>Peru</v>
      </c>
      <c r="B131" s="40">
        <f>IFERROR(__xludf.DUMMYFUNCTION("""COMPUTED_VALUE"""),43640.0)</f>
        <v>43640</v>
      </c>
      <c r="C131" s="41">
        <f>IFERROR(__xludf.DUMMYFUNCTION("""COMPUTED_VALUE"""),43646.0)</f>
        <v>43646</v>
      </c>
      <c r="D131" s="39">
        <f>IFERROR(__xludf.DUMMYFUNCTION("""COMPUTED_VALUE"""),26.0)</f>
        <v>26</v>
      </c>
      <c r="E131" s="39">
        <f>IFERROR(__xludf.DUMMYFUNCTION("""COMPUTED_VALUE"""),2182.0)</f>
        <v>2182</v>
      </c>
    </row>
    <row r="132">
      <c r="A132" s="39" t="str">
        <f>IFERROR(__xludf.DUMMYFUNCTION("""COMPUTED_VALUE"""),"Peru")</f>
        <v>Peru</v>
      </c>
      <c r="B132" s="40">
        <f>IFERROR(__xludf.DUMMYFUNCTION("""COMPUTED_VALUE"""),43647.0)</f>
        <v>43647</v>
      </c>
      <c r="C132" s="41">
        <f>IFERROR(__xludf.DUMMYFUNCTION("""COMPUTED_VALUE"""),43653.0)</f>
        <v>43653</v>
      </c>
      <c r="D132" s="39">
        <f>IFERROR(__xludf.DUMMYFUNCTION("""COMPUTED_VALUE"""),27.0)</f>
        <v>27</v>
      </c>
      <c r="E132" s="39">
        <f>IFERROR(__xludf.DUMMYFUNCTION("""COMPUTED_VALUE"""),2234.0)</f>
        <v>2234</v>
      </c>
    </row>
    <row r="133">
      <c r="A133" s="39" t="str">
        <f>IFERROR(__xludf.DUMMYFUNCTION("""COMPUTED_VALUE"""),"Peru")</f>
        <v>Peru</v>
      </c>
      <c r="B133" s="40">
        <f>IFERROR(__xludf.DUMMYFUNCTION("""COMPUTED_VALUE"""),43654.0)</f>
        <v>43654</v>
      </c>
      <c r="C133" s="41">
        <f>IFERROR(__xludf.DUMMYFUNCTION("""COMPUTED_VALUE"""),43660.0)</f>
        <v>43660</v>
      </c>
      <c r="D133" s="39">
        <f>IFERROR(__xludf.DUMMYFUNCTION("""COMPUTED_VALUE"""),28.0)</f>
        <v>28</v>
      </c>
      <c r="E133" s="39">
        <f>IFERROR(__xludf.DUMMYFUNCTION("""COMPUTED_VALUE"""),2182.0)</f>
        <v>2182</v>
      </c>
    </row>
    <row r="134">
      <c r="A134" s="39" t="str">
        <f>IFERROR(__xludf.DUMMYFUNCTION("""COMPUTED_VALUE"""),"Peru")</f>
        <v>Peru</v>
      </c>
      <c r="B134" s="40">
        <f>IFERROR(__xludf.DUMMYFUNCTION("""COMPUTED_VALUE"""),43661.0)</f>
        <v>43661</v>
      </c>
      <c r="C134" s="41">
        <f>IFERROR(__xludf.DUMMYFUNCTION("""COMPUTED_VALUE"""),43667.0)</f>
        <v>43667</v>
      </c>
      <c r="D134" s="39">
        <f>IFERROR(__xludf.DUMMYFUNCTION("""COMPUTED_VALUE"""),29.0)</f>
        <v>29</v>
      </c>
      <c r="E134" s="39">
        <f>IFERROR(__xludf.DUMMYFUNCTION("""COMPUTED_VALUE"""),2255.0)</f>
        <v>2255</v>
      </c>
    </row>
    <row r="135">
      <c r="A135" s="39" t="str">
        <f>IFERROR(__xludf.DUMMYFUNCTION("""COMPUTED_VALUE"""),"Peru")</f>
        <v>Peru</v>
      </c>
      <c r="B135" s="40">
        <f>IFERROR(__xludf.DUMMYFUNCTION("""COMPUTED_VALUE"""),43668.0)</f>
        <v>43668</v>
      </c>
      <c r="C135" s="41">
        <f>IFERROR(__xludf.DUMMYFUNCTION("""COMPUTED_VALUE"""),43674.0)</f>
        <v>43674</v>
      </c>
      <c r="D135" s="39">
        <f>IFERROR(__xludf.DUMMYFUNCTION("""COMPUTED_VALUE"""),30.0)</f>
        <v>30</v>
      </c>
      <c r="E135" s="39">
        <f>IFERROR(__xludf.DUMMYFUNCTION("""COMPUTED_VALUE"""),2265.0)</f>
        <v>2265</v>
      </c>
    </row>
    <row r="136">
      <c r="A136" s="39" t="str">
        <f>IFERROR(__xludf.DUMMYFUNCTION("""COMPUTED_VALUE"""),"Peru")</f>
        <v>Peru</v>
      </c>
      <c r="B136" s="40">
        <f>IFERROR(__xludf.DUMMYFUNCTION("""COMPUTED_VALUE"""),43675.0)</f>
        <v>43675</v>
      </c>
      <c r="C136" s="41">
        <f>IFERROR(__xludf.DUMMYFUNCTION("""COMPUTED_VALUE"""),43681.0)</f>
        <v>43681</v>
      </c>
      <c r="D136" s="39">
        <f>IFERROR(__xludf.DUMMYFUNCTION("""COMPUTED_VALUE"""),31.0)</f>
        <v>31</v>
      </c>
      <c r="E136" s="39">
        <f>IFERROR(__xludf.DUMMYFUNCTION("""COMPUTED_VALUE"""),2231.0)</f>
        <v>2231</v>
      </c>
    </row>
    <row r="137">
      <c r="A137" s="39" t="str">
        <f>IFERROR(__xludf.DUMMYFUNCTION("""COMPUTED_VALUE"""),"Peru")</f>
        <v>Peru</v>
      </c>
      <c r="B137" s="40">
        <f>IFERROR(__xludf.DUMMYFUNCTION("""COMPUTED_VALUE"""),43682.0)</f>
        <v>43682</v>
      </c>
      <c r="C137" s="41">
        <f>IFERROR(__xludf.DUMMYFUNCTION("""COMPUTED_VALUE"""),43688.0)</f>
        <v>43688</v>
      </c>
      <c r="D137" s="39">
        <f>IFERROR(__xludf.DUMMYFUNCTION("""COMPUTED_VALUE"""),32.0)</f>
        <v>32</v>
      </c>
      <c r="E137" s="39">
        <f>IFERROR(__xludf.DUMMYFUNCTION("""COMPUTED_VALUE"""),2356.0)</f>
        <v>2356</v>
      </c>
    </row>
    <row r="138">
      <c r="A138" s="39" t="str">
        <f>IFERROR(__xludf.DUMMYFUNCTION("""COMPUTED_VALUE"""),"Peru")</f>
        <v>Peru</v>
      </c>
      <c r="B138" s="40">
        <f>IFERROR(__xludf.DUMMYFUNCTION("""COMPUTED_VALUE"""),43689.0)</f>
        <v>43689</v>
      </c>
      <c r="C138" s="41">
        <f>IFERROR(__xludf.DUMMYFUNCTION("""COMPUTED_VALUE"""),43695.0)</f>
        <v>43695</v>
      </c>
      <c r="D138" s="39">
        <f>IFERROR(__xludf.DUMMYFUNCTION("""COMPUTED_VALUE"""),33.0)</f>
        <v>33</v>
      </c>
      <c r="E138" s="39">
        <f>IFERROR(__xludf.DUMMYFUNCTION("""COMPUTED_VALUE"""),2206.0)</f>
        <v>2206</v>
      </c>
    </row>
    <row r="139">
      <c r="A139" s="39" t="str">
        <f>IFERROR(__xludf.DUMMYFUNCTION("""COMPUTED_VALUE"""),"Peru")</f>
        <v>Peru</v>
      </c>
      <c r="B139" s="40">
        <f>IFERROR(__xludf.DUMMYFUNCTION("""COMPUTED_VALUE"""),43696.0)</f>
        <v>43696</v>
      </c>
      <c r="C139" s="41">
        <f>IFERROR(__xludf.DUMMYFUNCTION("""COMPUTED_VALUE"""),43702.0)</f>
        <v>43702</v>
      </c>
      <c r="D139" s="39">
        <f>IFERROR(__xludf.DUMMYFUNCTION("""COMPUTED_VALUE"""),34.0)</f>
        <v>34</v>
      </c>
      <c r="E139" s="39">
        <f>IFERROR(__xludf.DUMMYFUNCTION("""COMPUTED_VALUE"""),2183.0)</f>
        <v>2183</v>
      </c>
    </row>
    <row r="140">
      <c r="A140" s="39" t="str">
        <f>IFERROR(__xludf.DUMMYFUNCTION("""COMPUTED_VALUE"""),"Peru")</f>
        <v>Peru</v>
      </c>
      <c r="B140" s="40">
        <f>IFERROR(__xludf.DUMMYFUNCTION("""COMPUTED_VALUE"""),43703.0)</f>
        <v>43703</v>
      </c>
      <c r="C140" s="41">
        <f>IFERROR(__xludf.DUMMYFUNCTION("""COMPUTED_VALUE"""),43709.0)</f>
        <v>43709</v>
      </c>
      <c r="D140" s="39">
        <f>IFERROR(__xludf.DUMMYFUNCTION("""COMPUTED_VALUE"""),35.0)</f>
        <v>35</v>
      </c>
      <c r="E140" s="39">
        <f>IFERROR(__xludf.DUMMYFUNCTION("""COMPUTED_VALUE"""),2296.0)</f>
        <v>2296</v>
      </c>
    </row>
    <row r="141">
      <c r="A141" s="39" t="str">
        <f>IFERROR(__xludf.DUMMYFUNCTION("""COMPUTED_VALUE"""),"Peru")</f>
        <v>Peru</v>
      </c>
      <c r="B141" s="40">
        <f>IFERROR(__xludf.DUMMYFUNCTION("""COMPUTED_VALUE"""),43710.0)</f>
        <v>43710</v>
      </c>
      <c r="C141" s="41">
        <f>IFERROR(__xludf.DUMMYFUNCTION("""COMPUTED_VALUE"""),43716.0)</f>
        <v>43716</v>
      </c>
      <c r="D141" s="39">
        <f>IFERROR(__xludf.DUMMYFUNCTION("""COMPUTED_VALUE"""),36.0)</f>
        <v>36</v>
      </c>
      <c r="E141" s="39">
        <f>IFERROR(__xludf.DUMMYFUNCTION("""COMPUTED_VALUE"""),2189.0)</f>
        <v>2189</v>
      </c>
    </row>
    <row r="142">
      <c r="A142" s="39" t="str">
        <f>IFERROR(__xludf.DUMMYFUNCTION("""COMPUTED_VALUE"""),"Peru")</f>
        <v>Peru</v>
      </c>
      <c r="B142" s="40">
        <f>IFERROR(__xludf.DUMMYFUNCTION("""COMPUTED_VALUE"""),43717.0)</f>
        <v>43717</v>
      </c>
      <c r="C142" s="41">
        <f>IFERROR(__xludf.DUMMYFUNCTION("""COMPUTED_VALUE"""),43723.0)</f>
        <v>43723</v>
      </c>
      <c r="D142" s="39">
        <f>IFERROR(__xludf.DUMMYFUNCTION("""COMPUTED_VALUE"""),37.0)</f>
        <v>37</v>
      </c>
      <c r="E142" s="39">
        <f>IFERROR(__xludf.DUMMYFUNCTION("""COMPUTED_VALUE"""),2243.0)</f>
        <v>2243</v>
      </c>
    </row>
    <row r="143">
      <c r="A143" s="39" t="str">
        <f>IFERROR(__xludf.DUMMYFUNCTION("""COMPUTED_VALUE"""),"Peru")</f>
        <v>Peru</v>
      </c>
      <c r="B143" s="40">
        <f>IFERROR(__xludf.DUMMYFUNCTION("""COMPUTED_VALUE"""),43724.0)</f>
        <v>43724</v>
      </c>
      <c r="C143" s="41">
        <f>IFERROR(__xludf.DUMMYFUNCTION("""COMPUTED_VALUE"""),43730.0)</f>
        <v>43730</v>
      </c>
      <c r="D143" s="39">
        <f>IFERROR(__xludf.DUMMYFUNCTION("""COMPUTED_VALUE"""),38.0)</f>
        <v>38</v>
      </c>
      <c r="E143" s="39">
        <f>IFERROR(__xludf.DUMMYFUNCTION("""COMPUTED_VALUE"""),2367.0)</f>
        <v>2367</v>
      </c>
    </row>
    <row r="144">
      <c r="A144" s="39" t="str">
        <f>IFERROR(__xludf.DUMMYFUNCTION("""COMPUTED_VALUE"""),"Peru")</f>
        <v>Peru</v>
      </c>
      <c r="B144" s="40">
        <f>IFERROR(__xludf.DUMMYFUNCTION("""COMPUTED_VALUE"""),43731.0)</f>
        <v>43731</v>
      </c>
      <c r="C144" s="41">
        <f>IFERROR(__xludf.DUMMYFUNCTION("""COMPUTED_VALUE"""),43737.0)</f>
        <v>43737</v>
      </c>
      <c r="D144" s="39">
        <f>IFERROR(__xludf.DUMMYFUNCTION("""COMPUTED_VALUE"""),39.0)</f>
        <v>39</v>
      </c>
      <c r="E144" s="39">
        <f>IFERROR(__xludf.DUMMYFUNCTION("""COMPUTED_VALUE"""),2243.0)</f>
        <v>2243</v>
      </c>
    </row>
    <row r="145">
      <c r="A145" s="39" t="str">
        <f>IFERROR(__xludf.DUMMYFUNCTION("""COMPUTED_VALUE"""),"Peru")</f>
        <v>Peru</v>
      </c>
      <c r="B145" s="40">
        <f>IFERROR(__xludf.DUMMYFUNCTION("""COMPUTED_VALUE"""),43738.0)</f>
        <v>43738</v>
      </c>
      <c r="C145" s="41">
        <f>IFERROR(__xludf.DUMMYFUNCTION("""COMPUTED_VALUE"""),43744.0)</f>
        <v>43744</v>
      </c>
      <c r="D145" s="39">
        <f>IFERROR(__xludf.DUMMYFUNCTION("""COMPUTED_VALUE"""),40.0)</f>
        <v>40</v>
      </c>
      <c r="E145" s="39">
        <f>IFERROR(__xludf.DUMMYFUNCTION("""COMPUTED_VALUE"""),2242.0)</f>
        <v>2242</v>
      </c>
    </row>
    <row r="146">
      <c r="A146" s="39" t="str">
        <f>IFERROR(__xludf.DUMMYFUNCTION("""COMPUTED_VALUE"""),"Peru")</f>
        <v>Peru</v>
      </c>
      <c r="B146" s="40">
        <f>IFERROR(__xludf.DUMMYFUNCTION("""COMPUTED_VALUE"""),43745.0)</f>
        <v>43745</v>
      </c>
      <c r="C146" s="41">
        <f>IFERROR(__xludf.DUMMYFUNCTION("""COMPUTED_VALUE"""),43751.0)</f>
        <v>43751</v>
      </c>
      <c r="D146" s="39">
        <f>IFERROR(__xludf.DUMMYFUNCTION("""COMPUTED_VALUE"""),41.0)</f>
        <v>41</v>
      </c>
      <c r="E146" s="39">
        <f>IFERROR(__xludf.DUMMYFUNCTION("""COMPUTED_VALUE"""),2212.0)</f>
        <v>2212</v>
      </c>
    </row>
    <row r="147">
      <c r="A147" s="39" t="str">
        <f>IFERROR(__xludf.DUMMYFUNCTION("""COMPUTED_VALUE"""),"Peru")</f>
        <v>Peru</v>
      </c>
      <c r="B147" s="40">
        <f>IFERROR(__xludf.DUMMYFUNCTION("""COMPUTED_VALUE"""),43752.0)</f>
        <v>43752</v>
      </c>
      <c r="C147" s="41">
        <f>IFERROR(__xludf.DUMMYFUNCTION("""COMPUTED_VALUE"""),43758.0)</f>
        <v>43758</v>
      </c>
      <c r="D147" s="39">
        <f>IFERROR(__xludf.DUMMYFUNCTION("""COMPUTED_VALUE"""),42.0)</f>
        <v>42</v>
      </c>
      <c r="E147" s="39">
        <f>IFERROR(__xludf.DUMMYFUNCTION("""COMPUTED_VALUE"""),2333.0)</f>
        <v>2333</v>
      </c>
    </row>
    <row r="148">
      <c r="A148" s="39" t="str">
        <f>IFERROR(__xludf.DUMMYFUNCTION("""COMPUTED_VALUE"""),"Peru")</f>
        <v>Peru</v>
      </c>
      <c r="B148" s="40">
        <f>IFERROR(__xludf.DUMMYFUNCTION("""COMPUTED_VALUE"""),43759.0)</f>
        <v>43759</v>
      </c>
      <c r="C148" s="41">
        <f>IFERROR(__xludf.DUMMYFUNCTION("""COMPUTED_VALUE"""),43765.0)</f>
        <v>43765</v>
      </c>
      <c r="D148" s="39">
        <f>IFERROR(__xludf.DUMMYFUNCTION("""COMPUTED_VALUE"""),43.0)</f>
        <v>43</v>
      </c>
      <c r="E148" s="39">
        <f>IFERROR(__xludf.DUMMYFUNCTION("""COMPUTED_VALUE"""),2220.0)</f>
        <v>2220</v>
      </c>
    </row>
    <row r="149">
      <c r="A149" s="39" t="str">
        <f>IFERROR(__xludf.DUMMYFUNCTION("""COMPUTED_VALUE"""),"Peru")</f>
        <v>Peru</v>
      </c>
      <c r="B149" s="40">
        <f>IFERROR(__xludf.DUMMYFUNCTION("""COMPUTED_VALUE"""),43766.0)</f>
        <v>43766</v>
      </c>
      <c r="C149" s="41">
        <f>IFERROR(__xludf.DUMMYFUNCTION("""COMPUTED_VALUE"""),43772.0)</f>
        <v>43772</v>
      </c>
      <c r="D149" s="39">
        <f>IFERROR(__xludf.DUMMYFUNCTION("""COMPUTED_VALUE"""),44.0)</f>
        <v>44</v>
      </c>
      <c r="E149" s="39">
        <f>IFERROR(__xludf.DUMMYFUNCTION("""COMPUTED_VALUE"""),2343.0)</f>
        <v>2343</v>
      </c>
    </row>
    <row r="150">
      <c r="A150" s="39" t="str">
        <f>IFERROR(__xludf.DUMMYFUNCTION("""COMPUTED_VALUE"""),"Peru")</f>
        <v>Peru</v>
      </c>
      <c r="B150" s="40">
        <f>IFERROR(__xludf.DUMMYFUNCTION("""COMPUTED_VALUE"""),43773.0)</f>
        <v>43773</v>
      </c>
      <c r="C150" s="41">
        <f>IFERROR(__xludf.DUMMYFUNCTION("""COMPUTED_VALUE"""),43779.0)</f>
        <v>43779</v>
      </c>
      <c r="D150" s="39">
        <f>IFERROR(__xludf.DUMMYFUNCTION("""COMPUTED_VALUE"""),45.0)</f>
        <v>45</v>
      </c>
      <c r="E150" s="39">
        <f>IFERROR(__xludf.DUMMYFUNCTION("""COMPUTED_VALUE"""),2263.0)</f>
        <v>2263</v>
      </c>
    </row>
    <row r="151">
      <c r="A151" s="39" t="str">
        <f>IFERROR(__xludf.DUMMYFUNCTION("""COMPUTED_VALUE"""),"Peru")</f>
        <v>Peru</v>
      </c>
      <c r="B151" s="40">
        <f>IFERROR(__xludf.DUMMYFUNCTION("""COMPUTED_VALUE"""),43780.0)</f>
        <v>43780</v>
      </c>
      <c r="C151" s="41">
        <f>IFERROR(__xludf.DUMMYFUNCTION("""COMPUTED_VALUE"""),43786.0)</f>
        <v>43786</v>
      </c>
      <c r="D151" s="39">
        <f>IFERROR(__xludf.DUMMYFUNCTION("""COMPUTED_VALUE"""),46.0)</f>
        <v>46</v>
      </c>
      <c r="E151" s="39">
        <f>IFERROR(__xludf.DUMMYFUNCTION("""COMPUTED_VALUE"""),2222.0)</f>
        <v>2222</v>
      </c>
    </row>
    <row r="152">
      <c r="A152" s="39" t="str">
        <f>IFERROR(__xludf.DUMMYFUNCTION("""COMPUTED_VALUE"""),"Peru")</f>
        <v>Peru</v>
      </c>
      <c r="B152" s="40">
        <f>IFERROR(__xludf.DUMMYFUNCTION("""COMPUTED_VALUE"""),43787.0)</f>
        <v>43787</v>
      </c>
      <c r="C152" s="41">
        <f>IFERROR(__xludf.DUMMYFUNCTION("""COMPUTED_VALUE"""),43793.0)</f>
        <v>43793</v>
      </c>
      <c r="D152" s="39">
        <f>IFERROR(__xludf.DUMMYFUNCTION("""COMPUTED_VALUE"""),47.0)</f>
        <v>47</v>
      </c>
      <c r="E152" s="39">
        <f>IFERROR(__xludf.DUMMYFUNCTION("""COMPUTED_VALUE"""),2198.0)</f>
        <v>2198</v>
      </c>
    </row>
    <row r="153">
      <c r="A153" s="39" t="str">
        <f>IFERROR(__xludf.DUMMYFUNCTION("""COMPUTED_VALUE"""),"Peru")</f>
        <v>Peru</v>
      </c>
      <c r="B153" s="40">
        <f>IFERROR(__xludf.DUMMYFUNCTION("""COMPUTED_VALUE"""),43794.0)</f>
        <v>43794</v>
      </c>
      <c r="C153" s="41">
        <f>IFERROR(__xludf.DUMMYFUNCTION("""COMPUTED_VALUE"""),43800.0)</f>
        <v>43800</v>
      </c>
      <c r="D153" s="39">
        <f>IFERROR(__xludf.DUMMYFUNCTION("""COMPUTED_VALUE"""),48.0)</f>
        <v>48</v>
      </c>
      <c r="E153" s="39">
        <f>IFERROR(__xludf.DUMMYFUNCTION("""COMPUTED_VALUE"""),2197.0)</f>
        <v>2197</v>
      </c>
    </row>
    <row r="154">
      <c r="A154" s="39" t="str">
        <f>IFERROR(__xludf.DUMMYFUNCTION("""COMPUTED_VALUE"""),"Peru")</f>
        <v>Peru</v>
      </c>
      <c r="B154" s="40">
        <f>IFERROR(__xludf.DUMMYFUNCTION("""COMPUTED_VALUE"""),43801.0)</f>
        <v>43801</v>
      </c>
      <c r="C154" s="41">
        <f>IFERROR(__xludf.DUMMYFUNCTION("""COMPUTED_VALUE"""),43807.0)</f>
        <v>43807</v>
      </c>
      <c r="D154" s="39">
        <f>IFERROR(__xludf.DUMMYFUNCTION("""COMPUTED_VALUE"""),49.0)</f>
        <v>49</v>
      </c>
      <c r="E154" s="39">
        <f>IFERROR(__xludf.DUMMYFUNCTION("""COMPUTED_VALUE"""),2251.0)</f>
        <v>2251</v>
      </c>
    </row>
    <row r="155">
      <c r="A155" s="39" t="str">
        <f>IFERROR(__xludf.DUMMYFUNCTION("""COMPUTED_VALUE"""),"Peru")</f>
        <v>Peru</v>
      </c>
      <c r="B155" s="40">
        <f>IFERROR(__xludf.DUMMYFUNCTION("""COMPUTED_VALUE"""),43808.0)</f>
        <v>43808</v>
      </c>
      <c r="C155" s="41">
        <f>IFERROR(__xludf.DUMMYFUNCTION("""COMPUTED_VALUE"""),43814.0)</f>
        <v>43814</v>
      </c>
      <c r="D155" s="39">
        <f>IFERROR(__xludf.DUMMYFUNCTION("""COMPUTED_VALUE"""),50.0)</f>
        <v>50</v>
      </c>
      <c r="E155" s="39">
        <f>IFERROR(__xludf.DUMMYFUNCTION("""COMPUTED_VALUE"""),2207.0)</f>
        <v>2207</v>
      </c>
    </row>
    <row r="156">
      <c r="A156" s="39" t="str">
        <f>IFERROR(__xludf.DUMMYFUNCTION("""COMPUTED_VALUE"""),"Peru")</f>
        <v>Peru</v>
      </c>
      <c r="B156" s="40">
        <f>IFERROR(__xludf.DUMMYFUNCTION("""COMPUTED_VALUE"""),43815.0)</f>
        <v>43815</v>
      </c>
      <c r="C156" s="41">
        <f>IFERROR(__xludf.DUMMYFUNCTION("""COMPUTED_VALUE"""),43821.0)</f>
        <v>43821</v>
      </c>
      <c r="D156" s="39">
        <f>IFERROR(__xludf.DUMMYFUNCTION("""COMPUTED_VALUE"""),51.0)</f>
        <v>51</v>
      </c>
      <c r="E156" s="39">
        <f>IFERROR(__xludf.DUMMYFUNCTION("""COMPUTED_VALUE"""),2172.0)</f>
        <v>2172</v>
      </c>
    </row>
    <row r="157">
      <c r="A157" s="39" t="str">
        <f>IFERROR(__xludf.DUMMYFUNCTION("""COMPUTED_VALUE"""),"Peru")</f>
        <v>Peru</v>
      </c>
      <c r="B157" s="40">
        <f>IFERROR(__xludf.DUMMYFUNCTION("""COMPUTED_VALUE"""),43822.0)</f>
        <v>43822</v>
      </c>
      <c r="C157" s="41">
        <f>IFERROR(__xludf.DUMMYFUNCTION("""COMPUTED_VALUE"""),43828.0)</f>
        <v>43828</v>
      </c>
      <c r="D157" s="39">
        <f>IFERROR(__xludf.DUMMYFUNCTION("""COMPUTED_VALUE"""),52.0)</f>
        <v>52</v>
      </c>
      <c r="E157" s="39">
        <f>IFERROR(__xludf.DUMMYFUNCTION("""COMPUTED_VALUE"""),2325.0)</f>
        <v>2325</v>
      </c>
    </row>
    <row r="158">
      <c r="A158" s="39" t="str">
        <f>IFERROR(__xludf.DUMMYFUNCTION("""COMPUTED_VALUE"""),"Peru")</f>
        <v>Peru</v>
      </c>
      <c r="B158" s="40">
        <f>IFERROR(__xludf.DUMMYFUNCTION("""COMPUTED_VALUE"""),43829.0)</f>
        <v>43829</v>
      </c>
      <c r="C158" s="41">
        <f>IFERROR(__xludf.DUMMYFUNCTION("""COMPUTED_VALUE"""),43835.0)</f>
        <v>43835</v>
      </c>
      <c r="D158" s="39">
        <f>IFERROR(__xludf.DUMMYFUNCTION("""COMPUTED_VALUE"""),1.0)</f>
        <v>1</v>
      </c>
      <c r="E158" s="39">
        <f>IFERROR(__xludf.DUMMYFUNCTION("""COMPUTED_VALUE"""),2407.0)</f>
        <v>2407</v>
      </c>
    </row>
    <row r="159">
      <c r="A159" s="39" t="str">
        <f>IFERROR(__xludf.DUMMYFUNCTION("""COMPUTED_VALUE"""),"Peru")</f>
        <v>Peru</v>
      </c>
      <c r="B159" s="40">
        <f>IFERROR(__xludf.DUMMYFUNCTION("""COMPUTED_VALUE"""),43836.0)</f>
        <v>43836</v>
      </c>
      <c r="C159" s="41">
        <f>IFERROR(__xludf.DUMMYFUNCTION("""COMPUTED_VALUE"""),43842.0)</f>
        <v>43842</v>
      </c>
      <c r="D159" s="39">
        <f>IFERROR(__xludf.DUMMYFUNCTION("""COMPUTED_VALUE"""),2.0)</f>
        <v>2</v>
      </c>
      <c r="E159" s="39">
        <f>IFERROR(__xludf.DUMMYFUNCTION("""COMPUTED_VALUE"""),2428.0)</f>
        <v>2428</v>
      </c>
    </row>
    <row r="160">
      <c r="A160" s="39" t="str">
        <f>IFERROR(__xludf.DUMMYFUNCTION("""COMPUTED_VALUE"""),"Peru")</f>
        <v>Peru</v>
      </c>
      <c r="B160" s="40">
        <f>IFERROR(__xludf.DUMMYFUNCTION("""COMPUTED_VALUE"""),43843.0)</f>
        <v>43843</v>
      </c>
      <c r="C160" s="41">
        <f>IFERROR(__xludf.DUMMYFUNCTION("""COMPUTED_VALUE"""),43849.0)</f>
        <v>43849</v>
      </c>
      <c r="D160" s="39">
        <f>IFERROR(__xludf.DUMMYFUNCTION("""COMPUTED_VALUE"""),3.0)</f>
        <v>3</v>
      </c>
      <c r="E160" s="39">
        <f>IFERROR(__xludf.DUMMYFUNCTION("""COMPUTED_VALUE"""),2329.0)</f>
        <v>2329</v>
      </c>
    </row>
    <row r="161">
      <c r="A161" s="39" t="str">
        <f>IFERROR(__xludf.DUMMYFUNCTION("""COMPUTED_VALUE"""),"Peru")</f>
        <v>Peru</v>
      </c>
      <c r="B161" s="40">
        <f>IFERROR(__xludf.DUMMYFUNCTION("""COMPUTED_VALUE"""),43850.0)</f>
        <v>43850</v>
      </c>
      <c r="C161" s="41">
        <f>IFERROR(__xludf.DUMMYFUNCTION("""COMPUTED_VALUE"""),43856.0)</f>
        <v>43856</v>
      </c>
      <c r="D161" s="39">
        <f>IFERROR(__xludf.DUMMYFUNCTION("""COMPUTED_VALUE"""),4.0)</f>
        <v>4</v>
      </c>
      <c r="E161" s="39">
        <f>IFERROR(__xludf.DUMMYFUNCTION("""COMPUTED_VALUE"""),2358.0)</f>
        <v>2358</v>
      </c>
    </row>
    <row r="162">
      <c r="A162" s="39" t="str">
        <f>IFERROR(__xludf.DUMMYFUNCTION("""COMPUTED_VALUE"""),"Peru")</f>
        <v>Peru</v>
      </c>
      <c r="B162" s="40">
        <f>IFERROR(__xludf.DUMMYFUNCTION("""COMPUTED_VALUE"""),43857.0)</f>
        <v>43857</v>
      </c>
      <c r="C162" s="41">
        <f>IFERROR(__xludf.DUMMYFUNCTION("""COMPUTED_VALUE"""),43863.0)</f>
        <v>43863</v>
      </c>
      <c r="D162" s="39">
        <f>IFERROR(__xludf.DUMMYFUNCTION("""COMPUTED_VALUE"""),5.0)</f>
        <v>5</v>
      </c>
      <c r="E162" s="39">
        <f>IFERROR(__xludf.DUMMYFUNCTION("""COMPUTED_VALUE"""),2255.0)</f>
        <v>2255</v>
      </c>
    </row>
    <row r="163">
      <c r="A163" s="39" t="str">
        <f>IFERROR(__xludf.DUMMYFUNCTION("""COMPUTED_VALUE"""),"Peru")</f>
        <v>Peru</v>
      </c>
      <c r="B163" s="40">
        <f>IFERROR(__xludf.DUMMYFUNCTION("""COMPUTED_VALUE"""),43864.0)</f>
        <v>43864</v>
      </c>
      <c r="C163" s="41">
        <f>IFERROR(__xludf.DUMMYFUNCTION("""COMPUTED_VALUE"""),43870.0)</f>
        <v>43870</v>
      </c>
      <c r="D163" s="39">
        <f>IFERROR(__xludf.DUMMYFUNCTION("""COMPUTED_VALUE"""),6.0)</f>
        <v>6</v>
      </c>
      <c r="E163" s="39">
        <f>IFERROR(__xludf.DUMMYFUNCTION("""COMPUTED_VALUE"""),2330.0)</f>
        <v>2330</v>
      </c>
    </row>
    <row r="164">
      <c r="A164" s="39" t="str">
        <f>IFERROR(__xludf.DUMMYFUNCTION("""COMPUTED_VALUE"""),"Peru")</f>
        <v>Peru</v>
      </c>
      <c r="B164" s="40">
        <f>IFERROR(__xludf.DUMMYFUNCTION("""COMPUTED_VALUE"""),43871.0)</f>
        <v>43871</v>
      </c>
      <c r="C164" s="41">
        <f>IFERROR(__xludf.DUMMYFUNCTION("""COMPUTED_VALUE"""),43877.0)</f>
        <v>43877</v>
      </c>
      <c r="D164" s="39">
        <f>IFERROR(__xludf.DUMMYFUNCTION("""COMPUTED_VALUE"""),7.0)</f>
        <v>7</v>
      </c>
      <c r="E164" s="39">
        <f>IFERROR(__xludf.DUMMYFUNCTION("""COMPUTED_VALUE"""),2354.0)</f>
        <v>2354</v>
      </c>
    </row>
    <row r="165">
      <c r="A165" s="39" t="str">
        <f>IFERROR(__xludf.DUMMYFUNCTION("""COMPUTED_VALUE"""),"Peru")</f>
        <v>Peru</v>
      </c>
      <c r="B165" s="40">
        <f>IFERROR(__xludf.DUMMYFUNCTION("""COMPUTED_VALUE"""),43878.0)</f>
        <v>43878</v>
      </c>
      <c r="C165" s="41">
        <f>IFERROR(__xludf.DUMMYFUNCTION("""COMPUTED_VALUE"""),43884.0)</f>
        <v>43884</v>
      </c>
      <c r="D165" s="39">
        <f>IFERROR(__xludf.DUMMYFUNCTION("""COMPUTED_VALUE"""),8.0)</f>
        <v>8</v>
      </c>
      <c r="E165" s="39">
        <f>IFERROR(__xludf.DUMMYFUNCTION("""COMPUTED_VALUE"""),2346.0)</f>
        <v>2346</v>
      </c>
    </row>
    <row r="166">
      <c r="A166" s="39" t="str">
        <f>IFERROR(__xludf.DUMMYFUNCTION("""COMPUTED_VALUE"""),"Peru")</f>
        <v>Peru</v>
      </c>
      <c r="B166" s="40">
        <f>IFERROR(__xludf.DUMMYFUNCTION("""COMPUTED_VALUE"""),43885.0)</f>
        <v>43885</v>
      </c>
      <c r="C166" s="41">
        <f>IFERROR(__xludf.DUMMYFUNCTION("""COMPUTED_VALUE"""),43891.0)</f>
        <v>43891</v>
      </c>
      <c r="D166" s="39">
        <f>IFERROR(__xludf.DUMMYFUNCTION("""COMPUTED_VALUE"""),9.0)</f>
        <v>9</v>
      </c>
      <c r="E166" s="39">
        <f>IFERROR(__xludf.DUMMYFUNCTION("""COMPUTED_VALUE"""),2417.0)</f>
        <v>2417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tr">
        <f>IFERROR(__xludf.DUMMYFUNCTION("QUERY(DATASET!A:F, ""SELECT A,B,C,D,E WHERE A='Colombia' AND C&lt; date '2020-03-16' "")"),"País")</f>
        <v>País</v>
      </c>
      <c r="B1" s="39" t="str">
        <f>IFERROR(__xludf.DUMMYFUNCTION("""COMPUTED_VALUE"""),"Fecha de Inicio")</f>
        <v>Fecha de Inicio</v>
      </c>
      <c r="C1" s="39" t="str">
        <f>IFERROR(__xludf.DUMMYFUNCTION("""COMPUTED_VALUE"""),"Fecha Fin")</f>
        <v>Fecha Fin</v>
      </c>
      <c r="D1" s="39" t="str">
        <f>IFERROR(__xludf.DUMMYFUNCTION("""COMPUTED_VALUE"""),"Semana")</f>
        <v>Semana</v>
      </c>
      <c r="E1" s="39" t="str">
        <f>IFERROR(__xludf.DUMMYFUNCTION("""COMPUTED_VALUE"""),"Total de Muertes Reportadas")</f>
        <v>Total de Muertes Reportadas</v>
      </c>
    </row>
    <row r="2">
      <c r="A2" s="39" t="str">
        <f>IFERROR(__xludf.DUMMYFUNCTION("""COMPUTED_VALUE"""),"Colombia")</f>
        <v>Colombia</v>
      </c>
      <c r="B2" s="40">
        <f>IFERROR(__xludf.DUMMYFUNCTION("""COMPUTED_VALUE"""),42002.0)</f>
        <v>42002</v>
      </c>
      <c r="C2" s="41">
        <f>IFERROR(__xludf.DUMMYFUNCTION("""COMPUTED_VALUE"""),42008.0)</f>
        <v>42008</v>
      </c>
      <c r="D2" s="39">
        <f>IFERROR(__xludf.DUMMYFUNCTION("""COMPUTED_VALUE"""),1.0)</f>
        <v>1</v>
      </c>
      <c r="E2" s="39">
        <f>IFERROR(__xludf.DUMMYFUNCTION("""COMPUTED_VALUE"""),4746.0)</f>
        <v>4746</v>
      </c>
    </row>
    <row r="3">
      <c r="A3" s="39" t="str">
        <f>IFERROR(__xludf.DUMMYFUNCTION("""COMPUTED_VALUE"""),"Colombia")</f>
        <v>Colombia</v>
      </c>
      <c r="B3" s="40">
        <f>IFERROR(__xludf.DUMMYFUNCTION("""COMPUTED_VALUE"""),42009.0)</f>
        <v>42009</v>
      </c>
      <c r="C3" s="41">
        <f>IFERROR(__xludf.DUMMYFUNCTION("""COMPUTED_VALUE"""),42015.0)</f>
        <v>42015</v>
      </c>
      <c r="D3" s="39">
        <f>IFERROR(__xludf.DUMMYFUNCTION("""COMPUTED_VALUE"""),2.0)</f>
        <v>2</v>
      </c>
      <c r="E3" s="39">
        <f>IFERROR(__xludf.DUMMYFUNCTION("""COMPUTED_VALUE"""),4588.0)</f>
        <v>4588</v>
      </c>
    </row>
    <row r="4">
      <c r="A4" s="39" t="str">
        <f>IFERROR(__xludf.DUMMYFUNCTION("""COMPUTED_VALUE"""),"Colombia")</f>
        <v>Colombia</v>
      </c>
      <c r="B4" s="40">
        <f>IFERROR(__xludf.DUMMYFUNCTION("""COMPUTED_VALUE"""),42016.0)</f>
        <v>42016</v>
      </c>
      <c r="C4" s="41">
        <f>IFERROR(__xludf.DUMMYFUNCTION("""COMPUTED_VALUE"""),42022.0)</f>
        <v>42022</v>
      </c>
      <c r="D4" s="39">
        <f>IFERROR(__xludf.DUMMYFUNCTION("""COMPUTED_VALUE"""),3.0)</f>
        <v>3</v>
      </c>
      <c r="E4" s="39">
        <f>IFERROR(__xludf.DUMMYFUNCTION("""COMPUTED_VALUE"""),4525.0)</f>
        <v>4525</v>
      </c>
    </row>
    <row r="5">
      <c r="A5" s="39" t="str">
        <f>IFERROR(__xludf.DUMMYFUNCTION("""COMPUTED_VALUE"""),"Colombia")</f>
        <v>Colombia</v>
      </c>
      <c r="B5" s="40">
        <f>IFERROR(__xludf.DUMMYFUNCTION("""COMPUTED_VALUE"""),42023.0)</f>
        <v>42023</v>
      </c>
      <c r="C5" s="41">
        <f>IFERROR(__xludf.DUMMYFUNCTION("""COMPUTED_VALUE"""),42029.0)</f>
        <v>42029</v>
      </c>
      <c r="D5" s="39">
        <f>IFERROR(__xludf.DUMMYFUNCTION("""COMPUTED_VALUE"""),4.0)</f>
        <v>4</v>
      </c>
      <c r="E5" s="39">
        <f>IFERROR(__xludf.DUMMYFUNCTION("""COMPUTED_VALUE"""),4280.0)</f>
        <v>4280</v>
      </c>
    </row>
    <row r="6">
      <c r="A6" s="39" t="str">
        <f>IFERROR(__xludf.DUMMYFUNCTION("""COMPUTED_VALUE"""),"Colombia")</f>
        <v>Colombia</v>
      </c>
      <c r="B6" s="40">
        <f>IFERROR(__xludf.DUMMYFUNCTION("""COMPUTED_VALUE"""),42030.0)</f>
        <v>42030</v>
      </c>
      <c r="C6" s="41">
        <f>IFERROR(__xludf.DUMMYFUNCTION("""COMPUTED_VALUE"""),42036.0)</f>
        <v>42036</v>
      </c>
      <c r="D6" s="39">
        <f>IFERROR(__xludf.DUMMYFUNCTION("""COMPUTED_VALUE"""),5.0)</f>
        <v>5</v>
      </c>
      <c r="E6" s="39">
        <f>IFERROR(__xludf.DUMMYFUNCTION("""COMPUTED_VALUE"""),4185.0)</f>
        <v>4185</v>
      </c>
    </row>
    <row r="7">
      <c r="A7" s="39" t="str">
        <f>IFERROR(__xludf.DUMMYFUNCTION("""COMPUTED_VALUE"""),"Colombia")</f>
        <v>Colombia</v>
      </c>
      <c r="B7" s="40">
        <f>IFERROR(__xludf.DUMMYFUNCTION("""COMPUTED_VALUE"""),42037.0)</f>
        <v>42037</v>
      </c>
      <c r="C7" s="41">
        <f>IFERROR(__xludf.DUMMYFUNCTION("""COMPUTED_VALUE"""),42043.0)</f>
        <v>42043</v>
      </c>
      <c r="D7" s="39">
        <f>IFERROR(__xludf.DUMMYFUNCTION("""COMPUTED_VALUE"""),6.0)</f>
        <v>6</v>
      </c>
      <c r="E7" s="39">
        <f>IFERROR(__xludf.DUMMYFUNCTION("""COMPUTED_VALUE"""),4090.0)</f>
        <v>4090</v>
      </c>
    </row>
    <row r="8">
      <c r="A8" s="39" t="str">
        <f>IFERROR(__xludf.DUMMYFUNCTION("""COMPUTED_VALUE"""),"Colombia")</f>
        <v>Colombia</v>
      </c>
      <c r="B8" s="40">
        <f>IFERROR(__xludf.DUMMYFUNCTION("""COMPUTED_VALUE"""),42044.0)</f>
        <v>42044</v>
      </c>
      <c r="C8" s="41">
        <f>IFERROR(__xludf.DUMMYFUNCTION("""COMPUTED_VALUE"""),42050.0)</f>
        <v>42050</v>
      </c>
      <c r="D8" s="39">
        <f>IFERROR(__xludf.DUMMYFUNCTION("""COMPUTED_VALUE"""),7.0)</f>
        <v>7</v>
      </c>
      <c r="E8" s="39">
        <f>IFERROR(__xludf.DUMMYFUNCTION("""COMPUTED_VALUE"""),4070.0)</f>
        <v>4070</v>
      </c>
    </row>
    <row r="9">
      <c r="A9" s="39" t="str">
        <f>IFERROR(__xludf.DUMMYFUNCTION("""COMPUTED_VALUE"""),"Colombia")</f>
        <v>Colombia</v>
      </c>
      <c r="B9" s="40">
        <f>IFERROR(__xludf.DUMMYFUNCTION("""COMPUTED_VALUE"""),42051.0)</f>
        <v>42051</v>
      </c>
      <c r="C9" s="41">
        <f>IFERROR(__xludf.DUMMYFUNCTION("""COMPUTED_VALUE"""),42057.0)</f>
        <v>42057</v>
      </c>
      <c r="D9" s="39">
        <f>IFERROR(__xludf.DUMMYFUNCTION("""COMPUTED_VALUE"""),8.0)</f>
        <v>8</v>
      </c>
      <c r="E9" s="39">
        <f>IFERROR(__xludf.DUMMYFUNCTION("""COMPUTED_VALUE"""),4104.0)</f>
        <v>4104</v>
      </c>
    </row>
    <row r="10">
      <c r="A10" s="39" t="str">
        <f>IFERROR(__xludf.DUMMYFUNCTION("""COMPUTED_VALUE"""),"Colombia")</f>
        <v>Colombia</v>
      </c>
      <c r="B10" s="40">
        <f>IFERROR(__xludf.DUMMYFUNCTION("""COMPUTED_VALUE"""),42058.0)</f>
        <v>42058</v>
      </c>
      <c r="C10" s="41">
        <f>IFERROR(__xludf.DUMMYFUNCTION("""COMPUTED_VALUE"""),42064.0)</f>
        <v>42064</v>
      </c>
      <c r="D10" s="39">
        <f>IFERROR(__xludf.DUMMYFUNCTION("""COMPUTED_VALUE"""),9.0)</f>
        <v>9</v>
      </c>
      <c r="E10" s="39">
        <f>IFERROR(__xludf.DUMMYFUNCTION("""COMPUTED_VALUE"""),4137.0)</f>
        <v>4137</v>
      </c>
    </row>
    <row r="11">
      <c r="A11" s="39" t="str">
        <f>IFERROR(__xludf.DUMMYFUNCTION("""COMPUTED_VALUE"""),"Colombia")</f>
        <v>Colombia</v>
      </c>
      <c r="B11" s="40">
        <f>IFERROR(__xludf.DUMMYFUNCTION("""COMPUTED_VALUE"""),42065.0)</f>
        <v>42065</v>
      </c>
      <c r="C11" s="41">
        <f>IFERROR(__xludf.DUMMYFUNCTION("""COMPUTED_VALUE"""),42071.0)</f>
        <v>42071</v>
      </c>
      <c r="D11" s="39">
        <f>IFERROR(__xludf.DUMMYFUNCTION("""COMPUTED_VALUE"""),10.0)</f>
        <v>10</v>
      </c>
      <c r="E11" s="39">
        <f>IFERROR(__xludf.DUMMYFUNCTION("""COMPUTED_VALUE"""),4109.0)</f>
        <v>4109</v>
      </c>
    </row>
    <row r="12">
      <c r="A12" s="39" t="str">
        <f>IFERROR(__xludf.DUMMYFUNCTION("""COMPUTED_VALUE"""),"Colombia")</f>
        <v>Colombia</v>
      </c>
      <c r="B12" s="40">
        <f>IFERROR(__xludf.DUMMYFUNCTION("""COMPUTED_VALUE"""),42072.0)</f>
        <v>42072</v>
      </c>
      <c r="C12" s="41">
        <f>IFERROR(__xludf.DUMMYFUNCTION("""COMPUTED_VALUE"""),42078.0)</f>
        <v>42078</v>
      </c>
      <c r="D12" s="39">
        <f>IFERROR(__xludf.DUMMYFUNCTION("""COMPUTED_VALUE"""),11.0)</f>
        <v>11</v>
      </c>
      <c r="E12" s="39">
        <f>IFERROR(__xludf.DUMMYFUNCTION("""COMPUTED_VALUE"""),4265.0)</f>
        <v>4265</v>
      </c>
    </row>
    <row r="13">
      <c r="A13" s="39" t="str">
        <f>IFERROR(__xludf.DUMMYFUNCTION("""COMPUTED_VALUE"""),"Colombia")</f>
        <v>Colombia</v>
      </c>
      <c r="B13" s="40">
        <f>IFERROR(__xludf.DUMMYFUNCTION("""COMPUTED_VALUE"""),42079.0)</f>
        <v>42079</v>
      </c>
      <c r="C13" s="41">
        <f>IFERROR(__xludf.DUMMYFUNCTION("""COMPUTED_VALUE"""),42085.0)</f>
        <v>42085</v>
      </c>
      <c r="D13" s="39">
        <f>IFERROR(__xludf.DUMMYFUNCTION("""COMPUTED_VALUE"""),12.0)</f>
        <v>12</v>
      </c>
      <c r="E13" s="39">
        <f>IFERROR(__xludf.DUMMYFUNCTION("""COMPUTED_VALUE"""),4071.0)</f>
        <v>4071</v>
      </c>
    </row>
    <row r="14">
      <c r="A14" s="39" t="str">
        <f>IFERROR(__xludf.DUMMYFUNCTION("""COMPUTED_VALUE"""),"Colombia")</f>
        <v>Colombia</v>
      </c>
      <c r="B14" s="40">
        <f>IFERROR(__xludf.DUMMYFUNCTION("""COMPUTED_VALUE"""),42086.0)</f>
        <v>42086</v>
      </c>
      <c r="C14" s="41">
        <f>IFERROR(__xludf.DUMMYFUNCTION("""COMPUTED_VALUE"""),42092.0)</f>
        <v>42092</v>
      </c>
      <c r="D14" s="39">
        <f>IFERROR(__xludf.DUMMYFUNCTION("""COMPUTED_VALUE"""),13.0)</f>
        <v>13</v>
      </c>
      <c r="E14" s="39">
        <f>IFERROR(__xludf.DUMMYFUNCTION("""COMPUTED_VALUE"""),4192.0)</f>
        <v>4192</v>
      </c>
    </row>
    <row r="15">
      <c r="A15" s="39" t="str">
        <f>IFERROR(__xludf.DUMMYFUNCTION("""COMPUTED_VALUE"""),"Colombia")</f>
        <v>Colombia</v>
      </c>
      <c r="B15" s="40">
        <f>IFERROR(__xludf.DUMMYFUNCTION("""COMPUTED_VALUE"""),42093.0)</f>
        <v>42093</v>
      </c>
      <c r="C15" s="41">
        <f>IFERROR(__xludf.DUMMYFUNCTION("""COMPUTED_VALUE"""),42099.0)</f>
        <v>42099</v>
      </c>
      <c r="D15" s="39">
        <f>IFERROR(__xludf.DUMMYFUNCTION("""COMPUTED_VALUE"""),14.0)</f>
        <v>14</v>
      </c>
      <c r="E15" s="39">
        <f>IFERROR(__xludf.DUMMYFUNCTION("""COMPUTED_VALUE"""),4067.0)</f>
        <v>4067</v>
      </c>
    </row>
    <row r="16">
      <c r="A16" s="39" t="str">
        <f>IFERROR(__xludf.DUMMYFUNCTION("""COMPUTED_VALUE"""),"Colombia")</f>
        <v>Colombia</v>
      </c>
      <c r="B16" s="40">
        <f>IFERROR(__xludf.DUMMYFUNCTION("""COMPUTED_VALUE"""),42100.0)</f>
        <v>42100</v>
      </c>
      <c r="C16" s="41">
        <f>IFERROR(__xludf.DUMMYFUNCTION("""COMPUTED_VALUE"""),42106.0)</f>
        <v>42106</v>
      </c>
      <c r="D16" s="39">
        <f>IFERROR(__xludf.DUMMYFUNCTION("""COMPUTED_VALUE"""),15.0)</f>
        <v>15</v>
      </c>
      <c r="E16" s="39">
        <f>IFERROR(__xludf.DUMMYFUNCTION("""COMPUTED_VALUE"""),4059.0)</f>
        <v>4059</v>
      </c>
    </row>
    <row r="17">
      <c r="A17" s="39" t="str">
        <f>IFERROR(__xludf.DUMMYFUNCTION("""COMPUTED_VALUE"""),"Colombia")</f>
        <v>Colombia</v>
      </c>
      <c r="B17" s="40">
        <f>IFERROR(__xludf.DUMMYFUNCTION("""COMPUTED_VALUE"""),42107.0)</f>
        <v>42107</v>
      </c>
      <c r="C17" s="41">
        <f>IFERROR(__xludf.DUMMYFUNCTION("""COMPUTED_VALUE"""),42113.0)</f>
        <v>42113</v>
      </c>
      <c r="D17" s="39">
        <f>IFERROR(__xludf.DUMMYFUNCTION("""COMPUTED_VALUE"""),16.0)</f>
        <v>16</v>
      </c>
      <c r="E17" s="39">
        <f>IFERROR(__xludf.DUMMYFUNCTION("""COMPUTED_VALUE"""),4063.0)</f>
        <v>4063</v>
      </c>
    </row>
    <row r="18">
      <c r="A18" s="39" t="str">
        <f>IFERROR(__xludf.DUMMYFUNCTION("""COMPUTED_VALUE"""),"Colombia")</f>
        <v>Colombia</v>
      </c>
      <c r="B18" s="40">
        <f>IFERROR(__xludf.DUMMYFUNCTION("""COMPUTED_VALUE"""),42114.0)</f>
        <v>42114</v>
      </c>
      <c r="C18" s="41">
        <f>IFERROR(__xludf.DUMMYFUNCTION("""COMPUTED_VALUE"""),42120.0)</f>
        <v>42120</v>
      </c>
      <c r="D18" s="39">
        <f>IFERROR(__xludf.DUMMYFUNCTION("""COMPUTED_VALUE"""),17.0)</f>
        <v>17</v>
      </c>
      <c r="E18" s="39">
        <f>IFERROR(__xludf.DUMMYFUNCTION("""COMPUTED_VALUE"""),4042.0)</f>
        <v>4042</v>
      </c>
    </row>
    <row r="19">
      <c r="A19" s="39" t="str">
        <f>IFERROR(__xludf.DUMMYFUNCTION("""COMPUTED_VALUE"""),"Colombia")</f>
        <v>Colombia</v>
      </c>
      <c r="B19" s="40">
        <f>IFERROR(__xludf.DUMMYFUNCTION("""COMPUTED_VALUE"""),42121.0)</f>
        <v>42121</v>
      </c>
      <c r="C19" s="41">
        <f>IFERROR(__xludf.DUMMYFUNCTION("""COMPUTED_VALUE"""),42127.0)</f>
        <v>42127</v>
      </c>
      <c r="D19" s="39">
        <f>IFERROR(__xludf.DUMMYFUNCTION("""COMPUTED_VALUE"""),18.0)</f>
        <v>18</v>
      </c>
      <c r="E19" s="39">
        <f>IFERROR(__xludf.DUMMYFUNCTION("""COMPUTED_VALUE"""),4186.0)</f>
        <v>4186</v>
      </c>
    </row>
    <row r="20">
      <c r="A20" s="39" t="str">
        <f>IFERROR(__xludf.DUMMYFUNCTION("""COMPUTED_VALUE"""),"Colombia")</f>
        <v>Colombia</v>
      </c>
      <c r="B20" s="40">
        <f>IFERROR(__xludf.DUMMYFUNCTION("""COMPUTED_VALUE"""),42128.0)</f>
        <v>42128</v>
      </c>
      <c r="C20" s="41">
        <f>IFERROR(__xludf.DUMMYFUNCTION("""COMPUTED_VALUE"""),42134.0)</f>
        <v>42134</v>
      </c>
      <c r="D20" s="39">
        <f>IFERROR(__xludf.DUMMYFUNCTION("""COMPUTED_VALUE"""),19.0)</f>
        <v>19</v>
      </c>
      <c r="E20" s="39">
        <f>IFERROR(__xludf.DUMMYFUNCTION("""COMPUTED_VALUE"""),4241.0)</f>
        <v>4241</v>
      </c>
    </row>
    <row r="21">
      <c r="A21" s="39" t="str">
        <f>IFERROR(__xludf.DUMMYFUNCTION("""COMPUTED_VALUE"""),"Colombia")</f>
        <v>Colombia</v>
      </c>
      <c r="B21" s="40">
        <f>IFERROR(__xludf.DUMMYFUNCTION("""COMPUTED_VALUE"""),42135.0)</f>
        <v>42135</v>
      </c>
      <c r="C21" s="41">
        <f>IFERROR(__xludf.DUMMYFUNCTION("""COMPUTED_VALUE"""),42141.0)</f>
        <v>42141</v>
      </c>
      <c r="D21" s="39">
        <f>IFERROR(__xludf.DUMMYFUNCTION("""COMPUTED_VALUE"""),20.0)</f>
        <v>20</v>
      </c>
      <c r="E21" s="39">
        <f>IFERROR(__xludf.DUMMYFUNCTION("""COMPUTED_VALUE"""),4277.0)</f>
        <v>4277</v>
      </c>
    </row>
    <row r="22">
      <c r="A22" s="39" t="str">
        <f>IFERROR(__xludf.DUMMYFUNCTION("""COMPUTED_VALUE"""),"Colombia")</f>
        <v>Colombia</v>
      </c>
      <c r="B22" s="40">
        <f>IFERROR(__xludf.DUMMYFUNCTION("""COMPUTED_VALUE"""),42142.0)</f>
        <v>42142</v>
      </c>
      <c r="C22" s="41">
        <f>IFERROR(__xludf.DUMMYFUNCTION("""COMPUTED_VALUE"""),42148.0)</f>
        <v>42148</v>
      </c>
      <c r="D22" s="39">
        <f>IFERROR(__xludf.DUMMYFUNCTION("""COMPUTED_VALUE"""),21.0)</f>
        <v>21</v>
      </c>
      <c r="E22" s="39">
        <f>IFERROR(__xludf.DUMMYFUNCTION("""COMPUTED_VALUE"""),4165.0)</f>
        <v>4165</v>
      </c>
    </row>
    <row r="23">
      <c r="A23" s="39" t="str">
        <f>IFERROR(__xludf.DUMMYFUNCTION("""COMPUTED_VALUE"""),"Colombia")</f>
        <v>Colombia</v>
      </c>
      <c r="B23" s="40">
        <f>IFERROR(__xludf.DUMMYFUNCTION("""COMPUTED_VALUE"""),42149.0)</f>
        <v>42149</v>
      </c>
      <c r="C23" s="41">
        <f>IFERROR(__xludf.DUMMYFUNCTION("""COMPUTED_VALUE"""),42155.0)</f>
        <v>42155</v>
      </c>
      <c r="D23" s="39">
        <f>IFERROR(__xludf.DUMMYFUNCTION("""COMPUTED_VALUE"""),22.0)</f>
        <v>22</v>
      </c>
      <c r="E23" s="39">
        <f>IFERROR(__xludf.DUMMYFUNCTION("""COMPUTED_VALUE"""),4024.0)</f>
        <v>4024</v>
      </c>
    </row>
    <row r="24">
      <c r="A24" s="39" t="str">
        <f>IFERROR(__xludf.DUMMYFUNCTION("""COMPUTED_VALUE"""),"Colombia")</f>
        <v>Colombia</v>
      </c>
      <c r="B24" s="40">
        <f>IFERROR(__xludf.DUMMYFUNCTION("""COMPUTED_VALUE"""),42156.0)</f>
        <v>42156</v>
      </c>
      <c r="C24" s="41">
        <f>IFERROR(__xludf.DUMMYFUNCTION("""COMPUTED_VALUE"""),42162.0)</f>
        <v>42162</v>
      </c>
      <c r="D24" s="39">
        <f>IFERROR(__xludf.DUMMYFUNCTION("""COMPUTED_VALUE"""),23.0)</f>
        <v>23</v>
      </c>
      <c r="E24" s="39">
        <f>IFERROR(__xludf.DUMMYFUNCTION("""COMPUTED_VALUE"""),4102.0)</f>
        <v>4102</v>
      </c>
    </row>
    <row r="25">
      <c r="A25" s="39" t="str">
        <f>IFERROR(__xludf.DUMMYFUNCTION("""COMPUTED_VALUE"""),"Colombia")</f>
        <v>Colombia</v>
      </c>
      <c r="B25" s="40">
        <f>IFERROR(__xludf.DUMMYFUNCTION("""COMPUTED_VALUE"""),42163.0)</f>
        <v>42163</v>
      </c>
      <c r="C25" s="41">
        <f>IFERROR(__xludf.DUMMYFUNCTION("""COMPUTED_VALUE"""),42169.0)</f>
        <v>42169</v>
      </c>
      <c r="D25" s="39">
        <f>IFERROR(__xludf.DUMMYFUNCTION("""COMPUTED_VALUE"""),24.0)</f>
        <v>24</v>
      </c>
      <c r="E25" s="39">
        <f>IFERROR(__xludf.DUMMYFUNCTION("""COMPUTED_VALUE"""),4142.0)</f>
        <v>4142</v>
      </c>
    </row>
    <row r="26">
      <c r="A26" s="39" t="str">
        <f>IFERROR(__xludf.DUMMYFUNCTION("""COMPUTED_VALUE"""),"Colombia")</f>
        <v>Colombia</v>
      </c>
      <c r="B26" s="40">
        <f>IFERROR(__xludf.DUMMYFUNCTION("""COMPUTED_VALUE"""),42170.0)</f>
        <v>42170</v>
      </c>
      <c r="C26" s="41">
        <f>IFERROR(__xludf.DUMMYFUNCTION("""COMPUTED_VALUE"""),42176.0)</f>
        <v>42176</v>
      </c>
      <c r="D26" s="39">
        <f>IFERROR(__xludf.DUMMYFUNCTION("""COMPUTED_VALUE"""),25.0)</f>
        <v>25</v>
      </c>
      <c r="E26" s="39">
        <f>IFERROR(__xludf.DUMMYFUNCTION("""COMPUTED_VALUE"""),4284.0)</f>
        <v>4284</v>
      </c>
    </row>
    <row r="27">
      <c r="A27" s="39" t="str">
        <f>IFERROR(__xludf.DUMMYFUNCTION("""COMPUTED_VALUE"""),"Colombia")</f>
        <v>Colombia</v>
      </c>
      <c r="B27" s="40">
        <f>IFERROR(__xludf.DUMMYFUNCTION("""COMPUTED_VALUE"""),42177.0)</f>
        <v>42177</v>
      </c>
      <c r="C27" s="41">
        <f>IFERROR(__xludf.DUMMYFUNCTION("""COMPUTED_VALUE"""),42183.0)</f>
        <v>42183</v>
      </c>
      <c r="D27" s="39">
        <f>IFERROR(__xludf.DUMMYFUNCTION("""COMPUTED_VALUE"""),26.0)</f>
        <v>26</v>
      </c>
      <c r="E27" s="39">
        <f>IFERROR(__xludf.DUMMYFUNCTION("""COMPUTED_VALUE"""),4343.0)</f>
        <v>4343</v>
      </c>
    </row>
    <row r="28">
      <c r="A28" s="39" t="str">
        <f>IFERROR(__xludf.DUMMYFUNCTION("""COMPUTED_VALUE"""),"Colombia")</f>
        <v>Colombia</v>
      </c>
      <c r="B28" s="40">
        <f>IFERROR(__xludf.DUMMYFUNCTION("""COMPUTED_VALUE"""),42184.0)</f>
        <v>42184</v>
      </c>
      <c r="C28" s="41">
        <f>IFERROR(__xludf.DUMMYFUNCTION("""COMPUTED_VALUE"""),42190.0)</f>
        <v>42190</v>
      </c>
      <c r="D28" s="39">
        <f>IFERROR(__xludf.DUMMYFUNCTION("""COMPUTED_VALUE"""),27.0)</f>
        <v>27</v>
      </c>
      <c r="E28" s="39">
        <f>IFERROR(__xludf.DUMMYFUNCTION("""COMPUTED_VALUE"""),4369.0)</f>
        <v>4369</v>
      </c>
    </row>
    <row r="29">
      <c r="A29" s="39" t="str">
        <f>IFERROR(__xludf.DUMMYFUNCTION("""COMPUTED_VALUE"""),"Colombia")</f>
        <v>Colombia</v>
      </c>
      <c r="B29" s="40">
        <f>IFERROR(__xludf.DUMMYFUNCTION("""COMPUTED_VALUE"""),42191.0)</f>
        <v>42191</v>
      </c>
      <c r="C29" s="41">
        <f>IFERROR(__xludf.DUMMYFUNCTION("""COMPUTED_VALUE"""),42197.0)</f>
        <v>42197</v>
      </c>
      <c r="D29" s="39">
        <f>IFERROR(__xludf.DUMMYFUNCTION("""COMPUTED_VALUE"""),28.0)</f>
        <v>28</v>
      </c>
      <c r="E29" s="39">
        <f>IFERROR(__xludf.DUMMYFUNCTION("""COMPUTED_VALUE"""),4334.0)</f>
        <v>4334</v>
      </c>
    </row>
    <row r="30">
      <c r="A30" s="39" t="str">
        <f>IFERROR(__xludf.DUMMYFUNCTION("""COMPUTED_VALUE"""),"Colombia")</f>
        <v>Colombia</v>
      </c>
      <c r="B30" s="40">
        <f>IFERROR(__xludf.DUMMYFUNCTION("""COMPUTED_VALUE"""),42198.0)</f>
        <v>42198</v>
      </c>
      <c r="C30" s="41">
        <f>IFERROR(__xludf.DUMMYFUNCTION("""COMPUTED_VALUE"""),42204.0)</f>
        <v>42204</v>
      </c>
      <c r="D30" s="39">
        <f>IFERROR(__xludf.DUMMYFUNCTION("""COMPUTED_VALUE"""),29.0)</f>
        <v>29</v>
      </c>
      <c r="E30" s="39">
        <f>IFERROR(__xludf.DUMMYFUNCTION("""COMPUTED_VALUE"""),4139.0)</f>
        <v>4139</v>
      </c>
    </row>
    <row r="31">
      <c r="A31" s="39" t="str">
        <f>IFERROR(__xludf.DUMMYFUNCTION("""COMPUTED_VALUE"""),"Colombia")</f>
        <v>Colombia</v>
      </c>
      <c r="B31" s="40">
        <f>IFERROR(__xludf.DUMMYFUNCTION("""COMPUTED_VALUE"""),42205.0)</f>
        <v>42205</v>
      </c>
      <c r="C31" s="41">
        <f>IFERROR(__xludf.DUMMYFUNCTION("""COMPUTED_VALUE"""),42211.0)</f>
        <v>42211</v>
      </c>
      <c r="D31" s="39">
        <f>IFERROR(__xludf.DUMMYFUNCTION("""COMPUTED_VALUE"""),30.0)</f>
        <v>30</v>
      </c>
      <c r="E31" s="39">
        <f>IFERROR(__xludf.DUMMYFUNCTION("""COMPUTED_VALUE"""),3970.0)</f>
        <v>3970</v>
      </c>
    </row>
    <row r="32">
      <c r="A32" s="39" t="str">
        <f>IFERROR(__xludf.DUMMYFUNCTION("""COMPUTED_VALUE"""),"Colombia")</f>
        <v>Colombia</v>
      </c>
      <c r="B32" s="40">
        <f>IFERROR(__xludf.DUMMYFUNCTION("""COMPUTED_VALUE"""),42212.0)</f>
        <v>42212</v>
      </c>
      <c r="C32" s="41">
        <f>IFERROR(__xludf.DUMMYFUNCTION("""COMPUTED_VALUE"""),42218.0)</f>
        <v>42218</v>
      </c>
      <c r="D32" s="39">
        <f>IFERROR(__xludf.DUMMYFUNCTION("""COMPUTED_VALUE"""),31.0)</f>
        <v>31</v>
      </c>
      <c r="E32" s="39">
        <f>IFERROR(__xludf.DUMMYFUNCTION("""COMPUTED_VALUE"""),4069.0)</f>
        <v>4069</v>
      </c>
    </row>
    <row r="33">
      <c r="A33" s="39" t="str">
        <f>IFERROR(__xludf.DUMMYFUNCTION("""COMPUTED_VALUE"""),"Colombia")</f>
        <v>Colombia</v>
      </c>
      <c r="B33" s="40">
        <f>IFERROR(__xludf.DUMMYFUNCTION("""COMPUTED_VALUE"""),42219.0)</f>
        <v>42219</v>
      </c>
      <c r="C33" s="41">
        <f>IFERROR(__xludf.DUMMYFUNCTION("""COMPUTED_VALUE"""),42225.0)</f>
        <v>42225</v>
      </c>
      <c r="D33" s="39">
        <f>IFERROR(__xludf.DUMMYFUNCTION("""COMPUTED_VALUE"""),32.0)</f>
        <v>32</v>
      </c>
      <c r="E33" s="39">
        <f>IFERROR(__xludf.DUMMYFUNCTION("""COMPUTED_VALUE"""),4296.0)</f>
        <v>4296</v>
      </c>
    </row>
    <row r="34">
      <c r="A34" s="39" t="str">
        <f>IFERROR(__xludf.DUMMYFUNCTION("""COMPUTED_VALUE"""),"Colombia")</f>
        <v>Colombia</v>
      </c>
      <c r="B34" s="40">
        <f>IFERROR(__xludf.DUMMYFUNCTION("""COMPUTED_VALUE"""),42226.0)</f>
        <v>42226</v>
      </c>
      <c r="C34" s="41">
        <f>IFERROR(__xludf.DUMMYFUNCTION("""COMPUTED_VALUE"""),42232.0)</f>
        <v>42232</v>
      </c>
      <c r="D34" s="39">
        <f>IFERROR(__xludf.DUMMYFUNCTION("""COMPUTED_VALUE"""),33.0)</f>
        <v>33</v>
      </c>
      <c r="E34" s="39">
        <f>IFERROR(__xludf.DUMMYFUNCTION("""COMPUTED_VALUE"""),4101.0)</f>
        <v>4101</v>
      </c>
    </row>
    <row r="35">
      <c r="A35" s="39" t="str">
        <f>IFERROR(__xludf.DUMMYFUNCTION("""COMPUTED_VALUE"""),"Colombia")</f>
        <v>Colombia</v>
      </c>
      <c r="B35" s="40">
        <f>IFERROR(__xludf.DUMMYFUNCTION("""COMPUTED_VALUE"""),42233.0)</f>
        <v>42233</v>
      </c>
      <c r="C35" s="41">
        <f>IFERROR(__xludf.DUMMYFUNCTION("""COMPUTED_VALUE"""),42239.0)</f>
        <v>42239</v>
      </c>
      <c r="D35" s="39">
        <f>IFERROR(__xludf.DUMMYFUNCTION("""COMPUTED_VALUE"""),34.0)</f>
        <v>34</v>
      </c>
      <c r="E35" s="39">
        <f>IFERROR(__xludf.DUMMYFUNCTION("""COMPUTED_VALUE"""),4000.0)</f>
        <v>4000</v>
      </c>
    </row>
    <row r="36">
      <c r="A36" s="39" t="str">
        <f>IFERROR(__xludf.DUMMYFUNCTION("""COMPUTED_VALUE"""),"Colombia")</f>
        <v>Colombia</v>
      </c>
      <c r="B36" s="40">
        <f>IFERROR(__xludf.DUMMYFUNCTION("""COMPUTED_VALUE"""),42240.0)</f>
        <v>42240</v>
      </c>
      <c r="C36" s="41">
        <f>IFERROR(__xludf.DUMMYFUNCTION("""COMPUTED_VALUE"""),42246.0)</f>
        <v>42246</v>
      </c>
      <c r="D36" s="39">
        <f>IFERROR(__xludf.DUMMYFUNCTION("""COMPUTED_VALUE"""),35.0)</f>
        <v>35</v>
      </c>
      <c r="E36" s="39">
        <f>IFERROR(__xludf.DUMMYFUNCTION("""COMPUTED_VALUE"""),4083.0)</f>
        <v>4083</v>
      </c>
    </row>
    <row r="37">
      <c r="A37" s="39" t="str">
        <f>IFERROR(__xludf.DUMMYFUNCTION("""COMPUTED_VALUE"""),"Colombia")</f>
        <v>Colombia</v>
      </c>
      <c r="B37" s="40">
        <f>IFERROR(__xludf.DUMMYFUNCTION("""COMPUTED_VALUE"""),42247.0)</f>
        <v>42247</v>
      </c>
      <c r="C37" s="41">
        <f>IFERROR(__xludf.DUMMYFUNCTION("""COMPUTED_VALUE"""),42253.0)</f>
        <v>42253</v>
      </c>
      <c r="D37" s="39">
        <f>IFERROR(__xludf.DUMMYFUNCTION("""COMPUTED_VALUE"""),36.0)</f>
        <v>36</v>
      </c>
      <c r="E37" s="39">
        <f>IFERROR(__xludf.DUMMYFUNCTION("""COMPUTED_VALUE"""),4233.0)</f>
        <v>4233</v>
      </c>
    </row>
    <row r="38">
      <c r="A38" s="39" t="str">
        <f>IFERROR(__xludf.DUMMYFUNCTION("""COMPUTED_VALUE"""),"Colombia")</f>
        <v>Colombia</v>
      </c>
      <c r="B38" s="40">
        <f>IFERROR(__xludf.DUMMYFUNCTION("""COMPUTED_VALUE"""),42254.0)</f>
        <v>42254</v>
      </c>
      <c r="C38" s="41">
        <f>IFERROR(__xludf.DUMMYFUNCTION("""COMPUTED_VALUE"""),42260.0)</f>
        <v>42260</v>
      </c>
      <c r="D38" s="39">
        <f>IFERROR(__xludf.DUMMYFUNCTION("""COMPUTED_VALUE"""),37.0)</f>
        <v>37</v>
      </c>
      <c r="E38" s="39">
        <f>IFERROR(__xludf.DUMMYFUNCTION("""COMPUTED_VALUE"""),4135.0)</f>
        <v>4135</v>
      </c>
    </row>
    <row r="39">
      <c r="A39" s="39" t="str">
        <f>IFERROR(__xludf.DUMMYFUNCTION("""COMPUTED_VALUE"""),"Colombia")</f>
        <v>Colombia</v>
      </c>
      <c r="B39" s="40">
        <f>IFERROR(__xludf.DUMMYFUNCTION("""COMPUTED_VALUE"""),42261.0)</f>
        <v>42261</v>
      </c>
      <c r="C39" s="41">
        <f>IFERROR(__xludf.DUMMYFUNCTION("""COMPUTED_VALUE"""),42267.0)</f>
        <v>42267</v>
      </c>
      <c r="D39" s="39">
        <f>IFERROR(__xludf.DUMMYFUNCTION("""COMPUTED_VALUE"""),38.0)</f>
        <v>38</v>
      </c>
      <c r="E39" s="39">
        <f>IFERROR(__xludf.DUMMYFUNCTION("""COMPUTED_VALUE"""),4203.0)</f>
        <v>4203</v>
      </c>
    </row>
    <row r="40">
      <c r="A40" s="39" t="str">
        <f>IFERROR(__xludf.DUMMYFUNCTION("""COMPUTED_VALUE"""),"Colombia")</f>
        <v>Colombia</v>
      </c>
      <c r="B40" s="40">
        <f>IFERROR(__xludf.DUMMYFUNCTION("""COMPUTED_VALUE"""),42268.0)</f>
        <v>42268</v>
      </c>
      <c r="C40" s="41">
        <f>IFERROR(__xludf.DUMMYFUNCTION("""COMPUTED_VALUE"""),42274.0)</f>
        <v>42274</v>
      </c>
      <c r="D40" s="39">
        <f>IFERROR(__xludf.DUMMYFUNCTION("""COMPUTED_VALUE"""),39.0)</f>
        <v>39</v>
      </c>
      <c r="E40" s="39">
        <f>IFERROR(__xludf.DUMMYFUNCTION("""COMPUTED_VALUE"""),4217.0)</f>
        <v>4217</v>
      </c>
    </row>
    <row r="41">
      <c r="A41" s="39" t="str">
        <f>IFERROR(__xludf.DUMMYFUNCTION("""COMPUTED_VALUE"""),"Colombia")</f>
        <v>Colombia</v>
      </c>
      <c r="B41" s="40">
        <f>IFERROR(__xludf.DUMMYFUNCTION("""COMPUTED_VALUE"""),42275.0)</f>
        <v>42275</v>
      </c>
      <c r="C41" s="41">
        <f>IFERROR(__xludf.DUMMYFUNCTION("""COMPUTED_VALUE"""),42281.0)</f>
        <v>42281</v>
      </c>
      <c r="D41" s="39">
        <f>IFERROR(__xludf.DUMMYFUNCTION("""COMPUTED_VALUE"""),40.0)</f>
        <v>40</v>
      </c>
      <c r="E41" s="39">
        <f>IFERROR(__xludf.DUMMYFUNCTION("""COMPUTED_VALUE"""),4232.0)</f>
        <v>4232</v>
      </c>
    </row>
    <row r="42">
      <c r="A42" s="39" t="str">
        <f>IFERROR(__xludf.DUMMYFUNCTION("""COMPUTED_VALUE"""),"Colombia")</f>
        <v>Colombia</v>
      </c>
      <c r="B42" s="40">
        <f>IFERROR(__xludf.DUMMYFUNCTION("""COMPUTED_VALUE"""),42282.0)</f>
        <v>42282</v>
      </c>
      <c r="C42" s="41">
        <f>IFERROR(__xludf.DUMMYFUNCTION("""COMPUTED_VALUE"""),42288.0)</f>
        <v>42288</v>
      </c>
      <c r="D42" s="39">
        <f>IFERROR(__xludf.DUMMYFUNCTION("""COMPUTED_VALUE"""),41.0)</f>
        <v>41</v>
      </c>
      <c r="E42" s="39">
        <f>IFERROR(__xludf.DUMMYFUNCTION("""COMPUTED_VALUE"""),4162.0)</f>
        <v>4162</v>
      </c>
    </row>
    <row r="43">
      <c r="A43" s="39" t="str">
        <f>IFERROR(__xludf.DUMMYFUNCTION("""COMPUTED_VALUE"""),"Colombia")</f>
        <v>Colombia</v>
      </c>
      <c r="B43" s="40">
        <f>IFERROR(__xludf.DUMMYFUNCTION("""COMPUTED_VALUE"""),42289.0)</f>
        <v>42289</v>
      </c>
      <c r="C43" s="41">
        <f>IFERROR(__xludf.DUMMYFUNCTION("""COMPUTED_VALUE"""),42295.0)</f>
        <v>42295</v>
      </c>
      <c r="D43" s="39">
        <f>IFERROR(__xludf.DUMMYFUNCTION("""COMPUTED_VALUE"""),42.0)</f>
        <v>42</v>
      </c>
      <c r="E43" s="39">
        <f>IFERROR(__xludf.DUMMYFUNCTION("""COMPUTED_VALUE"""),4045.0)</f>
        <v>4045</v>
      </c>
    </row>
    <row r="44">
      <c r="A44" s="39" t="str">
        <f>IFERROR(__xludf.DUMMYFUNCTION("""COMPUTED_VALUE"""),"Colombia")</f>
        <v>Colombia</v>
      </c>
      <c r="B44" s="40">
        <f>IFERROR(__xludf.DUMMYFUNCTION("""COMPUTED_VALUE"""),42296.0)</f>
        <v>42296</v>
      </c>
      <c r="C44" s="41">
        <f>IFERROR(__xludf.DUMMYFUNCTION("""COMPUTED_VALUE"""),42302.0)</f>
        <v>42302</v>
      </c>
      <c r="D44" s="39">
        <f>IFERROR(__xludf.DUMMYFUNCTION("""COMPUTED_VALUE"""),43.0)</f>
        <v>43</v>
      </c>
      <c r="E44" s="39">
        <f>IFERROR(__xludf.DUMMYFUNCTION("""COMPUTED_VALUE"""),4027.0)</f>
        <v>4027</v>
      </c>
    </row>
    <row r="45">
      <c r="A45" s="39" t="str">
        <f>IFERROR(__xludf.DUMMYFUNCTION("""COMPUTED_VALUE"""),"Colombia")</f>
        <v>Colombia</v>
      </c>
      <c r="B45" s="40">
        <f>IFERROR(__xludf.DUMMYFUNCTION("""COMPUTED_VALUE"""),42303.0)</f>
        <v>42303</v>
      </c>
      <c r="C45" s="41">
        <f>IFERROR(__xludf.DUMMYFUNCTION("""COMPUTED_VALUE"""),42309.0)</f>
        <v>42309</v>
      </c>
      <c r="D45" s="39">
        <f>IFERROR(__xludf.DUMMYFUNCTION("""COMPUTED_VALUE"""),44.0)</f>
        <v>44</v>
      </c>
      <c r="E45" s="39">
        <f>IFERROR(__xludf.DUMMYFUNCTION("""COMPUTED_VALUE"""),4238.0)</f>
        <v>4238</v>
      </c>
    </row>
    <row r="46">
      <c r="A46" s="39" t="str">
        <f>IFERROR(__xludf.DUMMYFUNCTION("""COMPUTED_VALUE"""),"Colombia")</f>
        <v>Colombia</v>
      </c>
      <c r="B46" s="40">
        <f>IFERROR(__xludf.DUMMYFUNCTION("""COMPUTED_VALUE"""),42310.0)</f>
        <v>42310</v>
      </c>
      <c r="C46" s="41">
        <f>IFERROR(__xludf.DUMMYFUNCTION("""COMPUTED_VALUE"""),42316.0)</f>
        <v>42316</v>
      </c>
      <c r="D46" s="39">
        <f>IFERROR(__xludf.DUMMYFUNCTION("""COMPUTED_VALUE"""),45.0)</f>
        <v>45</v>
      </c>
      <c r="E46" s="39">
        <f>IFERROR(__xludf.DUMMYFUNCTION("""COMPUTED_VALUE"""),4174.0)</f>
        <v>4174</v>
      </c>
    </row>
    <row r="47">
      <c r="A47" s="39" t="str">
        <f>IFERROR(__xludf.DUMMYFUNCTION("""COMPUTED_VALUE"""),"Colombia")</f>
        <v>Colombia</v>
      </c>
      <c r="B47" s="40">
        <f>IFERROR(__xludf.DUMMYFUNCTION("""COMPUTED_VALUE"""),42317.0)</f>
        <v>42317</v>
      </c>
      <c r="C47" s="41">
        <f>IFERROR(__xludf.DUMMYFUNCTION("""COMPUTED_VALUE"""),42323.0)</f>
        <v>42323</v>
      </c>
      <c r="D47" s="39">
        <f>IFERROR(__xludf.DUMMYFUNCTION("""COMPUTED_VALUE"""),46.0)</f>
        <v>46</v>
      </c>
      <c r="E47" s="39">
        <f>IFERROR(__xludf.DUMMYFUNCTION("""COMPUTED_VALUE"""),4363.0)</f>
        <v>4363</v>
      </c>
    </row>
    <row r="48">
      <c r="A48" s="39" t="str">
        <f>IFERROR(__xludf.DUMMYFUNCTION("""COMPUTED_VALUE"""),"Colombia")</f>
        <v>Colombia</v>
      </c>
      <c r="B48" s="40">
        <f>IFERROR(__xludf.DUMMYFUNCTION("""COMPUTED_VALUE"""),42324.0)</f>
        <v>42324</v>
      </c>
      <c r="C48" s="41">
        <f>IFERROR(__xludf.DUMMYFUNCTION("""COMPUTED_VALUE"""),42330.0)</f>
        <v>42330</v>
      </c>
      <c r="D48" s="39">
        <f>IFERROR(__xludf.DUMMYFUNCTION("""COMPUTED_VALUE"""),47.0)</f>
        <v>47</v>
      </c>
      <c r="E48" s="39">
        <f>IFERROR(__xludf.DUMMYFUNCTION("""COMPUTED_VALUE"""),4303.0)</f>
        <v>4303</v>
      </c>
    </row>
    <row r="49">
      <c r="A49" s="39" t="str">
        <f>IFERROR(__xludf.DUMMYFUNCTION("""COMPUTED_VALUE"""),"Colombia")</f>
        <v>Colombia</v>
      </c>
      <c r="B49" s="40">
        <f>IFERROR(__xludf.DUMMYFUNCTION("""COMPUTED_VALUE"""),42331.0)</f>
        <v>42331</v>
      </c>
      <c r="C49" s="41">
        <f>IFERROR(__xludf.DUMMYFUNCTION("""COMPUTED_VALUE"""),42337.0)</f>
        <v>42337</v>
      </c>
      <c r="D49" s="39">
        <f>IFERROR(__xludf.DUMMYFUNCTION("""COMPUTED_VALUE"""),48.0)</f>
        <v>48</v>
      </c>
      <c r="E49" s="39">
        <f>IFERROR(__xludf.DUMMYFUNCTION("""COMPUTED_VALUE"""),4289.0)</f>
        <v>4289</v>
      </c>
    </row>
    <row r="50">
      <c r="A50" s="39" t="str">
        <f>IFERROR(__xludf.DUMMYFUNCTION("""COMPUTED_VALUE"""),"Colombia")</f>
        <v>Colombia</v>
      </c>
      <c r="B50" s="40">
        <f>IFERROR(__xludf.DUMMYFUNCTION("""COMPUTED_VALUE"""),42338.0)</f>
        <v>42338</v>
      </c>
      <c r="C50" s="41">
        <f>IFERROR(__xludf.DUMMYFUNCTION("""COMPUTED_VALUE"""),42344.0)</f>
        <v>42344</v>
      </c>
      <c r="D50" s="39">
        <f>IFERROR(__xludf.DUMMYFUNCTION("""COMPUTED_VALUE"""),49.0)</f>
        <v>49</v>
      </c>
      <c r="E50" s="39">
        <f>IFERROR(__xludf.DUMMYFUNCTION("""COMPUTED_VALUE"""),4368.0)</f>
        <v>4368</v>
      </c>
    </row>
    <row r="51">
      <c r="A51" s="39" t="str">
        <f>IFERROR(__xludf.DUMMYFUNCTION("""COMPUTED_VALUE"""),"Colombia")</f>
        <v>Colombia</v>
      </c>
      <c r="B51" s="40">
        <f>IFERROR(__xludf.DUMMYFUNCTION("""COMPUTED_VALUE"""),42345.0)</f>
        <v>42345</v>
      </c>
      <c r="C51" s="41">
        <f>IFERROR(__xludf.DUMMYFUNCTION("""COMPUTED_VALUE"""),42351.0)</f>
        <v>42351</v>
      </c>
      <c r="D51" s="39">
        <f>IFERROR(__xludf.DUMMYFUNCTION("""COMPUTED_VALUE"""),50.0)</f>
        <v>50</v>
      </c>
      <c r="E51" s="39">
        <f>IFERROR(__xludf.DUMMYFUNCTION("""COMPUTED_VALUE"""),4324.0)</f>
        <v>4324</v>
      </c>
    </row>
    <row r="52">
      <c r="A52" s="39" t="str">
        <f>IFERROR(__xludf.DUMMYFUNCTION("""COMPUTED_VALUE"""),"Colombia")</f>
        <v>Colombia</v>
      </c>
      <c r="B52" s="40">
        <f>IFERROR(__xludf.DUMMYFUNCTION("""COMPUTED_VALUE"""),42352.0)</f>
        <v>42352</v>
      </c>
      <c r="C52" s="41">
        <f>IFERROR(__xludf.DUMMYFUNCTION("""COMPUTED_VALUE"""),42358.0)</f>
        <v>42358</v>
      </c>
      <c r="D52" s="39">
        <f>IFERROR(__xludf.DUMMYFUNCTION("""COMPUTED_VALUE"""),51.0)</f>
        <v>51</v>
      </c>
      <c r="E52" s="39">
        <f>IFERROR(__xludf.DUMMYFUNCTION("""COMPUTED_VALUE"""),4301.0)</f>
        <v>4301</v>
      </c>
    </row>
    <row r="53">
      <c r="A53" s="39" t="str">
        <f>IFERROR(__xludf.DUMMYFUNCTION("""COMPUTED_VALUE"""),"Colombia")</f>
        <v>Colombia</v>
      </c>
      <c r="B53" s="40">
        <f>IFERROR(__xludf.DUMMYFUNCTION("""COMPUTED_VALUE"""),42359.0)</f>
        <v>42359</v>
      </c>
      <c r="C53" s="41">
        <f>IFERROR(__xludf.DUMMYFUNCTION("""COMPUTED_VALUE"""),42365.0)</f>
        <v>42365</v>
      </c>
      <c r="D53" s="39">
        <f>IFERROR(__xludf.DUMMYFUNCTION("""COMPUTED_VALUE"""),52.0)</f>
        <v>52</v>
      </c>
      <c r="E53" s="39">
        <f>IFERROR(__xludf.DUMMYFUNCTION("""COMPUTED_VALUE"""),4553.0)</f>
        <v>4553</v>
      </c>
    </row>
    <row r="54">
      <c r="A54" s="39" t="str">
        <f>IFERROR(__xludf.DUMMYFUNCTION("""COMPUTED_VALUE"""),"Colombia")</f>
        <v>Colombia</v>
      </c>
      <c r="B54" s="40">
        <f>IFERROR(__xludf.DUMMYFUNCTION("""COMPUTED_VALUE"""),42366.0)</f>
        <v>42366</v>
      </c>
      <c r="C54" s="41">
        <f>IFERROR(__xludf.DUMMYFUNCTION("""COMPUTED_VALUE"""),42372.0)</f>
        <v>42372</v>
      </c>
      <c r="D54" s="39">
        <f>IFERROR(__xludf.DUMMYFUNCTION("""COMPUTED_VALUE"""),53.0)</f>
        <v>53</v>
      </c>
      <c r="E54" s="39">
        <f>IFERROR(__xludf.DUMMYFUNCTION("""COMPUTED_VALUE"""),4609.0)</f>
        <v>4609</v>
      </c>
    </row>
    <row r="55">
      <c r="A55" s="39" t="str">
        <f>IFERROR(__xludf.DUMMYFUNCTION("""COMPUTED_VALUE"""),"Colombia")</f>
        <v>Colombia</v>
      </c>
      <c r="B55" s="40">
        <f>IFERROR(__xludf.DUMMYFUNCTION("""COMPUTED_VALUE"""),42373.0)</f>
        <v>42373</v>
      </c>
      <c r="C55" s="41">
        <f>IFERROR(__xludf.DUMMYFUNCTION("""COMPUTED_VALUE"""),42379.0)</f>
        <v>42379</v>
      </c>
      <c r="D55" s="39">
        <f>IFERROR(__xludf.DUMMYFUNCTION("""COMPUTED_VALUE"""),1.0)</f>
        <v>1</v>
      </c>
      <c r="E55" s="39">
        <f>IFERROR(__xludf.DUMMYFUNCTION("""COMPUTED_VALUE"""),4474.0)</f>
        <v>4474</v>
      </c>
    </row>
    <row r="56">
      <c r="A56" s="39" t="str">
        <f>IFERROR(__xludf.DUMMYFUNCTION("""COMPUTED_VALUE"""),"Colombia")</f>
        <v>Colombia</v>
      </c>
      <c r="B56" s="40">
        <f>IFERROR(__xludf.DUMMYFUNCTION("""COMPUTED_VALUE"""),42380.0)</f>
        <v>42380</v>
      </c>
      <c r="C56" s="41">
        <f>IFERROR(__xludf.DUMMYFUNCTION("""COMPUTED_VALUE"""),42386.0)</f>
        <v>42386</v>
      </c>
      <c r="D56" s="39">
        <f>IFERROR(__xludf.DUMMYFUNCTION("""COMPUTED_VALUE"""),2.0)</f>
        <v>2</v>
      </c>
      <c r="E56" s="39">
        <f>IFERROR(__xludf.DUMMYFUNCTION("""COMPUTED_VALUE"""),4435.0)</f>
        <v>4435</v>
      </c>
    </row>
    <row r="57">
      <c r="A57" s="39" t="str">
        <f>IFERROR(__xludf.DUMMYFUNCTION("""COMPUTED_VALUE"""),"Colombia")</f>
        <v>Colombia</v>
      </c>
      <c r="B57" s="40">
        <f>IFERROR(__xludf.DUMMYFUNCTION("""COMPUTED_VALUE"""),42387.0)</f>
        <v>42387</v>
      </c>
      <c r="C57" s="41">
        <f>IFERROR(__xludf.DUMMYFUNCTION("""COMPUTED_VALUE"""),42393.0)</f>
        <v>42393</v>
      </c>
      <c r="D57" s="39">
        <f>IFERROR(__xludf.DUMMYFUNCTION("""COMPUTED_VALUE"""),3.0)</f>
        <v>3</v>
      </c>
      <c r="E57" s="39">
        <f>IFERROR(__xludf.DUMMYFUNCTION("""COMPUTED_VALUE"""),4389.0)</f>
        <v>4389</v>
      </c>
    </row>
    <row r="58">
      <c r="A58" s="39" t="str">
        <f>IFERROR(__xludf.DUMMYFUNCTION("""COMPUTED_VALUE"""),"Colombia")</f>
        <v>Colombia</v>
      </c>
      <c r="B58" s="40">
        <f>IFERROR(__xludf.DUMMYFUNCTION("""COMPUTED_VALUE"""),42394.0)</f>
        <v>42394</v>
      </c>
      <c r="C58" s="41">
        <f>IFERROR(__xludf.DUMMYFUNCTION("""COMPUTED_VALUE"""),42400.0)</f>
        <v>42400</v>
      </c>
      <c r="D58" s="39">
        <f>IFERROR(__xludf.DUMMYFUNCTION("""COMPUTED_VALUE"""),4.0)</f>
        <v>4</v>
      </c>
      <c r="E58" s="39">
        <f>IFERROR(__xludf.DUMMYFUNCTION("""COMPUTED_VALUE"""),4253.0)</f>
        <v>4253</v>
      </c>
    </row>
    <row r="59">
      <c r="A59" s="39" t="str">
        <f>IFERROR(__xludf.DUMMYFUNCTION("""COMPUTED_VALUE"""),"Colombia")</f>
        <v>Colombia</v>
      </c>
      <c r="B59" s="40">
        <f>IFERROR(__xludf.DUMMYFUNCTION("""COMPUTED_VALUE"""),42401.0)</f>
        <v>42401</v>
      </c>
      <c r="C59" s="41">
        <f>IFERROR(__xludf.DUMMYFUNCTION("""COMPUTED_VALUE"""),42407.0)</f>
        <v>42407</v>
      </c>
      <c r="D59" s="39">
        <f>IFERROR(__xludf.DUMMYFUNCTION("""COMPUTED_VALUE"""),5.0)</f>
        <v>5</v>
      </c>
      <c r="E59" s="39">
        <f>IFERROR(__xludf.DUMMYFUNCTION("""COMPUTED_VALUE"""),4183.0)</f>
        <v>4183</v>
      </c>
    </row>
    <row r="60">
      <c r="A60" s="39" t="str">
        <f>IFERROR(__xludf.DUMMYFUNCTION("""COMPUTED_VALUE"""),"Colombia")</f>
        <v>Colombia</v>
      </c>
      <c r="B60" s="40">
        <f>IFERROR(__xludf.DUMMYFUNCTION("""COMPUTED_VALUE"""),42408.0)</f>
        <v>42408</v>
      </c>
      <c r="C60" s="41">
        <f>IFERROR(__xludf.DUMMYFUNCTION("""COMPUTED_VALUE"""),42414.0)</f>
        <v>42414</v>
      </c>
      <c r="D60" s="39">
        <f>IFERROR(__xludf.DUMMYFUNCTION("""COMPUTED_VALUE"""),6.0)</f>
        <v>6</v>
      </c>
      <c r="E60" s="39">
        <f>IFERROR(__xludf.DUMMYFUNCTION("""COMPUTED_VALUE"""),4113.0)</f>
        <v>4113</v>
      </c>
    </row>
    <row r="61">
      <c r="A61" s="39" t="str">
        <f>IFERROR(__xludf.DUMMYFUNCTION("""COMPUTED_VALUE"""),"Colombia")</f>
        <v>Colombia</v>
      </c>
      <c r="B61" s="40">
        <f>IFERROR(__xludf.DUMMYFUNCTION("""COMPUTED_VALUE"""),42415.0)</f>
        <v>42415</v>
      </c>
      <c r="C61" s="41">
        <f>IFERROR(__xludf.DUMMYFUNCTION("""COMPUTED_VALUE"""),42421.0)</f>
        <v>42421</v>
      </c>
      <c r="D61" s="39">
        <f>IFERROR(__xludf.DUMMYFUNCTION("""COMPUTED_VALUE"""),7.0)</f>
        <v>7</v>
      </c>
      <c r="E61" s="39">
        <f>IFERROR(__xludf.DUMMYFUNCTION("""COMPUTED_VALUE"""),4131.0)</f>
        <v>4131</v>
      </c>
    </row>
    <row r="62">
      <c r="A62" s="39" t="str">
        <f>IFERROR(__xludf.DUMMYFUNCTION("""COMPUTED_VALUE"""),"Colombia")</f>
        <v>Colombia</v>
      </c>
      <c r="B62" s="40">
        <f>IFERROR(__xludf.DUMMYFUNCTION("""COMPUTED_VALUE"""),42422.0)</f>
        <v>42422</v>
      </c>
      <c r="C62" s="41">
        <f>IFERROR(__xludf.DUMMYFUNCTION("""COMPUTED_VALUE"""),42428.0)</f>
        <v>42428</v>
      </c>
      <c r="D62" s="39">
        <f>IFERROR(__xludf.DUMMYFUNCTION("""COMPUTED_VALUE"""),8.0)</f>
        <v>8</v>
      </c>
      <c r="E62" s="39">
        <f>IFERROR(__xludf.DUMMYFUNCTION("""COMPUTED_VALUE"""),4100.0)</f>
        <v>4100</v>
      </c>
    </row>
    <row r="63">
      <c r="A63" s="39" t="str">
        <f>IFERROR(__xludf.DUMMYFUNCTION("""COMPUTED_VALUE"""),"Colombia")</f>
        <v>Colombia</v>
      </c>
      <c r="B63" s="40">
        <f>IFERROR(__xludf.DUMMYFUNCTION("""COMPUTED_VALUE"""),42429.0)</f>
        <v>42429</v>
      </c>
      <c r="C63" s="41">
        <f>IFERROR(__xludf.DUMMYFUNCTION("""COMPUTED_VALUE"""),42435.0)</f>
        <v>42435</v>
      </c>
      <c r="D63" s="39">
        <f>IFERROR(__xludf.DUMMYFUNCTION("""COMPUTED_VALUE"""),9.0)</f>
        <v>9</v>
      </c>
      <c r="E63" s="39">
        <f>IFERROR(__xludf.DUMMYFUNCTION("""COMPUTED_VALUE"""),4190.0)</f>
        <v>4190</v>
      </c>
    </row>
    <row r="64">
      <c r="A64" s="39" t="str">
        <f>IFERROR(__xludf.DUMMYFUNCTION("""COMPUTED_VALUE"""),"Colombia")</f>
        <v>Colombia</v>
      </c>
      <c r="B64" s="40">
        <f>IFERROR(__xludf.DUMMYFUNCTION("""COMPUTED_VALUE"""),42436.0)</f>
        <v>42436</v>
      </c>
      <c r="C64" s="41">
        <f>IFERROR(__xludf.DUMMYFUNCTION("""COMPUTED_VALUE"""),42442.0)</f>
        <v>42442</v>
      </c>
      <c r="D64" s="39">
        <f>IFERROR(__xludf.DUMMYFUNCTION("""COMPUTED_VALUE"""),10.0)</f>
        <v>10</v>
      </c>
      <c r="E64" s="39">
        <f>IFERROR(__xludf.DUMMYFUNCTION("""COMPUTED_VALUE"""),4218.0)</f>
        <v>4218</v>
      </c>
    </row>
    <row r="65">
      <c r="A65" s="39" t="str">
        <f>IFERROR(__xludf.DUMMYFUNCTION("""COMPUTED_VALUE"""),"Colombia")</f>
        <v>Colombia</v>
      </c>
      <c r="B65" s="40">
        <f>IFERROR(__xludf.DUMMYFUNCTION("""COMPUTED_VALUE"""),42443.0)</f>
        <v>42443</v>
      </c>
      <c r="C65" s="41">
        <f>IFERROR(__xludf.DUMMYFUNCTION("""COMPUTED_VALUE"""),42449.0)</f>
        <v>42449</v>
      </c>
      <c r="D65" s="39">
        <f>IFERROR(__xludf.DUMMYFUNCTION("""COMPUTED_VALUE"""),11.0)</f>
        <v>11</v>
      </c>
      <c r="E65" s="39">
        <f>IFERROR(__xludf.DUMMYFUNCTION("""COMPUTED_VALUE"""),4228.0)</f>
        <v>4228</v>
      </c>
    </row>
    <row r="66">
      <c r="A66" s="39" t="str">
        <f>IFERROR(__xludf.DUMMYFUNCTION("""COMPUTED_VALUE"""),"Colombia")</f>
        <v>Colombia</v>
      </c>
      <c r="B66" s="40">
        <f>IFERROR(__xludf.DUMMYFUNCTION("""COMPUTED_VALUE"""),42450.0)</f>
        <v>42450</v>
      </c>
      <c r="C66" s="41">
        <f>IFERROR(__xludf.DUMMYFUNCTION("""COMPUTED_VALUE"""),42456.0)</f>
        <v>42456</v>
      </c>
      <c r="D66" s="39">
        <f>IFERROR(__xludf.DUMMYFUNCTION("""COMPUTED_VALUE"""),12.0)</f>
        <v>12</v>
      </c>
      <c r="E66" s="39">
        <f>IFERROR(__xludf.DUMMYFUNCTION("""COMPUTED_VALUE"""),4275.0)</f>
        <v>4275</v>
      </c>
    </row>
    <row r="67">
      <c r="A67" s="39" t="str">
        <f>IFERROR(__xludf.DUMMYFUNCTION("""COMPUTED_VALUE"""),"Colombia")</f>
        <v>Colombia</v>
      </c>
      <c r="B67" s="40">
        <f>IFERROR(__xludf.DUMMYFUNCTION("""COMPUTED_VALUE"""),42457.0)</f>
        <v>42457</v>
      </c>
      <c r="C67" s="41">
        <f>IFERROR(__xludf.DUMMYFUNCTION("""COMPUTED_VALUE"""),42463.0)</f>
        <v>42463</v>
      </c>
      <c r="D67" s="39">
        <f>IFERROR(__xludf.DUMMYFUNCTION("""COMPUTED_VALUE"""),13.0)</f>
        <v>13</v>
      </c>
      <c r="E67" s="39">
        <f>IFERROR(__xludf.DUMMYFUNCTION("""COMPUTED_VALUE"""),4092.0)</f>
        <v>4092</v>
      </c>
    </row>
    <row r="68">
      <c r="A68" s="39" t="str">
        <f>IFERROR(__xludf.DUMMYFUNCTION("""COMPUTED_VALUE"""),"Colombia")</f>
        <v>Colombia</v>
      </c>
      <c r="B68" s="40">
        <f>IFERROR(__xludf.DUMMYFUNCTION("""COMPUTED_VALUE"""),42464.0)</f>
        <v>42464</v>
      </c>
      <c r="C68" s="41">
        <f>IFERROR(__xludf.DUMMYFUNCTION("""COMPUTED_VALUE"""),42470.0)</f>
        <v>42470</v>
      </c>
      <c r="D68" s="39">
        <f>IFERROR(__xludf.DUMMYFUNCTION("""COMPUTED_VALUE"""),14.0)</f>
        <v>14</v>
      </c>
      <c r="E68" s="39">
        <f>IFERROR(__xludf.DUMMYFUNCTION("""COMPUTED_VALUE"""),4112.0)</f>
        <v>4112</v>
      </c>
    </row>
    <row r="69">
      <c r="A69" s="39" t="str">
        <f>IFERROR(__xludf.DUMMYFUNCTION("""COMPUTED_VALUE"""),"Colombia")</f>
        <v>Colombia</v>
      </c>
      <c r="B69" s="40">
        <f>IFERROR(__xludf.DUMMYFUNCTION("""COMPUTED_VALUE"""),42471.0)</f>
        <v>42471</v>
      </c>
      <c r="C69" s="41">
        <f>IFERROR(__xludf.DUMMYFUNCTION("""COMPUTED_VALUE"""),42477.0)</f>
        <v>42477</v>
      </c>
      <c r="D69" s="39">
        <f>IFERROR(__xludf.DUMMYFUNCTION("""COMPUTED_VALUE"""),15.0)</f>
        <v>15</v>
      </c>
      <c r="E69" s="39">
        <f>IFERROR(__xludf.DUMMYFUNCTION("""COMPUTED_VALUE"""),4153.0)</f>
        <v>4153</v>
      </c>
    </row>
    <row r="70">
      <c r="A70" s="39" t="str">
        <f>IFERROR(__xludf.DUMMYFUNCTION("""COMPUTED_VALUE"""),"Colombia")</f>
        <v>Colombia</v>
      </c>
      <c r="B70" s="40">
        <f>IFERROR(__xludf.DUMMYFUNCTION("""COMPUTED_VALUE"""),42478.0)</f>
        <v>42478</v>
      </c>
      <c r="C70" s="41">
        <f>IFERROR(__xludf.DUMMYFUNCTION("""COMPUTED_VALUE"""),42484.0)</f>
        <v>42484</v>
      </c>
      <c r="D70" s="39">
        <f>IFERROR(__xludf.DUMMYFUNCTION("""COMPUTED_VALUE"""),16.0)</f>
        <v>16</v>
      </c>
      <c r="E70" s="39">
        <f>IFERROR(__xludf.DUMMYFUNCTION("""COMPUTED_VALUE"""),4211.0)</f>
        <v>4211</v>
      </c>
    </row>
    <row r="71">
      <c r="A71" s="39" t="str">
        <f>IFERROR(__xludf.DUMMYFUNCTION("""COMPUTED_VALUE"""),"Colombia")</f>
        <v>Colombia</v>
      </c>
      <c r="B71" s="40">
        <f>IFERROR(__xludf.DUMMYFUNCTION("""COMPUTED_VALUE"""),42485.0)</f>
        <v>42485</v>
      </c>
      <c r="C71" s="41">
        <f>IFERROR(__xludf.DUMMYFUNCTION("""COMPUTED_VALUE"""),42491.0)</f>
        <v>42491</v>
      </c>
      <c r="D71" s="39">
        <f>IFERROR(__xludf.DUMMYFUNCTION("""COMPUTED_VALUE"""),17.0)</f>
        <v>17</v>
      </c>
      <c r="E71" s="39">
        <f>IFERROR(__xludf.DUMMYFUNCTION("""COMPUTED_VALUE"""),4110.0)</f>
        <v>4110</v>
      </c>
    </row>
    <row r="72">
      <c r="A72" s="39" t="str">
        <f>IFERROR(__xludf.DUMMYFUNCTION("""COMPUTED_VALUE"""),"Colombia")</f>
        <v>Colombia</v>
      </c>
      <c r="B72" s="40">
        <f>IFERROR(__xludf.DUMMYFUNCTION("""COMPUTED_VALUE"""),42492.0)</f>
        <v>42492</v>
      </c>
      <c r="C72" s="41">
        <f>IFERROR(__xludf.DUMMYFUNCTION("""COMPUTED_VALUE"""),42498.0)</f>
        <v>42498</v>
      </c>
      <c r="D72" s="39">
        <f>IFERROR(__xludf.DUMMYFUNCTION("""COMPUTED_VALUE"""),18.0)</f>
        <v>18</v>
      </c>
      <c r="E72" s="39">
        <f>IFERROR(__xludf.DUMMYFUNCTION("""COMPUTED_VALUE"""),4175.0)</f>
        <v>4175</v>
      </c>
    </row>
    <row r="73">
      <c r="A73" s="39" t="str">
        <f>IFERROR(__xludf.DUMMYFUNCTION("""COMPUTED_VALUE"""),"Colombia")</f>
        <v>Colombia</v>
      </c>
      <c r="B73" s="40">
        <f>IFERROR(__xludf.DUMMYFUNCTION("""COMPUTED_VALUE"""),42499.0)</f>
        <v>42499</v>
      </c>
      <c r="C73" s="41">
        <f>IFERROR(__xludf.DUMMYFUNCTION("""COMPUTED_VALUE"""),42505.0)</f>
        <v>42505</v>
      </c>
      <c r="D73" s="39">
        <f>IFERROR(__xludf.DUMMYFUNCTION("""COMPUTED_VALUE"""),19.0)</f>
        <v>19</v>
      </c>
      <c r="E73" s="39">
        <f>IFERROR(__xludf.DUMMYFUNCTION("""COMPUTED_VALUE"""),4320.0)</f>
        <v>4320</v>
      </c>
    </row>
    <row r="74">
      <c r="A74" s="39" t="str">
        <f>IFERROR(__xludf.DUMMYFUNCTION("""COMPUTED_VALUE"""),"Colombia")</f>
        <v>Colombia</v>
      </c>
      <c r="B74" s="40">
        <f>IFERROR(__xludf.DUMMYFUNCTION("""COMPUTED_VALUE"""),42506.0)</f>
        <v>42506</v>
      </c>
      <c r="C74" s="41">
        <f>IFERROR(__xludf.DUMMYFUNCTION("""COMPUTED_VALUE"""),42512.0)</f>
        <v>42512</v>
      </c>
      <c r="D74" s="39">
        <f>IFERROR(__xludf.DUMMYFUNCTION("""COMPUTED_VALUE"""),20.0)</f>
        <v>20</v>
      </c>
      <c r="E74" s="39">
        <f>IFERROR(__xludf.DUMMYFUNCTION("""COMPUTED_VALUE"""),4632.0)</f>
        <v>4632</v>
      </c>
    </row>
    <row r="75">
      <c r="A75" s="39" t="str">
        <f>IFERROR(__xludf.DUMMYFUNCTION("""COMPUTED_VALUE"""),"Colombia")</f>
        <v>Colombia</v>
      </c>
      <c r="B75" s="40">
        <f>IFERROR(__xludf.DUMMYFUNCTION("""COMPUTED_VALUE"""),42513.0)</f>
        <v>42513</v>
      </c>
      <c r="C75" s="41">
        <f>IFERROR(__xludf.DUMMYFUNCTION("""COMPUTED_VALUE"""),42519.0)</f>
        <v>42519</v>
      </c>
      <c r="D75" s="39">
        <f>IFERROR(__xludf.DUMMYFUNCTION("""COMPUTED_VALUE"""),21.0)</f>
        <v>21</v>
      </c>
      <c r="E75" s="39">
        <f>IFERROR(__xludf.DUMMYFUNCTION("""COMPUTED_VALUE"""),4532.0)</f>
        <v>4532</v>
      </c>
    </row>
    <row r="76">
      <c r="A76" s="39" t="str">
        <f>IFERROR(__xludf.DUMMYFUNCTION("""COMPUTED_VALUE"""),"Colombia")</f>
        <v>Colombia</v>
      </c>
      <c r="B76" s="40">
        <f>IFERROR(__xludf.DUMMYFUNCTION("""COMPUTED_VALUE"""),42520.0)</f>
        <v>42520</v>
      </c>
      <c r="C76" s="41">
        <f>IFERROR(__xludf.DUMMYFUNCTION("""COMPUTED_VALUE"""),42526.0)</f>
        <v>42526</v>
      </c>
      <c r="D76" s="39">
        <f>IFERROR(__xludf.DUMMYFUNCTION("""COMPUTED_VALUE"""),22.0)</f>
        <v>22</v>
      </c>
      <c r="E76" s="39">
        <f>IFERROR(__xludf.DUMMYFUNCTION("""COMPUTED_VALUE"""),4582.0)</f>
        <v>4582</v>
      </c>
    </row>
    <row r="77">
      <c r="A77" s="39" t="str">
        <f>IFERROR(__xludf.DUMMYFUNCTION("""COMPUTED_VALUE"""),"Colombia")</f>
        <v>Colombia</v>
      </c>
      <c r="B77" s="40">
        <f>IFERROR(__xludf.DUMMYFUNCTION("""COMPUTED_VALUE"""),42527.0)</f>
        <v>42527</v>
      </c>
      <c r="C77" s="41">
        <f>IFERROR(__xludf.DUMMYFUNCTION("""COMPUTED_VALUE"""),42533.0)</f>
        <v>42533</v>
      </c>
      <c r="D77" s="39">
        <f>IFERROR(__xludf.DUMMYFUNCTION("""COMPUTED_VALUE"""),23.0)</f>
        <v>23</v>
      </c>
      <c r="E77" s="39">
        <f>IFERROR(__xludf.DUMMYFUNCTION("""COMPUTED_VALUE"""),4561.0)</f>
        <v>4561</v>
      </c>
    </row>
    <row r="78">
      <c r="A78" s="39" t="str">
        <f>IFERROR(__xludf.DUMMYFUNCTION("""COMPUTED_VALUE"""),"Colombia")</f>
        <v>Colombia</v>
      </c>
      <c r="B78" s="40">
        <f>IFERROR(__xludf.DUMMYFUNCTION("""COMPUTED_VALUE"""),42534.0)</f>
        <v>42534</v>
      </c>
      <c r="C78" s="41">
        <f>IFERROR(__xludf.DUMMYFUNCTION("""COMPUTED_VALUE"""),42540.0)</f>
        <v>42540</v>
      </c>
      <c r="D78" s="39">
        <f>IFERROR(__xludf.DUMMYFUNCTION("""COMPUTED_VALUE"""),24.0)</f>
        <v>24</v>
      </c>
      <c r="E78" s="39">
        <f>IFERROR(__xludf.DUMMYFUNCTION("""COMPUTED_VALUE"""),4537.0)</f>
        <v>4537</v>
      </c>
    </row>
    <row r="79">
      <c r="A79" s="39" t="str">
        <f>IFERROR(__xludf.DUMMYFUNCTION("""COMPUTED_VALUE"""),"Colombia")</f>
        <v>Colombia</v>
      </c>
      <c r="B79" s="40">
        <f>IFERROR(__xludf.DUMMYFUNCTION("""COMPUTED_VALUE"""),42541.0)</f>
        <v>42541</v>
      </c>
      <c r="C79" s="41">
        <f>IFERROR(__xludf.DUMMYFUNCTION("""COMPUTED_VALUE"""),42547.0)</f>
        <v>42547</v>
      </c>
      <c r="D79" s="39">
        <f>IFERROR(__xludf.DUMMYFUNCTION("""COMPUTED_VALUE"""),25.0)</f>
        <v>25</v>
      </c>
      <c r="E79" s="39">
        <f>IFERROR(__xludf.DUMMYFUNCTION("""COMPUTED_VALUE"""),4503.0)</f>
        <v>4503</v>
      </c>
    </row>
    <row r="80">
      <c r="A80" s="39" t="str">
        <f>IFERROR(__xludf.DUMMYFUNCTION("""COMPUTED_VALUE"""),"Colombia")</f>
        <v>Colombia</v>
      </c>
      <c r="B80" s="40">
        <f>IFERROR(__xludf.DUMMYFUNCTION("""COMPUTED_VALUE"""),42548.0)</f>
        <v>42548</v>
      </c>
      <c r="C80" s="41">
        <f>IFERROR(__xludf.DUMMYFUNCTION("""COMPUTED_VALUE"""),42554.0)</f>
        <v>42554</v>
      </c>
      <c r="D80" s="39">
        <f>IFERROR(__xludf.DUMMYFUNCTION("""COMPUTED_VALUE"""),26.0)</f>
        <v>26</v>
      </c>
      <c r="E80" s="39">
        <f>IFERROR(__xludf.DUMMYFUNCTION("""COMPUTED_VALUE"""),4530.0)</f>
        <v>4530</v>
      </c>
    </row>
    <row r="81">
      <c r="A81" s="39" t="str">
        <f>IFERROR(__xludf.DUMMYFUNCTION("""COMPUTED_VALUE"""),"Colombia")</f>
        <v>Colombia</v>
      </c>
      <c r="B81" s="40">
        <f>IFERROR(__xludf.DUMMYFUNCTION("""COMPUTED_VALUE"""),42555.0)</f>
        <v>42555</v>
      </c>
      <c r="C81" s="41">
        <f>IFERROR(__xludf.DUMMYFUNCTION("""COMPUTED_VALUE"""),42561.0)</f>
        <v>42561</v>
      </c>
      <c r="D81" s="39">
        <f>IFERROR(__xludf.DUMMYFUNCTION("""COMPUTED_VALUE"""),27.0)</f>
        <v>27</v>
      </c>
      <c r="E81" s="39">
        <f>IFERROR(__xludf.DUMMYFUNCTION("""COMPUTED_VALUE"""),4349.0)</f>
        <v>4349</v>
      </c>
    </row>
    <row r="82">
      <c r="A82" s="39" t="str">
        <f>IFERROR(__xludf.DUMMYFUNCTION("""COMPUTED_VALUE"""),"Colombia")</f>
        <v>Colombia</v>
      </c>
      <c r="B82" s="40">
        <f>IFERROR(__xludf.DUMMYFUNCTION("""COMPUTED_VALUE"""),42562.0)</f>
        <v>42562</v>
      </c>
      <c r="C82" s="41">
        <f>IFERROR(__xludf.DUMMYFUNCTION("""COMPUTED_VALUE"""),42568.0)</f>
        <v>42568</v>
      </c>
      <c r="D82" s="39">
        <f>IFERROR(__xludf.DUMMYFUNCTION("""COMPUTED_VALUE"""),28.0)</f>
        <v>28</v>
      </c>
      <c r="E82" s="39">
        <f>IFERROR(__xludf.DUMMYFUNCTION("""COMPUTED_VALUE"""),4315.0)</f>
        <v>4315</v>
      </c>
    </row>
    <row r="83">
      <c r="A83" s="39" t="str">
        <f>IFERROR(__xludf.DUMMYFUNCTION("""COMPUTED_VALUE"""),"Colombia")</f>
        <v>Colombia</v>
      </c>
      <c r="B83" s="40">
        <f>IFERROR(__xludf.DUMMYFUNCTION("""COMPUTED_VALUE"""),42569.0)</f>
        <v>42569</v>
      </c>
      <c r="C83" s="41">
        <f>IFERROR(__xludf.DUMMYFUNCTION("""COMPUTED_VALUE"""),42575.0)</f>
        <v>42575</v>
      </c>
      <c r="D83" s="39">
        <f>IFERROR(__xludf.DUMMYFUNCTION("""COMPUTED_VALUE"""),29.0)</f>
        <v>29</v>
      </c>
      <c r="E83" s="39">
        <f>IFERROR(__xludf.DUMMYFUNCTION("""COMPUTED_VALUE"""),4088.0)</f>
        <v>4088</v>
      </c>
    </row>
    <row r="84">
      <c r="A84" s="39" t="str">
        <f>IFERROR(__xludf.DUMMYFUNCTION("""COMPUTED_VALUE"""),"Colombia")</f>
        <v>Colombia</v>
      </c>
      <c r="B84" s="40">
        <f>IFERROR(__xludf.DUMMYFUNCTION("""COMPUTED_VALUE"""),42576.0)</f>
        <v>42576</v>
      </c>
      <c r="C84" s="41">
        <f>IFERROR(__xludf.DUMMYFUNCTION("""COMPUTED_VALUE"""),42582.0)</f>
        <v>42582</v>
      </c>
      <c r="D84" s="39">
        <f>IFERROR(__xludf.DUMMYFUNCTION("""COMPUTED_VALUE"""),30.0)</f>
        <v>30</v>
      </c>
      <c r="E84" s="39">
        <f>IFERROR(__xludf.DUMMYFUNCTION("""COMPUTED_VALUE"""),4188.0)</f>
        <v>4188</v>
      </c>
    </row>
    <row r="85">
      <c r="A85" s="39" t="str">
        <f>IFERROR(__xludf.DUMMYFUNCTION("""COMPUTED_VALUE"""),"Colombia")</f>
        <v>Colombia</v>
      </c>
      <c r="B85" s="40">
        <f>IFERROR(__xludf.DUMMYFUNCTION("""COMPUTED_VALUE"""),42583.0)</f>
        <v>42583</v>
      </c>
      <c r="C85" s="41">
        <f>IFERROR(__xludf.DUMMYFUNCTION("""COMPUTED_VALUE"""),42589.0)</f>
        <v>42589</v>
      </c>
      <c r="D85" s="39">
        <f>IFERROR(__xludf.DUMMYFUNCTION("""COMPUTED_VALUE"""),31.0)</f>
        <v>31</v>
      </c>
      <c r="E85" s="39">
        <f>IFERROR(__xludf.DUMMYFUNCTION("""COMPUTED_VALUE"""),4175.0)</f>
        <v>4175</v>
      </c>
    </row>
    <row r="86">
      <c r="A86" s="39" t="str">
        <f>IFERROR(__xludf.DUMMYFUNCTION("""COMPUTED_VALUE"""),"Colombia")</f>
        <v>Colombia</v>
      </c>
      <c r="B86" s="40">
        <f>IFERROR(__xludf.DUMMYFUNCTION("""COMPUTED_VALUE"""),42590.0)</f>
        <v>42590</v>
      </c>
      <c r="C86" s="41">
        <f>IFERROR(__xludf.DUMMYFUNCTION("""COMPUTED_VALUE"""),42596.0)</f>
        <v>42596</v>
      </c>
      <c r="D86" s="39">
        <f>IFERROR(__xludf.DUMMYFUNCTION("""COMPUTED_VALUE"""),32.0)</f>
        <v>32</v>
      </c>
      <c r="E86" s="39">
        <f>IFERROR(__xludf.DUMMYFUNCTION("""COMPUTED_VALUE"""),4291.0)</f>
        <v>4291</v>
      </c>
    </row>
    <row r="87">
      <c r="A87" s="39" t="str">
        <f>IFERROR(__xludf.DUMMYFUNCTION("""COMPUTED_VALUE"""),"Colombia")</f>
        <v>Colombia</v>
      </c>
      <c r="B87" s="40">
        <f>IFERROR(__xludf.DUMMYFUNCTION("""COMPUTED_VALUE"""),42597.0)</f>
        <v>42597</v>
      </c>
      <c r="C87" s="41">
        <f>IFERROR(__xludf.DUMMYFUNCTION("""COMPUTED_VALUE"""),42603.0)</f>
        <v>42603</v>
      </c>
      <c r="D87" s="39">
        <f>IFERROR(__xludf.DUMMYFUNCTION("""COMPUTED_VALUE"""),33.0)</f>
        <v>33</v>
      </c>
      <c r="E87" s="39">
        <f>IFERROR(__xludf.DUMMYFUNCTION("""COMPUTED_VALUE"""),4176.0)</f>
        <v>4176</v>
      </c>
    </row>
    <row r="88">
      <c r="A88" s="39" t="str">
        <f>IFERROR(__xludf.DUMMYFUNCTION("""COMPUTED_VALUE"""),"Colombia")</f>
        <v>Colombia</v>
      </c>
      <c r="B88" s="40">
        <f>IFERROR(__xludf.DUMMYFUNCTION("""COMPUTED_VALUE"""),42604.0)</f>
        <v>42604</v>
      </c>
      <c r="C88" s="41">
        <f>IFERROR(__xludf.DUMMYFUNCTION("""COMPUTED_VALUE"""),42610.0)</f>
        <v>42610</v>
      </c>
      <c r="D88" s="39">
        <f>IFERROR(__xludf.DUMMYFUNCTION("""COMPUTED_VALUE"""),34.0)</f>
        <v>34</v>
      </c>
      <c r="E88" s="39">
        <f>IFERROR(__xludf.DUMMYFUNCTION("""COMPUTED_VALUE"""),4036.0)</f>
        <v>4036</v>
      </c>
    </row>
    <row r="89">
      <c r="A89" s="39" t="str">
        <f>IFERROR(__xludf.DUMMYFUNCTION("""COMPUTED_VALUE"""),"Colombia")</f>
        <v>Colombia</v>
      </c>
      <c r="B89" s="40">
        <f>IFERROR(__xludf.DUMMYFUNCTION("""COMPUTED_VALUE"""),42611.0)</f>
        <v>42611</v>
      </c>
      <c r="C89" s="41">
        <f>IFERROR(__xludf.DUMMYFUNCTION("""COMPUTED_VALUE"""),42617.0)</f>
        <v>42617</v>
      </c>
      <c r="D89" s="39">
        <f>IFERROR(__xludf.DUMMYFUNCTION("""COMPUTED_VALUE"""),35.0)</f>
        <v>35</v>
      </c>
      <c r="E89" s="39">
        <f>IFERROR(__xludf.DUMMYFUNCTION("""COMPUTED_VALUE"""),4123.0)</f>
        <v>4123</v>
      </c>
    </row>
    <row r="90">
      <c r="A90" s="39" t="str">
        <f>IFERROR(__xludf.DUMMYFUNCTION("""COMPUTED_VALUE"""),"Colombia")</f>
        <v>Colombia</v>
      </c>
      <c r="B90" s="40">
        <f>IFERROR(__xludf.DUMMYFUNCTION("""COMPUTED_VALUE"""),42618.0)</f>
        <v>42618</v>
      </c>
      <c r="C90" s="41">
        <f>IFERROR(__xludf.DUMMYFUNCTION("""COMPUTED_VALUE"""),42624.0)</f>
        <v>42624</v>
      </c>
      <c r="D90" s="39">
        <f>IFERROR(__xludf.DUMMYFUNCTION("""COMPUTED_VALUE"""),36.0)</f>
        <v>36</v>
      </c>
      <c r="E90" s="39">
        <f>IFERROR(__xludf.DUMMYFUNCTION("""COMPUTED_VALUE"""),4084.0)</f>
        <v>4084</v>
      </c>
    </row>
    <row r="91">
      <c r="A91" s="39" t="str">
        <f>IFERROR(__xludf.DUMMYFUNCTION("""COMPUTED_VALUE"""),"Colombia")</f>
        <v>Colombia</v>
      </c>
      <c r="B91" s="40">
        <f>IFERROR(__xludf.DUMMYFUNCTION("""COMPUTED_VALUE"""),42625.0)</f>
        <v>42625</v>
      </c>
      <c r="C91" s="41">
        <f>IFERROR(__xludf.DUMMYFUNCTION("""COMPUTED_VALUE"""),42631.0)</f>
        <v>42631</v>
      </c>
      <c r="D91" s="39">
        <f>IFERROR(__xludf.DUMMYFUNCTION("""COMPUTED_VALUE"""),37.0)</f>
        <v>37</v>
      </c>
      <c r="E91" s="39">
        <f>IFERROR(__xludf.DUMMYFUNCTION("""COMPUTED_VALUE"""),4021.0)</f>
        <v>4021</v>
      </c>
    </row>
    <row r="92">
      <c r="A92" s="39" t="str">
        <f>IFERROR(__xludf.DUMMYFUNCTION("""COMPUTED_VALUE"""),"Colombia")</f>
        <v>Colombia</v>
      </c>
      <c r="B92" s="40">
        <f>IFERROR(__xludf.DUMMYFUNCTION("""COMPUTED_VALUE"""),42632.0)</f>
        <v>42632</v>
      </c>
      <c r="C92" s="41">
        <f>IFERROR(__xludf.DUMMYFUNCTION("""COMPUTED_VALUE"""),42638.0)</f>
        <v>42638</v>
      </c>
      <c r="D92" s="39">
        <f>IFERROR(__xludf.DUMMYFUNCTION("""COMPUTED_VALUE"""),38.0)</f>
        <v>38</v>
      </c>
      <c r="E92" s="39">
        <f>IFERROR(__xludf.DUMMYFUNCTION("""COMPUTED_VALUE"""),4186.0)</f>
        <v>4186</v>
      </c>
    </row>
    <row r="93">
      <c r="A93" s="39" t="str">
        <f>IFERROR(__xludf.DUMMYFUNCTION("""COMPUTED_VALUE"""),"Colombia")</f>
        <v>Colombia</v>
      </c>
      <c r="B93" s="40">
        <f>IFERROR(__xludf.DUMMYFUNCTION("""COMPUTED_VALUE"""),42639.0)</f>
        <v>42639</v>
      </c>
      <c r="C93" s="41">
        <f>IFERROR(__xludf.DUMMYFUNCTION("""COMPUTED_VALUE"""),42645.0)</f>
        <v>42645</v>
      </c>
      <c r="D93" s="39">
        <f>IFERROR(__xludf.DUMMYFUNCTION("""COMPUTED_VALUE"""),39.0)</f>
        <v>39</v>
      </c>
      <c r="E93" s="39">
        <f>IFERROR(__xludf.DUMMYFUNCTION("""COMPUTED_VALUE"""),4025.0)</f>
        <v>4025</v>
      </c>
    </row>
    <row r="94">
      <c r="A94" s="39" t="str">
        <f>IFERROR(__xludf.DUMMYFUNCTION("""COMPUTED_VALUE"""),"Colombia")</f>
        <v>Colombia</v>
      </c>
      <c r="B94" s="40">
        <f>IFERROR(__xludf.DUMMYFUNCTION("""COMPUTED_VALUE"""),42646.0)</f>
        <v>42646</v>
      </c>
      <c r="C94" s="41">
        <f>IFERROR(__xludf.DUMMYFUNCTION("""COMPUTED_VALUE"""),42652.0)</f>
        <v>42652</v>
      </c>
      <c r="D94" s="39">
        <f>IFERROR(__xludf.DUMMYFUNCTION("""COMPUTED_VALUE"""),40.0)</f>
        <v>40</v>
      </c>
      <c r="E94" s="39">
        <f>IFERROR(__xludf.DUMMYFUNCTION("""COMPUTED_VALUE"""),4066.0)</f>
        <v>4066</v>
      </c>
    </row>
    <row r="95">
      <c r="A95" s="39" t="str">
        <f>IFERROR(__xludf.DUMMYFUNCTION("""COMPUTED_VALUE"""),"Colombia")</f>
        <v>Colombia</v>
      </c>
      <c r="B95" s="40">
        <f>IFERROR(__xludf.DUMMYFUNCTION("""COMPUTED_VALUE"""),42653.0)</f>
        <v>42653</v>
      </c>
      <c r="C95" s="41">
        <f>IFERROR(__xludf.DUMMYFUNCTION("""COMPUTED_VALUE"""),42659.0)</f>
        <v>42659</v>
      </c>
      <c r="D95" s="39">
        <f>IFERROR(__xludf.DUMMYFUNCTION("""COMPUTED_VALUE"""),41.0)</f>
        <v>41</v>
      </c>
      <c r="E95" s="39">
        <f>IFERROR(__xludf.DUMMYFUNCTION("""COMPUTED_VALUE"""),4171.0)</f>
        <v>4171</v>
      </c>
    </row>
    <row r="96">
      <c r="A96" s="39" t="str">
        <f>IFERROR(__xludf.DUMMYFUNCTION("""COMPUTED_VALUE"""),"Colombia")</f>
        <v>Colombia</v>
      </c>
      <c r="B96" s="40">
        <f>IFERROR(__xludf.DUMMYFUNCTION("""COMPUTED_VALUE"""),42660.0)</f>
        <v>42660</v>
      </c>
      <c r="C96" s="41">
        <f>IFERROR(__xludf.DUMMYFUNCTION("""COMPUTED_VALUE"""),42666.0)</f>
        <v>42666</v>
      </c>
      <c r="D96" s="39">
        <f>IFERROR(__xludf.DUMMYFUNCTION("""COMPUTED_VALUE"""),42.0)</f>
        <v>42</v>
      </c>
      <c r="E96" s="39">
        <f>IFERROR(__xludf.DUMMYFUNCTION("""COMPUTED_VALUE"""),4146.0)</f>
        <v>4146</v>
      </c>
    </row>
    <row r="97">
      <c r="A97" s="39" t="str">
        <f>IFERROR(__xludf.DUMMYFUNCTION("""COMPUTED_VALUE"""),"Colombia")</f>
        <v>Colombia</v>
      </c>
      <c r="B97" s="40">
        <f>IFERROR(__xludf.DUMMYFUNCTION("""COMPUTED_VALUE"""),42667.0)</f>
        <v>42667</v>
      </c>
      <c r="C97" s="41">
        <f>IFERROR(__xludf.DUMMYFUNCTION("""COMPUTED_VALUE"""),42673.0)</f>
        <v>42673</v>
      </c>
      <c r="D97" s="39">
        <f>IFERROR(__xludf.DUMMYFUNCTION("""COMPUTED_VALUE"""),43.0)</f>
        <v>43</v>
      </c>
      <c r="E97" s="39">
        <f>IFERROR(__xludf.DUMMYFUNCTION("""COMPUTED_VALUE"""),4073.0)</f>
        <v>4073</v>
      </c>
    </row>
    <row r="98">
      <c r="A98" s="39" t="str">
        <f>IFERROR(__xludf.DUMMYFUNCTION("""COMPUTED_VALUE"""),"Colombia")</f>
        <v>Colombia</v>
      </c>
      <c r="B98" s="40">
        <f>IFERROR(__xludf.DUMMYFUNCTION("""COMPUTED_VALUE"""),42674.0)</f>
        <v>42674</v>
      </c>
      <c r="C98" s="41">
        <f>IFERROR(__xludf.DUMMYFUNCTION("""COMPUTED_VALUE"""),42680.0)</f>
        <v>42680</v>
      </c>
      <c r="D98" s="39">
        <f>IFERROR(__xludf.DUMMYFUNCTION("""COMPUTED_VALUE"""),44.0)</f>
        <v>44</v>
      </c>
      <c r="E98" s="39">
        <f>IFERROR(__xludf.DUMMYFUNCTION("""COMPUTED_VALUE"""),4039.0)</f>
        <v>4039</v>
      </c>
    </row>
    <row r="99">
      <c r="A99" s="39" t="str">
        <f>IFERROR(__xludf.DUMMYFUNCTION("""COMPUTED_VALUE"""),"Colombia")</f>
        <v>Colombia</v>
      </c>
      <c r="B99" s="40">
        <f>IFERROR(__xludf.DUMMYFUNCTION("""COMPUTED_VALUE"""),42681.0)</f>
        <v>42681</v>
      </c>
      <c r="C99" s="41">
        <f>IFERROR(__xludf.DUMMYFUNCTION("""COMPUTED_VALUE"""),42687.0)</f>
        <v>42687</v>
      </c>
      <c r="D99" s="39">
        <f>IFERROR(__xludf.DUMMYFUNCTION("""COMPUTED_VALUE"""),45.0)</f>
        <v>45</v>
      </c>
      <c r="E99" s="39">
        <f>IFERROR(__xludf.DUMMYFUNCTION("""COMPUTED_VALUE"""),4173.0)</f>
        <v>4173</v>
      </c>
    </row>
    <row r="100">
      <c r="A100" s="39" t="str">
        <f>IFERROR(__xludf.DUMMYFUNCTION("""COMPUTED_VALUE"""),"Colombia")</f>
        <v>Colombia</v>
      </c>
      <c r="B100" s="40">
        <f>IFERROR(__xludf.DUMMYFUNCTION("""COMPUTED_VALUE"""),42688.0)</f>
        <v>42688</v>
      </c>
      <c r="C100" s="41">
        <f>IFERROR(__xludf.DUMMYFUNCTION("""COMPUTED_VALUE"""),42694.0)</f>
        <v>42694</v>
      </c>
      <c r="D100" s="39">
        <f>IFERROR(__xludf.DUMMYFUNCTION("""COMPUTED_VALUE"""),46.0)</f>
        <v>46</v>
      </c>
      <c r="E100" s="39">
        <f>IFERROR(__xludf.DUMMYFUNCTION("""COMPUTED_VALUE"""),4139.0)</f>
        <v>4139</v>
      </c>
    </row>
    <row r="101">
      <c r="A101" s="39" t="str">
        <f>IFERROR(__xludf.DUMMYFUNCTION("""COMPUTED_VALUE"""),"Colombia")</f>
        <v>Colombia</v>
      </c>
      <c r="B101" s="40">
        <f>IFERROR(__xludf.DUMMYFUNCTION("""COMPUTED_VALUE"""),42695.0)</f>
        <v>42695</v>
      </c>
      <c r="C101" s="41">
        <f>IFERROR(__xludf.DUMMYFUNCTION("""COMPUTED_VALUE"""),42701.0)</f>
        <v>42701</v>
      </c>
      <c r="D101" s="39">
        <f>IFERROR(__xludf.DUMMYFUNCTION("""COMPUTED_VALUE"""),47.0)</f>
        <v>47</v>
      </c>
      <c r="E101" s="39">
        <f>IFERROR(__xludf.DUMMYFUNCTION("""COMPUTED_VALUE"""),4263.0)</f>
        <v>4263</v>
      </c>
    </row>
    <row r="102">
      <c r="A102" s="39" t="str">
        <f>IFERROR(__xludf.DUMMYFUNCTION("""COMPUTED_VALUE"""),"Colombia")</f>
        <v>Colombia</v>
      </c>
      <c r="B102" s="40">
        <f>IFERROR(__xludf.DUMMYFUNCTION("""COMPUTED_VALUE"""),42702.0)</f>
        <v>42702</v>
      </c>
      <c r="C102" s="41">
        <f>IFERROR(__xludf.DUMMYFUNCTION("""COMPUTED_VALUE"""),42708.0)</f>
        <v>42708</v>
      </c>
      <c r="D102" s="39">
        <f>IFERROR(__xludf.DUMMYFUNCTION("""COMPUTED_VALUE"""),48.0)</f>
        <v>48</v>
      </c>
      <c r="E102" s="39">
        <f>IFERROR(__xludf.DUMMYFUNCTION("""COMPUTED_VALUE"""),4269.0)</f>
        <v>4269</v>
      </c>
    </row>
    <row r="103">
      <c r="A103" s="39" t="str">
        <f>IFERROR(__xludf.DUMMYFUNCTION("""COMPUTED_VALUE"""),"Colombia")</f>
        <v>Colombia</v>
      </c>
      <c r="B103" s="40">
        <f>IFERROR(__xludf.DUMMYFUNCTION("""COMPUTED_VALUE"""),42709.0)</f>
        <v>42709</v>
      </c>
      <c r="C103" s="41">
        <f>IFERROR(__xludf.DUMMYFUNCTION("""COMPUTED_VALUE"""),42715.0)</f>
        <v>42715</v>
      </c>
      <c r="D103" s="39">
        <f>IFERROR(__xludf.DUMMYFUNCTION("""COMPUTED_VALUE"""),49.0)</f>
        <v>49</v>
      </c>
      <c r="E103" s="39">
        <f>IFERROR(__xludf.DUMMYFUNCTION("""COMPUTED_VALUE"""),4455.0)</f>
        <v>4455</v>
      </c>
    </row>
    <row r="104">
      <c r="A104" s="39" t="str">
        <f>IFERROR(__xludf.DUMMYFUNCTION("""COMPUTED_VALUE"""),"Colombia")</f>
        <v>Colombia</v>
      </c>
      <c r="B104" s="40">
        <f>IFERROR(__xludf.DUMMYFUNCTION("""COMPUTED_VALUE"""),42716.0)</f>
        <v>42716</v>
      </c>
      <c r="C104" s="41">
        <f>IFERROR(__xludf.DUMMYFUNCTION("""COMPUTED_VALUE"""),42722.0)</f>
        <v>42722</v>
      </c>
      <c r="D104" s="39">
        <f>IFERROR(__xludf.DUMMYFUNCTION("""COMPUTED_VALUE"""),50.0)</f>
        <v>50</v>
      </c>
      <c r="E104" s="39">
        <f>IFERROR(__xludf.DUMMYFUNCTION("""COMPUTED_VALUE"""),4590.0)</f>
        <v>4590</v>
      </c>
    </row>
    <row r="105">
      <c r="A105" s="39" t="str">
        <f>IFERROR(__xludf.DUMMYFUNCTION("""COMPUTED_VALUE"""),"Colombia")</f>
        <v>Colombia</v>
      </c>
      <c r="B105" s="40">
        <f>IFERROR(__xludf.DUMMYFUNCTION("""COMPUTED_VALUE"""),42723.0)</f>
        <v>42723</v>
      </c>
      <c r="C105" s="41">
        <f>IFERROR(__xludf.DUMMYFUNCTION("""COMPUTED_VALUE"""),42729.0)</f>
        <v>42729</v>
      </c>
      <c r="D105" s="39">
        <f>IFERROR(__xludf.DUMMYFUNCTION("""COMPUTED_VALUE"""),51.0)</f>
        <v>51</v>
      </c>
      <c r="E105" s="39">
        <f>IFERROR(__xludf.DUMMYFUNCTION("""COMPUTED_VALUE"""),4586.0)</f>
        <v>4586</v>
      </c>
    </row>
    <row r="106">
      <c r="A106" s="39" t="str">
        <f>IFERROR(__xludf.DUMMYFUNCTION("""COMPUTED_VALUE"""),"Colombia")</f>
        <v>Colombia</v>
      </c>
      <c r="B106" s="40">
        <f>IFERROR(__xludf.DUMMYFUNCTION("""COMPUTED_VALUE"""),42730.0)</f>
        <v>42730</v>
      </c>
      <c r="C106" s="41">
        <f>IFERROR(__xludf.DUMMYFUNCTION("""COMPUTED_VALUE"""),42736.0)</f>
        <v>42736</v>
      </c>
      <c r="D106" s="39">
        <f>IFERROR(__xludf.DUMMYFUNCTION("""COMPUTED_VALUE"""),52.0)</f>
        <v>52</v>
      </c>
      <c r="E106" s="39">
        <f>IFERROR(__xludf.DUMMYFUNCTION("""COMPUTED_VALUE"""),4804.0)</f>
        <v>4804</v>
      </c>
    </row>
    <row r="107">
      <c r="A107" s="39" t="str">
        <f>IFERROR(__xludf.DUMMYFUNCTION("""COMPUTED_VALUE"""),"Colombia")</f>
        <v>Colombia</v>
      </c>
      <c r="B107" s="40">
        <f>IFERROR(__xludf.DUMMYFUNCTION("""COMPUTED_VALUE"""),42737.0)</f>
        <v>42737</v>
      </c>
      <c r="C107" s="41">
        <f>IFERROR(__xludf.DUMMYFUNCTION("""COMPUTED_VALUE"""),42743.0)</f>
        <v>42743</v>
      </c>
      <c r="D107" s="39">
        <f>IFERROR(__xludf.DUMMYFUNCTION("""COMPUTED_VALUE"""),1.0)</f>
        <v>1</v>
      </c>
      <c r="E107" s="39">
        <f>IFERROR(__xludf.DUMMYFUNCTION("""COMPUTED_VALUE"""),4755.0)</f>
        <v>4755</v>
      </c>
    </row>
    <row r="108">
      <c r="A108" s="39" t="str">
        <f>IFERROR(__xludf.DUMMYFUNCTION("""COMPUTED_VALUE"""),"Colombia")</f>
        <v>Colombia</v>
      </c>
      <c r="B108" s="40">
        <f>IFERROR(__xludf.DUMMYFUNCTION("""COMPUTED_VALUE"""),42744.0)</f>
        <v>42744</v>
      </c>
      <c r="C108" s="41">
        <f>IFERROR(__xludf.DUMMYFUNCTION("""COMPUTED_VALUE"""),42750.0)</f>
        <v>42750</v>
      </c>
      <c r="D108" s="39">
        <f>IFERROR(__xludf.DUMMYFUNCTION("""COMPUTED_VALUE"""),2.0)</f>
        <v>2</v>
      </c>
      <c r="E108" s="39">
        <f>IFERROR(__xludf.DUMMYFUNCTION("""COMPUTED_VALUE"""),4756.0)</f>
        <v>4756</v>
      </c>
    </row>
    <row r="109">
      <c r="A109" s="39" t="str">
        <f>IFERROR(__xludf.DUMMYFUNCTION("""COMPUTED_VALUE"""),"Colombia")</f>
        <v>Colombia</v>
      </c>
      <c r="B109" s="40">
        <f>IFERROR(__xludf.DUMMYFUNCTION("""COMPUTED_VALUE"""),42751.0)</f>
        <v>42751</v>
      </c>
      <c r="C109" s="41">
        <f>IFERROR(__xludf.DUMMYFUNCTION("""COMPUTED_VALUE"""),42757.0)</f>
        <v>42757</v>
      </c>
      <c r="D109" s="39">
        <f>IFERROR(__xludf.DUMMYFUNCTION("""COMPUTED_VALUE"""),3.0)</f>
        <v>3</v>
      </c>
      <c r="E109" s="39">
        <f>IFERROR(__xludf.DUMMYFUNCTION("""COMPUTED_VALUE"""),4635.0)</f>
        <v>4635</v>
      </c>
    </row>
    <row r="110">
      <c r="A110" s="39" t="str">
        <f>IFERROR(__xludf.DUMMYFUNCTION("""COMPUTED_VALUE"""),"Colombia")</f>
        <v>Colombia</v>
      </c>
      <c r="B110" s="40">
        <f>IFERROR(__xludf.DUMMYFUNCTION("""COMPUTED_VALUE"""),42758.0)</f>
        <v>42758</v>
      </c>
      <c r="C110" s="41">
        <f>IFERROR(__xludf.DUMMYFUNCTION("""COMPUTED_VALUE"""),42764.0)</f>
        <v>42764</v>
      </c>
      <c r="D110" s="39">
        <f>IFERROR(__xludf.DUMMYFUNCTION("""COMPUTED_VALUE"""),4.0)</f>
        <v>4</v>
      </c>
      <c r="E110" s="39">
        <f>IFERROR(__xludf.DUMMYFUNCTION("""COMPUTED_VALUE"""),4574.0)</f>
        <v>4574</v>
      </c>
    </row>
    <row r="111">
      <c r="A111" s="39" t="str">
        <f>IFERROR(__xludf.DUMMYFUNCTION("""COMPUTED_VALUE"""),"Colombia")</f>
        <v>Colombia</v>
      </c>
      <c r="B111" s="40">
        <f>IFERROR(__xludf.DUMMYFUNCTION("""COMPUTED_VALUE"""),42765.0)</f>
        <v>42765</v>
      </c>
      <c r="C111" s="41">
        <f>IFERROR(__xludf.DUMMYFUNCTION("""COMPUTED_VALUE"""),42771.0)</f>
        <v>42771</v>
      </c>
      <c r="D111" s="39">
        <f>IFERROR(__xludf.DUMMYFUNCTION("""COMPUTED_VALUE"""),5.0)</f>
        <v>5</v>
      </c>
      <c r="E111" s="39">
        <f>IFERROR(__xludf.DUMMYFUNCTION("""COMPUTED_VALUE"""),4392.0)</f>
        <v>4392</v>
      </c>
    </row>
    <row r="112">
      <c r="A112" s="39" t="str">
        <f>IFERROR(__xludf.DUMMYFUNCTION("""COMPUTED_VALUE"""),"Colombia")</f>
        <v>Colombia</v>
      </c>
      <c r="B112" s="40">
        <f>IFERROR(__xludf.DUMMYFUNCTION("""COMPUTED_VALUE"""),42772.0)</f>
        <v>42772</v>
      </c>
      <c r="C112" s="41">
        <f>IFERROR(__xludf.DUMMYFUNCTION("""COMPUTED_VALUE"""),42778.0)</f>
        <v>42778</v>
      </c>
      <c r="D112" s="39">
        <f>IFERROR(__xludf.DUMMYFUNCTION("""COMPUTED_VALUE"""),6.0)</f>
        <v>6</v>
      </c>
      <c r="E112" s="39">
        <f>IFERROR(__xludf.DUMMYFUNCTION("""COMPUTED_VALUE"""),4402.0)</f>
        <v>4402</v>
      </c>
    </row>
    <row r="113">
      <c r="A113" s="39" t="str">
        <f>IFERROR(__xludf.DUMMYFUNCTION("""COMPUTED_VALUE"""),"Colombia")</f>
        <v>Colombia</v>
      </c>
      <c r="B113" s="40">
        <f>IFERROR(__xludf.DUMMYFUNCTION("""COMPUTED_VALUE"""),42779.0)</f>
        <v>42779</v>
      </c>
      <c r="C113" s="41">
        <f>IFERROR(__xludf.DUMMYFUNCTION("""COMPUTED_VALUE"""),42785.0)</f>
        <v>42785</v>
      </c>
      <c r="D113" s="39">
        <f>IFERROR(__xludf.DUMMYFUNCTION("""COMPUTED_VALUE"""),7.0)</f>
        <v>7</v>
      </c>
      <c r="E113" s="39">
        <f>IFERROR(__xludf.DUMMYFUNCTION("""COMPUTED_VALUE"""),4231.0)</f>
        <v>4231</v>
      </c>
    </row>
    <row r="114">
      <c r="A114" s="39" t="str">
        <f>IFERROR(__xludf.DUMMYFUNCTION("""COMPUTED_VALUE"""),"Colombia")</f>
        <v>Colombia</v>
      </c>
      <c r="B114" s="40">
        <f>IFERROR(__xludf.DUMMYFUNCTION("""COMPUTED_VALUE"""),42786.0)</f>
        <v>42786</v>
      </c>
      <c r="C114" s="41">
        <f>IFERROR(__xludf.DUMMYFUNCTION("""COMPUTED_VALUE"""),42792.0)</f>
        <v>42792</v>
      </c>
      <c r="D114" s="39">
        <f>IFERROR(__xludf.DUMMYFUNCTION("""COMPUTED_VALUE"""),8.0)</f>
        <v>8</v>
      </c>
      <c r="E114" s="39">
        <f>IFERROR(__xludf.DUMMYFUNCTION("""COMPUTED_VALUE"""),4199.0)</f>
        <v>4199</v>
      </c>
    </row>
    <row r="115">
      <c r="A115" s="39" t="str">
        <f>IFERROR(__xludf.DUMMYFUNCTION("""COMPUTED_VALUE"""),"Colombia")</f>
        <v>Colombia</v>
      </c>
      <c r="B115" s="40">
        <f>IFERROR(__xludf.DUMMYFUNCTION("""COMPUTED_VALUE"""),42793.0)</f>
        <v>42793</v>
      </c>
      <c r="C115" s="41">
        <f>IFERROR(__xludf.DUMMYFUNCTION("""COMPUTED_VALUE"""),42799.0)</f>
        <v>42799</v>
      </c>
      <c r="D115" s="39">
        <f>IFERROR(__xludf.DUMMYFUNCTION("""COMPUTED_VALUE"""),9.0)</f>
        <v>9</v>
      </c>
      <c r="E115" s="39">
        <f>IFERROR(__xludf.DUMMYFUNCTION("""COMPUTED_VALUE"""),4173.0)</f>
        <v>4173</v>
      </c>
    </row>
    <row r="116">
      <c r="A116" s="39" t="str">
        <f>IFERROR(__xludf.DUMMYFUNCTION("""COMPUTED_VALUE"""),"Colombia")</f>
        <v>Colombia</v>
      </c>
      <c r="B116" s="40">
        <f>IFERROR(__xludf.DUMMYFUNCTION("""COMPUTED_VALUE"""),42800.0)</f>
        <v>42800</v>
      </c>
      <c r="C116" s="41">
        <f>IFERROR(__xludf.DUMMYFUNCTION("""COMPUTED_VALUE"""),42806.0)</f>
        <v>42806</v>
      </c>
      <c r="D116" s="39">
        <f>IFERROR(__xludf.DUMMYFUNCTION("""COMPUTED_VALUE"""),10.0)</f>
        <v>10</v>
      </c>
      <c r="E116" s="39">
        <f>IFERROR(__xludf.DUMMYFUNCTION("""COMPUTED_VALUE"""),4244.0)</f>
        <v>4244</v>
      </c>
    </row>
    <row r="117">
      <c r="A117" s="39" t="str">
        <f>IFERROR(__xludf.DUMMYFUNCTION("""COMPUTED_VALUE"""),"Colombia")</f>
        <v>Colombia</v>
      </c>
      <c r="B117" s="40">
        <f>IFERROR(__xludf.DUMMYFUNCTION("""COMPUTED_VALUE"""),42807.0)</f>
        <v>42807</v>
      </c>
      <c r="C117" s="41">
        <f>IFERROR(__xludf.DUMMYFUNCTION("""COMPUTED_VALUE"""),42813.0)</f>
        <v>42813</v>
      </c>
      <c r="D117" s="39">
        <f>IFERROR(__xludf.DUMMYFUNCTION("""COMPUTED_VALUE"""),11.0)</f>
        <v>11</v>
      </c>
      <c r="E117" s="39">
        <f>IFERROR(__xludf.DUMMYFUNCTION("""COMPUTED_VALUE"""),4156.0)</f>
        <v>4156</v>
      </c>
    </row>
    <row r="118">
      <c r="A118" s="39" t="str">
        <f>IFERROR(__xludf.DUMMYFUNCTION("""COMPUTED_VALUE"""),"Colombia")</f>
        <v>Colombia</v>
      </c>
      <c r="B118" s="40">
        <f>IFERROR(__xludf.DUMMYFUNCTION("""COMPUTED_VALUE"""),42814.0)</f>
        <v>42814</v>
      </c>
      <c r="C118" s="41">
        <f>IFERROR(__xludf.DUMMYFUNCTION("""COMPUTED_VALUE"""),42820.0)</f>
        <v>42820</v>
      </c>
      <c r="D118" s="39">
        <f>IFERROR(__xludf.DUMMYFUNCTION("""COMPUTED_VALUE"""),12.0)</f>
        <v>12</v>
      </c>
      <c r="E118" s="39">
        <f>IFERROR(__xludf.DUMMYFUNCTION("""COMPUTED_VALUE"""),4165.0)</f>
        <v>4165</v>
      </c>
    </row>
    <row r="119">
      <c r="A119" s="39" t="str">
        <f>IFERROR(__xludf.DUMMYFUNCTION("""COMPUTED_VALUE"""),"Colombia")</f>
        <v>Colombia</v>
      </c>
      <c r="B119" s="40">
        <f>IFERROR(__xludf.DUMMYFUNCTION("""COMPUTED_VALUE"""),42821.0)</f>
        <v>42821</v>
      </c>
      <c r="C119" s="41">
        <f>IFERROR(__xludf.DUMMYFUNCTION("""COMPUTED_VALUE"""),42827.0)</f>
        <v>42827</v>
      </c>
      <c r="D119" s="39">
        <f>IFERROR(__xludf.DUMMYFUNCTION("""COMPUTED_VALUE"""),13.0)</f>
        <v>13</v>
      </c>
      <c r="E119" s="39">
        <f>IFERROR(__xludf.DUMMYFUNCTION("""COMPUTED_VALUE"""),4539.0)</f>
        <v>4539</v>
      </c>
    </row>
    <row r="120">
      <c r="A120" s="39" t="str">
        <f>IFERROR(__xludf.DUMMYFUNCTION("""COMPUTED_VALUE"""),"Colombia")</f>
        <v>Colombia</v>
      </c>
      <c r="B120" s="40">
        <f>IFERROR(__xludf.DUMMYFUNCTION("""COMPUTED_VALUE"""),42828.0)</f>
        <v>42828</v>
      </c>
      <c r="C120" s="41">
        <f>IFERROR(__xludf.DUMMYFUNCTION("""COMPUTED_VALUE"""),42834.0)</f>
        <v>42834</v>
      </c>
      <c r="D120" s="39">
        <f>IFERROR(__xludf.DUMMYFUNCTION("""COMPUTED_VALUE"""),14.0)</f>
        <v>14</v>
      </c>
      <c r="E120" s="39">
        <f>IFERROR(__xludf.DUMMYFUNCTION("""COMPUTED_VALUE"""),4355.0)</f>
        <v>4355</v>
      </c>
    </row>
    <row r="121">
      <c r="A121" s="39" t="str">
        <f>IFERROR(__xludf.DUMMYFUNCTION("""COMPUTED_VALUE"""),"Colombia")</f>
        <v>Colombia</v>
      </c>
      <c r="B121" s="40">
        <f>IFERROR(__xludf.DUMMYFUNCTION("""COMPUTED_VALUE"""),42835.0)</f>
        <v>42835</v>
      </c>
      <c r="C121" s="41">
        <f>IFERROR(__xludf.DUMMYFUNCTION("""COMPUTED_VALUE"""),42841.0)</f>
        <v>42841</v>
      </c>
      <c r="D121" s="39">
        <f>IFERROR(__xludf.DUMMYFUNCTION("""COMPUTED_VALUE"""),15.0)</f>
        <v>15</v>
      </c>
      <c r="E121" s="39">
        <f>IFERROR(__xludf.DUMMYFUNCTION("""COMPUTED_VALUE"""),4183.0)</f>
        <v>4183</v>
      </c>
    </row>
    <row r="122">
      <c r="A122" s="39" t="str">
        <f>IFERROR(__xludf.DUMMYFUNCTION("""COMPUTED_VALUE"""),"Colombia")</f>
        <v>Colombia</v>
      </c>
      <c r="B122" s="40">
        <f>IFERROR(__xludf.DUMMYFUNCTION("""COMPUTED_VALUE"""),42842.0)</f>
        <v>42842</v>
      </c>
      <c r="C122" s="41">
        <f>IFERROR(__xludf.DUMMYFUNCTION("""COMPUTED_VALUE"""),42848.0)</f>
        <v>42848</v>
      </c>
      <c r="D122" s="39">
        <f>IFERROR(__xludf.DUMMYFUNCTION("""COMPUTED_VALUE"""),16.0)</f>
        <v>16</v>
      </c>
      <c r="E122" s="39">
        <f>IFERROR(__xludf.DUMMYFUNCTION("""COMPUTED_VALUE"""),4271.0)</f>
        <v>4271</v>
      </c>
    </row>
    <row r="123">
      <c r="A123" s="39" t="str">
        <f>IFERROR(__xludf.DUMMYFUNCTION("""COMPUTED_VALUE"""),"Colombia")</f>
        <v>Colombia</v>
      </c>
      <c r="B123" s="40">
        <f>IFERROR(__xludf.DUMMYFUNCTION("""COMPUTED_VALUE"""),42849.0)</f>
        <v>42849</v>
      </c>
      <c r="C123" s="41">
        <f>IFERROR(__xludf.DUMMYFUNCTION("""COMPUTED_VALUE"""),42855.0)</f>
        <v>42855</v>
      </c>
      <c r="D123" s="39">
        <f>IFERROR(__xludf.DUMMYFUNCTION("""COMPUTED_VALUE"""),17.0)</f>
        <v>17</v>
      </c>
      <c r="E123" s="39">
        <f>IFERROR(__xludf.DUMMYFUNCTION("""COMPUTED_VALUE"""),4302.0)</f>
        <v>4302</v>
      </c>
    </row>
    <row r="124">
      <c r="A124" s="39" t="str">
        <f>IFERROR(__xludf.DUMMYFUNCTION("""COMPUTED_VALUE"""),"Colombia")</f>
        <v>Colombia</v>
      </c>
      <c r="B124" s="40">
        <f>IFERROR(__xludf.DUMMYFUNCTION("""COMPUTED_VALUE"""),42856.0)</f>
        <v>42856</v>
      </c>
      <c r="C124" s="41">
        <f>IFERROR(__xludf.DUMMYFUNCTION("""COMPUTED_VALUE"""),42862.0)</f>
        <v>42862</v>
      </c>
      <c r="D124" s="39">
        <f>IFERROR(__xludf.DUMMYFUNCTION("""COMPUTED_VALUE"""),18.0)</f>
        <v>18</v>
      </c>
      <c r="E124" s="39">
        <f>IFERROR(__xludf.DUMMYFUNCTION("""COMPUTED_VALUE"""),4080.0)</f>
        <v>4080</v>
      </c>
    </row>
    <row r="125">
      <c r="A125" s="39" t="str">
        <f>IFERROR(__xludf.DUMMYFUNCTION("""COMPUTED_VALUE"""),"Colombia")</f>
        <v>Colombia</v>
      </c>
      <c r="B125" s="40">
        <f>IFERROR(__xludf.DUMMYFUNCTION("""COMPUTED_VALUE"""),42863.0)</f>
        <v>42863</v>
      </c>
      <c r="C125" s="41">
        <f>IFERROR(__xludf.DUMMYFUNCTION("""COMPUTED_VALUE"""),42869.0)</f>
        <v>42869</v>
      </c>
      <c r="D125" s="39">
        <f>IFERROR(__xludf.DUMMYFUNCTION("""COMPUTED_VALUE"""),19.0)</f>
        <v>19</v>
      </c>
      <c r="E125" s="39">
        <f>IFERROR(__xludf.DUMMYFUNCTION("""COMPUTED_VALUE"""),4196.0)</f>
        <v>4196</v>
      </c>
    </row>
    <row r="126">
      <c r="A126" s="39" t="str">
        <f>IFERROR(__xludf.DUMMYFUNCTION("""COMPUTED_VALUE"""),"Colombia")</f>
        <v>Colombia</v>
      </c>
      <c r="B126" s="40">
        <f>IFERROR(__xludf.DUMMYFUNCTION("""COMPUTED_VALUE"""),42870.0)</f>
        <v>42870</v>
      </c>
      <c r="C126" s="41">
        <f>IFERROR(__xludf.DUMMYFUNCTION("""COMPUTED_VALUE"""),42876.0)</f>
        <v>42876</v>
      </c>
      <c r="D126" s="39">
        <f>IFERROR(__xludf.DUMMYFUNCTION("""COMPUTED_VALUE"""),20.0)</f>
        <v>20</v>
      </c>
      <c r="E126" s="39">
        <f>IFERROR(__xludf.DUMMYFUNCTION("""COMPUTED_VALUE"""),4516.0)</f>
        <v>4516</v>
      </c>
    </row>
    <row r="127">
      <c r="A127" s="39" t="str">
        <f>IFERROR(__xludf.DUMMYFUNCTION("""COMPUTED_VALUE"""),"Colombia")</f>
        <v>Colombia</v>
      </c>
      <c r="B127" s="40">
        <f>IFERROR(__xludf.DUMMYFUNCTION("""COMPUTED_VALUE"""),42877.0)</f>
        <v>42877</v>
      </c>
      <c r="C127" s="41">
        <f>IFERROR(__xludf.DUMMYFUNCTION("""COMPUTED_VALUE"""),42883.0)</f>
        <v>42883</v>
      </c>
      <c r="D127" s="39">
        <f>IFERROR(__xludf.DUMMYFUNCTION("""COMPUTED_VALUE"""),21.0)</f>
        <v>21</v>
      </c>
      <c r="E127" s="39">
        <f>IFERROR(__xludf.DUMMYFUNCTION("""COMPUTED_VALUE"""),4370.0)</f>
        <v>4370</v>
      </c>
    </row>
    <row r="128">
      <c r="A128" s="39" t="str">
        <f>IFERROR(__xludf.DUMMYFUNCTION("""COMPUTED_VALUE"""),"Colombia")</f>
        <v>Colombia</v>
      </c>
      <c r="B128" s="40">
        <f>IFERROR(__xludf.DUMMYFUNCTION("""COMPUTED_VALUE"""),42884.0)</f>
        <v>42884</v>
      </c>
      <c r="C128" s="41">
        <f>IFERROR(__xludf.DUMMYFUNCTION("""COMPUTED_VALUE"""),42890.0)</f>
        <v>42890</v>
      </c>
      <c r="D128" s="39">
        <f>IFERROR(__xludf.DUMMYFUNCTION("""COMPUTED_VALUE"""),22.0)</f>
        <v>22</v>
      </c>
      <c r="E128" s="39">
        <f>IFERROR(__xludf.DUMMYFUNCTION("""COMPUTED_VALUE"""),4500.0)</f>
        <v>4500</v>
      </c>
    </row>
    <row r="129">
      <c r="A129" s="39" t="str">
        <f>IFERROR(__xludf.DUMMYFUNCTION("""COMPUTED_VALUE"""),"Colombia")</f>
        <v>Colombia</v>
      </c>
      <c r="B129" s="40">
        <f>IFERROR(__xludf.DUMMYFUNCTION("""COMPUTED_VALUE"""),42891.0)</f>
        <v>42891</v>
      </c>
      <c r="C129" s="41">
        <f>IFERROR(__xludf.DUMMYFUNCTION("""COMPUTED_VALUE"""),42897.0)</f>
        <v>42897</v>
      </c>
      <c r="D129" s="39">
        <f>IFERROR(__xludf.DUMMYFUNCTION("""COMPUTED_VALUE"""),23.0)</f>
        <v>23</v>
      </c>
      <c r="E129" s="39">
        <f>IFERROR(__xludf.DUMMYFUNCTION("""COMPUTED_VALUE"""),4342.0)</f>
        <v>4342</v>
      </c>
    </row>
    <row r="130">
      <c r="A130" s="39" t="str">
        <f>IFERROR(__xludf.DUMMYFUNCTION("""COMPUTED_VALUE"""),"Colombia")</f>
        <v>Colombia</v>
      </c>
      <c r="B130" s="40">
        <f>IFERROR(__xludf.DUMMYFUNCTION("""COMPUTED_VALUE"""),42898.0)</f>
        <v>42898</v>
      </c>
      <c r="C130" s="41">
        <f>IFERROR(__xludf.DUMMYFUNCTION("""COMPUTED_VALUE"""),42904.0)</f>
        <v>42904</v>
      </c>
      <c r="D130" s="39">
        <f>IFERROR(__xludf.DUMMYFUNCTION("""COMPUTED_VALUE"""),24.0)</f>
        <v>24</v>
      </c>
      <c r="E130" s="39">
        <f>IFERROR(__xludf.DUMMYFUNCTION("""COMPUTED_VALUE"""),4339.0)</f>
        <v>4339</v>
      </c>
    </row>
    <row r="131">
      <c r="A131" s="39" t="str">
        <f>IFERROR(__xludf.DUMMYFUNCTION("""COMPUTED_VALUE"""),"Colombia")</f>
        <v>Colombia</v>
      </c>
      <c r="B131" s="40">
        <f>IFERROR(__xludf.DUMMYFUNCTION("""COMPUTED_VALUE"""),42905.0)</f>
        <v>42905</v>
      </c>
      <c r="C131" s="41">
        <f>IFERROR(__xludf.DUMMYFUNCTION("""COMPUTED_VALUE"""),42911.0)</f>
        <v>42911</v>
      </c>
      <c r="D131" s="39">
        <f>IFERROR(__xludf.DUMMYFUNCTION("""COMPUTED_VALUE"""),25.0)</f>
        <v>25</v>
      </c>
      <c r="E131" s="39">
        <f>IFERROR(__xludf.DUMMYFUNCTION("""COMPUTED_VALUE"""),4171.0)</f>
        <v>4171</v>
      </c>
    </row>
    <row r="132">
      <c r="A132" s="39" t="str">
        <f>IFERROR(__xludf.DUMMYFUNCTION("""COMPUTED_VALUE"""),"Colombia")</f>
        <v>Colombia</v>
      </c>
      <c r="B132" s="40">
        <f>IFERROR(__xludf.DUMMYFUNCTION("""COMPUTED_VALUE"""),42912.0)</f>
        <v>42912</v>
      </c>
      <c r="C132" s="41">
        <f>IFERROR(__xludf.DUMMYFUNCTION("""COMPUTED_VALUE"""),42918.0)</f>
        <v>42918</v>
      </c>
      <c r="D132" s="39">
        <f>IFERROR(__xludf.DUMMYFUNCTION("""COMPUTED_VALUE"""),26.0)</f>
        <v>26</v>
      </c>
      <c r="E132" s="39">
        <f>IFERROR(__xludf.DUMMYFUNCTION("""COMPUTED_VALUE"""),4412.0)</f>
        <v>4412</v>
      </c>
    </row>
    <row r="133">
      <c r="A133" s="39" t="str">
        <f>IFERROR(__xludf.DUMMYFUNCTION("""COMPUTED_VALUE"""),"Colombia")</f>
        <v>Colombia</v>
      </c>
      <c r="B133" s="40">
        <f>IFERROR(__xludf.DUMMYFUNCTION("""COMPUTED_VALUE"""),42919.0)</f>
        <v>42919</v>
      </c>
      <c r="C133" s="41">
        <f>IFERROR(__xludf.DUMMYFUNCTION("""COMPUTED_VALUE"""),42925.0)</f>
        <v>42925</v>
      </c>
      <c r="D133" s="39">
        <f>IFERROR(__xludf.DUMMYFUNCTION("""COMPUTED_VALUE"""),27.0)</f>
        <v>27</v>
      </c>
      <c r="E133" s="39">
        <f>IFERROR(__xludf.DUMMYFUNCTION("""COMPUTED_VALUE"""),4418.0)</f>
        <v>4418</v>
      </c>
    </row>
    <row r="134">
      <c r="A134" s="39" t="str">
        <f>IFERROR(__xludf.DUMMYFUNCTION("""COMPUTED_VALUE"""),"Colombia")</f>
        <v>Colombia</v>
      </c>
      <c r="B134" s="40">
        <f>IFERROR(__xludf.DUMMYFUNCTION("""COMPUTED_VALUE"""),42926.0)</f>
        <v>42926</v>
      </c>
      <c r="C134" s="41">
        <f>IFERROR(__xludf.DUMMYFUNCTION("""COMPUTED_VALUE"""),42932.0)</f>
        <v>42932</v>
      </c>
      <c r="D134" s="39">
        <f>IFERROR(__xludf.DUMMYFUNCTION("""COMPUTED_VALUE"""),28.0)</f>
        <v>28</v>
      </c>
      <c r="E134" s="39">
        <f>IFERROR(__xludf.DUMMYFUNCTION("""COMPUTED_VALUE"""),4400.0)</f>
        <v>4400</v>
      </c>
    </row>
    <row r="135">
      <c r="A135" s="39" t="str">
        <f>IFERROR(__xludf.DUMMYFUNCTION("""COMPUTED_VALUE"""),"Colombia")</f>
        <v>Colombia</v>
      </c>
      <c r="B135" s="40">
        <f>IFERROR(__xludf.DUMMYFUNCTION("""COMPUTED_VALUE"""),42933.0)</f>
        <v>42933</v>
      </c>
      <c r="C135" s="41">
        <f>IFERROR(__xludf.DUMMYFUNCTION("""COMPUTED_VALUE"""),42939.0)</f>
        <v>42939</v>
      </c>
      <c r="D135" s="39">
        <f>IFERROR(__xludf.DUMMYFUNCTION("""COMPUTED_VALUE"""),29.0)</f>
        <v>29</v>
      </c>
      <c r="E135" s="39">
        <f>IFERROR(__xludf.DUMMYFUNCTION("""COMPUTED_VALUE"""),4339.0)</f>
        <v>4339</v>
      </c>
    </row>
    <row r="136">
      <c r="A136" s="39" t="str">
        <f>IFERROR(__xludf.DUMMYFUNCTION("""COMPUTED_VALUE"""),"Colombia")</f>
        <v>Colombia</v>
      </c>
      <c r="B136" s="40">
        <f>IFERROR(__xludf.DUMMYFUNCTION("""COMPUTED_VALUE"""),42940.0)</f>
        <v>42940</v>
      </c>
      <c r="C136" s="41">
        <f>IFERROR(__xludf.DUMMYFUNCTION("""COMPUTED_VALUE"""),42946.0)</f>
        <v>42946</v>
      </c>
      <c r="D136" s="39">
        <f>IFERROR(__xludf.DUMMYFUNCTION("""COMPUTED_VALUE"""),30.0)</f>
        <v>30</v>
      </c>
      <c r="E136" s="39">
        <f>IFERROR(__xludf.DUMMYFUNCTION("""COMPUTED_VALUE"""),4263.0)</f>
        <v>4263</v>
      </c>
    </row>
    <row r="137">
      <c r="A137" s="39" t="str">
        <f>IFERROR(__xludf.DUMMYFUNCTION("""COMPUTED_VALUE"""),"Colombia")</f>
        <v>Colombia</v>
      </c>
      <c r="B137" s="40">
        <f>IFERROR(__xludf.DUMMYFUNCTION("""COMPUTED_VALUE"""),42947.0)</f>
        <v>42947</v>
      </c>
      <c r="C137" s="41">
        <f>IFERROR(__xludf.DUMMYFUNCTION("""COMPUTED_VALUE"""),42953.0)</f>
        <v>42953</v>
      </c>
      <c r="D137" s="39">
        <f>IFERROR(__xludf.DUMMYFUNCTION("""COMPUTED_VALUE"""),31.0)</f>
        <v>31</v>
      </c>
      <c r="E137" s="39">
        <f>IFERROR(__xludf.DUMMYFUNCTION("""COMPUTED_VALUE"""),4390.0)</f>
        <v>4390</v>
      </c>
    </row>
    <row r="138">
      <c r="A138" s="39" t="str">
        <f>IFERROR(__xludf.DUMMYFUNCTION("""COMPUTED_VALUE"""),"Colombia")</f>
        <v>Colombia</v>
      </c>
      <c r="B138" s="40">
        <f>IFERROR(__xludf.DUMMYFUNCTION("""COMPUTED_VALUE"""),42954.0)</f>
        <v>42954</v>
      </c>
      <c r="C138" s="41">
        <f>IFERROR(__xludf.DUMMYFUNCTION("""COMPUTED_VALUE"""),42960.0)</f>
        <v>42960</v>
      </c>
      <c r="D138" s="39">
        <f>IFERROR(__xludf.DUMMYFUNCTION("""COMPUTED_VALUE"""),32.0)</f>
        <v>32</v>
      </c>
      <c r="E138" s="39">
        <f>IFERROR(__xludf.DUMMYFUNCTION("""COMPUTED_VALUE"""),4278.0)</f>
        <v>4278</v>
      </c>
    </row>
    <row r="139">
      <c r="A139" s="39" t="str">
        <f>IFERROR(__xludf.DUMMYFUNCTION("""COMPUTED_VALUE"""),"Colombia")</f>
        <v>Colombia</v>
      </c>
      <c r="B139" s="40">
        <f>IFERROR(__xludf.DUMMYFUNCTION("""COMPUTED_VALUE"""),42961.0)</f>
        <v>42961</v>
      </c>
      <c r="C139" s="41">
        <f>IFERROR(__xludf.DUMMYFUNCTION("""COMPUTED_VALUE"""),42967.0)</f>
        <v>42967</v>
      </c>
      <c r="D139" s="39">
        <f>IFERROR(__xludf.DUMMYFUNCTION("""COMPUTED_VALUE"""),33.0)</f>
        <v>33</v>
      </c>
      <c r="E139" s="39">
        <f>IFERROR(__xludf.DUMMYFUNCTION("""COMPUTED_VALUE"""),4389.0)</f>
        <v>4389</v>
      </c>
    </row>
    <row r="140">
      <c r="A140" s="39" t="str">
        <f>IFERROR(__xludf.DUMMYFUNCTION("""COMPUTED_VALUE"""),"Colombia")</f>
        <v>Colombia</v>
      </c>
      <c r="B140" s="40">
        <f>IFERROR(__xludf.DUMMYFUNCTION("""COMPUTED_VALUE"""),42968.0)</f>
        <v>42968</v>
      </c>
      <c r="C140" s="41">
        <f>IFERROR(__xludf.DUMMYFUNCTION("""COMPUTED_VALUE"""),42974.0)</f>
        <v>42974</v>
      </c>
      <c r="D140" s="39">
        <f>IFERROR(__xludf.DUMMYFUNCTION("""COMPUTED_VALUE"""),34.0)</f>
        <v>34</v>
      </c>
      <c r="E140" s="39">
        <f>IFERROR(__xludf.DUMMYFUNCTION("""COMPUTED_VALUE"""),4234.0)</f>
        <v>4234</v>
      </c>
    </row>
    <row r="141">
      <c r="A141" s="39" t="str">
        <f>IFERROR(__xludf.DUMMYFUNCTION("""COMPUTED_VALUE"""),"Colombia")</f>
        <v>Colombia</v>
      </c>
      <c r="B141" s="40">
        <f>IFERROR(__xludf.DUMMYFUNCTION("""COMPUTED_VALUE"""),42975.0)</f>
        <v>42975</v>
      </c>
      <c r="C141" s="41">
        <f>IFERROR(__xludf.DUMMYFUNCTION("""COMPUTED_VALUE"""),42981.0)</f>
        <v>42981</v>
      </c>
      <c r="D141" s="39">
        <f>IFERROR(__xludf.DUMMYFUNCTION("""COMPUTED_VALUE"""),35.0)</f>
        <v>35</v>
      </c>
      <c r="E141" s="39">
        <f>IFERROR(__xludf.DUMMYFUNCTION("""COMPUTED_VALUE"""),4253.0)</f>
        <v>4253</v>
      </c>
    </row>
    <row r="142">
      <c r="A142" s="39" t="str">
        <f>IFERROR(__xludf.DUMMYFUNCTION("""COMPUTED_VALUE"""),"Colombia")</f>
        <v>Colombia</v>
      </c>
      <c r="B142" s="40">
        <f>IFERROR(__xludf.DUMMYFUNCTION("""COMPUTED_VALUE"""),42982.0)</f>
        <v>42982</v>
      </c>
      <c r="C142" s="41">
        <f>IFERROR(__xludf.DUMMYFUNCTION("""COMPUTED_VALUE"""),42988.0)</f>
        <v>42988</v>
      </c>
      <c r="D142" s="39">
        <f>IFERROR(__xludf.DUMMYFUNCTION("""COMPUTED_VALUE"""),36.0)</f>
        <v>36</v>
      </c>
      <c r="E142" s="39">
        <f>IFERROR(__xludf.DUMMYFUNCTION("""COMPUTED_VALUE"""),4256.0)</f>
        <v>4256</v>
      </c>
    </row>
    <row r="143">
      <c r="A143" s="39" t="str">
        <f>IFERROR(__xludf.DUMMYFUNCTION("""COMPUTED_VALUE"""),"Colombia")</f>
        <v>Colombia</v>
      </c>
      <c r="B143" s="40">
        <f>IFERROR(__xludf.DUMMYFUNCTION("""COMPUTED_VALUE"""),42989.0)</f>
        <v>42989</v>
      </c>
      <c r="C143" s="41">
        <f>IFERROR(__xludf.DUMMYFUNCTION("""COMPUTED_VALUE"""),42995.0)</f>
        <v>42995</v>
      </c>
      <c r="D143" s="39">
        <f>IFERROR(__xludf.DUMMYFUNCTION("""COMPUTED_VALUE"""),37.0)</f>
        <v>37</v>
      </c>
      <c r="E143" s="39">
        <f>IFERROR(__xludf.DUMMYFUNCTION("""COMPUTED_VALUE"""),4373.0)</f>
        <v>4373</v>
      </c>
    </row>
    <row r="144">
      <c r="A144" s="39" t="str">
        <f>IFERROR(__xludf.DUMMYFUNCTION("""COMPUTED_VALUE"""),"Colombia")</f>
        <v>Colombia</v>
      </c>
      <c r="B144" s="40">
        <f>IFERROR(__xludf.DUMMYFUNCTION("""COMPUTED_VALUE"""),42996.0)</f>
        <v>42996</v>
      </c>
      <c r="C144" s="41">
        <f>IFERROR(__xludf.DUMMYFUNCTION("""COMPUTED_VALUE"""),43002.0)</f>
        <v>43002</v>
      </c>
      <c r="D144" s="39">
        <f>IFERROR(__xludf.DUMMYFUNCTION("""COMPUTED_VALUE"""),38.0)</f>
        <v>38</v>
      </c>
      <c r="E144" s="39">
        <f>IFERROR(__xludf.DUMMYFUNCTION("""COMPUTED_VALUE"""),4387.0)</f>
        <v>4387</v>
      </c>
    </row>
    <row r="145">
      <c r="A145" s="39" t="str">
        <f>IFERROR(__xludf.DUMMYFUNCTION("""COMPUTED_VALUE"""),"Colombia")</f>
        <v>Colombia</v>
      </c>
      <c r="B145" s="40">
        <f>IFERROR(__xludf.DUMMYFUNCTION("""COMPUTED_VALUE"""),43003.0)</f>
        <v>43003</v>
      </c>
      <c r="C145" s="41">
        <f>IFERROR(__xludf.DUMMYFUNCTION("""COMPUTED_VALUE"""),43009.0)</f>
        <v>43009</v>
      </c>
      <c r="D145" s="39">
        <f>IFERROR(__xludf.DUMMYFUNCTION("""COMPUTED_VALUE"""),39.0)</f>
        <v>39</v>
      </c>
      <c r="E145" s="39">
        <f>IFERROR(__xludf.DUMMYFUNCTION("""COMPUTED_VALUE"""),4290.0)</f>
        <v>4290</v>
      </c>
    </row>
    <row r="146">
      <c r="A146" s="39" t="str">
        <f>IFERROR(__xludf.DUMMYFUNCTION("""COMPUTED_VALUE"""),"Colombia")</f>
        <v>Colombia</v>
      </c>
      <c r="B146" s="40">
        <f>IFERROR(__xludf.DUMMYFUNCTION("""COMPUTED_VALUE"""),43010.0)</f>
        <v>43010</v>
      </c>
      <c r="C146" s="41">
        <f>IFERROR(__xludf.DUMMYFUNCTION("""COMPUTED_VALUE"""),43016.0)</f>
        <v>43016</v>
      </c>
      <c r="D146" s="39">
        <f>IFERROR(__xludf.DUMMYFUNCTION("""COMPUTED_VALUE"""),40.0)</f>
        <v>40</v>
      </c>
      <c r="E146" s="39">
        <f>IFERROR(__xludf.DUMMYFUNCTION("""COMPUTED_VALUE"""),4317.0)</f>
        <v>4317</v>
      </c>
    </row>
    <row r="147">
      <c r="A147" s="39" t="str">
        <f>IFERROR(__xludf.DUMMYFUNCTION("""COMPUTED_VALUE"""),"Colombia")</f>
        <v>Colombia</v>
      </c>
      <c r="B147" s="40">
        <f>IFERROR(__xludf.DUMMYFUNCTION("""COMPUTED_VALUE"""),43017.0)</f>
        <v>43017</v>
      </c>
      <c r="C147" s="41">
        <f>IFERROR(__xludf.DUMMYFUNCTION("""COMPUTED_VALUE"""),43023.0)</f>
        <v>43023</v>
      </c>
      <c r="D147" s="39">
        <f>IFERROR(__xludf.DUMMYFUNCTION("""COMPUTED_VALUE"""),41.0)</f>
        <v>41</v>
      </c>
      <c r="E147" s="39">
        <f>IFERROR(__xludf.DUMMYFUNCTION("""COMPUTED_VALUE"""),4402.0)</f>
        <v>4402</v>
      </c>
    </row>
    <row r="148">
      <c r="A148" s="39" t="str">
        <f>IFERROR(__xludf.DUMMYFUNCTION("""COMPUTED_VALUE"""),"Colombia")</f>
        <v>Colombia</v>
      </c>
      <c r="B148" s="40">
        <f>IFERROR(__xludf.DUMMYFUNCTION("""COMPUTED_VALUE"""),43024.0)</f>
        <v>43024</v>
      </c>
      <c r="C148" s="41">
        <f>IFERROR(__xludf.DUMMYFUNCTION("""COMPUTED_VALUE"""),43030.0)</f>
        <v>43030</v>
      </c>
      <c r="D148" s="39">
        <f>IFERROR(__xludf.DUMMYFUNCTION("""COMPUTED_VALUE"""),42.0)</f>
        <v>42</v>
      </c>
      <c r="E148" s="39">
        <f>IFERROR(__xludf.DUMMYFUNCTION("""COMPUTED_VALUE"""),4454.0)</f>
        <v>4454</v>
      </c>
    </row>
    <row r="149">
      <c r="A149" s="39" t="str">
        <f>IFERROR(__xludf.DUMMYFUNCTION("""COMPUTED_VALUE"""),"Colombia")</f>
        <v>Colombia</v>
      </c>
      <c r="B149" s="40">
        <f>IFERROR(__xludf.DUMMYFUNCTION("""COMPUTED_VALUE"""),43031.0)</f>
        <v>43031</v>
      </c>
      <c r="C149" s="41">
        <f>IFERROR(__xludf.DUMMYFUNCTION("""COMPUTED_VALUE"""),43037.0)</f>
        <v>43037</v>
      </c>
      <c r="D149" s="39">
        <f>IFERROR(__xludf.DUMMYFUNCTION("""COMPUTED_VALUE"""),43.0)</f>
        <v>43</v>
      </c>
      <c r="E149" s="39">
        <f>IFERROR(__xludf.DUMMYFUNCTION("""COMPUTED_VALUE"""),4177.0)</f>
        <v>4177</v>
      </c>
    </row>
    <row r="150">
      <c r="A150" s="39" t="str">
        <f>IFERROR(__xludf.DUMMYFUNCTION("""COMPUTED_VALUE"""),"Colombia")</f>
        <v>Colombia</v>
      </c>
      <c r="B150" s="40">
        <f>IFERROR(__xludf.DUMMYFUNCTION("""COMPUTED_VALUE"""),43038.0)</f>
        <v>43038</v>
      </c>
      <c r="C150" s="41">
        <f>IFERROR(__xludf.DUMMYFUNCTION("""COMPUTED_VALUE"""),43044.0)</f>
        <v>43044</v>
      </c>
      <c r="D150" s="39">
        <f>IFERROR(__xludf.DUMMYFUNCTION("""COMPUTED_VALUE"""),44.0)</f>
        <v>44</v>
      </c>
      <c r="E150" s="39">
        <f>IFERROR(__xludf.DUMMYFUNCTION("""COMPUTED_VALUE"""),4310.0)</f>
        <v>4310</v>
      </c>
    </row>
    <row r="151">
      <c r="A151" s="39" t="str">
        <f>IFERROR(__xludf.DUMMYFUNCTION("""COMPUTED_VALUE"""),"Colombia")</f>
        <v>Colombia</v>
      </c>
      <c r="B151" s="40">
        <f>IFERROR(__xludf.DUMMYFUNCTION("""COMPUTED_VALUE"""),43045.0)</f>
        <v>43045</v>
      </c>
      <c r="C151" s="41">
        <f>IFERROR(__xludf.DUMMYFUNCTION("""COMPUTED_VALUE"""),43051.0)</f>
        <v>43051</v>
      </c>
      <c r="D151" s="39">
        <f>IFERROR(__xludf.DUMMYFUNCTION("""COMPUTED_VALUE"""),45.0)</f>
        <v>45</v>
      </c>
      <c r="E151" s="39">
        <f>IFERROR(__xludf.DUMMYFUNCTION("""COMPUTED_VALUE"""),4440.0)</f>
        <v>4440</v>
      </c>
    </row>
    <row r="152">
      <c r="A152" s="39" t="str">
        <f>IFERROR(__xludf.DUMMYFUNCTION("""COMPUTED_VALUE"""),"Colombia")</f>
        <v>Colombia</v>
      </c>
      <c r="B152" s="40">
        <f>IFERROR(__xludf.DUMMYFUNCTION("""COMPUTED_VALUE"""),43052.0)</f>
        <v>43052</v>
      </c>
      <c r="C152" s="41">
        <f>IFERROR(__xludf.DUMMYFUNCTION("""COMPUTED_VALUE"""),43058.0)</f>
        <v>43058</v>
      </c>
      <c r="D152" s="39">
        <f>IFERROR(__xludf.DUMMYFUNCTION("""COMPUTED_VALUE"""),46.0)</f>
        <v>46</v>
      </c>
      <c r="E152" s="39">
        <f>IFERROR(__xludf.DUMMYFUNCTION("""COMPUTED_VALUE"""),4239.0)</f>
        <v>4239</v>
      </c>
    </row>
    <row r="153">
      <c r="A153" s="39" t="str">
        <f>IFERROR(__xludf.DUMMYFUNCTION("""COMPUTED_VALUE"""),"Colombia")</f>
        <v>Colombia</v>
      </c>
      <c r="B153" s="40">
        <f>IFERROR(__xludf.DUMMYFUNCTION("""COMPUTED_VALUE"""),43059.0)</f>
        <v>43059</v>
      </c>
      <c r="C153" s="41">
        <f>IFERROR(__xludf.DUMMYFUNCTION("""COMPUTED_VALUE"""),43065.0)</f>
        <v>43065</v>
      </c>
      <c r="D153" s="39">
        <f>IFERROR(__xludf.DUMMYFUNCTION("""COMPUTED_VALUE"""),47.0)</f>
        <v>47</v>
      </c>
      <c r="E153" s="39">
        <f>IFERROR(__xludf.DUMMYFUNCTION("""COMPUTED_VALUE"""),4306.0)</f>
        <v>4306</v>
      </c>
    </row>
    <row r="154">
      <c r="A154" s="39" t="str">
        <f>IFERROR(__xludf.DUMMYFUNCTION("""COMPUTED_VALUE"""),"Colombia")</f>
        <v>Colombia</v>
      </c>
      <c r="B154" s="40">
        <f>IFERROR(__xludf.DUMMYFUNCTION("""COMPUTED_VALUE"""),43066.0)</f>
        <v>43066</v>
      </c>
      <c r="C154" s="41">
        <f>IFERROR(__xludf.DUMMYFUNCTION("""COMPUTED_VALUE"""),43072.0)</f>
        <v>43072</v>
      </c>
      <c r="D154" s="39">
        <f>IFERROR(__xludf.DUMMYFUNCTION("""COMPUTED_VALUE"""),48.0)</f>
        <v>48</v>
      </c>
      <c r="E154" s="39">
        <f>IFERROR(__xludf.DUMMYFUNCTION("""COMPUTED_VALUE"""),4409.0)</f>
        <v>4409</v>
      </c>
    </row>
    <row r="155">
      <c r="A155" s="39" t="str">
        <f>IFERROR(__xludf.DUMMYFUNCTION("""COMPUTED_VALUE"""),"Colombia")</f>
        <v>Colombia</v>
      </c>
      <c r="B155" s="40">
        <f>IFERROR(__xludf.DUMMYFUNCTION("""COMPUTED_VALUE"""),43073.0)</f>
        <v>43073</v>
      </c>
      <c r="C155" s="41">
        <f>IFERROR(__xludf.DUMMYFUNCTION("""COMPUTED_VALUE"""),43079.0)</f>
        <v>43079</v>
      </c>
      <c r="D155" s="39">
        <f>IFERROR(__xludf.DUMMYFUNCTION("""COMPUTED_VALUE"""),49.0)</f>
        <v>49</v>
      </c>
      <c r="E155" s="39">
        <f>IFERROR(__xludf.DUMMYFUNCTION("""COMPUTED_VALUE"""),4575.0)</f>
        <v>4575</v>
      </c>
    </row>
    <row r="156">
      <c r="A156" s="39" t="str">
        <f>IFERROR(__xludf.DUMMYFUNCTION("""COMPUTED_VALUE"""),"Colombia")</f>
        <v>Colombia</v>
      </c>
      <c r="B156" s="40">
        <f>IFERROR(__xludf.DUMMYFUNCTION("""COMPUTED_VALUE"""),43080.0)</f>
        <v>43080</v>
      </c>
      <c r="C156" s="41">
        <f>IFERROR(__xludf.DUMMYFUNCTION("""COMPUTED_VALUE"""),43086.0)</f>
        <v>43086</v>
      </c>
      <c r="D156" s="39">
        <f>IFERROR(__xludf.DUMMYFUNCTION("""COMPUTED_VALUE"""),50.0)</f>
        <v>50</v>
      </c>
      <c r="E156" s="39">
        <f>IFERROR(__xludf.DUMMYFUNCTION("""COMPUTED_VALUE"""),4491.0)</f>
        <v>4491</v>
      </c>
    </row>
    <row r="157">
      <c r="A157" s="39" t="str">
        <f>IFERROR(__xludf.DUMMYFUNCTION("""COMPUTED_VALUE"""),"Colombia")</f>
        <v>Colombia</v>
      </c>
      <c r="B157" s="40">
        <f>IFERROR(__xludf.DUMMYFUNCTION("""COMPUTED_VALUE"""),43087.0)</f>
        <v>43087</v>
      </c>
      <c r="C157" s="41">
        <f>IFERROR(__xludf.DUMMYFUNCTION("""COMPUTED_VALUE"""),43093.0)</f>
        <v>43093</v>
      </c>
      <c r="D157" s="39">
        <f>IFERROR(__xludf.DUMMYFUNCTION("""COMPUTED_VALUE"""),51.0)</f>
        <v>51</v>
      </c>
      <c r="E157" s="39">
        <f>IFERROR(__xludf.DUMMYFUNCTION("""COMPUTED_VALUE"""),4562.0)</f>
        <v>4562</v>
      </c>
    </row>
    <row r="158">
      <c r="A158" s="39" t="str">
        <f>IFERROR(__xludf.DUMMYFUNCTION("""COMPUTED_VALUE"""),"Colombia")</f>
        <v>Colombia</v>
      </c>
      <c r="B158" s="40">
        <f>IFERROR(__xludf.DUMMYFUNCTION("""COMPUTED_VALUE"""),43094.0)</f>
        <v>43094</v>
      </c>
      <c r="C158" s="41">
        <f>IFERROR(__xludf.DUMMYFUNCTION("""COMPUTED_VALUE"""),43100.0)</f>
        <v>43100</v>
      </c>
      <c r="D158" s="39">
        <f>IFERROR(__xludf.DUMMYFUNCTION("""COMPUTED_VALUE"""),52.0)</f>
        <v>52</v>
      </c>
      <c r="E158" s="39">
        <f>IFERROR(__xludf.DUMMYFUNCTION("""COMPUTED_VALUE"""),4589.0)</f>
        <v>4589</v>
      </c>
    </row>
    <row r="159">
      <c r="A159" s="39" t="str">
        <f>IFERROR(__xludf.DUMMYFUNCTION("""COMPUTED_VALUE"""),"Colombia")</f>
        <v>Colombia</v>
      </c>
      <c r="B159" s="40">
        <f>IFERROR(__xludf.DUMMYFUNCTION("""COMPUTED_VALUE"""),43101.0)</f>
        <v>43101</v>
      </c>
      <c r="C159" s="41">
        <f>IFERROR(__xludf.DUMMYFUNCTION("""COMPUTED_VALUE"""),43107.0)</f>
        <v>43107</v>
      </c>
      <c r="D159" s="39">
        <f>IFERROR(__xludf.DUMMYFUNCTION("""COMPUTED_VALUE"""),1.0)</f>
        <v>1</v>
      </c>
      <c r="E159" s="39">
        <f>IFERROR(__xludf.DUMMYFUNCTION("""COMPUTED_VALUE"""),4721.0)</f>
        <v>4721</v>
      </c>
    </row>
    <row r="160">
      <c r="A160" s="39" t="str">
        <f>IFERROR(__xludf.DUMMYFUNCTION("""COMPUTED_VALUE"""),"Colombia")</f>
        <v>Colombia</v>
      </c>
      <c r="B160" s="40">
        <f>IFERROR(__xludf.DUMMYFUNCTION("""COMPUTED_VALUE"""),43108.0)</f>
        <v>43108</v>
      </c>
      <c r="C160" s="41">
        <f>IFERROR(__xludf.DUMMYFUNCTION("""COMPUTED_VALUE"""),43114.0)</f>
        <v>43114</v>
      </c>
      <c r="D160" s="39">
        <f>IFERROR(__xludf.DUMMYFUNCTION("""COMPUTED_VALUE"""),2.0)</f>
        <v>2</v>
      </c>
      <c r="E160" s="39">
        <f>IFERROR(__xludf.DUMMYFUNCTION("""COMPUTED_VALUE"""),4465.0)</f>
        <v>4465</v>
      </c>
    </row>
    <row r="161">
      <c r="A161" s="39" t="str">
        <f>IFERROR(__xludf.DUMMYFUNCTION("""COMPUTED_VALUE"""),"Colombia")</f>
        <v>Colombia</v>
      </c>
      <c r="B161" s="40">
        <f>IFERROR(__xludf.DUMMYFUNCTION("""COMPUTED_VALUE"""),43115.0)</f>
        <v>43115</v>
      </c>
      <c r="C161" s="41">
        <f>IFERROR(__xludf.DUMMYFUNCTION("""COMPUTED_VALUE"""),43121.0)</f>
        <v>43121</v>
      </c>
      <c r="D161" s="39">
        <f>IFERROR(__xludf.DUMMYFUNCTION("""COMPUTED_VALUE"""),3.0)</f>
        <v>3</v>
      </c>
      <c r="E161" s="39">
        <f>IFERROR(__xludf.DUMMYFUNCTION("""COMPUTED_VALUE"""),4631.0)</f>
        <v>4631</v>
      </c>
    </row>
    <row r="162">
      <c r="A162" s="39" t="str">
        <f>IFERROR(__xludf.DUMMYFUNCTION("""COMPUTED_VALUE"""),"Colombia")</f>
        <v>Colombia</v>
      </c>
      <c r="B162" s="40">
        <f>IFERROR(__xludf.DUMMYFUNCTION("""COMPUTED_VALUE"""),43122.0)</f>
        <v>43122</v>
      </c>
      <c r="C162" s="41">
        <f>IFERROR(__xludf.DUMMYFUNCTION("""COMPUTED_VALUE"""),43128.0)</f>
        <v>43128</v>
      </c>
      <c r="D162" s="39">
        <f>IFERROR(__xludf.DUMMYFUNCTION("""COMPUTED_VALUE"""),4.0)</f>
        <v>4</v>
      </c>
      <c r="E162" s="39">
        <f>IFERROR(__xludf.DUMMYFUNCTION("""COMPUTED_VALUE"""),4644.0)</f>
        <v>4644</v>
      </c>
    </row>
    <row r="163">
      <c r="A163" s="39" t="str">
        <f>IFERROR(__xludf.DUMMYFUNCTION("""COMPUTED_VALUE"""),"Colombia")</f>
        <v>Colombia</v>
      </c>
      <c r="B163" s="40">
        <f>IFERROR(__xludf.DUMMYFUNCTION("""COMPUTED_VALUE"""),43129.0)</f>
        <v>43129</v>
      </c>
      <c r="C163" s="41">
        <f>IFERROR(__xludf.DUMMYFUNCTION("""COMPUTED_VALUE"""),43135.0)</f>
        <v>43135</v>
      </c>
      <c r="D163" s="39">
        <f>IFERROR(__xludf.DUMMYFUNCTION("""COMPUTED_VALUE"""),5.0)</f>
        <v>5</v>
      </c>
      <c r="E163" s="39">
        <f>IFERROR(__xludf.DUMMYFUNCTION("""COMPUTED_VALUE"""),4485.0)</f>
        <v>4485</v>
      </c>
    </row>
    <row r="164">
      <c r="A164" s="39" t="str">
        <f>IFERROR(__xludf.DUMMYFUNCTION("""COMPUTED_VALUE"""),"Colombia")</f>
        <v>Colombia</v>
      </c>
      <c r="B164" s="40">
        <f>IFERROR(__xludf.DUMMYFUNCTION("""COMPUTED_VALUE"""),43136.0)</f>
        <v>43136</v>
      </c>
      <c r="C164" s="41">
        <f>IFERROR(__xludf.DUMMYFUNCTION("""COMPUTED_VALUE"""),43142.0)</f>
        <v>43142</v>
      </c>
      <c r="D164" s="39">
        <f>IFERROR(__xludf.DUMMYFUNCTION("""COMPUTED_VALUE"""),6.0)</f>
        <v>6</v>
      </c>
      <c r="E164" s="39">
        <f>IFERROR(__xludf.DUMMYFUNCTION("""COMPUTED_VALUE"""),4407.0)</f>
        <v>4407</v>
      </c>
    </row>
    <row r="165">
      <c r="A165" s="39" t="str">
        <f>IFERROR(__xludf.DUMMYFUNCTION("""COMPUTED_VALUE"""),"Colombia")</f>
        <v>Colombia</v>
      </c>
      <c r="B165" s="40">
        <f>IFERROR(__xludf.DUMMYFUNCTION("""COMPUTED_VALUE"""),43143.0)</f>
        <v>43143</v>
      </c>
      <c r="C165" s="41">
        <f>IFERROR(__xludf.DUMMYFUNCTION("""COMPUTED_VALUE"""),43149.0)</f>
        <v>43149</v>
      </c>
      <c r="D165" s="39">
        <f>IFERROR(__xludf.DUMMYFUNCTION("""COMPUTED_VALUE"""),7.0)</f>
        <v>7</v>
      </c>
      <c r="E165" s="39">
        <f>IFERROR(__xludf.DUMMYFUNCTION("""COMPUTED_VALUE"""),4332.0)</f>
        <v>4332</v>
      </c>
    </row>
    <row r="166">
      <c r="A166" s="39" t="str">
        <f>IFERROR(__xludf.DUMMYFUNCTION("""COMPUTED_VALUE"""),"Colombia")</f>
        <v>Colombia</v>
      </c>
      <c r="B166" s="40">
        <f>IFERROR(__xludf.DUMMYFUNCTION("""COMPUTED_VALUE"""),43150.0)</f>
        <v>43150</v>
      </c>
      <c r="C166" s="41">
        <f>IFERROR(__xludf.DUMMYFUNCTION("""COMPUTED_VALUE"""),43156.0)</f>
        <v>43156</v>
      </c>
      <c r="D166" s="39">
        <f>IFERROR(__xludf.DUMMYFUNCTION("""COMPUTED_VALUE"""),8.0)</f>
        <v>8</v>
      </c>
      <c r="E166" s="39">
        <f>IFERROR(__xludf.DUMMYFUNCTION("""COMPUTED_VALUE"""),4254.0)</f>
        <v>4254</v>
      </c>
    </row>
    <row r="167">
      <c r="A167" s="39" t="str">
        <f>IFERROR(__xludf.DUMMYFUNCTION("""COMPUTED_VALUE"""),"Colombia")</f>
        <v>Colombia</v>
      </c>
      <c r="B167" s="40">
        <f>IFERROR(__xludf.DUMMYFUNCTION("""COMPUTED_VALUE"""),43157.0)</f>
        <v>43157</v>
      </c>
      <c r="C167" s="41">
        <f>IFERROR(__xludf.DUMMYFUNCTION("""COMPUTED_VALUE"""),43163.0)</f>
        <v>43163</v>
      </c>
      <c r="D167" s="39">
        <f>IFERROR(__xludf.DUMMYFUNCTION("""COMPUTED_VALUE"""),9.0)</f>
        <v>9</v>
      </c>
      <c r="E167" s="39">
        <f>IFERROR(__xludf.DUMMYFUNCTION("""COMPUTED_VALUE"""),4378.0)</f>
        <v>4378</v>
      </c>
    </row>
    <row r="168">
      <c r="A168" s="39" t="str">
        <f>IFERROR(__xludf.DUMMYFUNCTION("""COMPUTED_VALUE"""),"Colombia")</f>
        <v>Colombia</v>
      </c>
      <c r="B168" s="40">
        <f>IFERROR(__xludf.DUMMYFUNCTION("""COMPUTED_VALUE"""),43164.0)</f>
        <v>43164</v>
      </c>
      <c r="C168" s="41">
        <f>IFERROR(__xludf.DUMMYFUNCTION("""COMPUTED_VALUE"""),43170.0)</f>
        <v>43170</v>
      </c>
      <c r="D168" s="39">
        <f>IFERROR(__xludf.DUMMYFUNCTION("""COMPUTED_VALUE"""),10.0)</f>
        <v>10</v>
      </c>
      <c r="E168" s="39">
        <f>IFERROR(__xludf.DUMMYFUNCTION("""COMPUTED_VALUE"""),4505.0)</f>
        <v>4505</v>
      </c>
    </row>
    <row r="169">
      <c r="A169" s="39" t="str">
        <f>IFERROR(__xludf.DUMMYFUNCTION("""COMPUTED_VALUE"""),"Colombia")</f>
        <v>Colombia</v>
      </c>
      <c r="B169" s="40">
        <f>IFERROR(__xludf.DUMMYFUNCTION("""COMPUTED_VALUE"""),43171.0)</f>
        <v>43171</v>
      </c>
      <c r="C169" s="41">
        <f>IFERROR(__xludf.DUMMYFUNCTION("""COMPUTED_VALUE"""),43177.0)</f>
        <v>43177</v>
      </c>
      <c r="D169" s="39">
        <f>IFERROR(__xludf.DUMMYFUNCTION("""COMPUTED_VALUE"""),11.0)</f>
        <v>11</v>
      </c>
      <c r="E169" s="39">
        <f>IFERROR(__xludf.DUMMYFUNCTION("""COMPUTED_VALUE"""),4597.0)</f>
        <v>4597</v>
      </c>
    </row>
    <row r="170">
      <c r="A170" s="39" t="str">
        <f>IFERROR(__xludf.DUMMYFUNCTION("""COMPUTED_VALUE"""),"Colombia")</f>
        <v>Colombia</v>
      </c>
      <c r="B170" s="40">
        <f>IFERROR(__xludf.DUMMYFUNCTION("""COMPUTED_VALUE"""),43178.0)</f>
        <v>43178</v>
      </c>
      <c r="C170" s="41">
        <f>IFERROR(__xludf.DUMMYFUNCTION("""COMPUTED_VALUE"""),43184.0)</f>
        <v>43184</v>
      </c>
      <c r="D170" s="39">
        <f>IFERROR(__xludf.DUMMYFUNCTION("""COMPUTED_VALUE"""),12.0)</f>
        <v>12</v>
      </c>
      <c r="E170" s="39">
        <f>IFERROR(__xludf.DUMMYFUNCTION("""COMPUTED_VALUE"""),4453.0)</f>
        <v>4453</v>
      </c>
    </row>
    <row r="171">
      <c r="A171" s="39" t="str">
        <f>IFERROR(__xludf.DUMMYFUNCTION("""COMPUTED_VALUE"""),"Colombia")</f>
        <v>Colombia</v>
      </c>
      <c r="B171" s="40">
        <f>IFERROR(__xludf.DUMMYFUNCTION("""COMPUTED_VALUE"""),43185.0)</f>
        <v>43185</v>
      </c>
      <c r="C171" s="41">
        <f>IFERROR(__xludf.DUMMYFUNCTION("""COMPUTED_VALUE"""),43191.0)</f>
        <v>43191</v>
      </c>
      <c r="D171" s="39">
        <f>IFERROR(__xludf.DUMMYFUNCTION("""COMPUTED_VALUE"""),13.0)</f>
        <v>13</v>
      </c>
      <c r="E171" s="39">
        <f>IFERROR(__xludf.DUMMYFUNCTION("""COMPUTED_VALUE"""),4248.0)</f>
        <v>4248</v>
      </c>
    </row>
    <row r="172">
      <c r="A172" s="39" t="str">
        <f>IFERROR(__xludf.DUMMYFUNCTION("""COMPUTED_VALUE"""),"Colombia")</f>
        <v>Colombia</v>
      </c>
      <c r="B172" s="40">
        <f>IFERROR(__xludf.DUMMYFUNCTION("""COMPUTED_VALUE"""),43192.0)</f>
        <v>43192</v>
      </c>
      <c r="C172" s="41">
        <f>IFERROR(__xludf.DUMMYFUNCTION("""COMPUTED_VALUE"""),43198.0)</f>
        <v>43198</v>
      </c>
      <c r="D172" s="39">
        <f>IFERROR(__xludf.DUMMYFUNCTION("""COMPUTED_VALUE"""),14.0)</f>
        <v>14</v>
      </c>
      <c r="E172" s="39">
        <f>IFERROR(__xludf.DUMMYFUNCTION("""COMPUTED_VALUE"""),4382.0)</f>
        <v>4382</v>
      </c>
    </row>
    <row r="173">
      <c r="A173" s="39" t="str">
        <f>IFERROR(__xludf.DUMMYFUNCTION("""COMPUTED_VALUE"""),"Colombia")</f>
        <v>Colombia</v>
      </c>
      <c r="B173" s="40">
        <f>IFERROR(__xludf.DUMMYFUNCTION("""COMPUTED_VALUE"""),43199.0)</f>
        <v>43199</v>
      </c>
      <c r="C173" s="41">
        <f>IFERROR(__xludf.DUMMYFUNCTION("""COMPUTED_VALUE"""),43205.0)</f>
        <v>43205</v>
      </c>
      <c r="D173" s="39">
        <f>IFERROR(__xludf.DUMMYFUNCTION("""COMPUTED_VALUE"""),15.0)</f>
        <v>15</v>
      </c>
      <c r="E173" s="39">
        <f>IFERROR(__xludf.DUMMYFUNCTION("""COMPUTED_VALUE"""),4332.0)</f>
        <v>4332</v>
      </c>
    </row>
    <row r="174">
      <c r="A174" s="39" t="str">
        <f>IFERROR(__xludf.DUMMYFUNCTION("""COMPUTED_VALUE"""),"Colombia")</f>
        <v>Colombia</v>
      </c>
      <c r="B174" s="40">
        <f>IFERROR(__xludf.DUMMYFUNCTION("""COMPUTED_VALUE"""),43206.0)</f>
        <v>43206</v>
      </c>
      <c r="C174" s="41">
        <f>IFERROR(__xludf.DUMMYFUNCTION("""COMPUTED_VALUE"""),43212.0)</f>
        <v>43212</v>
      </c>
      <c r="D174" s="39">
        <f>IFERROR(__xludf.DUMMYFUNCTION("""COMPUTED_VALUE"""),16.0)</f>
        <v>16</v>
      </c>
      <c r="E174" s="39">
        <f>IFERROR(__xludf.DUMMYFUNCTION("""COMPUTED_VALUE"""),4349.0)</f>
        <v>4349</v>
      </c>
    </row>
    <row r="175">
      <c r="A175" s="39" t="str">
        <f>IFERROR(__xludf.DUMMYFUNCTION("""COMPUTED_VALUE"""),"Colombia")</f>
        <v>Colombia</v>
      </c>
      <c r="B175" s="40">
        <f>IFERROR(__xludf.DUMMYFUNCTION("""COMPUTED_VALUE"""),43213.0)</f>
        <v>43213</v>
      </c>
      <c r="C175" s="41">
        <f>IFERROR(__xludf.DUMMYFUNCTION("""COMPUTED_VALUE"""),43219.0)</f>
        <v>43219</v>
      </c>
      <c r="D175" s="39">
        <f>IFERROR(__xludf.DUMMYFUNCTION("""COMPUTED_VALUE"""),17.0)</f>
        <v>17</v>
      </c>
      <c r="E175" s="39">
        <f>IFERROR(__xludf.DUMMYFUNCTION("""COMPUTED_VALUE"""),4409.0)</f>
        <v>4409</v>
      </c>
    </row>
    <row r="176">
      <c r="A176" s="39" t="str">
        <f>IFERROR(__xludf.DUMMYFUNCTION("""COMPUTED_VALUE"""),"Colombia")</f>
        <v>Colombia</v>
      </c>
      <c r="B176" s="40">
        <f>IFERROR(__xludf.DUMMYFUNCTION("""COMPUTED_VALUE"""),43220.0)</f>
        <v>43220</v>
      </c>
      <c r="C176" s="41">
        <f>IFERROR(__xludf.DUMMYFUNCTION("""COMPUTED_VALUE"""),43226.0)</f>
        <v>43226</v>
      </c>
      <c r="D176" s="39">
        <f>IFERROR(__xludf.DUMMYFUNCTION("""COMPUTED_VALUE"""),18.0)</f>
        <v>18</v>
      </c>
      <c r="E176" s="39">
        <f>IFERROR(__xludf.DUMMYFUNCTION("""COMPUTED_VALUE"""),4538.0)</f>
        <v>4538</v>
      </c>
    </row>
    <row r="177">
      <c r="A177" s="39" t="str">
        <f>IFERROR(__xludf.DUMMYFUNCTION("""COMPUTED_VALUE"""),"Colombia")</f>
        <v>Colombia</v>
      </c>
      <c r="B177" s="40">
        <f>IFERROR(__xludf.DUMMYFUNCTION("""COMPUTED_VALUE"""),43227.0)</f>
        <v>43227</v>
      </c>
      <c r="C177" s="41">
        <f>IFERROR(__xludf.DUMMYFUNCTION("""COMPUTED_VALUE"""),43233.0)</f>
        <v>43233</v>
      </c>
      <c r="D177" s="39">
        <f>IFERROR(__xludf.DUMMYFUNCTION("""COMPUTED_VALUE"""),19.0)</f>
        <v>19</v>
      </c>
      <c r="E177" s="39">
        <f>IFERROR(__xludf.DUMMYFUNCTION("""COMPUTED_VALUE"""),4460.0)</f>
        <v>4460</v>
      </c>
    </row>
    <row r="178">
      <c r="A178" s="39" t="str">
        <f>IFERROR(__xludf.DUMMYFUNCTION("""COMPUTED_VALUE"""),"Colombia")</f>
        <v>Colombia</v>
      </c>
      <c r="B178" s="40">
        <f>IFERROR(__xludf.DUMMYFUNCTION("""COMPUTED_VALUE"""),43234.0)</f>
        <v>43234</v>
      </c>
      <c r="C178" s="41">
        <f>IFERROR(__xludf.DUMMYFUNCTION("""COMPUTED_VALUE"""),43240.0)</f>
        <v>43240</v>
      </c>
      <c r="D178" s="39">
        <f>IFERROR(__xludf.DUMMYFUNCTION("""COMPUTED_VALUE"""),20.0)</f>
        <v>20</v>
      </c>
      <c r="E178" s="39">
        <f>IFERROR(__xludf.DUMMYFUNCTION("""COMPUTED_VALUE"""),4721.0)</f>
        <v>4721</v>
      </c>
    </row>
    <row r="179">
      <c r="A179" s="39" t="str">
        <f>IFERROR(__xludf.DUMMYFUNCTION("""COMPUTED_VALUE"""),"Colombia")</f>
        <v>Colombia</v>
      </c>
      <c r="B179" s="40">
        <f>IFERROR(__xludf.DUMMYFUNCTION("""COMPUTED_VALUE"""),43241.0)</f>
        <v>43241</v>
      </c>
      <c r="C179" s="41">
        <f>IFERROR(__xludf.DUMMYFUNCTION("""COMPUTED_VALUE"""),43247.0)</f>
        <v>43247</v>
      </c>
      <c r="D179" s="39">
        <f>IFERROR(__xludf.DUMMYFUNCTION("""COMPUTED_VALUE"""),21.0)</f>
        <v>21</v>
      </c>
      <c r="E179" s="39">
        <f>IFERROR(__xludf.DUMMYFUNCTION("""COMPUTED_VALUE"""),4654.0)</f>
        <v>4654</v>
      </c>
    </row>
    <row r="180">
      <c r="A180" s="39" t="str">
        <f>IFERROR(__xludf.DUMMYFUNCTION("""COMPUTED_VALUE"""),"Colombia")</f>
        <v>Colombia</v>
      </c>
      <c r="B180" s="40">
        <f>IFERROR(__xludf.DUMMYFUNCTION("""COMPUTED_VALUE"""),43248.0)</f>
        <v>43248</v>
      </c>
      <c r="C180" s="41">
        <f>IFERROR(__xludf.DUMMYFUNCTION("""COMPUTED_VALUE"""),43254.0)</f>
        <v>43254</v>
      </c>
      <c r="D180" s="39">
        <f>IFERROR(__xludf.DUMMYFUNCTION("""COMPUTED_VALUE"""),22.0)</f>
        <v>22</v>
      </c>
      <c r="E180" s="39">
        <f>IFERROR(__xludf.DUMMYFUNCTION("""COMPUTED_VALUE"""),4749.0)</f>
        <v>4749</v>
      </c>
    </row>
    <row r="181">
      <c r="A181" s="39" t="str">
        <f>IFERROR(__xludf.DUMMYFUNCTION("""COMPUTED_VALUE"""),"Colombia")</f>
        <v>Colombia</v>
      </c>
      <c r="B181" s="40">
        <f>IFERROR(__xludf.DUMMYFUNCTION("""COMPUTED_VALUE"""),43255.0)</f>
        <v>43255</v>
      </c>
      <c r="C181" s="41">
        <f>IFERROR(__xludf.DUMMYFUNCTION("""COMPUTED_VALUE"""),43261.0)</f>
        <v>43261</v>
      </c>
      <c r="D181" s="39">
        <f>IFERROR(__xludf.DUMMYFUNCTION("""COMPUTED_VALUE"""),23.0)</f>
        <v>23</v>
      </c>
      <c r="E181" s="39">
        <f>IFERROR(__xludf.DUMMYFUNCTION("""COMPUTED_VALUE"""),4848.0)</f>
        <v>4848</v>
      </c>
    </row>
    <row r="182">
      <c r="A182" s="39" t="str">
        <f>IFERROR(__xludf.DUMMYFUNCTION("""COMPUTED_VALUE"""),"Colombia")</f>
        <v>Colombia</v>
      </c>
      <c r="B182" s="40">
        <f>IFERROR(__xludf.DUMMYFUNCTION("""COMPUTED_VALUE"""),43262.0)</f>
        <v>43262</v>
      </c>
      <c r="C182" s="41">
        <f>IFERROR(__xludf.DUMMYFUNCTION("""COMPUTED_VALUE"""),43268.0)</f>
        <v>43268</v>
      </c>
      <c r="D182" s="39">
        <f>IFERROR(__xludf.DUMMYFUNCTION("""COMPUTED_VALUE"""),24.0)</f>
        <v>24</v>
      </c>
      <c r="E182" s="39">
        <f>IFERROR(__xludf.DUMMYFUNCTION("""COMPUTED_VALUE"""),4803.0)</f>
        <v>4803</v>
      </c>
    </row>
    <row r="183">
      <c r="A183" s="39" t="str">
        <f>IFERROR(__xludf.DUMMYFUNCTION("""COMPUTED_VALUE"""),"Colombia")</f>
        <v>Colombia</v>
      </c>
      <c r="B183" s="40">
        <f>IFERROR(__xludf.DUMMYFUNCTION("""COMPUTED_VALUE"""),43269.0)</f>
        <v>43269</v>
      </c>
      <c r="C183" s="41">
        <f>IFERROR(__xludf.DUMMYFUNCTION("""COMPUTED_VALUE"""),43275.0)</f>
        <v>43275</v>
      </c>
      <c r="D183" s="39">
        <f>IFERROR(__xludf.DUMMYFUNCTION("""COMPUTED_VALUE"""),25.0)</f>
        <v>25</v>
      </c>
      <c r="E183" s="39">
        <f>IFERROR(__xludf.DUMMYFUNCTION("""COMPUTED_VALUE"""),4851.0)</f>
        <v>4851</v>
      </c>
    </row>
    <row r="184">
      <c r="A184" s="39" t="str">
        <f>IFERROR(__xludf.DUMMYFUNCTION("""COMPUTED_VALUE"""),"Colombia")</f>
        <v>Colombia</v>
      </c>
      <c r="B184" s="40">
        <f>IFERROR(__xludf.DUMMYFUNCTION("""COMPUTED_VALUE"""),43276.0)</f>
        <v>43276</v>
      </c>
      <c r="C184" s="41">
        <f>IFERROR(__xludf.DUMMYFUNCTION("""COMPUTED_VALUE"""),43282.0)</f>
        <v>43282</v>
      </c>
      <c r="D184" s="39">
        <f>IFERROR(__xludf.DUMMYFUNCTION("""COMPUTED_VALUE"""),26.0)</f>
        <v>26</v>
      </c>
      <c r="E184" s="39">
        <f>IFERROR(__xludf.DUMMYFUNCTION("""COMPUTED_VALUE"""),4868.0)</f>
        <v>4868</v>
      </c>
    </row>
    <row r="185">
      <c r="A185" s="39" t="str">
        <f>IFERROR(__xludf.DUMMYFUNCTION("""COMPUTED_VALUE"""),"Colombia")</f>
        <v>Colombia</v>
      </c>
      <c r="B185" s="40">
        <f>IFERROR(__xludf.DUMMYFUNCTION("""COMPUTED_VALUE"""),43283.0)</f>
        <v>43283</v>
      </c>
      <c r="C185" s="41">
        <f>IFERROR(__xludf.DUMMYFUNCTION("""COMPUTED_VALUE"""),43289.0)</f>
        <v>43289</v>
      </c>
      <c r="D185" s="39">
        <f>IFERROR(__xludf.DUMMYFUNCTION("""COMPUTED_VALUE"""),27.0)</f>
        <v>27</v>
      </c>
      <c r="E185" s="39">
        <f>IFERROR(__xludf.DUMMYFUNCTION("""COMPUTED_VALUE"""),4845.0)</f>
        <v>4845</v>
      </c>
    </row>
    <row r="186">
      <c r="A186" s="39" t="str">
        <f>IFERROR(__xludf.DUMMYFUNCTION("""COMPUTED_VALUE"""),"Colombia")</f>
        <v>Colombia</v>
      </c>
      <c r="B186" s="40">
        <f>IFERROR(__xludf.DUMMYFUNCTION("""COMPUTED_VALUE"""),43290.0)</f>
        <v>43290</v>
      </c>
      <c r="C186" s="41">
        <f>IFERROR(__xludf.DUMMYFUNCTION("""COMPUTED_VALUE"""),43296.0)</f>
        <v>43296</v>
      </c>
      <c r="D186" s="39">
        <f>IFERROR(__xludf.DUMMYFUNCTION("""COMPUTED_VALUE"""),28.0)</f>
        <v>28</v>
      </c>
      <c r="E186" s="39">
        <f>IFERROR(__xludf.DUMMYFUNCTION("""COMPUTED_VALUE"""),4782.0)</f>
        <v>4782</v>
      </c>
    </row>
    <row r="187">
      <c r="A187" s="39" t="str">
        <f>IFERROR(__xludf.DUMMYFUNCTION("""COMPUTED_VALUE"""),"Colombia")</f>
        <v>Colombia</v>
      </c>
      <c r="B187" s="40">
        <f>IFERROR(__xludf.DUMMYFUNCTION("""COMPUTED_VALUE"""),43297.0)</f>
        <v>43297</v>
      </c>
      <c r="C187" s="41">
        <f>IFERROR(__xludf.DUMMYFUNCTION("""COMPUTED_VALUE"""),43303.0)</f>
        <v>43303</v>
      </c>
      <c r="D187" s="39">
        <f>IFERROR(__xludf.DUMMYFUNCTION("""COMPUTED_VALUE"""),29.0)</f>
        <v>29</v>
      </c>
      <c r="E187" s="39">
        <f>IFERROR(__xludf.DUMMYFUNCTION("""COMPUTED_VALUE"""),4740.0)</f>
        <v>4740</v>
      </c>
    </row>
    <row r="188">
      <c r="A188" s="39" t="str">
        <f>IFERROR(__xludf.DUMMYFUNCTION("""COMPUTED_VALUE"""),"Colombia")</f>
        <v>Colombia</v>
      </c>
      <c r="B188" s="40">
        <f>IFERROR(__xludf.DUMMYFUNCTION("""COMPUTED_VALUE"""),43304.0)</f>
        <v>43304</v>
      </c>
      <c r="C188" s="41">
        <f>IFERROR(__xludf.DUMMYFUNCTION("""COMPUTED_VALUE"""),43310.0)</f>
        <v>43310</v>
      </c>
      <c r="D188" s="39">
        <f>IFERROR(__xludf.DUMMYFUNCTION("""COMPUTED_VALUE"""),30.0)</f>
        <v>30</v>
      </c>
      <c r="E188" s="39">
        <f>IFERROR(__xludf.DUMMYFUNCTION("""COMPUTED_VALUE"""),4518.0)</f>
        <v>4518</v>
      </c>
    </row>
    <row r="189">
      <c r="A189" s="39" t="str">
        <f>IFERROR(__xludf.DUMMYFUNCTION("""COMPUTED_VALUE"""),"Colombia")</f>
        <v>Colombia</v>
      </c>
      <c r="B189" s="40">
        <f>IFERROR(__xludf.DUMMYFUNCTION("""COMPUTED_VALUE"""),43311.0)</f>
        <v>43311</v>
      </c>
      <c r="C189" s="41">
        <f>IFERROR(__xludf.DUMMYFUNCTION("""COMPUTED_VALUE"""),43317.0)</f>
        <v>43317</v>
      </c>
      <c r="D189" s="39">
        <f>IFERROR(__xludf.DUMMYFUNCTION("""COMPUTED_VALUE"""),31.0)</f>
        <v>31</v>
      </c>
      <c r="E189" s="39">
        <f>IFERROR(__xludf.DUMMYFUNCTION("""COMPUTED_VALUE"""),4459.0)</f>
        <v>4459</v>
      </c>
    </row>
    <row r="190">
      <c r="A190" s="39" t="str">
        <f>IFERROR(__xludf.DUMMYFUNCTION("""COMPUTED_VALUE"""),"Colombia")</f>
        <v>Colombia</v>
      </c>
      <c r="B190" s="40">
        <f>IFERROR(__xludf.DUMMYFUNCTION("""COMPUTED_VALUE"""),43318.0)</f>
        <v>43318</v>
      </c>
      <c r="C190" s="41">
        <f>IFERROR(__xludf.DUMMYFUNCTION("""COMPUTED_VALUE"""),43324.0)</f>
        <v>43324</v>
      </c>
      <c r="D190" s="39">
        <f>IFERROR(__xludf.DUMMYFUNCTION("""COMPUTED_VALUE"""),32.0)</f>
        <v>32</v>
      </c>
      <c r="E190" s="39">
        <f>IFERROR(__xludf.DUMMYFUNCTION("""COMPUTED_VALUE"""),4607.0)</f>
        <v>4607</v>
      </c>
    </row>
    <row r="191">
      <c r="A191" s="39" t="str">
        <f>IFERROR(__xludf.DUMMYFUNCTION("""COMPUTED_VALUE"""),"Colombia")</f>
        <v>Colombia</v>
      </c>
      <c r="B191" s="40">
        <f>IFERROR(__xludf.DUMMYFUNCTION("""COMPUTED_VALUE"""),43325.0)</f>
        <v>43325</v>
      </c>
      <c r="C191" s="41">
        <f>IFERROR(__xludf.DUMMYFUNCTION("""COMPUTED_VALUE"""),43331.0)</f>
        <v>43331</v>
      </c>
      <c r="D191" s="39">
        <f>IFERROR(__xludf.DUMMYFUNCTION("""COMPUTED_VALUE"""),33.0)</f>
        <v>33</v>
      </c>
      <c r="E191" s="39">
        <f>IFERROR(__xludf.DUMMYFUNCTION("""COMPUTED_VALUE"""),4637.0)</f>
        <v>4637</v>
      </c>
    </row>
    <row r="192">
      <c r="A192" s="39" t="str">
        <f>IFERROR(__xludf.DUMMYFUNCTION("""COMPUTED_VALUE"""),"Colombia")</f>
        <v>Colombia</v>
      </c>
      <c r="B192" s="40">
        <f>IFERROR(__xludf.DUMMYFUNCTION("""COMPUTED_VALUE"""),43332.0)</f>
        <v>43332</v>
      </c>
      <c r="C192" s="41">
        <f>IFERROR(__xludf.DUMMYFUNCTION("""COMPUTED_VALUE"""),43338.0)</f>
        <v>43338</v>
      </c>
      <c r="D192" s="39">
        <f>IFERROR(__xludf.DUMMYFUNCTION("""COMPUTED_VALUE"""),34.0)</f>
        <v>34</v>
      </c>
      <c r="E192" s="39">
        <f>IFERROR(__xludf.DUMMYFUNCTION("""COMPUTED_VALUE"""),4498.0)</f>
        <v>4498</v>
      </c>
    </row>
    <row r="193">
      <c r="A193" s="39" t="str">
        <f>IFERROR(__xludf.DUMMYFUNCTION("""COMPUTED_VALUE"""),"Colombia")</f>
        <v>Colombia</v>
      </c>
      <c r="B193" s="40">
        <f>IFERROR(__xludf.DUMMYFUNCTION("""COMPUTED_VALUE"""),43339.0)</f>
        <v>43339</v>
      </c>
      <c r="C193" s="41">
        <f>IFERROR(__xludf.DUMMYFUNCTION("""COMPUTED_VALUE"""),43345.0)</f>
        <v>43345</v>
      </c>
      <c r="D193" s="39">
        <f>IFERROR(__xludf.DUMMYFUNCTION("""COMPUTED_VALUE"""),35.0)</f>
        <v>35</v>
      </c>
      <c r="E193" s="39">
        <f>IFERROR(__xludf.DUMMYFUNCTION("""COMPUTED_VALUE"""),4462.0)</f>
        <v>4462</v>
      </c>
    </row>
    <row r="194">
      <c r="A194" s="39" t="str">
        <f>IFERROR(__xludf.DUMMYFUNCTION("""COMPUTED_VALUE"""),"Colombia")</f>
        <v>Colombia</v>
      </c>
      <c r="B194" s="40">
        <f>IFERROR(__xludf.DUMMYFUNCTION("""COMPUTED_VALUE"""),43346.0)</f>
        <v>43346</v>
      </c>
      <c r="C194" s="41">
        <f>IFERROR(__xludf.DUMMYFUNCTION("""COMPUTED_VALUE"""),43352.0)</f>
        <v>43352</v>
      </c>
      <c r="D194" s="39">
        <f>IFERROR(__xludf.DUMMYFUNCTION("""COMPUTED_VALUE"""),36.0)</f>
        <v>36</v>
      </c>
      <c r="E194" s="39">
        <f>IFERROR(__xludf.DUMMYFUNCTION("""COMPUTED_VALUE"""),4452.0)</f>
        <v>4452</v>
      </c>
    </row>
    <row r="195">
      <c r="A195" s="39" t="str">
        <f>IFERROR(__xludf.DUMMYFUNCTION("""COMPUTED_VALUE"""),"Colombia")</f>
        <v>Colombia</v>
      </c>
      <c r="B195" s="40">
        <f>IFERROR(__xludf.DUMMYFUNCTION("""COMPUTED_VALUE"""),43353.0)</f>
        <v>43353</v>
      </c>
      <c r="C195" s="41">
        <f>IFERROR(__xludf.DUMMYFUNCTION("""COMPUTED_VALUE"""),43359.0)</f>
        <v>43359</v>
      </c>
      <c r="D195" s="39">
        <f>IFERROR(__xludf.DUMMYFUNCTION("""COMPUTED_VALUE"""),37.0)</f>
        <v>37</v>
      </c>
      <c r="E195" s="39">
        <f>IFERROR(__xludf.DUMMYFUNCTION("""COMPUTED_VALUE"""),4415.0)</f>
        <v>4415</v>
      </c>
    </row>
    <row r="196">
      <c r="A196" s="39" t="str">
        <f>IFERROR(__xludf.DUMMYFUNCTION("""COMPUTED_VALUE"""),"Colombia")</f>
        <v>Colombia</v>
      </c>
      <c r="B196" s="40">
        <f>IFERROR(__xludf.DUMMYFUNCTION("""COMPUTED_VALUE"""),43360.0)</f>
        <v>43360</v>
      </c>
      <c r="C196" s="41">
        <f>IFERROR(__xludf.DUMMYFUNCTION("""COMPUTED_VALUE"""),43366.0)</f>
        <v>43366</v>
      </c>
      <c r="D196" s="39">
        <f>IFERROR(__xludf.DUMMYFUNCTION("""COMPUTED_VALUE"""),38.0)</f>
        <v>38</v>
      </c>
      <c r="E196" s="39">
        <f>IFERROR(__xludf.DUMMYFUNCTION("""COMPUTED_VALUE"""),4437.0)</f>
        <v>4437</v>
      </c>
    </row>
    <row r="197">
      <c r="A197" s="39" t="str">
        <f>IFERROR(__xludf.DUMMYFUNCTION("""COMPUTED_VALUE"""),"Colombia")</f>
        <v>Colombia</v>
      </c>
      <c r="B197" s="40">
        <f>IFERROR(__xludf.DUMMYFUNCTION("""COMPUTED_VALUE"""),43367.0)</f>
        <v>43367</v>
      </c>
      <c r="C197" s="41">
        <f>IFERROR(__xludf.DUMMYFUNCTION("""COMPUTED_VALUE"""),43373.0)</f>
        <v>43373</v>
      </c>
      <c r="D197" s="39">
        <f>IFERROR(__xludf.DUMMYFUNCTION("""COMPUTED_VALUE"""),39.0)</f>
        <v>39</v>
      </c>
      <c r="E197" s="39">
        <f>IFERROR(__xludf.DUMMYFUNCTION("""COMPUTED_VALUE"""),4324.0)</f>
        <v>4324</v>
      </c>
    </row>
    <row r="198">
      <c r="A198" s="39" t="str">
        <f>IFERROR(__xludf.DUMMYFUNCTION("""COMPUTED_VALUE"""),"Colombia")</f>
        <v>Colombia</v>
      </c>
      <c r="B198" s="40">
        <f>IFERROR(__xludf.DUMMYFUNCTION("""COMPUTED_VALUE"""),43374.0)</f>
        <v>43374</v>
      </c>
      <c r="C198" s="41">
        <f>IFERROR(__xludf.DUMMYFUNCTION("""COMPUTED_VALUE"""),43380.0)</f>
        <v>43380</v>
      </c>
      <c r="D198" s="39">
        <f>IFERROR(__xludf.DUMMYFUNCTION("""COMPUTED_VALUE"""),40.0)</f>
        <v>40</v>
      </c>
      <c r="E198" s="39">
        <f>IFERROR(__xludf.DUMMYFUNCTION("""COMPUTED_VALUE"""),4293.0)</f>
        <v>4293</v>
      </c>
    </row>
    <row r="199">
      <c r="A199" s="39" t="str">
        <f>IFERROR(__xludf.DUMMYFUNCTION("""COMPUTED_VALUE"""),"Colombia")</f>
        <v>Colombia</v>
      </c>
      <c r="B199" s="40">
        <f>IFERROR(__xludf.DUMMYFUNCTION("""COMPUTED_VALUE"""),43381.0)</f>
        <v>43381</v>
      </c>
      <c r="C199" s="41">
        <f>IFERROR(__xludf.DUMMYFUNCTION("""COMPUTED_VALUE"""),43387.0)</f>
        <v>43387</v>
      </c>
      <c r="D199" s="39">
        <f>IFERROR(__xludf.DUMMYFUNCTION("""COMPUTED_VALUE"""),41.0)</f>
        <v>41</v>
      </c>
      <c r="E199" s="39">
        <f>IFERROR(__xludf.DUMMYFUNCTION("""COMPUTED_VALUE"""),4363.0)</f>
        <v>4363</v>
      </c>
    </row>
    <row r="200">
      <c r="A200" s="39" t="str">
        <f>IFERROR(__xludf.DUMMYFUNCTION("""COMPUTED_VALUE"""),"Colombia")</f>
        <v>Colombia</v>
      </c>
      <c r="B200" s="40">
        <f>IFERROR(__xludf.DUMMYFUNCTION("""COMPUTED_VALUE"""),43388.0)</f>
        <v>43388</v>
      </c>
      <c r="C200" s="41">
        <f>IFERROR(__xludf.DUMMYFUNCTION("""COMPUTED_VALUE"""),43394.0)</f>
        <v>43394</v>
      </c>
      <c r="D200" s="39">
        <f>IFERROR(__xludf.DUMMYFUNCTION("""COMPUTED_VALUE"""),42.0)</f>
        <v>42</v>
      </c>
      <c r="E200" s="39">
        <f>IFERROR(__xludf.DUMMYFUNCTION("""COMPUTED_VALUE"""),4345.0)</f>
        <v>4345</v>
      </c>
    </row>
    <row r="201">
      <c r="A201" s="39" t="str">
        <f>IFERROR(__xludf.DUMMYFUNCTION("""COMPUTED_VALUE"""),"Colombia")</f>
        <v>Colombia</v>
      </c>
      <c r="B201" s="40">
        <f>IFERROR(__xludf.DUMMYFUNCTION("""COMPUTED_VALUE"""),43395.0)</f>
        <v>43395</v>
      </c>
      <c r="C201" s="41">
        <f>IFERROR(__xludf.DUMMYFUNCTION("""COMPUTED_VALUE"""),43401.0)</f>
        <v>43401</v>
      </c>
      <c r="D201" s="39">
        <f>IFERROR(__xludf.DUMMYFUNCTION("""COMPUTED_VALUE"""),43.0)</f>
        <v>43</v>
      </c>
      <c r="E201" s="39">
        <f>IFERROR(__xludf.DUMMYFUNCTION("""COMPUTED_VALUE"""),4287.0)</f>
        <v>4287</v>
      </c>
    </row>
    <row r="202">
      <c r="A202" s="39" t="str">
        <f>IFERROR(__xludf.DUMMYFUNCTION("""COMPUTED_VALUE"""),"Colombia")</f>
        <v>Colombia</v>
      </c>
      <c r="B202" s="40">
        <f>IFERROR(__xludf.DUMMYFUNCTION("""COMPUTED_VALUE"""),43402.0)</f>
        <v>43402</v>
      </c>
      <c r="C202" s="41">
        <f>IFERROR(__xludf.DUMMYFUNCTION("""COMPUTED_VALUE"""),43408.0)</f>
        <v>43408</v>
      </c>
      <c r="D202" s="39">
        <f>IFERROR(__xludf.DUMMYFUNCTION("""COMPUTED_VALUE"""),44.0)</f>
        <v>44</v>
      </c>
      <c r="E202" s="39">
        <f>IFERROR(__xludf.DUMMYFUNCTION("""COMPUTED_VALUE"""),4421.0)</f>
        <v>4421</v>
      </c>
    </row>
    <row r="203">
      <c r="A203" s="39" t="str">
        <f>IFERROR(__xludf.DUMMYFUNCTION("""COMPUTED_VALUE"""),"Colombia")</f>
        <v>Colombia</v>
      </c>
      <c r="B203" s="40">
        <f>IFERROR(__xludf.DUMMYFUNCTION("""COMPUTED_VALUE"""),43409.0)</f>
        <v>43409</v>
      </c>
      <c r="C203" s="41">
        <f>IFERROR(__xludf.DUMMYFUNCTION("""COMPUTED_VALUE"""),43415.0)</f>
        <v>43415</v>
      </c>
      <c r="D203" s="39">
        <f>IFERROR(__xludf.DUMMYFUNCTION("""COMPUTED_VALUE"""),45.0)</f>
        <v>45</v>
      </c>
      <c r="E203" s="39">
        <f>IFERROR(__xludf.DUMMYFUNCTION("""COMPUTED_VALUE"""),4366.0)</f>
        <v>4366</v>
      </c>
    </row>
    <row r="204">
      <c r="A204" s="39" t="str">
        <f>IFERROR(__xludf.DUMMYFUNCTION("""COMPUTED_VALUE"""),"Colombia")</f>
        <v>Colombia</v>
      </c>
      <c r="B204" s="40">
        <f>IFERROR(__xludf.DUMMYFUNCTION("""COMPUTED_VALUE"""),43416.0)</f>
        <v>43416</v>
      </c>
      <c r="C204" s="41">
        <f>IFERROR(__xludf.DUMMYFUNCTION("""COMPUTED_VALUE"""),43422.0)</f>
        <v>43422</v>
      </c>
      <c r="D204" s="39">
        <f>IFERROR(__xludf.DUMMYFUNCTION("""COMPUTED_VALUE"""),46.0)</f>
        <v>46</v>
      </c>
      <c r="E204" s="39">
        <f>IFERROR(__xludf.DUMMYFUNCTION("""COMPUTED_VALUE"""),4519.0)</f>
        <v>4519</v>
      </c>
    </row>
    <row r="205">
      <c r="A205" s="39" t="str">
        <f>IFERROR(__xludf.DUMMYFUNCTION("""COMPUTED_VALUE"""),"Colombia")</f>
        <v>Colombia</v>
      </c>
      <c r="B205" s="40">
        <f>IFERROR(__xludf.DUMMYFUNCTION("""COMPUTED_VALUE"""),43423.0)</f>
        <v>43423</v>
      </c>
      <c r="C205" s="41">
        <f>IFERROR(__xludf.DUMMYFUNCTION("""COMPUTED_VALUE"""),43429.0)</f>
        <v>43429</v>
      </c>
      <c r="D205" s="39">
        <f>IFERROR(__xludf.DUMMYFUNCTION("""COMPUTED_VALUE"""),47.0)</f>
        <v>47</v>
      </c>
      <c r="E205" s="39">
        <f>IFERROR(__xludf.DUMMYFUNCTION("""COMPUTED_VALUE"""),4448.0)</f>
        <v>4448</v>
      </c>
    </row>
    <row r="206">
      <c r="A206" s="39" t="str">
        <f>IFERROR(__xludf.DUMMYFUNCTION("""COMPUTED_VALUE"""),"Colombia")</f>
        <v>Colombia</v>
      </c>
      <c r="B206" s="40">
        <f>IFERROR(__xludf.DUMMYFUNCTION("""COMPUTED_VALUE"""),43430.0)</f>
        <v>43430</v>
      </c>
      <c r="C206" s="41">
        <f>IFERROR(__xludf.DUMMYFUNCTION("""COMPUTED_VALUE"""),43436.0)</f>
        <v>43436</v>
      </c>
      <c r="D206" s="39">
        <f>IFERROR(__xludf.DUMMYFUNCTION("""COMPUTED_VALUE"""),48.0)</f>
        <v>48</v>
      </c>
      <c r="E206" s="39">
        <f>IFERROR(__xludf.DUMMYFUNCTION("""COMPUTED_VALUE"""),4636.0)</f>
        <v>4636</v>
      </c>
    </row>
    <row r="207">
      <c r="A207" s="39" t="str">
        <f>IFERROR(__xludf.DUMMYFUNCTION("""COMPUTED_VALUE"""),"Colombia")</f>
        <v>Colombia</v>
      </c>
      <c r="B207" s="40">
        <f>IFERROR(__xludf.DUMMYFUNCTION("""COMPUTED_VALUE"""),43437.0)</f>
        <v>43437</v>
      </c>
      <c r="C207" s="41">
        <f>IFERROR(__xludf.DUMMYFUNCTION("""COMPUTED_VALUE"""),43443.0)</f>
        <v>43443</v>
      </c>
      <c r="D207" s="39">
        <f>IFERROR(__xludf.DUMMYFUNCTION("""COMPUTED_VALUE"""),49.0)</f>
        <v>49</v>
      </c>
      <c r="E207" s="39">
        <f>IFERROR(__xludf.DUMMYFUNCTION("""COMPUTED_VALUE"""),4756.0)</f>
        <v>4756</v>
      </c>
    </row>
    <row r="208">
      <c r="A208" s="39" t="str">
        <f>IFERROR(__xludf.DUMMYFUNCTION("""COMPUTED_VALUE"""),"Colombia")</f>
        <v>Colombia</v>
      </c>
      <c r="B208" s="40">
        <f>IFERROR(__xludf.DUMMYFUNCTION("""COMPUTED_VALUE"""),43444.0)</f>
        <v>43444</v>
      </c>
      <c r="C208" s="41">
        <f>IFERROR(__xludf.DUMMYFUNCTION("""COMPUTED_VALUE"""),43450.0)</f>
        <v>43450</v>
      </c>
      <c r="D208" s="39">
        <f>IFERROR(__xludf.DUMMYFUNCTION("""COMPUTED_VALUE"""),50.0)</f>
        <v>50</v>
      </c>
      <c r="E208" s="39">
        <f>IFERROR(__xludf.DUMMYFUNCTION("""COMPUTED_VALUE"""),4763.0)</f>
        <v>4763</v>
      </c>
    </row>
    <row r="209">
      <c r="A209" s="39" t="str">
        <f>IFERROR(__xludf.DUMMYFUNCTION("""COMPUTED_VALUE"""),"Colombia")</f>
        <v>Colombia</v>
      </c>
      <c r="B209" s="40">
        <f>IFERROR(__xludf.DUMMYFUNCTION("""COMPUTED_VALUE"""),43451.0)</f>
        <v>43451</v>
      </c>
      <c r="C209" s="41">
        <f>IFERROR(__xludf.DUMMYFUNCTION("""COMPUTED_VALUE"""),43457.0)</f>
        <v>43457</v>
      </c>
      <c r="D209" s="39">
        <f>IFERROR(__xludf.DUMMYFUNCTION("""COMPUTED_VALUE"""),51.0)</f>
        <v>51</v>
      </c>
      <c r="E209" s="39">
        <f>IFERROR(__xludf.DUMMYFUNCTION("""COMPUTED_VALUE"""),4787.0)</f>
        <v>4787</v>
      </c>
    </row>
    <row r="210">
      <c r="A210" s="39" t="str">
        <f>IFERROR(__xludf.DUMMYFUNCTION("""COMPUTED_VALUE"""),"Colombia")</f>
        <v>Colombia</v>
      </c>
      <c r="B210" s="40">
        <f>IFERROR(__xludf.DUMMYFUNCTION("""COMPUTED_VALUE"""),43458.0)</f>
        <v>43458</v>
      </c>
      <c r="C210" s="41">
        <f>IFERROR(__xludf.DUMMYFUNCTION("""COMPUTED_VALUE"""),43464.0)</f>
        <v>43464</v>
      </c>
      <c r="D210" s="39">
        <f>IFERROR(__xludf.DUMMYFUNCTION("""COMPUTED_VALUE"""),52.0)</f>
        <v>52</v>
      </c>
      <c r="E210" s="39">
        <f>IFERROR(__xludf.DUMMYFUNCTION("""COMPUTED_VALUE"""),4984.0)</f>
        <v>4984</v>
      </c>
    </row>
    <row r="211">
      <c r="A211" s="39" t="str">
        <f>IFERROR(__xludf.DUMMYFUNCTION("""COMPUTED_VALUE"""),"Colombia")</f>
        <v>Colombia</v>
      </c>
      <c r="B211" s="40">
        <f>IFERROR(__xludf.DUMMYFUNCTION("""COMPUTED_VALUE"""),43465.0)</f>
        <v>43465</v>
      </c>
      <c r="C211" s="41">
        <f>IFERROR(__xludf.DUMMYFUNCTION("""COMPUTED_VALUE"""),43471.0)</f>
        <v>43471</v>
      </c>
      <c r="D211" s="39">
        <f>IFERROR(__xludf.DUMMYFUNCTION("""COMPUTED_VALUE"""),1.0)</f>
        <v>1</v>
      </c>
      <c r="E211" s="39">
        <f>IFERROR(__xludf.DUMMYFUNCTION("""COMPUTED_VALUE"""),5348.0)</f>
        <v>5348</v>
      </c>
    </row>
    <row r="212">
      <c r="A212" s="39" t="str">
        <f>IFERROR(__xludf.DUMMYFUNCTION("""COMPUTED_VALUE"""),"Colombia")</f>
        <v>Colombia</v>
      </c>
      <c r="B212" s="40">
        <f>IFERROR(__xludf.DUMMYFUNCTION("""COMPUTED_VALUE"""),43472.0)</f>
        <v>43472</v>
      </c>
      <c r="C212" s="41">
        <f>IFERROR(__xludf.DUMMYFUNCTION("""COMPUTED_VALUE"""),43478.0)</f>
        <v>43478</v>
      </c>
      <c r="D212" s="39">
        <f>IFERROR(__xludf.DUMMYFUNCTION("""COMPUTED_VALUE"""),2.0)</f>
        <v>2</v>
      </c>
      <c r="E212" s="39">
        <f>IFERROR(__xludf.DUMMYFUNCTION("""COMPUTED_VALUE"""),4713.0)</f>
        <v>4713</v>
      </c>
    </row>
    <row r="213">
      <c r="A213" s="39" t="str">
        <f>IFERROR(__xludf.DUMMYFUNCTION("""COMPUTED_VALUE"""),"Colombia")</f>
        <v>Colombia</v>
      </c>
      <c r="B213" s="40">
        <f>IFERROR(__xludf.DUMMYFUNCTION("""COMPUTED_VALUE"""),43479.0)</f>
        <v>43479</v>
      </c>
      <c r="C213" s="41">
        <f>IFERROR(__xludf.DUMMYFUNCTION("""COMPUTED_VALUE"""),43485.0)</f>
        <v>43485</v>
      </c>
      <c r="D213" s="39">
        <f>IFERROR(__xludf.DUMMYFUNCTION("""COMPUTED_VALUE"""),3.0)</f>
        <v>3</v>
      </c>
      <c r="E213" s="39">
        <f>IFERROR(__xludf.DUMMYFUNCTION("""COMPUTED_VALUE"""),4842.0)</f>
        <v>4842</v>
      </c>
    </row>
    <row r="214">
      <c r="A214" s="39" t="str">
        <f>IFERROR(__xludf.DUMMYFUNCTION("""COMPUTED_VALUE"""),"Colombia")</f>
        <v>Colombia</v>
      </c>
      <c r="B214" s="40">
        <f>IFERROR(__xludf.DUMMYFUNCTION("""COMPUTED_VALUE"""),43486.0)</f>
        <v>43486</v>
      </c>
      <c r="C214" s="41">
        <f>IFERROR(__xludf.DUMMYFUNCTION("""COMPUTED_VALUE"""),43492.0)</f>
        <v>43492</v>
      </c>
      <c r="D214" s="39">
        <f>IFERROR(__xludf.DUMMYFUNCTION("""COMPUTED_VALUE"""),4.0)</f>
        <v>4</v>
      </c>
      <c r="E214" s="39">
        <f>IFERROR(__xludf.DUMMYFUNCTION("""COMPUTED_VALUE"""),4606.0)</f>
        <v>4606</v>
      </c>
    </row>
    <row r="215">
      <c r="A215" s="39" t="str">
        <f>IFERROR(__xludf.DUMMYFUNCTION("""COMPUTED_VALUE"""),"Colombia")</f>
        <v>Colombia</v>
      </c>
      <c r="B215" s="40">
        <f>IFERROR(__xludf.DUMMYFUNCTION("""COMPUTED_VALUE"""),43493.0)</f>
        <v>43493</v>
      </c>
      <c r="C215" s="41">
        <f>IFERROR(__xludf.DUMMYFUNCTION("""COMPUTED_VALUE"""),43499.0)</f>
        <v>43499</v>
      </c>
      <c r="D215" s="39">
        <f>IFERROR(__xludf.DUMMYFUNCTION("""COMPUTED_VALUE"""),5.0)</f>
        <v>5</v>
      </c>
      <c r="E215" s="39">
        <f>IFERROR(__xludf.DUMMYFUNCTION("""COMPUTED_VALUE"""),4562.0)</f>
        <v>4562</v>
      </c>
    </row>
    <row r="216">
      <c r="A216" s="39" t="str">
        <f>IFERROR(__xludf.DUMMYFUNCTION("""COMPUTED_VALUE"""),"Colombia")</f>
        <v>Colombia</v>
      </c>
      <c r="B216" s="40">
        <f>IFERROR(__xludf.DUMMYFUNCTION("""COMPUTED_VALUE"""),43500.0)</f>
        <v>43500</v>
      </c>
      <c r="C216" s="41">
        <f>IFERROR(__xludf.DUMMYFUNCTION("""COMPUTED_VALUE"""),43506.0)</f>
        <v>43506</v>
      </c>
      <c r="D216" s="39">
        <f>IFERROR(__xludf.DUMMYFUNCTION("""COMPUTED_VALUE"""),6.0)</f>
        <v>6</v>
      </c>
      <c r="E216" s="39">
        <f>IFERROR(__xludf.DUMMYFUNCTION("""COMPUTED_VALUE"""),4497.0)</f>
        <v>4497</v>
      </c>
    </row>
    <row r="217">
      <c r="A217" s="39" t="str">
        <f>IFERROR(__xludf.DUMMYFUNCTION("""COMPUTED_VALUE"""),"Colombia")</f>
        <v>Colombia</v>
      </c>
      <c r="B217" s="40">
        <f>IFERROR(__xludf.DUMMYFUNCTION("""COMPUTED_VALUE"""),43507.0)</f>
        <v>43507</v>
      </c>
      <c r="C217" s="41">
        <f>IFERROR(__xludf.DUMMYFUNCTION("""COMPUTED_VALUE"""),43513.0)</f>
        <v>43513</v>
      </c>
      <c r="D217" s="39">
        <f>IFERROR(__xludf.DUMMYFUNCTION("""COMPUTED_VALUE"""),7.0)</f>
        <v>7</v>
      </c>
      <c r="E217" s="39">
        <f>IFERROR(__xludf.DUMMYFUNCTION("""COMPUTED_VALUE"""),4484.0)</f>
        <v>4484</v>
      </c>
    </row>
    <row r="218">
      <c r="A218" s="39" t="str">
        <f>IFERROR(__xludf.DUMMYFUNCTION("""COMPUTED_VALUE"""),"Colombia")</f>
        <v>Colombia</v>
      </c>
      <c r="B218" s="40">
        <f>IFERROR(__xludf.DUMMYFUNCTION("""COMPUTED_VALUE"""),43514.0)</f>
        <v>43514</v>
      </c>
      <c r="C218" s="41">
        <f>IFERROR(__xludf.DUMMYFUNCTION("""COMPUTED_VALUE"""),43520.0)</f>
        <v>43520</v>
      </c>
      <c r="D218" s="39">
        <f>IFERROR(__xludf.DUMMYFUNCTION("""COMPUTED_VALUE"""),8.0)</f>
        <v>8</v>
      </c>
      <c r="E218" s="39">
        <f>IFERROR(__xludf.DUMMYFUNCTION("""COMPUTED_VALUE"""),4494.0)</f>
        <v>4494</v>
      </c>
    </row>
    <row r="219">
      <c r="A219" s="39" t="str">
        <f>IFERROR(__xludf.DUMMYFUNCTION("""COMPUTED_VALUE"""),"Colombia")</f>
        <v>Colombia</v>
      </c>
      <c r="B219" s="40">
        <f>IFERROR(__xludf.DUMMYFUNCTION("""COMPUTED_VALUE"""),43521.0)</f>
        <v>43521</v>
      </c>
      <c r="C219" s="41">
        <f>IFERROR(__xludf.DUMMYFUNCTION("""COMPUTED_VALUE"""),43527.0)</f>
        <v>43527</v>
      </c>
      <c r="D219" s="39">
        <f>IFERROR(__xludf.DUMMYFUNCTION("""COMPUTED_VALUE"""),9.0)</f>
        <v>9</v>
      </c>
      <c r="E219" s="39">
        <f>IFERROR(__xludf.DUMMYFUNCTION("""COMPUTED_VALUE"""),4474.0)</f>
        <v>4474</v>
      </c>
    </row>
    <row r="220">
      <c r="A220" s="39" t="str">
        <f>IFERROR(__xludf.DUMMYFUNCTION("""COMPUTED_VALUE"""),"Colombia")</f>
        <v>Colombia</v>
      </c>
      <c r="B220" s="40">
        <f>IFERROR(__xludf.DUMMYFUNCTION("""COMPUTED_VALUE"""),43528.0)</f>
        <v>43528</v>
      </c>
      <c r="C220" s="41">
        <f>IFERROR(__xludf.DUMMYFUNCTION("""COMPUTED_VALUE"""),43534.0)</f>
        <v>43534</v>
      </c>
      <c r="D220" s="39">
        <f>IFERROR(__xludf.DUMMYFUNCTION("""COMPUTED_VALUE"""),10.0)</f>
        <v>10</v>
      </c>
      <c r="E220" s="39">
        <f>IFERROR(__xludf.DUMMYFUNCTION("""COMPUTED_VALUE"""),4440.0)</f>
        <v>4440</v>
      </c>
    </row>
    <row r="221">
      <c r="A221" s="39" t="str">
        <f>IFERROR(__xludf.DUMMYFUNCTION("""COMPUTED_VALUE"""),"Colombia")</f>
        <v>Colombia</v>
      </c>
      <c r="B221" s="40">
        <f>IFERROR(__xludf.DUMMYFUNCTION("""COMPUTED_VALUE"""),43535.0)</f>
        <v>43535</v>
      </c>
      <c r="C221" s="41">
        <f>IFERROR(__xludf.DUMMYFUNCTION("""COMPUTED_VALUE"""),43541.0)</f>
        <v>43541</v>
      </c>
      <c r="D221" s="39">
        <f>IFERROR(__xludf.DUMMYFUNCTION("""COMPUTED_VALUE"""),11.0)</f>
        <v>11</v>
      </c>
      <c r="E221" s="39">
        <f>IFERROR(__xludf.DUMMYFUNCTION("""COMPUTED_VALUE"""),4493.0)</f>
        <v>4493</v>
      </c>
    </row>
    <row r="222">
      <c r="A222" s="39" t="str">
        <f>IFERROR(__xludf.DUMMYFUNCTION("""COMPUTED_VALUE"""),"Colombia")</f>
        <v>Colombia</v>
      </c>
      <c r="B222" s="40">
        <f>IFERROR(__xludf.DUMMYFUNCTION("""COMPUTED_VALUE"""),43542.0)</f>
        <v>43542</v>
      </c>
      <c r="C222" s="41">
        <f>IFERROR(__xludf.DUMMYFUNCTION("""COMPUTED_VALUE"""),43548.0)</f>
        <v>43548</v>
      </c>
      <c r="D222" s="39">
        <f>IFERROR(__xludf.DUMMYFUNCTION("""COMPUTED_VALUE"""),12.0)</f>
        <v>12</v>
      </c>
      <c r="E222" s="39">
        <f>IFERROR(__xludf.DUMMYFUNCTION("""COMPUTED_VALUE"""),4520.0)</f>
        <v>4520</v>
      </c>
    </row>
    <row r="223">
      <c r="A223" s="39" t="str">
        <f>IFERROR(__xludf.DUMMYFUNCTION("""COMPUTED_VALUE"""),"Colombia")</f>
        <v>Colombia</v>
      </c>
      <c r="B223" s="40">
        <f>IFERROR(__xludf.DUMMYFUNCTION("""COMPUTED_VALUE"""),43549.0)</f>
        <v>43549</v>
      </c>
      <c r="C223" s="41">
        <f>IFERROR(__xludf.DUMMYFUNCTION("""COMPUTED_VALUE"""),43555.0)</f>
        <v>43555</v>
      </c>
      <c r="D223" s="39">
        <f>IFERROR(__xludf.DUMMYFUNCTION("""COMPUTED_VALUE"""),13.0)</f>
        <v>13</v>
      </c>
      <c r="E223" s="39">
        <f>IFERROR(__xludf.DUMMYFUNCTION("""COMPUTED_VALUE"""),4511.0)</f>
        <v>4511</v>
      </c>
    </row>
    <row r="224">
      <c r="A224" s="39" t="str">
        <f>IFERROR(__xludf.DUMMYFUNCTION("""COMPUTED_VALUE"""),"Colombia")</f>
        <v>Colombia</v>
      </c>
      <c r="B224" s="40">
        <f>IFERROR(__xludf.DUMMYFUNCTION("""COMPUTED_VALUE"""),43556.0)</f>
        <v>43556</v>
      </c>
      <c r="C224" s="41">
        <f>IFERROR(__xludf.DUMMYFUNCTION("""COMPUTED_VALUE"""),43562.0)</f>
        <v>43562</v>
      </c>
      <c r="D224" s="39">
        <f>IFERROR(__xludf.DUMMYFUNCTION("""COMPUTED_VALUE"""),14.0)</f>
        <v>14</v>
      </c>
      <c r="E224" s="39">
        <f>IFERROR(__xludf.DUMMYFUNCTION("""COMPUTED_VALUE"""),4474.0)</f>
        <v>4474</v>
      </c>
    </row>
    <row r="225">
      <c r="A225" s="39" t="str">
        <f>IFERROR(__xludf.DUMMYFUNCTION("""COMPUTED_VALUE"""),"Colombia")</f>
        <v>Colombia</v>
      </c>
      <c r="B225" s="40">
        <f>IFERROR(__xludf.DUMMYFUNCTION("""COMPUTED_VALUE"""),43563.0)</f>
        <v>43563</v>
      </c>
      <c r="C225" s="41">
        <f>IFERROR(__xludf.DUMMYFUNCTION("""COMPUTED_VALUE"""),43569.0)</f>
        <v>43569</v>
      </c>
      <c r="D225" s="39">
        <f>IFERROR(__xludf.DUMMYFUNCTION("""COMPUTED_VALUE"""),15.0)</f>
        <v>15</v>
      </c>
      <c r="E225" s="39">
        <f>IFERROR(__xludf.DUMMYFUNCTION("""COMPUTED_VALUE"""),4548.0)</f>
        <v>4548</v>
      </c>
    </row>
    <row r="226">
      <c r="A226" s="39" t="str">
        <f>IFERROR(__xludf.DUMMYFUNCTION("""COMPUTED_VALUE"""),"Colombia")</f>
        <v>Colombia</v>
      </c>
      <c r="B226" s="40">
        <f>IFERROR(__xludf.DUMMYFUNCTION("""COMPUTED_VALUE"""),43570.0)</f>
        <v>43570</v>
      </c>
      <c r="C226" s="41">
        <f>IFERROR(__xludf.DUMMYFUNCTION("""COMPUTED_VALUE"""),43576.0)</f>
        <v>43576</v>
      </c>
      <c r="D226" s="39">
        <f>IFERROR(__xludf.DUMMYFUNCTION("""COMPUTED_VALUE"""),16.0)</f>
        <v>16</v>
      </c>
      <c r="E226" s="39">
        <f>IFERROR(__xludf.DUMMYFUNCTION("""COMPUTED_VALUE"""),4420.0)</f>
        <v>4420</v>
      </c>
    </row>
    <row r="227">
      <c r="A227" s="39" t="str">
        <f>IFERROR(__xludf.DUMMYFUNCTION("""COMPUTED_VALUE"""),"Colombia")</f>
        <v>Colombia</v>
      </c>
      <c r="B227" s="40">
        <f>IFERROR(__xludf.DUMMYFUNCTION("""COMPUTED_VALUE"""),43577.0)</f>
        <v>43577</v>
      </c>
      <c r="C227" s="41">
        <f>IFERROR(__xludf.DUMMYFUNCTION("""COMPUTED_VALUE"""),43583.0)</f>
        <v>43583</v>
      </c>
      <c r="D227" s="39">
        <f>IFERROR(__xludf.DUMMYFUNCTION("""COMPUTED_VALUE"""),17.0)</f>
        <v>17</v>
      </c>
      <c r="E227" s="39">
        <f>IFERROR(__xludf.DUMMYFUNCTION("""COMPUTED_VALUE"""),4452.0)</f>
        <v>4452</v>
      </c>
    </row>
    <row r="228">
      <c r="A228" s="39" t="str">
        <f>IFERROR(__xludf.DUMMYFUNCTION("""COMPUTED_VALUE"""),"Colombia")</f>
        <v>Colombia</v>
      </c>
      <c r="B228" s="40">
        <f>IFERROR(__xludf.DUMMYFUNCTION("""COMPUTED_VALUE"""),43584.0)</f>
        <v>43584</v>
      </c>
      <c r="C228" s="41">
        <f>IFERROR(__xludf.DUMMYFUNCTION("""COMPUTED_VALUE"""),43590.0)</f>
        <v>43590</v>
      </c>
      <c r="D228" s="39">
        <f>IFERROR(__xludf.DUMMYFUNCTION("""COMPUTED_VALUE"""),18.0)</f>
        <v>18</v>
      </c>
      <c r="E228" s="39">
        <f>IFERROR(__xludf.DUMMYFUNCTION("""COMPUTED_VALUE"""),4677.0)</f>
        <v>4677</v>
      </c>
    </row>
    <row r="229">
      <c r="A229" s="39" t="str">
        <f>IFERROR(__xludf.DUMMYFUNCTION("""COMPUTED_VALUE"""),"Colombia")</f>
        <v>Colombia</v>
      </c>
      <c r="B229" s="40">
        <f>IFERROR(__xludf.DUMMYFUNCTION("""COMPUTED_VALUE"""),43591.0)</f>
        <v>43591</v>
      </c>
      <c r="C229" s="41">
        <f>IFERROR(__xludf.DUMMYFUNCTION("""COMPUTED_VALUE"""),43597.0)</f>
        <v>43597</v>
      </c>
      <c r="D229" s="39">
        <f>IFERROR(__xludf.DUMMYFUNCTION("""COMPUTED_VALUE"""),19.0)</f>
        <v>19</v>
      </c>
      <c r="E229" s="39">
        <f>IFERROR(__xludf.DUMMYFUNCTION("""COMPUTED_VALUE"""),4624.0)</f>
        <v>4624</v>
      </c>
    </row>
    <row r="230">
      <c r="A230" s="39" t="str">
        <f>IFERROR(__xludf.DUMMYFUNCTION("""COMPUTED_VALUE"""),"Colombia")</f>
        <v>Colombia</v>
      </c>
      <c r="B230" s="40">
        <f>IFERROR(__xludf.DUMMYFUNCTION("""COMPUTED_VALUE"""),43598.0)</f>
        <v>43598</v>
      </c>
      <c r="C230" s="41">
        <f>IFERROR(__xludf.DUMMYFUNCTION("""COMPUTED_VALUE"""),43604.0)</f>
        <v>43604</v>
      </c>
      <c r="D230" s="39">
        <f>IFERROR(__xludf.DUMMYFUNCTION("""COMPUTED_VALUE"""),20.0)</f>
        <v>20</v>
      </c>
      <c r="E230" s="39">
        <f>IFERROR(__xludf.DUMMYFUNCTION("""COMPUTED_VALUE"""),4448.0)</f>
        <v>4448</v>
      </c>
    </row>
    <row r="231">
      <c r="A231" s="39" t="str">
        <f>IFERROR(__xludf.DUMMYFUNCTION("""COMPUTED_VALUE"""),"Colombia")</f>
        <v>Colombia</v>
      </c>
      <c r="B231" s="40">
        <f>IFERROR(__xludf.DUMMYFUNCTION("""COMPUTED_VALUE"""),43605.0)</f>
        <v>43605</v>
      </c>
      <c r="C231" s="41">
        <f>IFERROR(__xludf.DUMMYFUNCTION("""COMPUTED_VALUE"""),43611.0)</f>
        <v>43611</v>
      </c>
      <c r="D231" s="39">
        <f>IFERROR(__xludf.DUMMYFUNCTION("""COMPUTED_VALUE"""),21.0)</f>
        <v>21</v>
      </c>
      <c r="E231" s="39">
        <f>IFERROR(__xludf.DUMMYFUNCTION("""COMPUTED_VALUE"""),4670.0)</f>
        <v>4670</v>
      </c>
    </row>
    <row r="232">
      <c r="A232" s="39" t="str">
        <f>IFERROR(__xludf.DUMMYFUNCTION("""COMPUTED_VALUE"""),"Colombia")</f>
        <v>Colombia</v>
      </c>
      <c r="B232" s="40">
        <f>IFERROR(__xludf.DUMMYFUNCTION("""COMPUTED_VALUE"""),43612.0)</f>
        <v>43612</v>
      </c>
      <c r="C232" s="41">
        <f>IFERROR(__xludf.DUMMYFUNCTION("""COMPUTED_VALUE"""),43618.0)</f>
        <v>43618</v>
      </c>
      <c r="D232" s="39">
        <f>IFERROR(__xludf.DUMMYFUNCTION("""COMPUTED_VALUE"""),22.0)</f>
        <v>22</v>
      </c>
      <c r="E232" s="39">
        <f>IFERROR(__xludf.DUMMYFUNCTION("""COMPUTED_VALUE"""),4570.0)</f>
        <v>4570</v>
      </c>
    </row>
    <row r="233">
      <c r="A233" s="39" t="str">
        <f>IFERROR(__xludf.DUMMYFUNCTION("""COMPUTED_VALUE"""),"Colombia")</f>
        <v>Colombia</v>
      </c>
      <c r="B233" s="40">
        <f>IFERROR(__xludf.DUMMYFUNCTION("""COMPUTED_VALUE"""),43619.0)</f>
        <v>43619</v>
      </c>
      <c r="C233" s="41">
        <f>IFERROR(__xludf.DUMMYFUNCTION("""COMPUTED_VALUE"""),43625.0)</f>
        <v>43625</v>
      </c>
      <c r="D233" s="39">
        <f>IFERROR(__xludf.DUMMYFUNCTION("""COMPUTED_VALUE"""),23.0)</f>
        <v>23</v>
      </c>
      <c r="E233" s="39">
        <f>IFERROR(__xludf.DUMMYFUNCTION("""COMPUTED_VALUE"""),4860.0)</f>
        <v>4860</v>
      </c>
    </row>
    <row r="234">
      <c r="A234" s="39" t="str">
        <f>IFERROR(__xludf.DUMMYFUNCTION("""COMPUTED_VALUE"""),"Colombia")</f>
        <v>Colombia</v>
      </c>
      <c r="B234" s="40">
        <f>IFERROR(__xludf.DUMMYFUNCTION("""COMPUTED_VALUE"""),43626.0)</f>
        <v>43626</v>
      </c>
      <c r="C234" s="41">
        <f>IFERROR(__xludf.DUMMYFUNCTION("""COMPUTED_VALUE"""),43632.0)</f>
        <v>43632</v>
      </c>
      <c r="D234" s="39">
        <f>IFERROR(__xludf.DUMMYFUNCTION("""COMPUTED_VALUE"""),24.0)</f>
        <v>24</v>
      </c>
      <c r="E234" s="39">
        <f>IFERROR(__xludf.DUMMYFUNCTION("""COMPUTED_VALUE"""),4753.0)</f>
        <v>4753</v>
      </c>
    </row>
    <row r="235">
      <c r="A235" s="39" t="str">
        <f>IFERROR(__xludf.DUMMYFUNCTION("""COMPUTED_VALUE"""),"Colombia")</f>
        <v>Colombia</v>
      </c>
      <c r="B235" s="40">
        <f>IFERROR(__xludf.DUMMYFUNCTION("""COMPUTED_VALUE"""),43633.0)</f>
        <v>43633</v>
      </c>
      <c r="C235" s="41">
        <f>IFERROR(__xludf.DUMMYFUNCTION("""COMPUTED_VALUE"""),43639.0)</f>
        <v>43639</v>
      </c>
      <c r="D235" s="39">
        <f>IFERROR(__xludf.DUMMYFUNCTION("""COMPUTED_VALUE"""),25.0)</f>
        <v>25</v>
      </c>
      <c r="E235" s="39">
        <f>IFERROR(__xludf.DUMMYFUNCTION("""COMPUTED_VALUE"""),4964.0)</f>
        <v>4964</v>
      </c>
    </row>
    <row r="236">
      <c r="A236" s="39" t="str">
        <f>IFERROR(__xludf.DUMMYFUNCTION("""COMPUTED_VALUE"""),"Colombia")</f>
        <v>Colombia</v>
      </c>
      <c r="B236" s="40">
        <f>IFERROR(__xludf.DUMMYFUNCTION("""COMPUTED_VALUE"""),43640.0)</f>
        <v>43640</v>
      </c>
      <c r="C236" s="41">
        <f>IFERROR(__xludf.DUMMYFUNCTION("""COMPUTED_VALUE"""),43646.0)</f>
        <v>43646</v>
      </c>
      <c r="D236" s="39">
        <f>IFERROR(__xludf.DUMMYFUNCTION("""COMPUTED_VALUE"""),26.0)</f>
        <v>26</v>
      </c>
      <c r="E236" s="39">
        <f>IFERROR(__xludf.DUMMYFUNCTION("""COMPUTED_VALUE"""),4807.0)</f>
        <v>4807</v>
      </c>
    </row>
    <row r="237">
      <c r="A237" s="39" t="str">
        <f>IFERROR(__xludf.DUMMYFUNCTION("""COMPUTED_VALUE"""),"Colombia")</f>
        <v>Colombia</v>
      </c>
      <c r="B237" s="40">
        <f>IFERROR(__xludf.DUMMYFUNCTION("""COMPUTED_VALUE"""),43647.0)</f>
        <v>43647</v>
      </c>
      <c r="C237" s="41">
        <f>IFERROR(__xludf.DUMMYFUNCTION("""COMPUTED_VALUE"""),43653.0)</f>
        <v>43653</v>
      </c>
      <c r="D237" s="39">
        <f>IFERROR(__xludf.DUMMYFUNCTION("""COMPUTED_VALUE"""),27.0)</f>
        <v>27</v>
      </c>
      <c r="E237" s="39">
        <f>IFERROR(__xludf.DUMMYFUNCTION("""COMPUTED_VALUE"""),4854.0)</f>
        <v>4854</v>
      </c>
    </row>
    <row r="238">
      <c r="A238" s="39" t="str">
        <f>IFERROR(__xludf.DUMMYFUNCTION("""COMPUTED_VALUE"""),"Colombia")</f>
        <v>Colombia</v>
      </c>
      <c r="B238" s="40">
        <f>IFERROR(__xludf.DUMMYFUNCTION("""COMPUTED_VALUE"""),43654.0)</f>
        <v>43654</v>
      </c>
      <c r="C238" s="41">
        <f>IFERROR(__xludf.DUMMYFUNCTION("""COMPUTED_VALUE"""),43660.0)</f>
        <v>43660</v>
      </c>
      <c r="D238" s="39">
        <f>IFERROR(__xludf.DUMMYFUNCTION("""COMPUTED_VALUE"""),28.0)</f>
        <v>28</v>
      </c>
      <c r="E238" s="39">
        <f>IFERROR(__xludf.DUMMYFUNCTION("""COMPUTED_VALUE"""),4887.0)</f>
        <v>4887</v>
      </c>
    </row>
    <row r="239">
      <c r="A239" s="39" t="str">
        <f>IFERROR(__xludf.DUMMYFUNCTION("""COMPUTED_VALUE"""),"Colombia")</f>
        <v>Colombia</v>
      </c>
      <c r="B239" s="40">
        <f>IFERROR(__xludf.DUMMYFUNCTION("""COMPUTED_VALUE"""),43661.0)</f>
        <v>43661</v>
      </c>
      <c r="C239" s="41">
        <f>IFERROR(__xludf.DUMMYFUNCTION("""COMPUTED_VALUE"""),43667.0)</f>
        <v>43667</v>
      </c>
      <c r="D239" s="39">
        <f>IFERROR(__xludf.DUMMYFUNCTION("""COMPUTED_VALUE"""),29.0)</f>
        <v>29</v>
      </c>
      <c r="E239" s="39">
        <f>IFERROR(__xludf.DUMMYFUNCTION("""COMPUTED_VALUE"""),4918.0)</f>
        <v>4918</v>
      </c>
    </row>
    <row r="240">
      <c r="A240" s="39" t="str">
        <f>IFERROR(__xludf.DUMMYFUNCTION("""COMPUTED_VALUE"""),"Colombia")</f>
        <v>Colombia</v>
      </c>
      <c r="B240" s="40">
        <f>IFERROR(__xludf.DUMMYFUNCTION("""COMPUTED_VALUE"""),43668.0)</f>
        <v>43668</v>
      </c>
      <c r="C240" s="41">
        <f>IFERROR(__xludf.DUMMYFUNCTION("""COMPUTED_VALUE"""),43674.0)</f>
        <v>43674</v>
      </c>
      <c r="D240" s="39">
        <f>IFERROR(__xludf.DUMMYFUNCTION("""COMPUTED_VALUE"""),30.0)</f>
        <v>30</v>
      </c>
      <c r="E240" s="39">
        <f>IFERROR(__xludf.DUMMYFUNCTION("""COMPUTED_VALUE"""),4672.0)</f>
        <v>4672</v>
      </c>
    </row>
    <row r="241">
      <c r="A241" s="39" t="str">
        <f>IFERROR(__xludf.DUMMYFUNCTION("""COMPUTED_VALUE"""),"Colombia")</f>
        <v>Colombia</v>
      </c>
      <c r="B241" s="40">
        <f>IFERROR(__xludf.DUMMYFUNCTION("""COMPUTED_VALUE"""),43675.0)</f>
        <v>43675</v>
      </c>
      <c r="C241" s="41">
        <f>IFERROR(__xludf.DUMMYFUNCTION("""COMPUTED_VALUE"""),43681.0)</f>
        <v>43681</v>
      </c>
      <c r="D241" s="39">
        <f>IFERROR(__xludf.DUMMYFUNCTION("""COMPUTED_VALUE"""),31.0)</f>
        <v>31</v>
      </c>
      <c r="E241" s="39">
        <f>IFERROR(__xludf.DUMMYFUNCTION("""COMPUTED_VALUE"""),4726.0)</f>
        <v>4726</v>
      </c>
    </row>
    <row r="242">
      <c r="A242" s="39" t="str">
        <f>IFERROR(__xludf.DUMMYFUNCTION("""COMPUTED_VALUE"""),"Colombia")</f>
        <v>Colombia</v>
      </c>
      <c r="B242" s="40">
        <f>IFERROR(__xludf.DUMMYFUNCTION("""COMPUTED_VALUE"""),43682.0)</f>
        <v>43682</v>
      </c>
      <c r="C242" s="41">
        <f>IFERROR(__xludf.DUMMYFUNCTION("""COMPUTED_VALUE"""),43688.0)</f>
        <v>43688</v>
      </c>
      <c r="D242" s="39">
        <f>IFERROR(__xludf.DUMMYFUNCTION("""COMPUTED_VALUE"""),32.0)</f>
        <v>32</v>
      </c>
      <c r="E242" s="39">
        <f>IFERROR(__xludf.DUMMYFUNCTION("""COMPUTED_VALUE"""),4742.0)</f>
        <v>4742</v>
      </c>
    </row>
    <row r="243">
      <c r="A243" s="39" t="str">
        <f>IFERROR(__xludf.DUMMYFUNCTION("""COMPUTED_VALUE"""),"Colombia")</f>
        <v>Colombia</v>
      </c>
      <c r="B243" s="40">
        <f>IFERROR(__xludf.DUMMYFUNCTION("""COMPUTED_VALUE"""),43689.0)</f>
        <v>43689</v>
      </c>
      <c r="C243" s="41">
        <f>IFERROR(__xludf.DUMMYFUNCTION("""COMPUTED_VALUE"""),43695.0)</f>
        <v>43695</v>
      </c>
      <c r="D243" s="39">
        <f>IFERROR(__xludf.DUMMYFUNCTION("""COMPUTED_VALUE"""),33.0)</f>
        <v>33</v>
      </c>
      <c r="E243" s="39">
        <f>IFERROR(__xludf.DUMMYFUNCTION("""COMPUTED_VALUE"""),4693.0)</f>
        <v>4693</v>
      </c>
    </row>
    <row r="244">
      <c r="A244" s="39" t="str">
        <f>IFERROR(__xludf.DUMMYFUNCTION("""COMPUTED_VALUE"""),"Colombia")</f>
        <v>Colombia</v>
      </c>
      <c r="B244" s="40">
        <f>IFERROR(__xludf.DUMMYFUNCTION("""COMPUTED_VALUE"""),43696.0)</f>
        <v>43696</v>
      </c>
      <c r="C244" s="41">
        <f>IFERROR(__xludf.DUMMYFUNCTION("""COMPUTED_VALUE"""),43702.0)</f>
        <v>43702</v>
      </c>
      <c r="D244" s="39">
        <f>IFERROR(__xludf.DUMMYFUNCTION("""COMPUTED_VALUE"""),34.0)</f>
        <v>34</v>
      </c>
      <c r="E244" s="39">
        <f>IFERROR(__xludf.DUMMYFUNCTION("""COMPUTED_VALUE"""),4912.0)</f>
        <v>4912</v>
      </c>
    </row>
    <row r="245">
      <c r="A245" s="39" t="str">
        <f>IFERROR(__xludf.DUMMYFUNCTION("""COMPUTED_VALUE"""),"Colombia")</f>
        <v>Colombia</v>
      </c>
      <c r="B245" s="40">
        <f>IFERROR(__xludf.DUMMYFUNCTION("""COMPUTED_VALUE"""),43703.0)</f>
        <v>43703</v>
      </c>
      <c r="C245" s="41">
        <f>IFERROR(__xludf.DUMMYFUNCTION("""COMPUTED_VALUE"""),43709.0)</f>
        <v>43709</v>
      </c>
      <c r="D245" s="39">
        <f>IFERROR(__xludf.DUMMYFUNCTION("""COMPUTED_VALUE"""),35.0)</f>
        <v>35</v>
      </c>
      <c r="E245" s="39">
        <f>IFERROR(__xludf.DUMMYFUNCTION("""COMPUTED_VALUE"""),4842.0)</f>
        <v>4842</v>
      </c>
    </row>
    <row r="246">
      <c r="A246" s="39" t="str">
        <f>IFERROR(__xludf.DUMMYFUNCTION("""COMPUTED_VALUE"""),"Colombia")</f>
        <v>Colombia</v>
      </c>
      <c r="B246" s="40">
        <f>IFERROR(__xludf.DUMMYFUNCTION("""COMPUTED_VALUE"""),43710.0)</f>
        <v>43710</v>
      </c>
      <c r="C246" s="41">
        <f>IFERROR(__xludf.DUMMYFUNCTION("""COMPUTED_VALUE"""),43716.0)</f>
        <v>43716</v>
      </c>
      <c r="D246" s="39">
        <f>IFERROR(__xludf.DUMMYFUNCTION("""COMPUTED_VALUE"""),36.0)</f>
        <v>36</v>
      </c>
      <c r="E246" s="39">
        <f>IFERROR(__xludf.DUMMYFUNCTION("""COMPUTED_VALUE"""),4717.0)</f>
        <v>4717</v>
      </c>
    </row>
    <row r="247">
      <c r="A247" s="39" t="str">
        <f>IFERROR(__xludf.DUMMYFUNCTION("""COMPUTED_VALUE"""),"Colombia")</f>
        <v>Colombia</v>
      </c>
      <c r="B247" s="40">
        <f>IFERROR(__xludf.DUMMYFUNCTION("""COMPUTED_VALUE"""),43717.0)</f>
        <v>43717</v>
      </c>
      <c r="C247" s="41">
        <f>IFERROR(__xludf.DUMMYFUNCTION("""COMPUTED_VALUE"""),43723.0)</f>
        <v>43723</v>
      </c>
      <c r="D247" s="39">
        <f>IFERROR(__xludf.DUMMYFUNCTION("""COMPUTED_VALUE"""),37.0)</f>
        <v>37</v>
      </c>
      <c r="E247" s="39">
        <f>IFERROR(__xludf.DUMMYFUNCTION("""COMPUTED_VALUE"""),4609.0)</f>
        <v>4609</v>
      </c>
    </row>
    <row r="248">
      <c r="A248" s="39" t="str">
        <f>IFERROR(__xludf.DUMMYFUNCTION("""COMPUTED_VALUE"""),"Colombia")</f>
        <v>Colombia</v>
      </c>
      <c r="B248" s="40">
        <f>IFERROR(__xludf.DUMMYFUNCTION("""COMPUTED_VALUE"""),43724.0)</f>
        <v>43724</v>
      </c>
      <c r="C248" s="41">
        <f>IFERROR(__xludf.DUMMYFUNCTION("""COMPUTED_VALUE"""),43730.0)</f>
        <v>43730</v>
      </c>
      <c r="D248" s="39">
        <f>IFERROR(__xludf.DUMMYFUNCTION("""COMPUTED_VALUE"""),38.0)</f>
        <v>38</v>
      </c>
      <c r="E248" s="39">
        <f>IFERROR(__xludf.DUMMYFUNCTION("""COMPUTED_VALUE"""),4648.0)</f>
        <v>4648</v>
      </c>
    </row>
    <row r="249">
      <c r="A249" s="39" t="str">
        <f>IFERROR(__xludf.DUMMYFUNCTION("""COMPUTED_VALUE"""),"Colombia")</f>
        <v>Colombia</v>
      </c>
      <c r="B249" s="40">
        <f>IFERROR(__xludf.DUMMYFUNCTION("""COMPUTED_VALUE"""),43731.0)</f>
        <v>43731</v>
      </c>
      <c r="C249" s="41">
        <f>IFERROR(__xludf.DUMMYFUNCTION("""COMPUTED_VALUE"""),43737.0)</f>
        <v>43737</v>
      </c>
      <c r="D249" s="39">
        <f>IFERROR(__xludf.DUMMYFUNCTION("""COMPUTED_VALUE"""),39.0)</f>
        <v>39</v>
      </c>
      <c r="E249" s="39">
        <f>IFERROR(__xludf.DUMMYFUNCTION("""COMPUTED_VALUE"""),4432.0)</f>
        <v>4432</v>
      </c>
    </row>
    <row r="250">
      <c r="A250" s="39" t="str">
        <f>IFERROR(__xludf.DUMMYFUNCTION("""COMPUTED_VALUE"""),"Colombia")</f>
        <v>Colombia</v>
      </c>
      <c r="B250" s="40">
        <f>IFERROR(__xludf.DUMMYFUNCTION("""COMPUTED_VALUE"""),43738.0)</f>
        <v>43738</v>
      </c>
      <c r="C250" s="41">
        <f>IFERROR(__xludf.DUMMYFUNCTION("""COMPUTED_VALUE"""),43744.0)</f>
        <v>43744</v>
      </c>
      <c r="D250" s="39">
        <f>IFERROR(__xludf.DUMMYFUNCTION("""COMPUTED_VALUE"""),40.0)</f>
        <v>40</v>
      </c>
      <c r="E250" s="39">
        <f>IFERROR(__xludf.DUMMYFUNCTION("""COMPUTED_VALUE"""),4628.0)</f>
        <v>4628</v>
      </c>
    </row>
    <row r="251">
      <c r="A251" s="39" t="str">
        <f>IFERROR(__xludf.DUMMYFUNCTION("""COMPUTED_VALUE"""),"Colombia")</f>
        <v>Colombia</v>
      </c>
      <c r="B251" s="40">
        <f>IFERROR(__xludf.DUMMYFUNCTION("""COMPUTED_VALUE"""),43745.0)</f>
        <v>43745</v>
      </c>
      <c r="C251" s="41">
        <f>IFERROR(__xludf.DUMMYFUNCTION("""COMPUTED_VALUE"""),43751.0)</f>
        <v>43751</v>
      </c>
      <c r="D251" s="39">
        <f>IFERROR(__xludf.DUMMYFUNCTION("""COMPUTED_VALUE"""),41.0)</f>
        <v>41</v>
      </c>
      <c r="E251" s="39">
        <f>IFERROR(__xludf.DUMMYFUNCTION("""COMPUTED_VALUE"""),4577.0)</f>
        <v>4577</v>
      </c>
    </row>
    <row r="252">
      <c r="A252" s="39" t="str">
        <f>IFERROR(__xludf.DUMMYFUNCTION("""COMPUTED_VALUE"""),"Colombia")</f>
        <v>Colombia</v>
      </c>
      <c r="B252" s="40">
        <f>IFERROR(__xludf.DUMMYFUNCTION("""COMPUTED_VALUE"""),43752.0)</f>
        <v>43752</v>
      </c>
      <c r="C252" s="41">
        <f>IFERROR(__xludf.DUMMYFUNCTION("""COMPUTED_VALUE"""),43758.0)</f>
        <v>43758</v>
      </c>
      <c r="D252" s="39">
        <f>IFERROR(__xludf.DUMMYFUNCTION("""COMPUTED_VALUE"""),42.0)</f>
        <v>42</v>
      </c>
      <c r="E252" s="39">
        <f>IFERROR(__xludf.DUMMYFUNCTION("""COMPUTED_VALUE"""),4617.0)</f>
        <v>4617</v>
      </c>
    </row>
    <row r="253">
      <c r="A253" s="39" t="str">
        <f>IFERROR(__xludf.DUMMYFUNCTION("""COMPUTED_VALUE"""),"Colombia")</f>
        <v>Colombia</v>
      </c>
      <c r="B253" s="40">
        <f>IFERROR(__xludf.DUMMYFUNCTION("""COMPUTED_VALUE"""),43759.0)</f>
        <v>43759</v>
      </c>
      <c r="C253" s="41">
        <f>IFERROR(__xludf.DUMMYFUNCTION("""COMPUTED_VALUE"""),43765.0)</f>
        <v>43765</v>
      </c>
      <c r="D253" s="39">
        <f>IFERROR(__xludf.DUMMYFUNCTION("""COMPUTED_VALUE"""),43.0)</f>
        <v>43</v>
      </c>
      <c r="E253" s="39">
        <f>IFERROR(__xludf.DUMMYFUNCTION("""COMPUTED_VALUE"""),4633.0)</f>
        <v>4633</v>
      </c>
    </row>
    <row r="254">
      <c r="A254" s="39" t="str">
        <f>IFERROR(__xludf.DUMMYFUNCTION("""COMPUTED_VALUE"""),"Colombia")</f>
        <v>Colombia</v>
      </c>
      <c r="B254" s="40">
        <f>IFERROR(__xludf.DUMMYFUNCTION("""COMPUTED_VALUE"""),43766.0)</f>
        <v>43766</v>
      </c>
      <c r="C254" s="41">
        <f>IFERROR(__xludf.DUMMYFUNCTION("""COMPUTED_VALUE"""),43772.0)</f>
        <v>43772</v>
      </c>
      <c r="D254" s="39">
        <f>IFERROR(__xludf.DUMMYFUNCTION("""COMPUTED_VALUE"""),44.0)</f>
        <v>44</v>
      </c>
      <c r="E254" s="39">
        <f>IFERROR(__xludf.DUMMYFUNCTION("""COMPUTED_VALUE"""),4778.0)</f>
        <v>4778</v>
      </c>
    </row>
    <row r="255">
      <c r="A255" s="39" t="str">
        <f>IFERROR(__xludf.DUMMYFUNCTION("""COMPUTED_VALUE"""),"Colombia")</f>
        <v>Colombia</v>
      </c>
      <c r="B255" s="40">
        <f>IFERROR(__xludf.DUMMYFUNCTION("""COMPUTED_VALUE"""),43773.0)</f>
        <v>43773</v>
      </c>
      <c r="C255" s="41">
        <f>IFERROR(__xludf.DUMMYFUNCTION("""COMPUTED_VALUE"""),43779.0)</f>
        <v>43779</v>
      </c>
      <c r="D255" s="39">
        <f>IFERROR(__xludf.DUMMYFUNCTION("""COMPUTED_VALUE"""),45.0)</f>
        <v>45</v>
      </c>
      <c r="E255" s="39">
        <f>IFERROR(__xludf.DUMMYFUNCTION("""COMPUTED_VALUE"""),4746.0)</f>
        <v>4746</v>
      </c>
    </row>
    <row r="256">
      <c r="A256" s="39" t="str">
        <f>IFERROR(__xludf.DUMMYFUNCTION("""COMPUTED_VALUE"""),"Colombia")</f>
        <v>Colombia</v>
      </c>
      <c r="B256" s="40">
        <f>IFERROR(__xludf.DUMMYFUNCTION("""COMPUTED_VALUE"""),43780.0)</f>
        <v>43780</v>
      </c>
      <c r="C256" s="41">
        <f>IFERROR(__xludf.DUMMYFUNCTION("""COMPUTED_VALUE"""),43786.0)</f>
        <v>43786</v>
      </c>
      <c r="D256" s="39">
        <f>IFERROR(__xludf.DUMMYFUNCTION("""COMPUTED_VALUE"""),46.0)</f>
        <v>46</v>
      </c>
      <c r="E256" s="39">
        <f>IFERROR(__xludf.DUMMYFUNCTION("""COMPUTED_VALUE"""),4697.0)</f>
        <v>4697</v>
      </c>
    </row>
    <row r="257">
      <c r="A257" s="39" t="str">
        <f>IFERROR(__xludf.DUMMYFUNCTION("""COMPUTED_VALUE"""),"Colombia")</f>
        <v>Colombia</v>
      </c>
      <c r="B257" s="40">
        <f>IFERROR(__xludf.DUMMYFUNCTION("""COMPUTED_VALUE"""),43787.0)</f>
        <v>43787</v>
      </c>
      <c r="C257" s="41">
        <f>IFERROR(__xludf.DUMMYFUNCTION("""COMPUTED_VALUE"""),43793.0)</f>
        <v>43793</v>
      </c>
      <c r="D257" s="39">
        <f>IFERROR(__xludf.DUMMYFUNCTION("""COMPUTED_VALUE"""),47.0)</f>
        <v>47</v>
      </c>
      <c r="E257" s="39">
        <f>IFERROR(__xludf.DUMMYFUNCTION("""COMPUTED_VALUE"""),4790.0)</f>
        <v>4790</v>
      </c>
    </row>
    <row r="258">
      <c r="A258" s="39" t="str">
        <f>IFERROR(__xludf.DUMMYFUNCTION("""COMPUTED_VALUE"""),"Colombia")</f>
        <v>Colombia</v>
      </c>
      <c r="B258" s="40">
        <f>IFERROR(__xludf.DUMMYFUNCTION("""COMPUTED_VALUE"""),43794.0)</f>
        <v>43794</v>
      </c>
      <c r="C258" s="41">
        <f>IFERROR(__xludf.DUMMYFUNCTION("""COMPUTED_VALUE"""),43800.0)</f>
        <v>43800</v>
      </c>
      <c r="D258" s="39">
        <f>IFERROR(__xludf.DUMMYFUNCTION("""COMPUTED_VALUE"""),48.0)</f>
        <v>48</v>
      </c>
      <c r="E258" s="39">
        <f>IFERROR(__xludf.DUMMYFUNCTION("""COMPUTED_VALUE"""),4755.0)</f>
        <v>4755</v>
      </c>
    </row>
    <row r="259">
      <c r="A259" s="39" t="str">
        <f>IFERROR(__xludf.DUMMYFUNCTION("""COMPUTED_VALUE"""),"Colombia")</f>
        <v>Colombia</v>
      </c>
      <c r="B259" s="40">
        <f>IFERROR(__xludf.DUMMYFUNCTION("""COMPUTED_VALUE"""),43801.0)</f>
        <v>43801</v>
      </c>
      <c r="C259" s="41">
        <f>IFERROR(__xludf.DUMMYFUNCTION("""COMPUTED_VALUE"""),43807.0)</f>
        <v>43807</v>
      </c>
      <c r="D259" s="39">
        <f>IFERROR(__xludf.DUMMYFUNCTION("""COMPUTED_VALUE"""),49.0)</f>
        <v>49</v>
      </c>
      <c r="E259" s="39">
        <f>IFERROR(__xludf.DUMMYFUNCTION("""COMPUTED_VALUE"""),4803.0)</f>
        <v>4803</v>
      </c>
    </row>
    <row r="260">
      <c r="A260" s="39" t="str">
        <f>IFERROR(__xludf.DUMMYFUNCTION("""COMPUTED_VALUE"""),"Colombia")</f>
        <v>Colombia</v>
      </c>
      <c r="B260" s="40">
        <f>IFERROR(__xludf.DUMMYFUNCTION("""COMPUTED_VALUE"""),43808.0)</f>
        <v>43808</v>
      </c>
      <c r="C260" s="41">
        <f>IFERROR(__xludf.DUMMYFUNCTION("""COMPUTED_VALUE"""),43814.0)</f>
        <v>43814</v>
      </c>
      <c r="D260" s="39">
        <f>IFERROR(__xludf.DUMMYFUNCTION("""COMPUTED_VALUE"""),50.0)</f>
        <v>50</v>
      </c>
      <c r="E260" s="39">
        <f>IFERROR(__xludf.DUMMYFUNCTION("""COMPUTED_VALUE"""),4818.0)</f>
        <v>4818</v>
      </c>
    </row>
    <row r="261">
      <c r="A261" s="39" t="str">
        <f>IFERROR(__xludf.DUMMYFUNCTION("""COMPUTED_VALUE"""),"Colombia")</f>
        <v>Colombia</v>
      </c>
      <c r="B261" s="40">
        <f>IFERROR(__xludf.DUMMYFUNCTION("""COMPUTED_VALUE"""),43815.0)</f>
        <v>43815</v>
      </c>
      <c r="C261" s="41">
        <f>IFERROR(__xludf.DUMMYFUNCTION("""COMPUTED_VALUE"""),43821.0)</f>
        <v>43821</v>
      </c>
      <c r="D261" s="39">
        <f>IFERROR(__xludf.DUMMYFUNCTION("""COMPUTED_VALUE"""),51.0)</f>
        <v>51</v>
      </c>
      <c r="E261" s="39">
        <f>IFERROR(__xludf.DUMMYFUNCTION("""COMPUTED_VALUE"""),4862.0)</f>
        <v>4862</v>
      </c>
    </row>
    <row r="262">
      <c r="A262" s="39" t="str">
        <f>IFERROR(__xludf.DUMMYFUNCTION("""COMPUTED_VALUE"""),"Colombia")</f>
        <v>Colombia</v>
      </c>
      <c r="B262" s="40">
        <f>IFERROR(__xludf.DUMMYFUNCTION("""COMPUTED_VALUE"""),43822.0)</f>
        <v>43822</v>
      </c>
      <c r="C262" s="41">
        <f>IFERROR(__xludf.DUMMYFUNCTION("""COMPUTED_VALUE"""),43828.0)</f>
        <v>43828</v>
      </c>
      <c r="D262" s="39">
        <f>IFERROR(__xludf.DUMMYFUNCTION("""COMPUTED_VALUE"""),52.0)</f>
        <v>52</v>
      </c>
      <c r="E262" s="39">
        <f>IFERROR(__xludf.DUMMYFUNCTION("""COMPUTED_VALUE"""),5041.0)</f>
        <v>5041</v>
      </c>
    </row>
    <row r="263">
      <c r="A263" s="39" t="str">
        <f>IFERROR(__xludf.DUMMYFUNCTION("""COMPUTED_VALUE"""),"Colombia")</f>
        <v>Colombia</v>
      </c>
      <c r="B263" s="40">
        <f>IFERROR(__xludf.DUMMYFUNCTION("""COMPUTED_VALUE"""),43829.0)</f>
        <v>43829</v>
      </c>
      <c r="C263" s="41">
        <f>IFERROR(__xludf.DUMMYFUNCTION("""COMPUTED_VALUE"""),43835.0)</f>
        <v>43835</v>
      </c>
      <c r="D263" s="39">
        <f>IFERROR(__xludf.DUMMYFUNCTION("""COMPUTED_VALUE"""),1.0)</f>
        <v>1</v>
      </c>
      <c r="E263" s="39">
        <f>IFERROR(__xludf.DUMMYFUNCTION("""COMPUTED_VALUE"""),5076.0)</f>
        <v>5076</v>
      </c>
    </row>
    <row r="264">
      <c r="A264" s="39" t="str">
        <f>IFERROR(__xludf.DUMMYFUNCTION("""COMPUTED_VALUE"""),"Colombia")</f>
        <v>Colombia</v>
      </c>
      <c r="B264" s="40">
        <f>IFERROR(__xludf.DUMMYFUNCTION("""COMPUTED_VALUE"""),43836.0)</f>
        <v>43836</v>
      </c>
      <c r="C264" s="41">
        <f>IFERROR(__xludf.DUMMYFUNCTION("""COMPUTED_VALUE"""),43842.0)</f>
        <v>43842</v>
      </c>
      <c r="D264" s="39">
        <f>IFERROR(__xludf.DUMMYFUNCTION("""COMPUTED_VALUE"""),2.0)</f>
        <v>2</v>
      </c>
      <c r="E264" s="39">
        <f>IFERROR(__xludf.DUMMYFUNCTION("""COMPUTED_VALUE"""),5007.0)</f>
        <v>5007</v>
      </c>
    </row>
    <row r="265">
      <c r="A265" s="39" t="str">
        <f>IFERROR(__xludf.DUMMYFUNCTION("""COMPUTED_VALUE"""),"Colombia")</f>
        <v>Colombia</v>
      </c>
      <c r="B265" s="40">
        <f>IFERROR(__xludf.DUMMYFUNCTION("""COMPUTED_VALUE"""),43843.0)</f>
        <v>43843</v>
      </c>
      <c r="C265" s="41">
        <f>IFERROR(__xludf.DUMMYFUNCTION("""COMPUTED_VALUE"""),43849.0)</f>
        <v>43849</v>
      </c>
      <c r="D265" s="39">
        <f>IFERROR(__xludf.DUMMYFUNCTION("""COMPUTED_VALUE"""),3.0)</f>
        <v>3</v>
      </c>
      <c r="E265" s="39">
        <f>IFERROR(__xludf.DUMMYFUNCTION("""COMPUTED_VALUE"""),4897.0)</f>
        <v>4897</v>
      </c>
    </row>
    <row r="266">
      <c r="A266" s="39" t="str">
        <f>IFERROR(__xludf.DUMMYFUNCTION("""COMPUTED_VALUE"""),"Colombia")</f>
        <v>Colombia</v>
      </c>
      <c r="B266" s="40">
        <f>IFERROR(__xludf.DUMMYFUNCTION("""COMPUTED_VALUE"""),43850.0)</f>
        <v>43850</v>
      </c>
      <c r="C266" s="41">
        <f>IFERROR(__xludf.DUMMYFUNCTION("""COMPUTED_VALUE"""),43856.0)</f>
        <v>43856</v>
      </c>
      <c r="D266" s="39">
        <f>IFERROR(__xludf.DUMMYFUNCTION("""COMPUTED_VALUE"""),4.0)</f>
        <v>4</v>
      </c>
      <c r="E266" s="39">
        <f>IFERROR(__xludf.DUMMYFUNCTION("""COMPUTED_VALUE"""),4760.0)</f>
        <v>4760</v>
      </c>
    </row>
    <row r="267">
      <c r="A267" s="39" t="str">
        <f>IFERROR(__xludf.DUMMYFUNCTION("""COMPUTED_VALUE"""),"Colombia")</f>
        <v>Colombia</v>
      </c>
      <c r="B267" s="40">
        <f>IFERROR(__xludf.DUMMYFUNCTION("""COMPUTED_VALUE"""),43857.0)</f>
        <v>43857</v>
      </c>
      <c r="C267" s="41">
        <f>IFERROR(__xludf.DUMMYFUNCTION("""COMPUTED_VALUE"""),43863.0)</f>
        <v>43863</v>
      </c>
      <c r="D267" s="39">
        <f>IFERROR(__xludf.DUMMYFUNCTION("""COMPUTED_VALUE"""),5.0)</f>
        <v>5</v>
      </c>
      <c r="E267" s="39">
        <f>IFERROR(__xludf.DUMMYFUNCTION("""COMPUTED_VALUE"""),4631.0)</f>
        <v>4631</v>
      </c>
    </row>
    <row r="268">
      <c r="A268" s="39" t="str">
        <f>IFERROR(__xludf.DUMMYFUNCTION("""COMPUTED_VALUE"""),"Colombia")</f>
        <v>Colombia</v>
      </c>
      <c r="B268" s="40">
        <f>IFERROR(__xludf.DUMMYFUNCTION("""COMPUTED_VALUE"""),43864.0)</f>
        <v>43864</v>
      </c>
      <c r="C268" s="41">
        <f>IFERROR(__xludf.DUMMYFUNCTION("""COMPUTED_VALUE"""),43870.0)</f>
        <v>43870</v>
      </c>
      <c r="D268" s="39">
        <f>IFERROR(__xludf.DUMMYFUNCTION("""COMPUTED_VALUE"""),6.0)</f>
        <v>6</v>
      </c>
      <c r="E268" s="39">
        <f>IFERROR(__xludf.DUMMYFUNCTION("""COMPUTED_VALUE"""),4742.0)</f>
        <v>4742</v>
      </c>
    </row>
    <row r="269">
      <c r="A269" s="39" t="str">
        <f>IFERROR(__xludf.DUMMYFUNCTION("""COMPUTED_VALUE"""),"Colombia")</f>
        <v>Colombia</v>
      </c>
      <c r="B269" s="40">
        <f>IFERROR(__xludf.DUMMYFUNCTION("""COMPUTED_VALUE"""),43871.0)</f>
        <v>43871</v>
      </c>
      <c r="C269" s="41">
        <f>IFERROR(__xludf.DUMMYFUNCTION("""COMPUTED_VALUE"""),43877.0)</f>
        <v>43877</v>
      </c>
      <c r="D269" s="39">
        <f>IFERROR(__xludf.DUMMYFUNCTION("""COMPUTED_VALUE"""),7.0)</f>
        <v>7</v>
      </c>
      <c r="E269" s="39">
        <f>IFERROR(__xludf.DUMMYFUNCTION("""COMPUTED_VALUE"""),4699.0)</f>
        <v>4699</v>
      </c>
    </row>
    <row r="270">
      <c r="A270" s="39" t="str">
        <f>IFERROR(__xludf.DUMMYFUNCTION("""COMPUTED_VALUE"""),"Colombia")</f>
        <v>Colombia</v>
      </c>
      <c r="B270" s="40">
        <f>IFERROR(__xludf.DUMMYFUNCTION("""COMPUTED_VALUE"""),43878.0)</f>
        <v>43878</v>
      </c>
      <c r="C270" s="41">
        <f>IFERROR(__xludf.DUMMYFUNCTION("""COMPUTED_VALUE"""),43884.0)</f>
        <v>43884</v>
      </c>
      <c r="D270" s="39">
        <f>IFERROR(__xludf.DUMMYFUNCTION("""COMPUTED_VALUE"""),8.0)</f>
        <v>8</v>
      </c>
      <c r="E270" s="39">
        <f>IFERROR(__xludf.DUMMYFUNCTION("""COMPUTED_VALUE"""),4693.0)</f>
        <v>4693</v>
      </c>
    </row>
    <row r="271">
      <c r="A271" s="39" t="str">
        <f>IFERROR(__xludf.DUMMYFUNCTION("""COMPUTED_VALUE"""),"Colombia")</f>
        <v>Colombia</v>
      </c>
      <c r="B271" s="40">
        <f>IFERROR(__xludf.DUMMYFUNCTION("""COMPUTED_VALUE"""),43885.0)</f>
        <v>43885</v>
      </c>
      <c r="C271" s="41">
        <f>IFERROR(__xludf.DUMMYFUNCTION("""COMPUTED_VALUE"""),43891.0)</f>
        <v>43891</v>
      </c>
      <c r="D271" s="39">
        <f>IFERROR(__xludf.DUMMYFUNCTION("""COMPUTED_VALUE"""),9.0)</f>
        <v>9</v>
      </c>
      <c r="E271" s="39">
        <f>IFERROR(__xludf.DUMMYFUNCTION("""COMPUTED_VALUE"""),4520.0)</f>
        <v>4520</v>
      </c>
    </row>
    <row r="272">
      <c r="A272" s="39" t="str">
        <f>IFERROR(__xludf.DUMMYFUNCTION("""COMPUTED_VALUE"""),"Colombia")</f>
        <v>Colombia</v>
      </c>
      <c r="B272" s="40">
        <f>IFERROR(__xludf.DUMMYFUNCTION("""COMPUTED_VALUE"""),43892.0)</f>
        <v>43892</v>
      </c>
      <c r="C272" s="41">
        <f>IFERROR(__xludf.DUMMYFUNCTION("""COMPUTED_VALUE"""),43898.0)</f>
        <v>43898</v>
      </c>
      <c r="D272" s="39">
        <f>IFERROR(__xludf.DUMMYFUNCTION("""COMPUTED_VALUE"""),10.0)</f>
        <v>10</v>
      </c>
      <c r="E272" s="39">
        <f>IFERROR(__xludf.DUMMYFUNCTION("""COMPUTED_VALUE"""),4534.0)</f>
        <v>4534</v>
      </c>
    </row>
    <row r="273">
      <c r="A273" s="39" t="str">
        <f>IFERROR(__xludf.DUMMYFUNCTION("""COMPUTED_VALUE"""),"Colombia")</f>
        <v>Colombia</v>
      </c>
      <c r="B273" s="40">
        <f>IFERROR(__xludf.DUMMYFUNCTION("""COMPUTED_VALUE"""),43899.0)</f>
        <v>43899</v>
      </c>
      <c r="C273" s="41">
        <f>IFERROR(__xludf.DUMMYFUNCTION("""COMPUTED_VALUE"""),43905.0)</f>
        <v>43905</v>
      </c>
      <c r="D273" s="39">
        <f>IFERROR(__xludf.DUMMYFUNCTION("""COMPUTED_VALUE"""),11.0)</f>
        <v>11</v>
      </c>
      <c r="E273" s="39">
        <f>IFERROR(__xludf.DUMMYFUNCTION("""COMPUTED_VALUE"""),4457.0)</f>
        <v>4457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tr">
        <f>IFERROR(__xludf.DUMMYFUNCTION("QUERY(DATASET!A:F, ""SELECT A,B,C,D,E WHERE A='Chile' AND C&lt; date '2020-03-16' "")"),"País")</f>
        <v>País</v>
      </c>
      <c r="B1" s="39" t="str">
        <f>IFERROR(__xludf.DUMMYFUNCTION("""COMPUTED_VALUE"""),"Fecha de Inicio")</f>
        <v>Fecha de Inicio</v>
      </c>
      <c r="C1" s="39" t="str">
        <f>IFERROR(__xludf.DUMMYFUNCTION("""COMPUTED_VALUE"""),"Fecha Fin")</f>
        <v>Fecha Fin</v>
      </c>
      <c r="D1" s="39" t="str">
        <f>IFERROR(__xludf.DUMMYFUNCTION("""COMPUTED_VALUE"""),"Semana")</f>
        <v>Semana</v>
      </c>
      <c r="E1" s="39" t="str">
        <f>IFERROR(__xludf.DUMMYFUNCTION("""COMPUTED_VALUE"""),"Total de Muertes Reportadas")</f>
        <v>Total de Muertes Reportadas</v>
      </c>
    </row>
    <row r="2">
      <c r="A2" s="39" t="str">
        <f>IFERROR(__xludf.DUMMYFUNCTION("""COMPUTED_VALUE"""),"Chile")</f>
        <v>Chile</v>
      </c>
      <c r="B2" s="40">
        <f>IFERROR(__xludf.DUMMYFUNCTION("""COMPUTED_VALUE"""),42373.0)</f>
        <v>42373</v>
      </c>
      <c r="C2" s="41">
        <f>IFERROR(__xludf.DUMMYFUNCTION("""COMPUTED_VALUE"""),42379.0)</f>
        <v>42379</v>
      </c>
      <c r="D2" s="39">
        <f>IFERROR(__xludf.DUMMYFUNCTION("""COMPUTED_VALUE"""),1.0)</f>
        <v>1</v>
      </c>
      <c r="E2" s="39">
        <f>IFERROR(__xludf.DUMMYFUNCTION("""COMPUTED_VALUE"""),1884.0)</f>
        <v>1884</v>
      </c>
    </row>
    <row r="3">
      <c r="A3" s="39" t="str">
        <f>IFERROR(__xludf.DUMMYFUNCTION("""COMPUTED_VALUE"""),"Chile")</f>
        <v>Chile</v>
      </c>
      <c r="B3" s="40">
        <f>IFERROR(__xludf.DUMMYFUNCTION("""COMPUTED_VALUE"""),42380.0)</f>
        <v>42380</v>
      </c>
      <c r="C3" s="41">
        <f>IFERROR(__xludf.DUMMYFUNCTION("""COMPUTED_VALUE"""),42386.0)</f>
        <v>42386</v>
      </c>
      <c r="D3" s="39">
        <f>IFERROR(__xludf.DUMMYFUNCTION("""COMPUTED_VALUE"""),2.0)</f>
        <v>2</v>
      </c>
      <c r="E3" s="39">
        <f>IFERROR(__xludf.DUMMYFUNCTION("""COMPUTED_VALUE"""),1885.0)</f>
        <v>1885</v>
      </c>
    </row>
    <row r="4">
      <c r="A4" s="39" t="str">
        <f>IFERROR(__xludf.DUMMYFUNCTION("""COMPUTED_VALUE"""),"Chile")</f>
        <v>Chile</v>
      </c>
      <c r="B4" s="40">
        <f>IFERROR(__xludf.DUMMYFUNCTION("""COMPUTED_VALUE"""),42387.0)</f>
        <v>42387</v>
      </c>
      <c r="C4" s="41">
        <f>IFERROR(__xludf.DUMMYFUNCTION("""COMPUTED_VALUE"""),42393.0)</f>
        <v>42393</v>
      </c>
      <c r="D4" s="39">
        <f>IFERROR(__xludf.DUMMYFUNCTION("""COMPUTED_VALUE"""),3.0)</f>
        <v>3</v>
      </c>
      <c r="E4" s="39">
        <f>IFERROR(__xludf.DUMMYFUNCTION("""COMPUTED_VALUE"""),1916.0)</f>
        <v>1916</v>
      </c>
    </row>
    <row r="5">
      <c r="A5" s="39" t="str">
        <f>IFERROR(__xludf.DUMMYFUNCTION("""COMPUTED_VALUE"""),"Chile")</f>
        <v>Chile</v>
      </c>
      <c r="B5" s="40">
        <f>IFERROR(__xludf.DUMMYFUNCTION("""COMPUTED_VALUE"""),42394.0)</f>
        <v>42394</v>
      </c>
      <c r="C5" s="41">
        <f>IFERROR(__xludf.DUMMYFUNCTION("""COMPUTED_VALUE"""),42400.0)</f>
        <v>42400</v>
      </c>
      <c r="D5" s="39">
        <f>IFERROR(__xludf.DUMMYFUNCTION("""COMPUTED_VALUE"""),4.0)</f>
        <v>4</v>
      </c>
      <c r="E5" s="39">
        <f>IFERROR(__xludf.DUMMYFUNCTION("""COMPUTED_VALUE"""),1837.0)</f>
        <v>1837</v>
      </c>
    </row>
    <row r="6">
      <c r="A6" s="39" t="str">
        <f>IFERROR(__xludf.DUMMYFUNCTION("""COMPUTED_VALUE"""),"Chile")</f>
        <v>Chile</v>
      </c>
      <c r="B6" s="40">
        <f>IFERROR(__xludf.DUMMYFUNCTION("""COMPUTED_VALUE"""),42401.0)</f>
        <v>42401</v>
      </c>
      <c r="C6" s="41">
        <f>IFERROR(__xludf.DUMMYFUNCTION("""COMPUTED_VALUE"""),42407.0)</f>
        <v>42407</v>
      </c>
      <c r="D6" s="39">
        <f>IFERROR(__xludf.DUMMYFUNCTION("""COMPUTED_VALUE"""),5.0)</f>
        <v>5</v>
      </c>
      <c r="E6" s="39">
        <f>IFERROR(__xludf.DUMMYFUNCTION("""COMPUTED_VALUE"""),1912.0)</f>
        <v>1912</v>
      </c>
    </row>
    <row r="7">
      <c r="A7" s="39" t="str">
        <f>IFERROR(__xludf.DUMMYFUNCTION("""COMPUTED_VALUE"""),"Chile")</f>
        <v>Chile</v>
      </c>
      <c r="B7" s="40">
        <f>IFERROR(__xludf.DUMMYFUNCTION("""COMPUTED_VALUE"""),42408.0)</f>
        <v>42408</v>
      </c>
      <c r="C7" s="41">
        <f>IFERROR(__xludf.DUMMYFUNCTION("""COMPUTED_VALUE"""),42414.0)</f>
        <v>42414</v>
      </c>
      <c r="D7" s="39">
        <f>IFERROR(__xludf.DUMMYFUNCTION("""COMPUTED_VALUE"""),6.0)</f>
        <v>6</v>
      </c>
      <c r="E7" s="39">
        <f>IFERROR(__xludf.DUMMYFUNCTION("""COMPUTED_VALUE"""),1718.0)</f>
        <v>1718</v>
      </c>
    </row>
    <row r="8">
      <c r="A8" s="39" t="str">
        <f>IFERROR(__xludf.DUMMYFUNCTION("""COMPUTED_VALUE"""),"Chile")</f>
        <v>Chile</v>
      </c>
      <c r="B8" s="40">
        <f>IFERROR(__xludf.DUMMYFUNCTION("""COMPUTED_VALUE"""),42415.0)</f>
        <v>42415</v>
      </c>
      <c r="C8" s="41">
        <f>IFERROR(__xludf.DUMMYFUNCTION("""COMPUTED_VALUE"""),42421.0)</f>
        <v>42421</v>
      </c>
      <c r="D8" s="39">
        <f>IFERROR(__xludf.DUMMYFUNCTION("""COMPUTED_VALUE"""),7.0)</f>
        <v>7</v>
      </c>
      <c r="E8" s="39">
        <f>IFERROR(__xludf.DUMMYFUNCTION("""COMPUTED_VALUE"""),1760.0)</f>
        <v>1760</v>
      </c>
    </row>
    <row r="9">
      <c r="A9" s="39" t="str">
        <f>IFERROR(__xludf.DUMMYFUNCTION("""COMPUTED_VALUE"""),"Chile")</f>
        <v>Chile</v>
      </c>
      <c r="B9" s="40">
        <f>IFERROR(__xludf.DUMMYFUNCTION("""COMPUTED_VALUE"""),42422.0)</f>
        <v>42422</v>
      </c>
      <c r="C9" s="41">
        <f>IFERROR(__xludf.DUMMYFUNCTION("""COMPUTED_VALUE"""),42428.0)</f>
        <v>42428</v>
      </c>
      <c r="D9" s="39">
        <f>IFERROR(__xludf.DUMMYFUNCTION("""COMPUTED_VALUE"""),8.0)</f>
        <v>8</v>
      </c>
      <c r="E9" s="39">
        <f>IFERROR(__xludf.DUMMYFUNCTION("""COMPUTED_VALUE"""),1813.0)</f>
        <v>1813</v>
      </c>
    </row>
    <row r="10">
      <c r="A10" s="39" t="str">
        <f>IFERROR(__xludf.DUMMYFUNCTION("""COMPUTED_VALUE"""),"Chile")</f>
        <v>Chile</v>
      </c>
      <c r="B10" s="40">
        <f>IFERROR(__xludf.DUMMYFUNCTION("""COMPUTED_VALUE"""),42429.0)</f>
        <v>42429</v>
      </c>
      <c r="C10" s="41">
        <f>IFERROR(__xludf.DUMMYFUNCTION("""COMPUTED_VALUE"""),42435.0)</f>
        <v>42435</v>
      </c>
      <c r="D10" s="39">
        <f>IFERROR(__xludf.DUMMYFUNCTION("""COMPUTED_VALUE"""),9.0)</f>
        <v>9</v>
      </c>
      <c r="E10" s="39">
        <f>IFERROR(__xludf.DUMMYFUNCTION("""COMPUTED_VALUE"""),1756.0)</f>
        <v>1756</v>
      </c>
    </row>
    <row r="11">
      <c r="A11" s="39" t="str">
        <f>IFERROR(__xludf.DUMMYFUNCTION("""COMPUTED_VALUE"""),"Chile")</f>
        <v>Chile</v>
      </c>
      <c r="B11" s="40">
        <f>IFERROR(__xludf.DUMMYFUNCTION("""COMPUTED_VALUE"""),42436.0)</f>
        <v>42436</v>
      </c>
      <c r="C11" s="41">
        <f>IFERROR(__xludf.DUMMYFUNCTION("""COMPUTED_VALUE"""),42442.0)</f>
        <v>42442</v>
      </c>
      <c r="D11" s="39">
        <f>IFERROR(__xludf.DUMMYFUNCTION("""COMPUTED_VALUE"""),10.0)</f>
        <v>10</v>
      </c>
      <c r="E11" s="39">
        <f>IFERROR(__xludf.DUMMYFUNCTION("""COMPUTED_VALUE"""),1753.0)</f>
        <v>1753</v>
      </c>
    </row>
    <row r="12">
      <c r="A12" s="39" t="str">
        <f>IFERROR(__xludf.DUMMYFUNCTION("""COMPUTED_VALUE"""),"Chile")</f>
        <v>Chile</v>
      </c>
      <c r="B12" s="40">
        <f>IFERROR(__xludf.DUMMYFUNCTION("""COMPUTED_VALUE"""),42443.0)</f>
        <v>42443</v>
      </c>
      <c r="C12" s="41">
        <f>IFERROR(__xludf.DUMMYFUNCTION("""COMPUTED_VALUE"""),42449.0)</f>
        <v>42449</v>
      </c>
      <c r="D12" s="39">
        <f>IFERROR(__xludf.DUMMYFUNCTION("""COMPUTED_VALUE"""),11.0)</f>
        <v>11</v>
      </c>
      <c r="E12" s="39">
        <f>IFERROR(__xludf.DUMMYFUNCTION("""COMPUTED_VALUE"""),1771.0)</f>
        <v>1771</v>
      </c>
    </row>
    <row r="13">
      <c r="A13" s="39" t="str">
        <f>IFERROR(__xludf.DUMMYFUNCTION("""COMPUTED_VALUE"""),"Chile")</f>
        <v>Chile</v>
      </c>
      <c r="B13" s="40">
        <f>IFERROR(__xludf.DUMMYFUNCTION("""COMPUTED_VALUE"""),42450.0)</f>
        <v>42450</v>
      </c>
      <c r="C13" s="41">
        <f>IFERROR(__xludf.DUMMYFUNCTION("""COMPUTED_VALUE"""),42456.0)</f>
        <v>42456</v>
      </c>
      <c r="D13" s="39">
        <f>IFERROR(__xludf.DUMMYFUNCTION("""COMPUTED_VALUE"""),12.0)</f>
        <v>12</v>
      </c>
      <c r="E13" s="39">
        <f>IFERROR(__xludf.DUMMYFUNCTION("""COMPUTED_VALUE"""),1758.0)</f>
        <v>1758</v>
      </c>
    </row>
    <row r="14">
      <c r="A14" s="39" t="str">
        <f>IFERROR(__xludf.DUMMYFUNCTION("""COMPUTED_VALUE"""),"Chile")</f>
        <v>Chile</v>
      </c>
      <c r="B14" s="40">
        <f>IFERROR(__xludf.DUMMYFUNCTION("""COMPUTED_VALUE"""),42457.0)</f>
        <v>42457</v>
      </c>
      <c r="C14" s="41">
        <f>IFERROR(__xludf.DUMMYFUNCTION("""COMPUTED_VALUE"""),42463.0)</f>
        <v>42463</v>
      </c>
      <c r="D14" s="39">
        <f>IFERROR(__xludf.DUMMYFUNCTION("""COMPUTED_VALUE"""),13.0)</f>
        <v>13</v>
      </c>
      <c r="E14" s="39">
        <f>IFERROR(__xludf.DUMMYFUNCTION("""COMPUTED_VALUE"""),1757.0)</f>
        <v>1757</v>
      </c>
    </row>
    <row r="15">
      <c r="A15" s="39" t="str">
        <f>IFERROR(__xludf.DUMMYFUNCTION("""COMPUTED_VALUE"""),"Chile")</f>
        <v>Chile</v>
      </c>
      <c r="B15" s="40">
        <f>IFERROR(__xludf.DUMMYFUNCTION("""COMPUTED_VALUE"""),42464.0)</f>
        <v>42464</v>
      </c>
      <c r="C15" s="41">
        <f>IFERROR(__xludf.DUMMYFUNCTION("""COMPUTED_VALUE"""),42470.0)</f>
        <v>42470</v>
      </c>
      <c r="D15" s="39">
        <f>IFERROR(__xludf.DUMMYFUNCTION("""COMPUTED_VALUE"""),14.0)</f>
        <v>14</v>
      </c>
      <c r="E15" s="39">
        <f>IFERROR(__xludf.DUMMYFUNCTION("""COMPUTED_VALUE"""),1789.0)</f>
        <v>1789</v>
      </c>
    </row>
    <row r="16">
      <c r="A16" s="39" t="str">
        <f>IFERROR(__xludf.DUMMYFUNCTION("""COMPUTED_VALUE"""),"Chile")</f>
        <v>Chile</v>
      </c>
      <c r="B16" s="40">
        <f>IFERROR(__xludf.DUMMYFUNCTION("""COMPUTED_VALUE"""),42471.0)</f>
        <v>42471</v>
      </c>
      <c r="C16" s="41">
        <f>IFERROR(__xludf.DUMMYFUNCTION("""COMPUTED_VALUE"""),42477.0)</f>
        <v>42477</v>
      </c>
      <c r="D16" s="39">
        <f>IFERROR(__xludf.DUMMYFUNCTION("""COMPUTED_VALUE"""),15.0)</f>
        <v>15</v>
      </c>
      <c r="E16" s="39">
        <f>IFERROR(__xludf.DUMMYFUNCTION("""COMPUTED_VALUE"""),1945.0)</f>
        <v>1945</v>
      </c>
    </row>
    <row r="17">
      <c r="A17" s="39" t="str">
        <f>IFERROR(__xludf.DUMMYFUNCTION("""COMPUTED_VALUE"""),"Chile")</f>
        <v>Chile</v>
      </c>
      <c r="B17" s="40">
        <f>IFERROR(__xludf.DUMMYFUNCTION("""COMPUTED_VALUE"""),42478.0)</f>
        <v>42478</v>
      </c>
      <c r="C17" s="41">
        <f>IFERROR(__xludf.DUMMYFUNCTION("""COMPUTED_VALUE"""),42484.0)</f>
        <v>42484</v>
      </c>
      <c r="D17" s="39">
        <f>IFERROR(__xludf.DUMMYFUNCTION("""COMPUTED_VALUE"""),16.0)</f>
        <v>16</v>
      </c>
      <c r="E17" s="39">
        <f>IFERROR(__xludf.DUMMYFUNCTION("""COMPUTED_VALUE"""),1889.0)</f>
        <v>1889</v>
      </c>
    </row>
    <row r="18">
      <c r="A18" s="39" t="str">
        <f>IFERROR(__xludf.DUMMYFUNCTION("""COMPUTED_VALUE"""),"Chile")</f>
        <v>Chile</v>
      </c>
      <c r="B18" s="40">
        <f>IFERROR(__xludf.DUMMYFUNCTION("""COMPUTED_VALUE"""),42485.0)</f>
        <v>42485</v>
      </c>
      <c r="C18" s="41">
        <f>IFERROR(__xludf.DUMMYFUNCTION("""COMPUTED_VALUE"""),42491.0)</f>
        <v>42491</v>
      </c>
      <c r="D18" s="39">
        <f>IFERROR(__xludf.DUMMYFUNCTION("""COMPUTED_VALUE"""),17.0)</f>
        <v>17</v>
      </c>
      <c r="E18" s="39">
        <f>IFERROR(__xludf.DUMMYFUNCTION("""COMPUTED_VALUE"""),2018.0)</f>
        <v>2018</v>
      </c>
    </row>
    <row r="19">
      <c r="A19" s="39" t="str">
        <f>IFERROR(__xludf.DUMMYFUNCTION("""COMPUTED_VALUE"""),"Chile")</f>
        <v>Chile</v>
      </c>
      <c r="B19" s="40">
        <f>IFERROR(__xludf.DUMMYFUNCTION("""COMPUTED_VALUE"""),42492.0)</f>
        <v>42492</v>
      </c>
      <c r="C19" s="41">
        <f>IFERROR(__xludf.DUMMYFUNCTION("""COMPUTED_VALUE"""),42498.0)</f>
        <v>42498</v>
      </c>
      <c r="D19" s="39">
        <f>IFERROR(__xludf.DUMMYFUNCTION("""COMPUTED_VALUE"""),18.0)</f>
        <v>18</v>
      </c>
      <c r="E19" s="39">
        <f>IFERROR(__xludf.DUMMYFUNCTION("""COMPUTED_VALUE"""),1882.0)</f>
        <v>1882</v>
      </c>
    </row>
    <row r="20">
      <c r="A20" s="39" t="str">
        <f>IFERROR(__xludf.DUMMYFUNCTION("""COMPUTED_VALUE"""),"Chile")</f>
        <v>Chile</v>
      </c>
      <c r="B20" s="40">
        <f>IFERROR(__xludf.DUMMYFUNCTION("""COMPUTED_VALUE"""),42499.0)</f>
        <v>42499</v>
      </c>
      <c r="C20" s="41">
        <f>IFERROR(__xludf.DUMMYFUNCTION("""COMPUTED_VALUE"""),42505.0)</f>
        <v>42505</v>
      </c>
      <c r="D20" s="39">
        <f>IFERROR(__xludf.DUMMYFUNCTION("""COMPUTED_VALUE"""),19.0)</f>
        <v>19</v>
      </c>
      <c r="E20" s="39">
        <f>IFERROR(__xludf.DUMMYFUNCTION("""COMPUTED_VALUE"""),1965.0)</f>
        <v>1965</v>
      </c>
    </row>
    <row r="21">
      <c r="A21" s="39" t="str">
        <f>IFERROR(__xludf.DUMMYFUNCTION("""COMPUTED_VALUE"""),"Chile")</f>
        <v>Chile</v>
      </c>
      <c r="B21" s="40">
        <f>IFERROR(__xludf.DUMMYFUNCTION("""COMPUTED_VALUE"""),42506.0)</f>
        <v>42506</v>
      </c>
      <c r="C21" s="41">
        <f>IFERROR(__xludf.DUMMYFUNCTION("""COMPUTED_VALUE"""),42512.0)</f>
        <v>42512</v>
      </c>
      <c r="D21" s="39">
        <f>IFERROR(__xludf.DUMMYFUNCTION("""COMPUTED_VALUE"""),20.0)</f>
        <v>20</v>
      </c>
      <c r="E21" s="39">
        <f>IFERROR(__xludf.DUMMYFUNCTION("""COMPUTED_VALUE"""),1953.0)</f>
        <v>1953</v>
      </c>
    </row>
    <row r="22">
      <c r="A22" s="39" t="str">
        <f>IFERROR(__xludf.DUMMYFUNCTION("""COMPUTED_VALUE"""),"Chile")</f>
        <v>Chile</v>
      </c>
      <c r="B22" s="40">
        <f>IFERROR(__xludf.DUMMYFUNCTION("""COMPUTED_VALUE"""),42513.0)</f>
        <v>42513</v>
      </c>
      <c r="C22" s="41">
        <f>IFERROR(__xludf.DUMMYFUNCTION("""COMPUTED_VALUE"""),42519.0)</f>
        <v>42519</v>
      </c>
      <c r="D22" s="39">
        <f>IFERROR(__xludf.DUMMYFUNCTION("""COMPUTED_VALUE"""),21.0)</f>
        <v>21</v>
      </c>
      <c r="E22" s="39">
        <f>IFERROR(__xludf.DUMMYFUNCTION("""COMPUTED_VALUE"""),2044.0)</f>
        <v>2044</v>
      </c>
    </row>
    <row r="23">
      <c r="A23" s="39" t="str">
        <f>IFERROR(__xludf.DUMMYFUNCTION("""COMPUTED_VALUE"""),"Chile")</f>
        <v>Chile</v>
      </c>
      <c r="B23" s="40">
        <f>IFERROR(__xludf.DUMMYFUNCTION("""COMPUTED_VALUE"""),42520.0)</f>
        <v>42520</v>
      </c>
      <c r="C23" s="41">
        <f>IFERROR(__xludf.DUMMYFUNCTION("""COMPUTED_VALUE"""),42526.0)</f>
        <v>42526</v>
      </c>
      <c r="D23" s="39">
        <f>IFERROR(__xludf.DUMMYFUNCTION("""COMPUTED_VALUE"""),22.0)</f>
        <v>22</v>
      </c>
      <c r="E23" s="39">
        <f>IFERROR(__xludf.DUMMYFUNCTION("""COMPUTED_VALUE"""),2021.0)</f>
        <v>2021</v>
      </c>
    </row>
    <row r="24">
      <c r="A24" s="39" t="str">
        <f>IFERROR(__xludf.DUMMYFUNCTION("""COMPUTED_VALUE"""),"Chile")</f>
        <v>Chile</v>
      </c>
      <c r="B24" s="40">
        <f>IFERROR(__xludf.DUMMYFUNCTION("""COMPUTED_VALUE"""),42527.0)</f>
        <v>42527</v>
      </c>
      <c r="C24" s="41">
        <f>IFERROR(__xludf.DUMMYFUNCTION("""COMPUTED_VALUE"""),42533.0)</f>
        <v>42533</v>
      </c>
      <c r="D24" s="39">
        <f>IFERROR(__xludf.DUMMYFUNCTION("""COMPUTED_VALUE"""),23.0)</f>
        <v>23</v>
      </c>
      <c r="E24" s="39">
        <f>IFERROR(__xludf.DUMMYFUNCTION("""COMPUTED_VALUE"""),2175.0)</f>
        <v>2175</v>
      </c>
    </row>
    <row r="25">
      <c r="A25" s="39" t="str">
        <f>IFERROR(__xludf.DUMMYFUNCTION("""COMPUTED_VALUE"""),"Chile")</f>
        <v>Chile</v>
      </c>
      <c r="B25" s="40">
        <f>IFERROR(__xludf.DUMMYFUNCTION("""COMPUTED_VALUE"""),42534.0)</f>
        <v>42534</v>
      </c>
      <c r="C25" s="41">
        <f>IFERROR(__xludf.DUMMYFUNCTION("""COMPUTED_VALUE"""),42540.0)</f>
        <v>42540</v>
      </c>
      <c r="D25" s="39">
        <f>IFERROR(__xludf.DUMMYFUNCTION("""COMPUTED_VALUE"""),24.0)</f>
        <v>24</v>
      </c>
      <c r="E25" s="39">
        <f>IFERROR(__xludf.DUMMYFUNCTION("""COMPUTED_VALUE"""),2161.0)</f>
        <v>2161</v>
      </c>
    </row>
    <row r="26">
      <c r="A26" s="39" t="str">
        <f>IFERROR(__xludf.DUMMYFUNCTION("""COMPUTED_VALUE"""),"Chile")</f>
        <v>Chile</v>
      </c>
      <c r="B26" s="40">
        <f>IFERROR(__xludf.DUMMYFUNCTION("""COMPUTED_VALUE"""),42541.0)</f>
        <v>42541</v>
      </c>
      <c r="C26" s="41">
        <f>IFERROR(__xludf.DUMMYFUNCTION("""COMPUTED_VALUE"""),42547.0)</f>
        <v>42547</v>
      </c>
      <c r="D26" s="39">
        <f>IFERROR(__xludf.DUMMYFUNCTION("""COMPUTED_VALUE"""),25.0)</f>
        <v>25</v>
      </c>
      <c r="E26" s="39">
        <f>IFERROR(__xludf.DUMMYFUNCTION("""COMPUTED_VALUE"""),2339.0)</f>
        <v>2339</v>
      </c>
    </row>
    <row r="27">
      <c r="A27" s="39" t="str">
        <f>IFERROR(__xludf.DUMMYFUNCTION("""COMPUTED_VALUE"""),"Chile")</f>
        <v>Chile</v>
      </c>
      <c r="B27" s="40">
        <f>IFERROR(__xludf.DUMMYFUNCTION("""COMPUTED_VALUE"""),42548.0)</f>
        <v>42548</v>
      </c>
      <c r="C27" s="41">
        <f>IFERROR(__xludf.DUMMYFUNCTION("""COMPUTED_VALUE"""),42554.0)</f>
        <v>42554</v>
      </c>
      <c r="D27" s="39">
        <f>IFERROR(__xludf.DUMMYFUNCTION("""COMPUTED_VALUE"""),26.0)</f>
        <v>26</v>
      </c>
      <c r="E27" s="39">
        <f>IFERROR(__xludf.DUMMYFUNCTION("""COMPUTED_VALUE"""),2375.0)</f>
        <v>2375</v>
      </c>
    </row>
    <row r="28">
      <c r="A28" s="39" t="str">
        <f>IFERROR(__xludf.DUMMYFUNCTION("""COMPUTED_VALUE"""),"Chile")</f>
        <v>Chile</v>
      </c>
      <c r="B28" s="40">
        <f>IFERROR(__xludf.DUMMYFUNCTION("""COMPUTED_VALUE"""),42555.0)</f>
        <v>42555</v>
      </c>
      <c r="C28" s="41">
        <f>IFERROR(__xludf.DUMMYFUNCTION("""COMPUTED_VALUE"""),42561.0)</f>
        <v>42561</v>
      </c>
      <c r="D28" s="39">
        <f>IFERROR(__xludf.DUMMYFUNCTION("""COMPUTED_VALUE"""),27.0)</f>
        <v>27</v>
      </c>
      <c r="E28" s="39">
        <f>IFERROR(__xludf.DUMMYFUNCTION("""COMPUTED_VALUE"""),2381.0)</f>
        <v>2381</v>
      </c>
    </row>
    <row r="29">
      <c r="A29" s="39" t="str">
        <f>IFERROR(__xludf.DUMMYFUNCTION("""COMPUTED_VALUE"""),"Chile")</f>
        <v>Chile</v>
      </c>
      <c r="B29" s="40">
        <f>IFERROR(__xludf.DUMMYFUNCTION("""COMPUTED_VALUE"""),42562.0)</f>
        <v>42562</v>
      </c>
      <c r="C29" s="41">
        <f>IFERROR(__xludf.DUMMYFUNCTION("""COMPUTED_VALUE"""),42568.0)</f>
        <v>42568</v>
      </c>
      <c r="D29" s="39">
        <f>IFERROR(__xludf.DUMMYFUNCTION("""COMPUTED_VALUE"""),28.0)</f>
        <v>28</v>
      </c>
      <c r="E29" s="39">
        <f>IFERROR(__xludf.DUMMYFUNCTION("""COMPUTED_VALUE"""),2483.0)</f>
        <v>2483</v>
      </c>
    </row>
    <row r="30">
      <c r="A30" s="39" t="str">
        <f>IFERROR(__xludf.DUMMYFUNCTION("""COMPUTED_VALUE"""),"Chile")</f>
        <v>Chile</v>
      </c>
      <c r="B30" s="40">
        <f>IFERROR(__xludf.DUMMYFUNCTION("""COMPUTED_VALUE"""),42569.0)</f>
        <v>42569</v>
      </c>
      <c r="C30" s="41">
        <f>IFERROR(__xludf.DUMMYFUNCTION("""COMPUTED_VALUE"""),42575.0)</f>
        <v>42575</v>
      </c>
      <c r="D30" s="39">
        <f>IFERROR(__xludf.DUMMYFUNCTION("""COMPUTED_VALUE"""),29.0)</f>
        <v>29</v>
      </c>
      <c r="E30" s="39">
        <f>IFERROR(__xludf.DUMMYFUNCTION("""COMPUTED_VALUE"""),2526.0)</f>
        <v>2526</v>
      </c>
    </row>
    <row r="31">
      <c r="A31" s="39" t="str">
        <f>IFERROR(__xludf.DUMMYFUNCTION("""COMPUTED_VALUE"""),"Chile")</f>
        <v>Chile</v>
      </c>
      <c r="B31" s="40">
        <f>IFERROR(__xludf.DUMMYFUNCTION("""COMPUTED_VALUE"""),42576.0)</f>
        <v>42576</v>
      </c>
      <c r="C31" s="41">
        <f>IFERROR(__xludf.DUMMYFUNCTION("""COMPUTED_VALUE"""),42582.0)</f>
        <v>42582</v>
      </c>
      <c r="D31" s="39">
        <f>IFERROR(__xludf.DUMMYFUNCTION("""COMPUTED_VALUE"""),30.0)</f>
        <v>30</v>
      </c>
      <c r="E31" s="39">
        <f>IFERROR(__xludf.DUMMYFUNCTION("""COMPUTED_VALUE"""),2301.0)</f>
        <v>2301</v>
      </c>
    </row>
    <row r="32">
      <c r="A32" s="39" t="str">
        <f>IFERROR(__xludf.DUMMYFUNCTION("""COMPUTED_VALUE"""),"Chile")</f>
        <v>Chile</v>
      </c>
      <c r="B32" s="40">
        <f>IFERROR(__xludf.DUMMYFUNCTION("""COMPUTED_VALUE"""),42583.0)</f>
        <v>42583</v>
      </c>
      <c r="C32" s="41">
        <f>IFERROR(__xludf.DUMMYFUNCTION("""COMPUTED_VALUE"""),42589.0)</f>
        <v>42589</v>
      </c>
      <c r="D32" s="39">
        <f>IFERROR(__xludf.DUMMYFUNCTION("""COMPUTED_VALUE"""),31.0)</f>
        <v>31</v>
      </c>
      <c r="E32" s="39">
        <f>IFERROR(__xludf.DUMMYFUNCTION("""COMPUTED_VALUE"""),2232.0)</f>
        <v>2232</v>
      </c>
    </row>
    <row r="33">
      <c r="A33" s="39" t="str">
        <f>IFERROR(__xludf.DUMMYFUNCTION("""COMPUTED_VALUE"""),"Chile")</f>
        <v>Chile</v>
      </c>
      <c r="B33" s="40">
        <f>IFERROR(__xludf.DUMMYFUNCTION("""COMPUTED_VALUE"""),42590.0)</f>
        <v>42590</v>
      </c>
      <c r="C33" s="41">
        <f>IFERROR(__xludf.DUMMYFUNCTION("""COMPUTED_VALUE"""),42596.0)</f>
        <v>42596</v>
      </c>
      <c r="D33" s="39">
        <f>IFERROR(__xludf.DUMMYFUNCTION("""COMPUTED_VALUE"""),32.0)</f>
        <v>32</v>
      </c>
      <c r="E33" s="39">
        <f>IFERROR(__xludf.DUMMYFUNCTION("""COMPUTED_VALUE"""),2201.0)</f>
        <v>2201</v>
      </c>
    </row>
    <row r="34">
      <c r="A34" s="39" t="str">
        <f>IFERROR(__xludf.DUMMYFUNCTION("""COMPUTED_VALUE"""),"Chile")</f>
        <v>Chile</v>
      </c>
      <c r="B34" s="40">
        <f>IFERROR(__xludf.DUMMYFUNCTION("""COMPUTED_VALUE"""),42597.0)</f>
        <v>42597</v>
      </c>
      <c r="C34" s="41">
        <f>IFERROR(__xludf.DUMMYFUNCTION("""COMPUTED_VALUE"""),42603.0)</f>
        <v>42603</v>
      </c>
      <c r="D34" s="39">
        <f>IFERROR(__xludf.DUMMYFUNCTION("""COMPUTED_VALUE"""),33.0)</f>
        <v>33</v>
      </c>
      <c r="E34" s="39">
        <f>IFERROR(__xludf.DUMMYFUNCTION("""COMPUTED_VALUE"""),2203.0)</f>
        <v>2203</v>
      </c>
    </row>
    <row r="35">
      <c r="A35" s="39" t="str">
        <f>IFERROR(__xludf.DUMMYFUNCTION("""COMPUTED_VALUE"""),"Chile")</f>
        <v>Chile</v>
      </c>
      <c r="B35" s="40">
        <f>IFERROR(__xludf.DUMMYFUNCTION("""COMPUTED_VALUE"""),42604.0)</f>
        <v>42604</v>
      </c>
      <c r="C35" s="41">
        <f>IFERROR(__xludf.DUMMYFUNCTION("""COMPUTED_VALUE"""),42610.0)</f>
        <v>42610</v>
      </c>
      <c r="D35" s="39">
        <f>IFERROR(__xludf.DUMMYFUNCTION("""COMPUTED_VALUE"""),34.0)</f>
        <v>34</v>
      </c>
      <c r="E35" s="39">
        <f>IFERROR(__xludf.DUMMYFUNCTION("""COMPUTED_VALUE"""),2144.0)</f>
        <v>2144</v>
      </c>
    </row>
    <row r="36">
      <c r="A36" s="39" t="str">
        <f>IFERROR(__xludf.DUMMYFUNCTION("""COMPUTED_VALUE"""),"Chile")</f>
        <v>Chile</v>
      </c>
      <c r="B36" s="40">
        <f>IFERROR(__xludf.DUMMYFUNCTION("""COMPUTED_VALUE"""),42611.0)</f>
        <v>42611</v>
      </c>
      <c r="C36" s="41">
        <f>IFERROR(__xludf.DUMMYFUNCTION("""COMPUTED_VALUE"""),42617.0)</f>
        <v>42617</v>
      </c>
      <c r="D36" s="39">
        <f>IFERROR(__xludf.DUMMYFUNCTION("""COMPUTED_VALUE"""),35.0)</f>
        <v>35</v>
      </c>
      <c r="E36" s="39">
        <f>IFERROR(__xludf.DUMMYFUNCTION("""COMPUTED_VALUE"""),2115.0)</f>
        <v>2115</v>
      </c>
    </row>
    <row r="37">
      <c r="A37" s="39" t="str">
        <f>IFERROR(__xludf.DUMMYFUNCTION("""COMPUTED_VALUE"""),"Chile")</f>
        <v>Chile</v>
      </c>
      <c r="B37" s="40">
        <f>IFERROR(__xludf.DUMMYFUNCTION("""COMPUTED_VALUE"""),42618.0)</f>
        <v>42618</v>
      </c>
      <c r="C37" s="41">
        <f>IFERROR(__xludf.DUMMYFUNCTION("""COMPUTED_VALUE"""),42624.0)</f>
        <v>42624</v>
      </c>
      <c r="D37" s="39">
        <f>IFERROR(__xludf.DUMMYFUNCTION("""COMPUTED_VALUE"""),36.0)</f>
        <v>36</v>
      </c>
      <c r="E37" s="39">
        <f>IFERROR(__xludf.DUMMYFUNCTION("""COMPUTED_VALUE"""),2328.0)</f>
        <v>2328</v>
      </c>
    </row>
    <row r="38">
      <c r="A38" s="39" t="str">
        <f>IFERROR(__xludf.DUMMYFUNCTION("""COMPUTED_VALUE"""),"Chile")</f>
        <v>Chile</v>
      </c>
      <c r="B38" s="40">
        <f>IFERROR(__xludf.DUMMYFUNCTION("""COMPUTED_VALUE"""),42625.0)</f>
        <v>42625</v>
      </c>
      <c r="C38" s="41">
        <f>IFERROR(__xludf.DUMMYFUNCTION("""COMPUTED_VALUE"""),42631.0)</f>
        <v>42631</v>
      </c>
      <c r="D38" s="39">
        <f>IFERROR(__xludf.DUMMYFUNCTION("""COMPUTED_VALUE"""),37.0)</f>
        <v>37</v>
      </c>
      <c r="E38" s="39">
        <f>IFERROR(__xludf.DUMMYFUNCTION("""COMPUTED_VALUE"""),2086.0)</f>
        <v>2086</v>
      </c>
    </row>
    <row r="39">
      <c r="A39" s="39" t="str">
        <f>IFERROR(__xludf.DUMMYFUNCTION("""COMPUTED_VALUE"""),"Chile")</f>
        <v>Chile</v>
      </c>
      <c r="B39" s="40">
        <f>IFERROR(__xludf.DUMMYFUNCTION("""COMPUTED_VALUE"""),42632.0)</f>
        <v>42632</v>
      </c>
      <c r="C39" s="41">
        <f>IFERROR(__xludf.DUMMYFUNCTION("""COMPUTED_VALUE"""),42638.0)</f>
        <v>42638</v>
      </c>
      <c r="D39" s="39">
        <f>IFERROR(__xludf.DUMMYFUNCTION("""COMPUTED_VALUE"""),38.0)</f>
        <v>38</v>
      </c>
      <c r="E39" s="39">
        <f>IFERROR(__xludf.DUMMYFUNCTION("""COMPUTED_VALUE"""),2156.0)</f>
        <v>2156</v>
      </c>
    </row>
    <row r="40">
      <c r="A40" s="39" t="str">
        <f>IFERROR(__xludf.DUMMYFUNCTION("""COMPUTED_VALUE"""),"Chile")</f>
        <v>Chile</v>
      </c>
      <c r="B40" s="40">
        <f>IFERROR(__xludf.DUMMYFUNCTION("""COMPUTED_VALUE"""),42639.0)</f>
        <v>42639</v>
      </c>
      <c r="C40" s="41">
        <f>IFERROR(__xludf.DUMMYFUNCTION("""COMPUTED_VALUE"""),42645.0)</f>
        <v>42645</v>
      </c>
      <c r="D40" s="39">
        <f>IFERROR(__xludf.DUMMYFUNCTION("""COMPUTED_VALUE"""),39.0)</f>
        <v>39</v>
      </c>
      <c r="E40" s="39">
        <f>IFERROR(__xludf.DUMMYFUNCTION("""COMPUTED_VALUE"""),2072.0)</f>
        <v>2072</v>
      </c>
    </row>
    <row r="41">
      <c r="A41" s="39" t="str">
        <f>IFERROR(__xludf.DUMMYFUNCTION("""COMPUTED_VALUE"""),"Chile")</f>
        <v>Chile</v>
      </c>
      <c r="B41" s="40">
        <f>IFERROR(__xludf.DUMMYFUNCTION("""COMPUTED_VALUE"""),42646.0)</f>
        <v>42646</v>
      </c>
      <c r="C41" s="41">
        <f>IFERROR(__xludf.DUMMYFUNCTION("""COMPUTED_VALUE"""),42652.0)</f>
        <v>42652</v>
      </c>
      <c r="D41" s="39">
        <f>IFERROR(__xludf.DUMMYFUNCTION("""COMPUTED_VALUE"""),40.0)</f>
        <v>40</v>
      </c>
      <c r="E41" s="39">
        <f>IFERROR(__xludf.DUMMYFUNCTION("""COMPUTED_VALUE"""),1968.0)</f>
        <v>1968</v>
      </c>
    </row>
    <row r="42">
      <c r="A42" s="39" t="str">
        <f>IFERROR(__xludf.DUMMYFUNCTION("""COMPUTED_VALUE"""),"Chile")</f>
        <v>Chile</v>
      </c>
      <c r="B42" s="40">
        <f>IFERROR(__xludf.DUMMYFUNCTION("""COMPUTED_VALUE"""),42653.0)</f>
        <v>42653</v>
      </c>
      <c r="C42" s="41">
        <f>IFERROR(__xludf.DUMMYFUNCTION("""COMPUTED_VALUE"""),42659.0)</f>
        <v>42659</v>
      </c>
      <c r="D42" s="39">
        <f>IFERROR(__xludf.DUMMYFUNCTION("""COMPUTED_VALUE"""),41.0)</f>
        <v>41</v>
      </c>
      <c r="E42" s="39">
        <f>IFERROR(__xludf.DUMMYFUNCTION("""COMPUTED_VALUE"""),1926.0)</f>
        <v>1926</v>
      </c>
    </row>
    <row r="43">
      <c r="A43" s="39" t="str">
        <f>IFERROR(__xludf.DUMMYFUNCTION("""COMPUTED_VALUE"""),"Chile")</f>
        <v>Chile</v>
      </c>
      <c r="B43" s="40">
        <f>IFERROR(__xludf.DUMMYFUNCTION("""COMPUTED_VALUE"""),42660.0)</f>
        <v>42660</v>
      </c>
      <c r="C43" s="41">
        <f>IFERROR(__xludf.DUMMYFUNCTION("""COMPUTED_VALUE"""),42666.0)</f>
        <v>42666</v>
      </c>
      <c r="D43" s="39">
        <f>IFERROR(__xludf.DUMMYFUNCTION("""COMPUTED_VALUE"""),42.0)</f>
        <v>42</v>
      </c>
      <c r="E43" s="39">
        <f>IFERROR(__xludf.DUMMYFUNCTION("""COMPUTED_VALUE"""),1891.0)</f>
        <v>1891</v>
      </c>
    </row>
    <row r="44">
      <c r="A44" s="39" t="str">
        <f>IFERROR(__xludf.DUMMYFUNCTION("""COMPUTED_VALUE"""),"Chile")</f>
        <v>Chile</v>
      </c>
      <c r="B44" s="40">
        <f>IFERROR(__xludf.DUMMYFUNCTION("""COMPUTED_VALUE"""),42667.0)</f>
        <v>42667</v>
      </c>
      <c r="C44" s="41">
        <f>IFERROR(__xludf.DUMMYFUNCTION("""COMPUTED_VALUE"""),42673.0)</f>
        <v>42673</v>
      </c>
      <c r="D44" s="39">
        <f>IFERROR(__xludf.DUMMYFUNCTION("""COMPUTED_VALUE"""),43.0)</f>
        <v>43</v>
      </c>
      <c r="E44" s="39">
        <f>IFERROR(__xludf.DUMMYFUNCTION("""COMPUTED_VALUE"""),1906.0)</f>
        <v>1906</v>
      </c>
    </row>
    <row r="45">
      <c r="A45" s="39" t="str">
        <f>IFERROR(__xludf.DUMMYFUNCTION("""COMPUTED_VALUE"""),"Chile")</f>
        <v>Chile</v>
      </c>
      <c r="B45" s="40">
        <f>IFERROR(__xludf.DUMMYFUNCTION("""COMPUTED_VALUE"""),42674.0)</f>
        <v>42674</v>
      </c>
      <c r="C45" s="41">
        <f>IFERROR(__xludf.DUMMYFUNCTION("""COMPUTED_VALUE"""),42680.0)</f>
        <v>42680</v>
      </c>
      <c r="D45" s="39">
        <f>IFERROR(__xludf.DUMMYFUNCTION("""COMPUTED_VALUE"""),44.0)</f>
        <v>44</v>
      </c>
      <c r="E45" s="39">
        <f>IFERROR(__xludf.DUMMYFUNCTION("""COMPUTED_VALUE"""),1954.0)</f>
        <v>1954</v>
      </c>
    </row>
    <row r="46">
      <c r="A46" s="39" t="str">
        <f>IFERROR(__xludf.DUMMYFUNCTION("""COMPUTED_VALUE"""),"Chile")</f>
        <v>Chile</v>
      </c>
      <c r="B46" s="40">
        <f>IFERROR(__xludf.DUMMYFUNCTION("""COMPUTED_VALUE"""),42681.0)</f>
        <v>42681</v>
      </c>
      <c r="C46" s="41">
        <f>IFERROR(__xludf.DUMMYFUNCTION("""COMPUTED_VALUE"""),42687.0)</f>
        <v>42687</v>
      </c>
      <c r="D46" s="39">
        <f>IFERROR(__xludf.DUMMYFUNCTION("""COMPUTED_VALUE"""),45.0)</f>
        <v>45</v>
      </c>
      <c r="E46" s="39">
        <f>IFERROR(__xludf.DUMMYFUNCTION("""COMPUTED_VALUE"""),1810.0)</f>
        <v>1810</v>
      </c>
    </row>
    <row r="47">
      <c r="A47" s="39" t="str">
        <f>IFERROR(__xludf.DUMMYFUNCTION("""COMPUTED_VALUE"""),"Chile")</f>
        <v>Chile</v>
      </c>
      <c r="B47" s="40">
        <f>IFERROR(__xludf.DUMMYFUNCTION("""COMPUTED_VALUE"""),42688.0)</f>
        <v>42688</v>
      </c>
      <c r="C47" s="41">
        <f>IFERROR(__xludf.DUMMYFUNCTION("""COMPUTED_VALUE"""),42694.0)</f>
        <v>42694</v>
      </c>
      <c r="D47" s="39">
        <f>IFERROR(__xludf.DUMMYFUNCTION("""COMPUTED_VALUE"""),46.0)</f>
        <v>46</v>
      </c>
      <c r="E47" s="39">
        <f>IFERROR(__xludf.DUMMYFUNCTION("""COMPUTED_VALUE"""),1808.0)</f>
        <v>1808</v>
      </c>
    </row>
    <row r="48">
      <c r="A48" s="39" t="str">
        <f>IFERROR(__xludf.DUMMYFUNCTION("""COMPUTED_VALUE"""),"Chile")</f>
        <v>Chile</v>
      </c>
      <c r="B48" s="40">
        <f>IFERROR(__xludf.DUMMYFUNCTION("""COMPUTED_VALUE"""),42695.0)</f>
        <v>42695</v>
      </c>
      <c r="C48" s="41">
        <f>IFERROR(__xludf.DUMMYFUNCTION("""COMPUTED_VALUE"""),42701.0)</f>
        <v>42701</v>
      </c>
      <c r="D48" s="39">
        <f>IFERROR(__xludf.DUMMYFUNCTION("""COMPUTED_VALUE"""),47.0)</f>
        <v>47</v>
      </c>
      <c r="E48" s="39">
        <f>IFERROR(__xludf.DUMMYFUNCTION("""COMPUTED_VALUE"""),1838.0)</f>
        <v>1838</v>
      </c>
    </row>
    <row r="49">
      <c r="A49" s="39" t="str">
        <f>IFERROR(__xludf.DUMMYFUNCTION("""COMPUTED_VALUE"""),"Chile")</f>
        <v>Chile</v>
      </c>
      <c r="B49" s="40">
        <f>IFERROR(__xludf.DUMMYFUNCTION("""COMPUTED_VALUE"""),42702.0)</f>
        <v>42702</v>
      </c>
      <c r="C49" s="41">
        <f>IFERROR(__xludf.DUMMYFUNCTION("""COMPUTED_VALUE"""),42708.0)</f>
        <v>42708</v>
      </c>
      <c r="D49" s="39">
        <f>IFERROR(__xludf.DUMMYFUNCTION("""COMPUTED_VALUE"""),48.0)</f>
        <v>48</v>
      </c>
      <c r="E49" s="39">
        <f>IFERROR(__xludf.DUMMYFUNCTION("""COMPUTED_VALUE"""),1829.0)</f>
        <v>1829</v>
      </c>
    </row>
    <row r="50">
      <c r="A50" s="39" t="str">
        <f>IFERROR(__xludf.DUMMYFUNCTION("""COMPUTED_VALUE"""),"Chile")</f>
        <v>Chile</v>
      </c>
      <c r="B50" s="40">
        <f>IFERROR(__xludf.DUMMYFUNCTION("""COMPUTED_VALUE"""),42709.0)</f>
        <v>42709</v>
      </c>
      <c r="C50" s="41">
        <f>IFERROR(__xludf.DUMMYFUNCTION("""COMPUTED_VALUE"""),42715.0)</f>
        <v>42715</v>
      </c>
      <c r="D50" s="39">
        <f>IFERROR(__xludf.DUMMYFUNCTION("""COMPUTED_VALUE"""),49.0)</f>
        <v>49</v>
      </c>
      <c r="E50" s="39">
        <f>IFERROR(__xludf.DUMMYFUNCTION("""COMPUTED_VALUE"""),1809.0)</f>
        <v>1809</v>
      </c>
    </row>
    <row r="51">
      <c r="A51" s="39" t="str">
        <f>IFERROR(__xludf.DUMMYFUNCTION("""COMPUTED_VALUE"""),"Chile")</f>
        <v>Chile</v>
      </c>
      <c r="B51" s="40">
        <f>IFERROR(__xludf.DUMMYFUNCTION("""COMPUTED_VALUE"""),42716.0)</f>
        <v>42716</v>
      </c>
      <c r="C51" s="41">
        <f>IFERROR(__xludf.DUMMYFUNCTION("""COMPUTED_VALUE"""),42722.0)</f>
        <v>42722</v>
      </c>
      <c r="D51" s="39">
        <f>IFERROR(__xludf.DUMMYFUNCTION("""COMPUTED_VALUE"""),50.0)</f>
        <v>50</v>
      </c>
      <c r="E51" s="39">
        <f>IFERROR(__xludf.DUMMYFUNCTION("""COMPUTED_VALUE"""),1863.0)</f>
        <v>1863</v>
      </c>
    </row>
    <row r="52">
      <c r="A52" s="39" t="str">
        <f>IFERROR(__xludf.DUMMYFUNCTION("""COMPUTED_VALUE"""),"Chile")</f>
        <v>Chile</v>
      </c>
      <c r="B52" s="40">
        <f>IFERROR(__xludf.DUMMYFUNCTION("""COMPUTED_VALUE"""),42723.0)</f>
        <v>42723</v>
      </c>
      <c r="C52" s="41">
        <f>IFERROR(__xludf.DUMMYFUNCTION("""COMPUTED_VALUE"""),42729.0)</f>
        <v>42729</v>
      </c>
      <c r="D52" s="39">
        <f>IFERROR(__xludf.DUMMYFUNCTION("""COMPUTED_VALUE"""),51.0)</f>
        <v>51</v>
      </c>
      <c r="E52" s="39">
        <f>IFERROR(__xludf.DUMMYFUNCTION("""COMPUTED_VALUE"""),1827.0)</f>
        <v>1827</v>
      </c>
    </row>
    <row r="53">
      <c r="A53" s="39" t="str">
        <f>IFERROR(__xludf.DUMMYFUNCTION("""COMPUTED_VALUE"""),"Chile")</f>
        <v>Chile</v>
      </c>
      <c r="B53" s="40">
        <f>IFERROR(__xludf.DUMMYFUNCTION("""COMPUTED_VALUE"""),42730.0)</f>
        <v>42730</v>
      </c>
      <c r="C53" s="41">
        <f>IFERROR(__xludf.DUMMYFUNCTION("""COMPUTED_VALUE"""),42736.0)</f>
        <v>42736</v>
      </c>
      <c r="D53" s="39">
        <f>IFERROR(__xludf.DUMMYFUNCTION("""COMPUTED_VALUE"""),52.0)</f>
        <v>52</v>
      </c>
      <c r="E53" s="39">
        <f>IFERROR(__xludf.DUMMYFUNCTION("""COMPUTED_VALUE"""),1642.0)</f>
        <v>1642</v>
      </c>
    </row>
    <row r="54">
      <c r="A54" s="39" t="str">
        <f>IFERROR(__xludf.DUMMYFUNCTION("""COMPUTED_VALUE"""),"Chile")</f>
        <v>Chile</v>
      </c>
      <c r="B54" s="40">
        <f>IFERROR(__xludf.DUMMYFUNCTION("""COMPUTED_VALUE"""),42737.0)</f>
        <v>42737</v>
      </c>
      <c r="C54" s="41">
        <f>IFERROR(__xludf.DUMMYFUNCTION("""COMPUTED_VALUE"""),42743.0)</f>
        <v>42743</v>
      </c>
      <c r="D54" s="39">
        <f>IFERROR(__xludf.DUMMYFUNCTION("""COMPUTED_VALUE"""),1.0)</f>
        <v>1</v>
      </c>
      <c r="E54" s="39">
        <f>IFERROR(__xludf.DUMMYFUNCTION("""COMPUTED_VALUE"""),1878.0)</f>
        <v>1878</v>
      </c>
    </row>
    <row r="55">
      <c r="A55" s="39" t="str">
        <f>IFERROR(__xludf.DUMMYFUNCTION("""COMPUTED_VALUE"""),"Chile")</f>
        <v>Chile</v>
      </c>
      <c r="B55" s="40">
        <f>IFERROR(__xludf.DUMMYFUNCTION("""COMPUTED_VALUE"""),42744.0)</f>
        <v>42744</v>
      </c>
      <c r="C55" s="41">
        <f>IFERROR(__xludf.DUMMYFUNCTION("""COMPUTED_VALUE"""),42750.0)</f>
        <v>42750</v>
      </c>
      <c r="D55" s="39">
        <f>IFERROR(__xludf.DUMMYFUNCTION("""COMPUTED_VALUE"""),2.0)</f>
        <v>2</v>
      </c>
      <c r="E55" s="39">
        <f>IFERROR(__xludf.DUMMYFUNCTION("""COMPUTED_VALUE"""),1868.0)</f>
        <v>1868</v>
      </c>
    </row>
    <row r="56">
      <c r="A56" s="39" t="str">
        <f>IFERROR(__xludf.DUMMYFUNCTION("""COMPUTED_VALUE"""),"Chile")</f>
        <v>Chile</v>
      </c>
      <c r="B56" s="40">
        <f>IFERROR(__xludf.DUMMYFUNCTION("""COMPUTED_VALUE"""),42751.0)</f>
        <v>42751</v>
      </c>
      <c r="C56" s="41">
        <f>IFERROR(__xludf.DUMMYFUNCTION("""COMPUTED_VALUE"""),42757.0)</f>
        <v>42757</v>
      </c>
      <c r="D56" s="39">
        <f>IFERROR(__xludf.DUMMYFUNCTION("""COMPUTED_VALUE"""),3.0)</f>
        <v>3</v>
      </c>
      <c r="E56" s="39">
        <f>IFERROR(__xludf.DUMMYFUNCTION("""COMPUTED_VALUE"""),2034.0)</f>
        <v>2034</v>
      </c>
    </row>
    <row r="57">
      <c r="A57" s="39" t="str">
        <f>IFERROR(__xludf.DUMMYFUNCTION("""COMPUTED_VALUE"""),"Chile")</f>
        <v>Chile</v>
      </c>
      <c r="B57" s="40">
        <f>IFERROR(__xludf.DUMMYFUNCTION("""COMPUTED_VALUE"""),42758.0)</f>
        <v>42758</v>
      </c>
      <c r="C57" s="41">
        <f>IFERROR(__xludf.DUMMYFUNCTION("""COMPUTED_VALUE"""),42764.0)</f>
        <v>42764</v>
      </c>
      <c r="D57" s="39">
        <f>IFERROR(__xludf.DUMMYFUNCTION("""COMPUTED_VALUE"""),4.0)</f>
        <v>4</v>
      </c>
      <c r="E57" s="39">
        <f>IFERROR(__xludf.DUMMYFUNCTION("""COMPUTED_VALUE"""),2082.0)</f>
        <v>2082</v>
      </c>
    </row>
    <row r="58">
      <c r="A58" s="39" t="str">
        <f>IFERROR(__xludf.DUMMYFUNCTION("""COMPUTED_VALUE"""),"Chile")</f>
        <v>Chile</v>
      </c>
      <c r="B58" s="40">
        <f>IFERROR(__xludf.DUMMYFUNCTION("""COMPUTED_VALUE"""),42765.0)</f>
        <v>42765</v>
      </c>
      <c r="C58" s="41">
        <f>IFERROR(__xludf.DUMMYFUNCTION("""COMPUTED_VALUE"""),42771.0)</f>
        <v>42771</v>
      </c>
      <c r="D58" s="39">
        <f>IFERROR(__xludf.DUMMYFUNCTION("""COMPUTED_VALUE"""),5.0)</f>
        <v>5</v>
      </c>
      <c r="E58" s="39">
        <f>IFERROR(__xludf.DUMMYFUNCTION("""COMPUTED_VALUE"""),1891.0)</f>
        <v>1891</v>
      </c>
    </row>
    <row r="59">
      <c r="A59" s="39" t="str">
        <f>IFERROR(__xludf.DUMMYFUNCTION("""COMPUTED_VALUE"""),"Chile")</f>
        <v>Chile</v>
      </c>
      <c r="B59" s="40">
        <f>IFERROR(__xludf.DUMMYFUNCTION("""COMPUTED_VALUE"""),42772.0)</f>
        <v>42772</v>
      </c>
      <c r="C59" s="41">
        <f>IFERROR(__xludf.DUMMYFUNCTION("""COMPUTED_VALUE"""),42778.0)</f>
        <v>42778</v>
      </c>
      <c r="D59" s="39">
        <f>IFERROR(__xludf.DUMMYFUNCTION("""COMPUTED_VALUE"""),6.0)</f>
        <v>6</v>
      </c>
      <c r="E59" s="39">
        <f>IFERROR(__xludf.DUMMYFUNCTION("""COMPUTED_VALUE"""),1788.0)</f>
        <v>1788</v>
      </c>
    </row>
    <row r="60">
      <c r="A60" s="39" t="str">
        <f>IFERROR(__xludf.DUMMYFUNCTION("""COMPUTED_VALUE"""),"Chile")</f>
        <v>Chile</v>
      </c>
      <c r="B60" s="40">
        <f>IFERROR(__xludf.DUMMYFUNCTION("""COMPUTED_VALUE"""),42779.0)</f>
        <v>42779</v>
      </c>
      <c r="C60" s="41">
        <f>IFERROR(__xludf.DUMMYFUNCTION("""COMPUTED_VALUE"""),42785.0)</f>
        <v>42785</v>
      </c>
      <c r="D60" s="39">
        <f>IFERROR(__xludf.DUMMYFUNCTION("""COMPUTED_VALUE"""),7.0)</f>
        <v>7</v>
      </c>
      <c r="E60" s="39">
        <f>IFERROR(__xludf.DUMMYFUNCTION("""COMPUTED_VALUE"""),1813.0)</f>
        <v>1813</v>
      </c>
    </row>
    <row r="61">
      <c r="A61" s="39" t="str">
        <f>IFERROR(__xludf.DUMMYFUNCTION("""COMPUTED_VALUE"""),"Chile")</f>
        <v>Chile</v>
      </c>
      <c r="B61" s="40">
        <f>IFERROR(__xludf.DUMMYFUNCTION("""COMPUTED_VALUE"""),42786.0)</f>
        <v>42786</v>
      </c>
      <c r="C61" s="41">
        <f>IFERROR(__xludf.DUMMYFUNCTION("""COMPUTED_VALUE"""),42792.0)</f>
        <v>42792</v>
      </c>
      <c r="D61" s="39">
        <f>IFERROR(__xludf.DUMMYFUNCTION("""COMPUTED_VALUE"""),8.0)</f>
        <v>8</v>
      </c>
      <c r="E61" s="39">
        <f>IFERROR(__xludf.DUMMYFUNCTION("""COMPUTED_VALUE"""),1969.0)</f>
        <v>1969</v>
      </c>
    </row>
    <row r="62">
      <c r="A62" s="39" t="str">
        <f>IFERROR(__xludf.DUMMYFUNCTION("""COMPUTED_VALUE"""),"Chile")</f>
        <v>Chile</v>
      </c>
      <c r="B62" s="40">
        <f>IFERROR(__xludf.DUMMYFUNCTION("""COMPUTED_VALUE"""),42793.0)</f>
        <v>42793</v>
      </c>
      <c r="C62" s="41">
        <f>IFERROR(__xludf.DUMMYFUNCTION("""COMPUTED_VALUE"""),42799.0)</f>
        <v>42799</v>
      </c>
      <c r="D62" s="39">
        <f>IFERROR(__xludf.DUMMYFUNCTION("""COMPUTED_VALUE"""),9.0)</f>
        <v>9</v>
      </c>
      <c r="E62" s="39">
        <f>IFERROR(__xludf.DUMMYFUNCTION("""COMPUTED_VALUE"""),1730.0)</f>
        <v>1730</v>
      </c>
    </row>
    <row r="63">
      <c r="A63" s="39" t="str">
        <f>IFERROR(__xludf.DUMMYFUNCTION("""COMPUTED_VALUE"""),"Chile")</f>
        <v>Chile</v>
      </c>
      <c r="B63" s="40">
        <f>IFERROR(__xludf.DUMMYFUNCTION("""COMPUTED_VALUE"""),42800.0)</f>
        <v>42800</v>
      </c>
      <c r="C63" s="41">
        <f>IFERROR(__xludf.DUMMYFUNCTION("""COMPUTED_VALUE"""),42806.0)</f>
        <v>42806</v>
      </c>
      <c r="D63" s="39">
        <f>IFERROR(__xludf.DUMMYFUNCTION("""COMPUTED_VALUE"""),10.0)</f>
        <v>10</v>
      </c>
      <c r="E63" s="39">
        <f>IFERROR(__xludf.DUMMYFUNCTION("""COMPUTED_VALUE"""),1739.0)</f>
        <v>1739</v>
      </c>
    </row>
    <row r="64">
      <c r="A64" s="39" t="str">
        <f>IFERROR(__xludf.DUMMYFUNCTION("""COMPUTED_VALUE"""),"Chile")</f>
        <v>Chile</v>
      </c>
      <c r="B64" s="40">
        <f>IFERROR(__xludf.DUMMYFUNCTION("""COMPUTED_VALUE"""),42807.0)</f>
        <v>42807</v>
      </c>
      <c r="C64" s="41">
        <f>IFERROR(__xludf.DUMMYFUNCTION("""COMPUTED_VALUE"""),42813.0)</f>
        <v>42813</v>
      </c>
      <c r="D64" s="39">
        <f>IFERROR(__xludf.DUMMYFUNCTION("""COMPUTED_VALUE"""),11.0)</f>
        <v>11</v>
      </c>
      <c r="E64" s="39">
        <f>IFERROR(__xludf.DUMMYFUNCTION("""COMPUTED_VALUE"""),1754.0)</f>
        <v>1754</v>
      </c>
    </row>
    <row r="65">
      <c r="A65" s="39" t="str">
        <f>IFERROR(__xludf.DUMMYFUNCTION("""COMPUTED_VALUE"""),"Chile")</f>
        <v>Chile</v>
      </c>
      <c r="B65" s="40">
        <f>IFERROR(__xludf.DUMMYFUNCTION("""COMPUTED_VALUE"""),42814.0)</f>
        <v>42814</v>
      </c>
      <c r="C65" s="41">
        <f>IFERROR(__xludf.DUMMYFUNCTION("""COMPUTED_VALUE"""),42820.0)</f>
        <v>42820</v>
      </c>
      <c r="D65" s="39">
        <f>IFERROR(__xludf.DUMMYFUNCTION("""COMPUTED_VALUE"""),12.0)</f>
        <v>12</v>
      </c>
      <c r="E65" s="39">
        <f>IFERROR(__xludf.DUMMYFUNCTION("""COMPUTED_VALUE"""),1770.0)</f>
        <v>1770</v>
      </c>
    </row>
    <row r="66">
      <c r="A66" s="39" t="str">
        <f>IFERROR(__xludf.DUMMYFUNCTION("""COMPUTED_VALUE"""),"Chile")</f>
        <v>Chile</v>
      </c>
      <c r="B66" s="40">
        <f>IFERROR(__xludf.DUMMYFUNCTION("""COMPUTED_VALUE"""),42821.0)</f>
        <v>42821</v>
      </c>
      <c r="C66" s="41">
        <f>IFERROR(__xludf.DUMMYFUNCTION("""COMPUTED_VALUE"""),42827.0)</f>
        <v>42827</v>
      </c>
      <c r="D66" s="39">
        <f>IFERROR(__xludf.DUMMYFUNCTION("""COMPUTED_VALUE"""),13.0)</f>
        <v>13</v>
      </c>
      <c r="E66" s="39">
        <f>IFERROR(__xludf.DUMMYFUNCTION("""COMPUTED_VALUE"""),1800.0)</f>
        <v>1800</v>
      </c>
    </row>
    <row r="67">
      <c r="A67" s="39" t="str">
        <f>IFERROR(__xludf.DUMMYFUNCTION("""COMPUTED_VALUE"""),"Chile")</f>
        <v>Chile</v>
      </c>
      <c r="B67" s="40">
        <f>IFERROR(__xludf.DUMMYFUNCTION("""COMPUTED_VALUE"""),42828.0)</f>
        <v>42828</v>
      </c>
      <c r="C67" s="41">
        <f>IFERROR(__xludf.DUMMYFUNCTION("""COMPUTED_VALUE"""),42834.0)</f>
        <v>42834</v>
      </c>
      <c r="D67" s="39">
        <f>IFERROR(__xludf.DUMMYFUNCTION("""COMPUTED_VALUE"""),14.0)</f>
        <v>14</v>
      </c>
      <c r="E67" s="39">
        <f>IFERROR(__xludf.DUMMYFUNCTION("""COMPUTED_VALUE"""),1895.0)</f>
        <v>1895</v>
      </c>
    </row>
    <row r="68">
      <c r="A68" s="39" t="str">
        <f>IFERROR(__xludf.DUMMYFUNCTION("""COMPUTED_VALUE"""),"Chile")</f>
        <v>Chile</v>
      </c>
      <c r="B68" s="40">
        <f>IFERROR(__xludf.DUMMYFUNCTION("""COMPUTED_VALUE"""),42835.0)</f>
        <v>42835</v>
      </c>
      <c r="C68" s="41">
        <f>IFERROR(__xludf.DUMMYFUNCTION("""COMPUTED_VALUE"""),42841.0)</f>
        <v>42841</v>
      </c>
      <c r="D68" s="39">
        <f>IFERROR(__xludf.DUMMYFUNCTION("""COMPUTED_VALUE"""),15.0)</f>
        <v>15</v>
      </c>
      <c r="E68" s="39">
        <f>IFERROR(__xludf.DUMMYFUNCTION("""COMPUTED_VALUE"""),1949.0)</f>
        <v>1949</v>
      </c>
    </row>
    <row r="69">
      <c r="A69" s="39" t="str">
        <f>IFERROR(__xludf.DUMMYFUNCTION("""COMPUTED_VALUE"""),"Chile")</f>
        <v>Chile</v>
      </c>
      <c r="B69" s="40">
        <f>IFERROR(__xludf.DUMMYFUNCTION("""COMPUTED_VALUE"""),42842.0)</f>
        <v>42842</v>
      </c>
      <c r="C69" s="41">
        <f>IFERROR(__xludf.DUMMYFUNCTION("""COMPUTED_VALUE"""),42848.0)</f>
        <v>42848</v>
      </c>
      <c r="D69" s="39">
        <f>IFERROR(__xludf.DUMMYFUNCTION("""COMPUTED_VALUE"""),16.0)</f>
        <v>16</v>
      </c>
      <c r="E69" s="39">
        <f>IFERROR(__xludf.DUMMYFUNCTION("""COMPUTED_VALUE"""),1847.0)</f>
        <v>1847</v>
      </c>
    </row>
    <row r="70">
      <c r="A70" s="39" t="str">
        <f>IFERROR(__xludf.DUMMYFUNCTION("""COMPUTED_VALUE"""),"Chile")</f>
        <v>Chile</v>
      </c>
      <c r="B70" s="40">
        <f>IFERROR(__xludf.DUMMYFUNCTION("""COMPUTED_VALUE"""),42849.0)</f>
        <v>42849</v>
      </c>
      <c r="C70" s="41">
        <f>IFERROR(__xludf.DUMMYFUNCTION("""COMPUTED_VALUE"""),42855.0)</f>
        <v>42855</v>
      </c>
      <c r="D70" s="39">
        <f>IFERROR(__xludf.DUMMYFUNCTION("""COMPUTED_VALUE"""),17.0)</f>
        <v>17</v>
      </c>
      <c r="E70" s="39">
        <f>IFERROR(__xludf.DUMMYFUNCTION("""COMPUTED_VALUE"""),1970.0)</f>
        <v>1970</v>
      </c>
    </row>
    <row r="71">
      <c r="A71" s="39" t="str">
        <f>IFERROR(__xludf.DUMMYFUNCTION("""COMPUTED_VALUE"""),"Chile")</f>
        <v>Chile</v>
      </c>
      <c r="B71" s="40">
        <f>IFERROR(__xludf.DUMMYFUNCTION("""COMPUTED_VALUE"""),42856.0)</f>
        <v>42856</v>
      </c>
      <c r="C71" s="41">
        <f>IFERROR(__xludf.DUMMYFUNCTION("""COMPUTED_VALUE"""),42862.0)</f>
        <v>42862</v>
      </c>
      <c r="D71" s="39">
        <f>IFERROR(__xludf.DUMMYFUNCTION("""COMPUTED_VALUE"""),18.0)</f>
        <v>18</v>
      </c>
      <c r="E71" s="39">
        <f>IFERROR(__xludf.DUMMYFUNCTION("""COMPUTED_VALUE"""),1964.0)</f>
        <v>1964</v>
      </c>
    </row>
    <row r="72">
      <c r="A72" s="39" t="str">
        <f>IFERROR(__xludf.DUMMYFUNCTION("""COMPUTED_VALUE"""),"Chile")</f>
        <v>Chile</v>
      </c>
      <c r="B72" s="40">
        <f>IFERROR(__xludf.DUMMYFUNCTION("""COMPUTED_VALUE"""),42863.0)</f>
        <v>42863</v>
      </c>
      <c r="C72" s="41">
        <f>IFERROR(__xludf.DUMMYFUNCTION("""COMPUTED_VALUE"""),42869.0)</f>
        <v>42869</v>
      </c>
      <c r="D72" s="39">
        <f>IFERROR(__xludf.DUMMYFUNCTION("""COMPUTED_VALUE"""),19.0)</f>
        <v>19</v>
      </c>
      <c r="E72" s="39">
        <f>IFERROR(__xludf.DUMMYFUNCTION("""COMPUTED_VALUE"""),1921.0)</f>
        <v>1921</v>
      </c>
    </row>
    <row r="73">
      <c r="A73" s="39" t="str">
        <f>IFERROR(__xludf.DUMMYFUNCTION("""COMPUTED_VALUE"""),"Chile")</f>
        <v>Chile</v>
      </c>
      <c r="B73" s="40">
        <f>IFERROR(__xludf.DUMMYFUNCTION("""COMPUTED_VALUE"""),42870.0)</f>
        <v>42870</v>
      </c>
      <c r="C73" s="41">
        <f>IFERROR(__xludf.DUMMYFUNCTION("""COMPUTED_VALUE"""),42876.0)</f>
        <v>42876</v>
      </c>
      <c r="D73" s="39">
        <f>IFERROR(__xludf.DUMMYFUNCTION("""COMPUTED_VALUE"""),20.0)</f>
        <v>20</v>
      </c>
      <c r="E73" s="39">
        <f>IFERROR(__xludf.DUMMYFUNCTION("""COMPUTED_VALUE"""),2025.0)</f>
        <v>2025</v>
      </c>
    </row>
    <row r="74">
      <c r="A74" s="39" t="str">
        <f>IFERROR(__xludf.DUMMYFUNCTION("""COMPUTED_VALUE"""),"Chile")</f>
        <v>Chile</v>
      </c>
      <c r="B74" s="40">
        <f>IFERROR(__xludf.DUMMYFUNCTION("""COMPUTED_VALUE"""),42877.0)</f>
        <v>42877</v>
      </c>
      <c r="C74" s="41">
        <f>IFERROR(__xludf.DUMMYFUNCTION("""COMPUTED_VALUE"""),42883.0)</f>
        <v>42883</v>
      </c>
      <c r="D74" s="39">
        <f>IFERROR(__xludf.DUMMYFUNCTION("""COMPUTED_VALUE"""),21.0)</f>
        <v>21</v>
      </c>
      <c r="E74" s="39">
        <f>IFERROR(__xludf.DUMMYFUNCTION("""COMPUTED_VALUE"""),2210.0)</f>
        <v>2210</v>
      </c>
    </row>
    <row r="75">
      <c r="A75" s="39" t="str">
        <f>IFERROR(__xludf.DUMMYFUNCTION("""COMPUTED_VALUE"""),"Chile")</f>
        <v>Chile</v>
      </c>
      <c r="B75" s="40">
        <f>IFERROR(__xludf.DUMMYFUNCTION("""COMPUTED_VALUE"""),42884.0)</f>
        <v>42884</v>
      </c>
      <c r="C75" s="41">
        <f>IFERROR(__xludf.DUMMYFUNCTION("""COMPUTED_VALUE"""),42890.0)</f>
        <v>42890</v>
      </c>
      <c r="D75" s="39">
        <f>IFERROR(__xludf.DUMMYFUNCTION("""COMPUTED_VALUE"""),22.0)</f>
        <v>22</v>
      </c>
      <c r="E75" s="39">
        <f>IFERROR(__xludf.DUMMYFUNCTION("""COMPUTED_VALUE"""),2334.0)</f>
        <v>2334</v>
      </c>
    </row>
    <row r="76">
      <c r="A76" s="39" t="str">
        <f>IFERROR(__xludf.DUMMYFUNCTION("""COMPUTED_VALUE"""),"Chile")</f>
        <v>Chile</v>
      </c>
      <c r="B76" s="40">
        <f>IFERROR(__xludf.DUMMYFUNCTION("""COMPUTED_VALUE"""),42891.0)</f>
        <v>42891</v>
      </c>
      <c r="C76" s="41">
        <f>IFERROR(__xludf.DUMMYFUNCTION("""COMPUTED_VALUE"""),42897.0)</f>
        <v>42897</v>
      </c>
      <c r="D76" s="39">
        <f>IFERROR(__xludf.DUMMYFUNCTION("""COMPUTED_VALUE"""),23.0)</f>
        <v>23</v>
      </c>
      <c r="E76" s="39">
        <f>IFERROR(__xludf.DUMMYFUNCTION("""COMPUTED_VALUE"""),2376.0)</f>
        <v>2376</v>
      </c>
    </row>
    <row r="77">
      <c r="A77" s="39" t="str">
        <f>IFERROR(__xludf.DUMMYFUNCTION("""COMPUTED_VALUE"""),"Chile")</f>
        <v>Chile</v>
      </c>
      <c r="B77" s="40">
        <f>IFERROR(__xludf.DUMMYFUNCTION("""COMPUTED_VALUE"""),42898.0)</f>
        <v>42898</v>
      </c>
      <c r="C77" s="41">
        <f>IFERROR(__xludf.DUMMYFUNCTION("""COMPUTED_VALUE"""),42904.0)</f>
        <v>42904</v>
      </c>
      <c r="D77" s="39">
        <f>IFERROR(__xludf.DUMMYFUNCTION("""COMPUTED_VALUE"""),24.0)</f>
        <v>24</v>
      </c>
      <c r="E77" s="39">
        <f>IFERROR(__xludf.DUMMYFUNCTION("""COMPUTED_VALUE"""),2640.0)</f>
        <v>2640</v>
      </c>
    </row>
    <row r="78">
      <c r="A78" s="39" t="str">
        <f>IFERROR(__xludf.DUMMYFUNCTION("""COMPUTED_VALUE"""),"Chile")</f>
        <v>Chile</v>
      </c>
      <c r="B78" s="40">
        <f>IFERROR(__xludf.DUMMYFUNCTION("""COMPUTED_VALUE"""),42905.0)</f>
        <v>42905</v>
      </c>
      <c r="C78" s="41">
        <f>IFERROR(__xludf.DUMMYFUNCTION("""COMPUTED_VALUE"""),42911.0)</f>
        <v>42911</v>
      </c>
      <c r="D78" s="39">
        <f>IFERROR(__xludf.DUMMYFUNCTION("""COMPUTED_VALUE"""),25.0)</f>
        <v>25</v>
      </c>
      <c r="E78" s="39">
        <f>IFERROR(__xludf.DUMMYFUNCTION("""COMPUTED_VALUE"""),2639.0)</f>
        <v>2639</v>
      </c>
    </row>
    <row r="79">
      <c r="A79" s="39" t="str">
        <f>IFERROR(__xludf.DUMMYFUNCTION("""COMPUTED_VALUE"""),"Chile")</f>
        <v>Chile</v>
      </c>
      <c r="B79" s="40">
        <f>IFERROR(__xludf.DUMMYFUNCTION("""COMPUTED_VALUE"""),42912.0)</f>
        <v>42912</v>
      </c>
      <c r="C79" s="41">
        <f>IFERROR(__xludf.DUMMYFUNCTION("""COMPUTED_VALUE"""),42918.0)</f>
        <v>42918</v>
      </c>
      <c r="D79" s="39">
        <f>IFERROR(__xludf.DUMMYFUNCTION("""COMPUTED_VALUE"""),26.0)</f>
        <v>26</v>
      </c>
      <c r="E79" s="39">
        <f>IFERROR(__xludf.DUMMYFUNCTION("""COMPUTED_VALUE"""),2525.0)</f>
        <v>2525</v>
      </c>
    </row>
    <row r="80">
      <c r="A80" s="39" t="str">
        <f>IFERROR(__xludf.DUMMYFUNCTION("""COMPUTED_VALUE"""),"Chile")</f>
        <v>Chile</v>
      </c>
      <c r="B80" s="40">
        <f>IFERROR(__xludf.DUMMYFUNCTION("""COMPUTED_VALUE"""),42919.0)</f>
        <v>42919</v>
      </c>
      <c r="C80" s="41">
        <f>IFERROR(__xludf.DUMMYFUNCTION("""COMPUTED_VALUE"""),42925.0)</f>
        <v>42925</v>
      </c>
      <c r="D80" s="39">
        <f>IFERROR(__xludf.DUMMYFUNCTION("""COMPUTED_VALUE"""),27.0)</f>
        <v>27</v>
      </c>
      <c r="E80" s="39">
        <f>IFERROR(__xludf.DUMMYFUNCTION("""COMPUTED_VALUE"""),2387.0)</f>
        <v>2387</v>
      </c>
    </row>
    <row r="81">
      <c r="A81" s="39" t="str">
        <f>IFERROR(__xludf.DUMMYFUNCTION("""COMPUTED_VALUE"""),"Chile")</f>
        <v>Chile</v>
      </c>
      <c r="B81" s="40">
        <f>IFERROR(__xludf.DUMMYFUNCTION("""COMPUTED_VALUE"""),42926.0)</f>
        <v>42926</v>
      </c>
      <c r="C81" s="41">
        <f>IFERROR(__xludf.DUMMYFUNCTION("""COMPUTED_VALUE"""),42932.0)</f>
        <v>42932</v>
      </c>
      <c r="D81" s="39">
        <f>IFERROR(__xludf.DUMMYFUNCTION("""COMPUTED_VALUE"""),28.0)</f>
        <v>28</v>
      </c>
      <c r="E81" s="39">
        <f>IFERROR(__xludf.DUMMYFUNCTION("""COMPUTED_VALUE"""),2308.0)</f>
        <v>2308</v>
      </c>
    </row>
    <row r="82">
      <c r="A82" s="39" t="str">
        <f>IFERROR(__xludf.DUMMYFUNCTION("""COMPUTED_VALUE"""),"Chile")</f>
        <v>Chile</v>
      </c>
      <c r="B82" s="40">
        <f>IFERROR(__xludf.DUMMYFUNCTION("""COMPUTED_VALUE"""),42933.0)</f>
        <v>42933</v>
      </c>
      <c r="C82" s="41">
        <f>IFERROR(__xludf.DUMMYFUNCTION("""COMPUTED_VALUE"""),42939.0)</f>
        <v>42939</v>
      </c>
      <c r="D82" s="39">
        <f>IFERROR(__xludf.DUMMYFUNCTION("""COMPUTED_VALUE"""),29.0)</f>
        <v>29</v>
      </c>
      <c r="E82" s="39">
        <f>IFERROR(__xludf.DUMMYFUNCTION("""COMPUTED_VALUE"""),2419.0)</f>
        <v>2419</v>
      </c>
    </row>
    <row r="83">
      <c r="A83" s="39" t="str">
        <f>IFERROR(__xludf.DUMMYFUNCTION("""COMPUTED_VALUE"""),"Chile")</f>
        <v>Chile</v>
      </c>
      <c r="B83" s="40">
        <f>IFERROR(__xludf.DUMMYFUNCTION("""COMPUTED_VALUE"""),42940.0)</f>
        <v>42940</v>
      </c>
      <c r="C83" s="41">
        <f>IFERROR(__xludf.DUMMYFUNCTION("""COMPUTED_VALUE"""),42946.0)</f>
        <v>42946</v>
      </c>
      <c r="D83" s="39">
        <f>IFERROR(__xludf.DUMMYFUNCTION("""COMPUTED_VALUE"""),30.0)</f>
        <v>30</v>
      </c>
      <c r="E83" s="39">
        <f>IFERROR(__xludf.DUMMYFUNCTION("""COMPUTED_VALUE"""),2339.0)</f>
        <v>2339</v>
      </c>
    </row>
    <row r="84">
      <c r="A84" s="39" t="str">
        <f>IFERROR(__xludf.DUMMYFUNCTION("""COMPUTED_VALUE"""),"Chile")</f>
        <v>Chile</v>
      </c>
      <c r="B84" s="40">
        <f>IFERROR(__xludf.DUMMYFUNCTION("""COMPUTED_VALUE"""),42947.0)</f>
        <v>42947</v>
      </c>
      <c r="C84" s="41">
        <f>IFERROR(__xludf.DUMMYFUNCTION("""COMPUTED_VALUE"""),42953.0)</f>
        <v>42953</v>
      </c>
      <c r="D84" s="39">
        <f>IFERROR(__xludf.DUMMYFUNCTION("""COMPUTED_VALUE"""),31.0)</f>
        <v>31</v>
      </c>
      <c r="E84" s="39">
        <f>IFERROR(__xludf.DUMMYFUNCTION("""COMPUTED_VALUE"""),2289.0)</f>
        <v>2289</v>
      </c>
    </row>
    <row r="85">
      <c r="A85" s="39" t="str">
        <f>IFERROR(__xludf.DUMMYFUNCTION("""COMPUTED_VALUE"""),"Chile")</f>
        <v>Chile</v>
      </c>
      <c r="B85" s="40">
        <f>IFERROR(__xludf.DUMMYFUNCTION("""COMPUTED_VALUE"""),42954.0)</f>
        <v>42954</v>
      </c>
      <c r="C85" s="41">
        <f>IFERROR(__xludf.DUMMYFUNCTION("""COMPUTED_VALUE"""),42960.0)</f>
        <v>42960</v>
      </c>
      <c r="D85" s="39">
        <f>IFERROR(__xludf.DUMMYFUNCTION("""COMPUTED_VALUE"""),32.0)</f>
        <v>32</v>
      </c>
      <c r="E85" s="39">
        <f>IFERROR(__xludf.DUMMYFUNCTION("""COMPUTED_VALUE"""),2197.0)</f>
        <v>2197</v>
      </c>
    </row>
    <row r="86">
      <c r="A86" s="39" t="str">
        <f>IFERROR(__xludf.DUMMYFUNCTION("""COMPUTED_VALUE"""),"Chile")</f>
        <v>Chile</v>
      </c>
      <c r="B86" s="40">
        <f>IFERROR(__xludf.DUMMYFUNCTION("""COMPUTED_VALUE"""),42961.0)</f>
        <v>42961</v>
      </c>
      <c r="C86" s="41">
        <f>IFERROR(__xludf.DUMMYFUNCTION("""COMPUTED_VALUE"""),42967.0)</f>
        <v>42967</v>
      </c>
      <c r="D86" s="39">
        <f>IFERROR(__xludf.DUMMYFUNCTION("""COMPUTED_VALUE"""),33.0)</f>
        <v>33</v>
      </c>
      <c r="E86" s="39">
        <f>IFERROR(__xludf.DUMMYFUNCTION("""COMPUTED_VALUE"""),2175.0)</f>
        <v>2175</v>
      </c>
    </row>
    <row r="87">
      <c r="A87" s="39" t="str">
        <f>IFERROR(__xludf.DUMMYFUNCTION("""COMPUTED_VALUE"""),"Chile")</f>
        <v>Chile</v>
      </c>
      <c r="B87" s="40">
        <f>IFERROR(__xludf.DUMMYFUNCTION("""COMPUTED_VALUE"""),42968.0)</f>
        <v>42968</v>
      </c>
      <c r="C87" s="41">
        <f>IFERROR(__xludf.DUMMYFUNCTION("""COMPUTED_VALUE"""),42974.0)</f>
        <v>42974</v>
      </c>
      <c r="D87" s="39">
        <f>IFERROR(__xludf.DUMMYFUNCTION("""COMPUTED_VALUE"""),34.0)</f>
        <v>34</v>
      </c>
      <c r="E87" s="39">
        <f>IFERROR(__xludf.DUMMYFUNCTION("""COMPUTED_VALUE"""),2121.0)</f>
        <v>2121</v>
      </c>
    </row>
    <row r="88">
      <c r="A88" s="39" t="str">
        <f>IFERROR(__xludf.DUMMYFUNCTION("""COMPUTED_VALUE"""),"Chile")</f>
        <v>Chile</v>
      </c>
      <c r="B88" s="40">
        <f>IFERROR(__xludf.DUMMYFUNCTION("""COMPUTED_VALUE"""),42975.0)</f>
        <v>42975</v>
      </c>
      <c r="C88" s="41">
        <f>IFERROR(__xludf.DUMMYFUNCTION("""COMPUTED_VALUE"""),42981.0)</f>
        <v>42981</v>
      </c>
      <c r="D88" s="39">
        <f>IFERROR(__xludf.DUMMYFUNCTION("""COMPUTED_VALUE"""),35.0)</f>
        <v>35</v>
      </c>
      <c r="E88" s="39">
        <f>IFERROR(__xludf.DUMMYFUNCTION("""COMPUTED_VALUE"""),2146.0)</f>
        <v>2146</v>
      </c>
    </row>
    <row r="89">
      <c r="A89" s="39" t="str">
        <f>IFERROR(__xludf.DUMMYFUNCTION("""COMPUTED_VALUE"""),"Chile")</f>
        <v>Chile</v>
      </c>
      <c r="B89" s="40">
        <f>IFERROR(__xludf.DUMMYFUNCTION("""COMPUTED_VALUE"""),42982.0)</f>
        <v>42982</v>
      </c>
      <c r="C89" s="41">
        <f>IFERROR(__xludf.DUMMYFUNCTION("""COMPUTED_VALUE"""),42988.0)</f>
        <v>42988</v>
      </c>
      <c r="D89" s="39">
        <f>IFERROR(__xludf.DUMMYFUNCTION("""COMPUTED_VALUE"""),36.0)</f>
        <v>36</v>
      </c>
      <c r="E89" s="39">
        <f>IFERROR(__xludf.DUMMYFUNCTION("""COMPUTED_VALUE"""),2106.0)</f>
        <v>2106</v>
      </c>
    </row>
    <row r="90">
      <c r="A90" s="39" t="str">
        <f>IFERROR(__xludf.DUMMYFUNCTION("""COMPUTED_VALUE"""),"Chile")</f>
        <v>Chile</v>
      </c>
      <c r="B90" s="40">
        <f>IFERROR(__xludf.DUMMYFUNCTION("""COMPUTED_VALUE"""),42989.0)</f>
        <v>42989</v>
      </c>
      <c r="C90" s="41">
        <f>IFERROR(__xludf.DUMMYFUNCTION("""COMPUTED_VALUE"""),42995.0)</f>
        <v>42995</v>
      </c>
      <c r="D90" s="39">
        <f>IFERROR(__xludf.DUMMYFUNCTION("""COMPUTED_VALUE"""),37.0)</f>
        <v>37</v>
      </c>
      <c r="E90" s="39">
        <f>IFERROR(__xludf.DUMMYFUNCTION("""COMPUTED_VALUE"""),2181.0)</f>
        <v>2181</v>
      </c>
    </row>
    <row r="91">
      <c r="A91" s="39" t="str">
        <f>IFERROR(__xludf.DUMMYFUNCTION("""COMPUTED_VALUE"""),"Chile")</f>
        <v>Chile</v>
      </c>
      <c r="B91" s="40">
        <f>IFERROR(__xludf.DUMMYFUNCTION("""COMPUTED_VALUE"""),42996.0)</f>
        <v>42996</v>
      </c>
      <c r="C91" s="41">
        <f>IFERROR(__xludf.DUMMYFUNCTION("""COMPUTED_VALUE"""),43002.0)</f>
        <v>43002</v>
      </c>
      <c r="D91" s="39">
        <f>IFERROR(__xludf.DUMMYFUNCTION("""COMPUTED_VALUE"""),38.0)</f>
        <v>38</v>
      </c>
      <c r="E91" s="39">
        <f>IFERROR(__xludf.DUMMYFUNCTION("""COMPUTED_VALUE"""),2258.0)</f>
        <v>2258</v>
      </c>
    </row>
    <row r="92">
      <c r="A92" s="39" t="str">
        <f>IFERROR(__xludf.DUMMYFUNCTION("""COMPUTED_VALUE"""),"Chile")</f>
        <v>Chile</v>
      </c>
      <c r="B92" s="40">
        <f>IFERROR(__xludf.DUMMYFUNCTION("""COMPUTED_VALUE"""),43003.0)</f>
        <v>43003</v>
      </c>
      <c r="C92" s="41">
        <f>IFERROR(__xludf.DUMMYFUNCTION("""COMPUTED_VALUE"""),43009.0)</f>
        <v>43009</v>
      </c>
      <c r="D92" s="39">
        <f>IFERROR(__xludf.DUMMYFUNCTION("""COMPUTED_VALUE"""),39.0)</f>
        <v>39</v>
      </c>
      <c r="E92" s="39">
        <f>IFERROR(__xludf.DUMMYFUNCTION("""COMPUTED_VALUE"""),2102.0)</f>
        <v>2102</v>
      </c>
    </row>
    <row r="93">
      <c r="A93" s="39" t="str">
        <f>IFERROR(__xludf.DUMMYFUNCTION("""COMPUTED_VALUE"""),"Chile")</f>
        <v>Chile</v>
      </c>
      <c r="B93" s="40">
        <f>IFERROR(__xludf.DUMMYFUNCTION("""COMPUTED_VALUE"""),43010.0)</f>
        <v>43010</v>
      </c>
      <c r="C93" s="41">
        <f>IFERROR(__xludf.DUMMYFUNCTION("""COMPUTED_VALUE"""),43016.0)</f>
        <v>43016</v>
      </c>
      <c r="D93" s="39">
        <f>IFERROR(__xludf.DUMMYFUNCTION("""COMPUTED_VALUE"""),40.0)</f>
        <v>40</v>
      </c>
      <c r="E93" s="39">
        <f>IFERROR(__xludf.DUMMYFUNCTION("""COMPUTED_VALUE"""),2088.0)</f>
        <v>2088</v>
      </c>
    </row>
    <row r="94">
      <c r="A94" s="39" t="str">
        <f>IFERROR(__xludf.DUMMYFUNCTION("""COMPUTED_VALUE"""),"Chile")</f>
        <v>Chile</v>
      </c>
      <c r="B94" s="40">
        <f>IFERROR(__xludf.DUMMYFUNCTION("""COMPUTED_VALUE"""),43017.0)</f>
        <v>43017</v>
      </c>
      <c r="C94" s="41">
        <f>IFERROR(__xludf.DUMMYFUNCTION("""COMPUTED_VALUE"""),43023.0)</f>
        <v>43023</v>
      </c>
      <c r="D94" s="39">
        <f>IFERROR(__xludf.DUMMYFUNCTION("""COMPUTED_VALUE"""),41.0)</f>
        <v>41</v>
      </c>
      <c r="E94" s="39">
        <f>IFERROR(__xludf.DUMMYFUNCTION("""COMPUTED_VALUE"""),1987.0)</f>
        <v>1987</v>
      </c>
    </row>
    <row r="95">
      <c r="A95" s="39" t="str">
        <f>IFERROR(__xludf.DUMMYFUNCTION("""COMPUTED_VALUE"""),"Chile")</f>
        <v>Chile</v>
      </c>
      <c r="B95" s="40">
        <f>IFERROR(__xludf.DUMMYFUNCTION("""COMPUTED_VALUE"""),43024.0)</f>
        <v>43024</v>
      </c>
      <c r="C95" s="41">
        <f>IFERROR(__xludf.DUMMYFUNCTION("""COMPUTED_VALUE"""),43030.0)</f>
        <v>43030</v>
      </c>
      <c r="D95" s="39">
        <f>IFERROR(__xludf.DUMMYFUNCTION("""COMPUTED_VALUE"""),42.0)</f>
        <v>42</v>
      </c>
      <c r="E95" s="39">
        <f>IFERROR(__xludf.DUMMYFUNCTION("""COMPUTED_VALUE"""),1965.0)</f>
        <v>1965</v>
      </c>
    </row>
    <row r="96">
      <c r="A96" s="39" t="str">
        <f>IFERROR(__xludf.DUMMYFUNCTION("""COMPUTED_VALUE"""),"Chile")</f>
        <v>Chile</v>
      </c>
      <c r="B96" s="40">
        <f>IFERROR(__xludf.DUMMYFUNCTION("""COMPUTED_VALUE"""),43031.0)</f>
        <v>43031</v>
      </c>
      <c r="C96" s="41">
        <f>IFERROR(__xludf.DUMMYFUNCTION("""COMPUTED_VALUE"""),43037.0)</f>
        <v>43037</v>
      </c>
      <c r="D96" s="39">
        <f>IFERROR(__xludf.DUMMYFUNCTION("""COMPUTED_VALUE"""),43.0)</f>
        <v>43</v>
      </c>
      <c r="E96" s="39">
        <f>IFERROR(__xludf.DUMMYFUNCTION("""COMPUTED_VALUE"""),1871.0)</f>
        <v>1871</v>
      </c>
    </row>
    <row r="97">
      <c r="A97" s="39" t="str">
        <f>IFERROR(__xludf.DUMMYFUNCTION("""COMPUTED_VALUE"""),"Chile")</f>
        <v>Chile</v>
      </c>
      <c r="B97" s="40">
        <f>IFERROR(__xludf.DUMMYFUNCTION("""COMPUTED_VALUE"""),43038.0)</f>
        <v>43038</v>
      </c>
      <c r="C97" s="41">
        <f>IFERROR(__xludf.DUMMYFUNCTION("""COMPUTED_VALUE"""),43044.0)</f>
        <v>43044</v>
      </c>
      <c r="D97" s="39">
        <f>IFERROR(__xludf.DUMMYFUNCTION("""COMPUTED_VALUE"""),44.0)</f>
        <v>44</v>
      </c>
      <c r="E97" s="39">
        <f>IFERROR(__xludf.DUMMYFUNCTION("""COMPUTED_VALUE"""),1836.0)</f>
        <v>1836</v>
      </c>
    </row>
    <row r="98">
      <c r="A98" s="39" t="str">
        <f>IFERROR(__xludf.DUMMYFUNCTION("""COMPUTED_VALUE"""),"Chile")</f>
        <v>Chile</v>
      </c>
      <c r="B98" s="40">
        <f>IFERROR(__xludf.DUMMYFUNCTION("""COMPUTED_VALUE"""),43045.0)</f>
        <v>43045</v>
      </c>
      <c r="C98" s="41">
        <f>IFERROR(__xludf.DUMMYFUNCTION("""COMPUTED_VALUE"""),43051.0)</f>
        <v>43051</v>
      </c>
      <c r="D98" s="39">
        <f>IFERROR(__xludf.DUMMYFUNCTION("""COMPUTED_VALUE"""),45.0)</f>
        <v>45</v>
      </c>
      <c r="E98" s="39">
        <f>IFERROR(__xludf.DUMMYFUNCTION("""COMPUTED_VALUE"""),1977.0)</f>
        <v>1977</v>
      </c>
    </row>
    <row r="99">
      <c r="A99" s="39" t="str">
        <f>IFERROR(__xludf.DUMMYFUNCTION("""COMPUTED_VALUE"""),"Chile")</f>
        <v>Chile</v>
      </c>
      <c r="B99" s="40">
        <f>IFERROR(__xludf.DUMMYFUNCTION("""COMPUTED_VALUE"""),43052.0)</f>
        <v>43052</v>
      </c>
      <c r="C99" s="41">
        <f>IFERROR(__xludf.DUMMYFUNCTION("""COMPUTED_VALUE"""),43058.0)</f>
        <v>43058</v>
      </c>
      <c r="D99" s="39">
        <f>IFERROR(__xludf.DUMMYFUNCTION("""COMPUTED_VALUE"""),46.0)</f>
        <v>46</v>
      </c>
      <c r="E99" s="39">
        <f>IFERROR(__xludf.DUMMYFUNCTION("""COMPUTED_VALUE"""),1826.0)</f>
        <v>1826</v>
      </c>
    </row>
    <row r="100">
      <c r="A100" s="39" t="str">
        <f>IFERROR(__xludf.DUMMYFUNCTION("""COMPUTED_VALUE"""),"Chile")</f>
        <v>Chile</v>
      </c>
      <c r="B100" s="40">
        <f>IFERROR(__xludf.DUMMYFUNCTION("""COMPUTED_VALUE"""),43059.0)</f>
        <v>43059</v>
      </c>
      <c r="C100" s="41">
        <f>IFERROR(__xludf.DUMMYFUNCTION("""COMPUTED_VALUE"""),43065.0)</f>
        <v>43065</v>
      </c>
      <c r="D100" s="39">
        <f>IFERROR(__xludf.DUMMYFUNCTION("""COMPUTED_VALUE"""),47.0)</f>
        <v>47</v>
      </c>
      <c r="E100" s="39">
        <f>IFERROR(__xludf.DUMMYFUNCTION("""COMPUTED_VALUE"""),1936.0)</f>
        <v>1936</v>
      </c>
    </row>
    <row r="101">
      <c r="A101" s="39" t="str">
        <f>IFERROR(__xludf.DUMMYFUNCTION("""COMPUTED_VALUE"""),"Chile")</f>
        <v>Chile</v>
      </c>
      <c r="B101" s="40">
        <f>IFERROR(__xludf.DUMMYFUNCTION("""COMPUTED_VALUE"""),43066.0)</f>
        <v>43066</v>
      </c>
      <c r="C101" s="41">
        <f>IFERROR(__xludf.DUMMYFUNCTION("""COMPUTED_VALUE"""),43072.0)</f>
        <v>43072</v>
      </c>
      <c r="D101" s="39">
        <f>IFERROR(__xludf.DUMMYFUNCTION("""COMPUTED_VALUE"""),48.0)</f>
        <v>48</v>
      </c>
      <c r="E101" s="39">
        <f>IFERROR(__xludf.DUMMYFUNCTION("""COMPUTED_VALUE"""),1852.0)</f>
        <v>1852</v>
      </c>
    </row>
    <row r="102">
      <c r="A102" s="39" t="str">
        <f>IFERROR(__xludf.DUMMYFUNCTION("""COMPUTED_VALUE"""),"Chile")</f>
        <v>Chile</v>
      </c>
      <c r="B102" s="40">
        <f>IFERROR(__xludf.DUMMYFUNCTION("""COMPUTED_VALUE"""),43073.0)</f>
        <v>43073</v>
      </c>
      <c r="C102" s="41">
        <f>IFERROR(__xludf.DUMMYFUNCTION("""COMPUTED_VALUE"""),43079.0)</f>
        <v>43079</v>
      </c>
      <c r="D102" s="39">
        <f>IFERROR(__xludf.DUMMYFUNCTION("""COMPUTED_VALUE"""),49.0)</f>
        <v>49</v>
      </c>
      <c r="E102" s="39">
        <f>IFERROR(__xludf.DUMMYFUNCTION("""COMPUTED_VALUE"""),1862.0)</f>
        <v>1862</v>
      </c>
    </row>
    <row r="103">
      <c r="A103" s="39" t="str">
        <f>IFERROR(__xludf.DUMMYFUNCTION("""COMPUTED_VALUE"""),"Chile")</f>
        <v>Chile</v>
      </c>
      <c r="B103" s="40">
        <f>IFERROR(__xludf.DUMMYFUNCTION("""COMPUTED_VALUE"""),43080.0)</f>
        <v>43080</v>
      </c>
      <c r="C103" s="41">
        <f>IFERROR(__xludf.DUMMYFUNCTION("""COMPUTED_VALUE"""),43086.0)</f>
        <v>43086</v>
      </c>
      <c r="D103" s="39">
        <f>IFERROR(__xludf.DUMMYFUNCTION("""COMPUTED_VALUE"""),50.0)</f>
        <v>50</v>
      </c>
      <c r="E103" s="39">
        <f>IFERROR(__xludf.DUMMYFUNCTION("""COMPUTED_VALUE"""),1895.0)</f>
        <v>1895</v>
      </c>
    </row>
    <row r="104">
      <c r="A104" s="39" t="str">
        <f>IFERROR(__xludf.DUMMYFUNCTION("""COMPUTED_VALUE"""),"Chile")</f>
        <v>Chile</v>
      </c>
      <c r="B104" s="40">
        <f>IFERROR(__xludf.DUMMYFUNCTION("""COMPUTED_VALUE"""),43087.0)</f>
        <v>43087</v>
      </c>
      <c r="C104" s="41">
        <f>IFERROR(__xludf.DUMMYFUNCTION("""COMPUTED_VALUE"""),43093.0)</f>
        <v>43093</v>
      </c>
      <c r="D104" s="39">
        <f>IFERROR(__xludf.DUMMYFUNCTION("""COMPUTED_VALUE"""),51.0)</f>
        <v>51</v>
      </c>
      <c r="E104" s="39">
        <f>IFERROR(__xludf.DUMMYFUNCTION("""COMPUTED_VALUE"""),1804.0)</f>
        <v>1804</v>
      </c>
    </row>
    <row r="105">
      <c r="A105" s="39" t="str">
        <f>IFERROR(__xludf.DUMMYFUNCTION("""COMPUTED_VALUE"""),"Chile")</f>
        <v>Chile</v>
      </c>
      <c r="B105" s="40">
        <f>IFERROR(__xludf.DUMMYFUNCTION("""COMPUTED_VALUE"""),43094.0)</f>
        <v>43094</v>
      </c>
      <c r="C105" s="41">
        <f>IFERROR(__xludf.DUMMYFUNCTION("""COMPUTED_VALUE"""),43100.0)</f>
        <v>43100</v>
      </c>
      <c r="D105" s="39">
        <f>IFERROR(__xludf.DUMMYFUNCTION("""COMPUTED_VALUE"""),52.0)</f>
        <v>52</v>
      </c>
      <c r="E105" s="39">
        <f>IFERROR(__xludf.DUMMYFUNCTION("""COMPUTED_VALUE"""),1707.0)</f>
        <v>1707</v>
      </c>
    </row>
    <row r="106">
      <c r="A106" s="39" t="str">
        <f>IFERROR(__xludf.DUMMYFUNCTION("""COMPUTED_VALUE"""),"Chile")</f>
        <v>Chile</v>
      </c>
      <c r="B106" s="40">
        <f>IFERROR(__xludf.DUMMYFUNCTION("""COMPUTED_VALUE"""),43101.0)</f>
        <v>43101</v>
      </c>
      <c r="C106" s="41">
        <f>IFERROR(__xludf.DUMMYFUNCTION("""COMPUTED_VALUE"""),43107.0)</f>
        <v>43107</v>
      </c>
      <c r="D106" s="39">
        <f>IFERROR(__xludf.DUMMYFUNCTION("""COMPUTED_VALUE"""),1.0)</f>
        <v>1</v>
      </c>
      <c r="E106" s="39">
        <f>IFERROR(__xludf.DUMMYFUNCTION("""COMPUTED_VALUE"""),1946.0)</f>
        <v>1946</v>
      </c>
    </row>
    <row r="107">
      <c r="A107" s="39" t="str">
        <f>IFERROR(__xludf.DUMMYFUNCTION("""COMPUTED_VALUE"""),"Chile")</f>
        <v>Chile</v>
      </c>
      <c r="B107" s="40">
        <f>IFERROR(__xludf.DUMMYFUNCTION("""COMPUTED_VALUE"""),43108.0)</f>
        <v>43108</v>
      </c>
      <c r="C107" s="41">
        <f>IFERROR(__xludf.DUMMYFUNCTION("""COMPUTED_VALUE"""),43114.0)</f>
        <v>43114</v>
      </c>
      <c r="D107" s="39">
        <f>IFERROR(__xludf.DUMMYFUNCTION("""COMPUTED_VALUE"""),2.0)</f>
        <v>2</v>
      </c>
      <c r="E107" s="39">
        <f>IFERROR(__xludf.DUMMYFUNCTION("""COMPUTED_VALUE"""),1804.0)</f>
        <v>1804</v>
      </c>
    </row>
    <row r="108">
      <c r="A108" s="39" t="str">
        <f>IFERROR(__xludf.DUMMYFUNCTION("""COMPUTED_VALUE"""),"Chile")</f>
        <v>Chile</v>
      </c>
      <c r="B108" s="40">
        <f>IFERROR(__xludf.DUMMYFUNCTION("""COMPUTED_VALUE"""),43115.0)</f>
        <v>43115</v>
      </c>
      <c r="C108" s="41">
        <f>IFERROR(__xludf.DUMMYFUNCTION("""COMPUTED_VALUE"""),43121.0)</f>
        <v>43121</v>
      </c>
      <c r="D108" s="39">
        <f>IFERROR(__xludf.DUMMYFUNCTION("""COMPUTED_VALUE"""),3.0)</f>
        <v>3</v>
      </c>
      <c r="E108" s="39">
        <f>IFERROR(__xludf.DUMMYFUNCTION("""COMPUTED_VALUE"""),1804.0)</f>
        <v>1804</v>
      </c>
    </row>
    <row r="109">
      <c r="A109" s="39" t="str">
        <f>IFERROR(__xludf.DUMMYFUNCTION("""COMPUTED_VALUE"""),"Chile")</f>
        <v>Chile</v>
      </c>
      <c r="B109" s="40">
        <f>IFERROR(__xludf.DUMMYFUNCTION("""COMPUTED_VALUE"""),43122.0)</f>
        <v>43122</v>
      </c>
      <c r="C109" s="41">
        <f>IFERROR(__xludf.DUMMYFUNCTION("""COMPUTED_VALUE"""),43128.0)</f>
        <v>43128</v>
      </c>
      <c r="D109" s="39">
        <f>IFERROR(__xludf.DUMMYFUNCTION("""COMPUTED_VALUE"""),4.0)</f>
        <v>4</v>
      </c>
      <c r="E109" s="39">
        <f>IFERROR(__xludf.DUMMYFUNCTION("""COMPUTED_VALUE"""),1776.0)</f>
        <v>1776</v>
      </c>
    </row>
    <row r="110">
      <c r="A110" s="39" t="str">
        <f>IFERROR(__xludf.DUMMYFUNCTION("""COMPUTED_VALUE"""),"Chile")</f>
        <v>Chile</v>
      </c>
      <c r="B110" s="40">
        <f>IFERROR(__xludf.DUMMYFUNCTION("""COMPUTED_VALUE"""),43129.0)</f>
        <v>43129</v>
      </c>
      <c r="C110" s="41">
        <f>IFERROR(__xludf.DUMMYFUNCTION("""COMPUTED_VALUE"""),43135.0)</f>
        <v>43135</v>
      </c>
      <c r="D110" s="39">
        <f>IFERROR(__xludf.DUMMYFUNCTION("""COMPUTED_VALUE"""),5.0)</f>
        <v>5</v>
      </c>
      <c r="E110" s="39">
        <f>IFERROR(__xludf.DUMMYFUNCTION("""COMPUTED_VALUE"""),1895.0)</f>
        <v>1895</v>
      </c>
    </row>
    <row r="111">
      <c r="A111" s="39" t="str">
        <f>IFERROR(__xludf.DUMMYFUNCTION("""COMPUTED_VALUE"""),"Chile")</f>
        <v>Chile</v>
      </c>
      <c r="B111" s="40">
        <f>IFERROR(__xludf.DUMMYFUNCTION("""COMPUTED_VALUE"""),43136.0)</f>
        <v>43136</v>
      </c>
      <c r="C111" s="41">
        <f>IFERROR(__xludf.DUMMYFUNCTION("""COMPUTED_VALUE"""),43142.0)</f>
        <v>43142</v>
      </c>
      <c r="D111" s="39">
        <f>IFERROR(__xludf.DUMMYFUNCTION("""COMPUTED_VALUE"""),6.0)</f>
        <v>6</v>
      </c>
      <c r="E111" s="39">
        <f>IFERROR(__xludf.DUMMYFUNCTION("""COMPUTED_VALUE"""),1817.0)</f>
        <v>1817</v>
      </c>
    </row>
    <row r="112">
      <c r="A112" s="39" t="str">
        <f>IFERROR(__xludf.DUMMYFUNCTION("""COMPUTED_VALUE"""),"Chile")</f>
        <v>Chile</v>
      </c>
      <c r="B112" s="40">
        <f>IFERROR(__xludf.DUMMYFUNCTION("""COMPUTED_VALUE"""),43143.0)</f>
        <v>43143</v>
      </c>
      <c r="C112" s="41">
        <f>IFERROR(__xludf.DUMMYFUNCTION("""COMPUTED_VALUE"""),43149.0)</f>
        <v>43149</v>
      </c>
      <c r="D112" s="39">
        <f>IFERROR(__xludf.DUMMYFUNCTION("""COMPUTED_VALUE"""),7.0)</f>
        <v>7</v>
      </c>
      <c r="E112" s="39">
        <f>IFERROR(__xludf.DUMMYFUNCTION("""COMPUTED_VALUE"""),1885.0)</f>
        <v>1885</v>
      </c>
    </row>
    <row r="113">
      <c r="A113" s="39" t="str">
        <f>IFERROR(__xludf.DUMMYFUNCTION("""COMPUTED_VALUE"""),"Chile")</f>
        <v>Chile</v>
      </c>
      <c r="B113" s="40">
        <f>IFERROR(__xludf.DUMMYFUNCTION("""COMPUTED_VALUE"""),43150.0)</f>
        <v>43150</v>
      </c>
      <c r="C113" s="41">
        <f>IFERROR(__xludf.DUMMYFUNCTION("""COMPUTED_VALUE"""),43156.0)</f>
        <v>43156</v>
      </c>
      <c r="D113" s="39">
        <f>IFERROR(__xludf.DUMMYFUNCTION("""COMPUTED_VALUE"""),8.0)</f>
        <v>8</v>
      </c>
      <c r="E113" s="39">
        <f>IFERROR(__xludf.DUMMYFUNCTION("""COMPUTED_VALUE"""),1809.0)</f>
        <v>1809</v>
      </c>
    </row>
    <row r="114">
      <c r="A114" s="39" t="str">
        <f>IFERROR(__xludf.DUMMYFUNCTION("""COMPUTED_VALUE"""),"Chile")</f>
        <v>Chile</v>
      </c>
      <c r="B114" s="40">
        <f>IFERROR(__xludf.DUMMYFUNCTION("""COMPUTED_VALUE"""),43157.0)</f>
        <v>43157</v>
      </c>
      <c r="C114" s="41">
        <f>IFERROR(__xludf.DUMMYFUNCTION("""COMPUTED_VALUE"""),43163.0)</f>
        <v>43163</v>
      </c>
      <c r="D114" s="39">
        <f>IFERROR(__xludf.DUMMYFUNCTION("""COMPUTED_VALUE"""),9.0)</f>
        <v>9</v>
      </c>
      <c r="E114" s="39">
        <f>IFERROR(__xludf.DUMMYFUNCTION("""COMPUTED_VALUE"""),1782.0)</f>
        <v>1782</v>
      </c>
    </row>
    <row r="115">
      <c r="A115" s="39" t="str">
        <f>IFERROR(__xludf.DUMMYFUNCTION("""COMPUTED_VALUE"""),"Chile")</f>
        <v>Chile</v>
      </c>
      <c r="B115" s="40">
        <f>IFERROR(__xludf.DUMMYFUNCTION("""COMPUTED_VALUE"""),43164.0)</f>
        <v>43164</v>
      </c>
      <c r="C115" s="41">
        <f>IFERROR(__xludf.DUMMYFUNCTION("""COMPUTED_VALUE"""),43170.0)</f>
        <v>43170</v>
      </c>
      <c r="D115" s="39">
        <f>IFERROR(__xludf.DUMMYFUNCTION("""COMPUTED_VALUE"""),10.0)</f>
        <v>10</v>
      </c>
      <c r="E115" s="39">
        <f>IFERROR(__xludf.DUMMYFUNCTION("""COMPUTED_VALUE"""),1870.0)</f>
        <v>1870</v>
      </c>
    </row>
    <row r="116">
      <c r="A116" s="39" t="str">
        <f>IFERROR(__xludf.DUMMYFUNCTION("""COMPUTED_VALUE"""),"Chile")</f>
        <v>Chile</v>
      </c>
      <c r="B116" s="40">
        <f>IFERROR(__xludf.DUMMYFUNCTION("""COMPUTED_VALUE"""),43171.0)</f>
        <v>43171</v>
      </c>
      <c r="C116" s="41">
        <f>IFERROR(__xludf.DUMMYFUNCTION("""COMPUTED_VALUE"""),43177.0)</f>
        <v>43177</v>
      </c>
      <c r="D116" s="39">
        <f>IFERROR(__xludf.DUMMYFUNCTION("""COMPUTED_VALUE"""),11.0)</f>
        <v>11</v>
      </c>
      <c r="E116" s="39">
        <f>IFERROR(__xludf.DUMMYFUNCTION("""COMPUTED_VALUE"""),1789.0)</f>
        <v>1789</v>
      </c>
    </row>
    <row r="117">
      <c r="A117" s="39" t="str">
        <f>IFERROR(__xludf.DUMMYFUNCTION("""COMPUTED_VALUE"""),"Chile")</f>
        <v>Chile</v>
      </c>
      <c r="B117" s="40">
        <f>IFERROR(__xludf.DUMMYFUNCTION("""COMPUTED_VALUE"""),43178.0)</f>
        <v>43178</v>
      </c>
      <c r="C117" s="41">
        <f>IFERROR(__xludf.DUMMYFUNCTION("""COMPUTED_VALUE"""),43184.0)</f>
        <v>43184</v>
      </c>
      <c r="D117" s="39">
        <f>IFERROR(__xludf.DUMMYFUNCTION("""COMPUTED_VALUE"""),12.0)</f>
        <v>12</v>
      </c>
      <c r="E117" s="39">
        <f>IFERROR(__xludf.DUMMYFUNCTION("""COMPUTED_VALUE"""),1819.0)</f>
        <v>1819</v>
      </c>
    </row>
    <row r="118">
      <c r="A118" s="39" t="str">
        <f>IFERROR(__xludf.DUMMYFUNCTION("""COMPUTED_VALUE"""),"Chile")</f>
        <v>Chile</v>
      </c>
      <c r="B118" s="40">
        <f>IFERROR(__xludf.DUMMYFUNCTION("""COMPUTED_VALUE"""),43185.0)</f>
        <v>43185</v>
      </c>
      <c r="C118" s="41">
        <f>IFERROR(__xludf.DUMMYFUNCTION("""COMPUTED_VALUE"""),43191.0)</f>
        <v>43191</v>
      </c>
      <c r="D118" s="39">
        <f>IFERROR(__xludf.DUMMYFUNCTION("""COMPUTED_VALUE"""),13.0)</f>
        <v>13</v>
      </c>
      <c r="E118" s="39">
        <f>IFERROR(__xludf.DUMMYFUNCTION("""COMPUTED_VALUE"""),1961.0)</f>
        <v>1961</v>
      </c>
    </row>
    <row r="119">
      <c r="A119" s="39" t="str">
        <f>IFERROR(__xludf.DUMMYFUNCTION("""COMPUTED_VALUE"""),"Chile")</f>
        <v>Chile</v>
      </c>
      <c r="B119" s="40">
        <f>IFERROR(__xludf.DUMMYFUNCTION("""COMPUTED_VALUE"""),43192.0)</f>
        <v>43192</v>
      </c>
      <c r="C119" s="41">
        <f>IFERROR(__xludf.DUMMYFUNCTION("""COMPUTED_VALUE"""),43198.0)</f>
        <v>43198</v>
      </c>
      <c r="D119" s="39">
        <f>IFERROR(__xludf.DUMMYFUNCTION("""COMPUTED_VALUE"""),14.0)</f>
        <v>14</v>
      </c>
      <c r="E119" s="39">
        <f>IFERROR(__xludf.DUMMYFUNCTION("""COMPUTED_VALUE"""),1903.0)</f>
        <v>1903</v>
      </c>
    </row>
    <row r="120">
      <c r="A120" s="39" t="str">
        <f>IFERROR(__xludf.DUMMYFUNCTION("""COMPUTED_VALUE"""),"Chile")</f>
        <v>Chile</v>
      </c>
      <c r="B120" s="40">
        <f>IFERROR(__xludf.DUMMYFUNCTION("""COMPUTED_VALUE"""),43199.0)</f>
        <v>43199</v>
      </c>
      <c r="C120" s="41">
        <f>IFERROR(__xludf.DUMMYFUNCTION("""COMPUTED_VALUE"""),43205.0)</f>
        <v>43205</v>
      </c>
      <c r="D120" s="39">
        <f>IFERROR(__xludf.DUMMYFUNCTION("""COMPUTED_VALUE"""),15.0)</f>
        <v>15</v>
      </c>
      <c r="E120" s="39">
        <f>IFERROR(__xludf.DUMMYFUNCTION("""COMPUTED_VALUE"""),1939.0)</f>
        <v>1939</v>
      </c>
    </row>
    <row r="121">
      <c r="A121" s="39" t="str">
        <f>IFERROR(__xludf.DUMMYFUNCTION("""COMPUTED_VALUE"""),"Chile")</f>
        <v>Chile</v>
      </c>
      <c r="B121" s="40">
        <f>IFERROR(__xludf.DUMMYFUNCTION("""COMPUTED_VALUE"""),43206.0)</f>
        <v>43206</v>
      </c>
      <c r="C121" s="41">
        <f>IFERROR(__xludf.DUMMYFUNCTION("""COMPUTED_VALUE"""),43212.0)</f>
        <v>43212</v>
      </c>
      <c r="D121" s="39">
        <f>IFERROR(__xludf.DUMMYFUNCTION("""COMPUTED_VALUE"""),16.0)</f>
        <v>16</v>
      </c>
      <c r="E121" s="39">
        <f>IFERROR(__xludf.DUMMYFUNCTION("""COMPUTED_VALUE"""),1920.0)</f>
        <v>1920</v>
      </c>
    </row>
    <row r="122">
      <c r="A122" s="39" t="str">
        <f>IFERROR(__xludf.DUMMYFUNCTION("""COMPUTED_VALUE"""),"Chile")</f>
        <v>Chile</v>
      </c>
      <c r="B122" s="40">
        <f>IFERROR(__xludf.DUMMYFUNCTION("""COMPUTED_VALUE"""),43213.0)</f>
        <v>43213</v>
      </c>
      <c r="C122" s="41">
        <f>IFERROR(__xludf.DUMMYFUNCTION("""COMPUTED_VALUE"""),43219.0)</f>
        <v>43219</v>
      </c>
      <c r="D122" s="39">
        <f>IFERROR(__xludf.DUMMYFUNCTION("""COMPUTED_VALUE"""),17.0)</f>
        <v>17</v>
      </c>
      <c r="E122" s="39">
        <f>IFERROR(__xludf.DUMMYFUNCTION("""COMPUTED_VALUE"""),1917.0)</f>
        <v>1917</v>
      </c>
    </row>
    <row r="123">
      <c r="A123" s="39" t="str">
        <f>IFERROR(__xludf.DUMMYFUNCTION("""COMPUTED_VALUE"""),"Chile")</f>
        <v>Chile</v>
      </c>
      <c r="B123" s="40">
        <f>IFERROR(__xludf.DUMMYFUNCTION("""COMPUTED_VALUE"""),43220.0)</f>
        <v>43220</v>
      </c>
      <c r="C123" s="41">
        <f>IFERROR(__xludf.DUMMYFUNCTION("""COMPUTED_VALUE"""),43226.0)</f>
        <v>43226</v>
      </c>
      <c r="D123" s="39">
        <f>IFERROR(__xludf.DUMMYFUNCTION("""COMPUTED_VALUE"""),18.0)</f>
        <v>18</v>
      </c>
      <c r="E123" s="39">
        <f>IFERROR(__xludf.DUMMYFUNCTION("""COMPUTED_VALUE"""),1976.0)</f>
        <v>1976</v>
      </c>
    </row>
    <row r="124">
      <c r="A124" s="39" t="str">
        <f>IFERROR(__xludf.DUMMYFUNCTION("""COMPUTED_VALUE"""),"Chile")</f>
        <v>Chile</v>
      </c>
      <c r="B124" s="40">
        <f>IFERROR(__xludf.DUMMYFUNCTION("""COMPUTED_VALUE"""),43227.0)</f>
        <v>43227</v>
      </c>
      <c r="C124" s="41">
        <f>IFERROR(__xludf.DUMMYFUNCTION("""COMPUTED_VALUE"""),43233.0)</f>
        <v>43233</v>
      </c>
      <c r="D124" s="39">
        <f>IFERROR(__xludf.DUMMYFUNCTION("""COMPUTED_VALUE"""),19.0)</f>
        <v>19</v>
      </c>
      <c r="E124" s="39">
        <f>IFERROR(__xludf.DUMMYFUNCTION("""COMPUTED_VALUE"""),1864.0)</f>
        <v>1864</v>
      </c>
    </row>
    <row r="125">
      <c r="A125" s="39" t="str">
        <f>IFERROR(__xludf.DUMMYFUNCTION("""COMPUTED_VALUE"""),"Chile")</f>
        <v>Chile</v>
      </c>
      <c r="B125" s="40">
        <f>IFERROR(__xludf.DUMMYFUNCTION("""COMPUTED_VALUE"""),43234.0)</f>
        <v>43234</v>
      </c>
      <c r="C125" s="41">
        <f>IFERROR(__xludf.DUMMYFUNCTION("""COMPUTED_VALUE"""),43240.0)</f>
        <v>43240</v>
      </c>
      <c r="D125" s="39">
        <f>IFERROR(__xludf.DUMMYFUNCTION("""COMPUTED_VALUE"""),20.0)</f>
        <v>20</v>
      </c>
      <c r="E125" s="39">
        <f>IFERROR(__xludf.DUMMYFUNCTION("""COMPUTED_VALUE"""),2024.0)</f>
        <v>2024</v>
      </c>
    </row>
    <row r="126">
      <c r="A126" s="39" t="str">
        <f>IFERROR(__xludf.DUMMYFUNCTION("""COMPUTED_VALUE"""),"Chile")</f>
        <v>Chile</v>
      </c>
      <c r="B126" s="40">
        <f>IFERROR(__xludf.DUMMYFUNCTION("""COMPUTED_VALUE"""),43241.0)</f>
        <v>43241</v>
      </c>
      <c r="C126" s="41">
        <f>IFERROR(__xludf.DUMMYFUNCTION("""COMPUTED_VALUE"""),43247.0)</f>
        <v>43247</v>
      </c>
      <c r="D126" s="39">
        <f>IFERROR(__xludf.DUMMYFUNCTION("""COMPUTED_VALUE"""),21.0)</f>
        <v>21</v>
      </c>
      <c r="E126" s="39">
        <f>IFERROR(__xludf.DUMMYFUNCTION("""COMPUTED_VALUE"""),2088.0)</f>
        <v>2088</v>
      </c>
    </row>
    <row r="127">
      <c r="A127" s="39" t="str">
        <f>IFERROR(__xludf.DUMMYFUNCTION("""COMPUTED_VALUE"""),"Chile")</f>
        <v>Chile</v>
      </c>
      <c r="B127" s="40">
        <f>IFERROR(__xludf.DUMMYFUNCTION("""COMPUTED_VALUE"""),43248.0)</f>
        <v>43248</v>
      </c>
      <c r="C127" s="41">
        <f>IFERROR(__xludf.DUMMYFUNCTION("""COMPUTED_VALUE"""),43254.0)</f>
        <v>43254</v>
      </c>
      <c r="D127" s="39">
        <f>IFERROR(__xludf.DUMMYFUNCTION("""COMPUTED_VALUE"""),22.0)</f>
        <v>22</v>
      </c>
      <c r="E127" s="39">
        <f>IFERROR(__xludf.DUMMYFUNCTION("""COMPUTED_VALUE"""),2123.0)</f>
        <v>2123</v>
      </c>
    </row>
    <row r="128">
      <c r="A128" s="39" t="str">
        <f>IFERROR(__xludf.DUMMYFUNCTION("""COMPUTED_VALUE"""),"Chile")</f>
        <v>Chile</v>
      </c>
      <c r="B128" s="40">
        <f>IFERROR(__xludf.DUMMYFUNCTION("""COMPUTED_VALUE"""),43255.0)</f>
        <v>43255</v>
      </c>
      <c r="C128" s="41">
        <f>IFERROR(__xludf.DUMMYFUNCTION("""COMPUTED_VALUE"""),43261.0)</f>
        <v>43261</v>
      </c>
      <c r="D128" s="39">
        <f>IFERROR(__xludf.DUMMYFUNCTION("""COMPUTED_VALUE"""),23.0)</f>
        <v>23</v>
      </c>
      <c r="E128" s="39">
        <f>IFERROR(__xludf.DUMMYFUNCTION("""COMPUTED_VALUE"""),2368.0)</f>
        <v>2368</v>
      </c>
    </row>
    <row r="129">
      <c r="A129" s="39" t="str">
        <f>IFERROR(__xludf.DUMMYFUNCTION("""COMPUTED_VALUE"""),"Chile")</f>
        <v>Chile</v>
      </c>
      <c r="B129" s="40">
        <f>IFERROR(__xludf.DUMMYFUNCTION("""COMPUTED_VALUE"""),43262.0)</f>
        <v>43262</v>
      </c>
      <c r="C129" s="41">
        <f>IFERROR(__xludf.DUMMYFUNCTION("""COMPUTED_VALUE"""),43268.0)</f>
        <v>43268</v>
      </c>
      <c r="D129" s="39">
        <f>IFERROR(__xludf.DUMMYFUNCTION("""COMPUTED_VALUE"""),24.0)</f>
        <v>24</v>
      </c>
      <c r="E129" s="39">
        <f>IFERROR(__xludf.DUMMYFUNCTION("""COMPUTED_VALUE"""),2431.0)</f>
        <v>2431</v>
      </c>
    </row>
    <row r="130">
      <c r="A130" s="39" t="str">
        <f>IFERROR(__xludf.DUMMYFUNCTION("""COMPUTED_VALUE"""),"Chile")</f>
        <v>Chile</v>
      </c>
      <c r="B130" s="40">
        <f>IFERROR(__xludf.DUMMYFUNCTION("""COMPUTED_VALUE"""),43269.0)</f>
        <v>43269</v>
      </c>
      <c r="C130" s="41">
        <f>IFERROR(__xludf.DUMMYFUNCTION("""COMPUTED_VALUE"""),43275.0)</f>
        <v>43275</v>
      </c>
      <c r="D130" s="39">
        <f>IFERROR(__xludf.DUMMYFUNCTION("""COMPUTED_VALUE"""),25.0)</f>
        <v>25</v>
      </c>
      <c r="E130" s="39">
        <f>IFERROR(__xludf.DUMMYFUNCTION("""COMPUTED_VALUE"""),2247.0)</f>
        <v>2247</v>
      </c>
    </row>
    <row r="131">
      <c r="A131" s="39" t="str">
        <f>IFERROR(__xludf.DUMMYFUNCTION("""COMPUTED_VALUE"""),"Chile")</f>
        <v>Chile</v>
      </c>
      <c r="B131" s="40">
        <f>IFERROR(__xludf.DUMMYFUNCTION("""COMPUTED_VALUE"""),43276.0)</f>
        <v>43276</v>
      </c>
      <c r="C131" s="41">
        <f>IFERROR(__xludf.DUMMYFUNCTION("""COMPUTED_VALUE"""),43282.0)</f>
        <v>43282</v>
      </c>
      <c r="D131" s="39">
        <f>IFERROR(__xludf.DUMMYFUNCTION("""COMPUTED_VALUE"""),26.0)</f>
        <v>26</v>
      </c>
      <c r="E131" s="39">
        <f>IFERROR(__xludf.DUMMYFUNCTION("""COMPUTED_VALUE"""),2359.0)</f>
        <v>2359</v>
      </c>
    </row>
    <row r="132">
      <c r="A132" s="39" t="str">
        <f>IFERROR(__xludf.DUMMYFUNCTION("""COMPUTED_VALUE"""),"Chile")</f>
        <v>Chile</v>
      </c>
      <c r="B132" s="40">
        <f>IFERROR(__xludf.DUMMYFUNCTION("""COMPUTED_VALUE"""),43283.0)</f>
        <v>43283</v>
      </c>
      <c r="C132" s="41">
        <f>IFERROR(__xludf.DUMMYFUNCTION("""COMPUTED_VALUE"""),43289.0)</f>
        <v>43289</v>
      </c>
      <c r="D132" s="39">
        <f>IFERROR(__xludf.DUMMYFUNCTION("""COMPUTED_VALUE"""),27.0)</f>
        <v>27</v>
      </c>
      <c r="E132" s="39">
        <f>IFERROR(__xludf.DUMMYFUNCTION("""COMPUTED_VALUE"""),2334.0)</f>
        <v>2334</v>
      </c>
    </row>
    <row r="133">
      <c r="A133" s="39" t="str">
        <f>IFERROR(__xludf.DUMMYFUNCTION("""COMPUTED_VALUE"""),"Chile")</f>
        <v>Chile</v>
      </c>
      <c r="B133" s="40">
        <f>IFERROR(__xludf.DUMMYFUNCTION("""COMPUTED_VALUE"""),43290.0)</f>
        <v>43290</v>
      </c>
      <c r="C133" s="41">
        <f>IFERROR(__xludf.DUMMYFUNCTION("""COMPUTED_VALUE"""),43296.0)</f>
        <v>43296</v>
      </c>
      <c r="D133" s="39">
        <f>IFERROR(__xludf.DUMMYFUNCTION("""COMPUTED_VALUE"""),28.0)</f>
        <v>28</v>
      </c>
      <c r="E133" s="39">
        <f>IFERROR(__xludf.DUMMYFUNCTION("""COMPUTED_VALUE"""),2276.0)</f>
        <v>2276</v>
      </c>
    </row>
    <row r="134">
      <c r="A134" s="39" t="str">
        <f>IFERROR(__xludf.DUMMYFUNCTION("""COMPUTED_VALUE"""),"Chile")</f>
        <v>Chile</v>
      </c>
      <c r="B134" s="40">
        <f>IFERROR(__xludf.DUMMYFUNCTION("""COMPUTED_VALUE"""),43297.0)</f>
        <v>43297</v>
      </c>
      <c r="C134" s="41">
        <f>IFERROR(__xludf.DUMMYFUNCTION("""COMPUTED_VALUE"""),43303.0)</f>
        <v>43303</v>
      </c>
      <c r="D134" s="39">
        <f>IFERROR(__xludf.DUMMYFUNCTION("""COMPUTED_VALUE"""),29.0)</f>
        <v>29</v>
      </c>
      <c r="E134" s="39">
        <f>IFERROR(__xludf.DUMMYFUNCTION("""COMPUTED_VALUE"""),2334.0)</f>
        <v>2334</v>
      </c>
    </row>
    <row r="135">
      <c r="A135" s="39" t="str">
        <f>IFERROR(__xludf.DUMMYFUNCTION("""COMPUTED_VALUE"""),"Chile")</f>
        <v>Chile</v>
      </c>
      <c r="B135" s="40">
        <f>IFERROR(__xludf.DUMMYFUNCTION("""COMPUTED_VALUE"""),43304.0)</f>
        <v>43304</v>
      </c>
      <c r="C135" s="41">
        <f>IFERROR(__xludf.DUMMYFUNCTION("""COMPUTED_VALUE"""),43310.0)</f>
        <v>43310</v>
      </c>
      <c r="D135" s="39">
        <f>IFERROR(__xludf.DUMMYFUNCTION("""COMPUTED_VALUE"""),30.0)</f>
        <v>30</v>
      </c>
      <c r="E135" s="39">
        <f>IFERROR(__xludf.DUMMYFUNCTION("""COMPUTED_VALUE"""),2496.0)</f>
        <v>2496</v>
      </c>
    </row>
    <row r="136">
      <c r="A136" s="39" t="str">
        <f>IFERROR(__xludf.DUMMYFUNCTION("""COMPUTED_VALUE"""),"Chile")</f>
        <v>Chile</v>
      </c>
      <c r="B136" s="40">
        <f>IFERROR(__xludf.DUMMYFUNCTION("""COMPUTED_VALUE"""),43311.0)</f>
        <v>43311</v>
      </c>
      <c r="C136" s="41">
        <f>IFERROR(__xludf.DUMMYFUNCTION("""COMPUTED_VALUE"""),43317.0)</f>
        <v>43317</v>
      </c>
      <c r="D136" s="39">
        <f>IFERROR(__xludf.DUMMYFUNCTION("""COMPUTED_VALUE"""),31.0)</f>
        <v>31</v>
      </c>
      <c r="E136" s="39">
        <f>IFERROR(__xludf.DUMMYFUNCTION("""COMPUTED_VALUE"""),2514.0)</f>
        <v>2514</v>
      </c>
    </row>
    <row r="137">
      <c r="A137" s="39" t="str">
        <f>IFERROR(__xludf.DUMMYFUNCTION("""COMPUTED_VALUE"""),"Chile")</f>
        <v>Chile</v>
      </c>
      <c r="B137" s="40">
        <f>IFERROR(__xludf.DUMMYFUNCTION("""COMPUTED_VALUE"""),43318.0)</f>
        <v>43318</v>
      </c>
      <c r="C137" s="41">
        <f>IFERROR(__xludf.DUMMYFUNCTION("""COMPUTED_VALUE"""),43324.0)</f>
        <v>43324</v>
      </c>
      <c r="D137" s="39">
        <f>IFERROR(__xludf.DUMMYFUNCTION("""COMPUTED_VALUE"""),32.0)</f>
        <v>32</v>
      </c>
      <c r="E137" s="39">
        <f>IFERROR(__xludf.DUMMYFUNCTION("""COMPUTED_VALUE"""),2448.0)</f>
        <v>2448</v>
      </c>
    </row>
    <row r="138">
      <c r="A138" s="39" t="str">
        <f>IFERROR(__xludf.DUMMYFUNCTION("""COMPUTED_VALUE"""),"Chile")</f>
        <v>Chile</v>
      </c>
      <c r="B138" s="40">
        <f>IFERROR(__xludf.DUMMYFUNCTION("""COMPUTED_VALUE"""),43325.0)</f>
        <v>43325</v>
      </c>
      <c r="C138" s="41">
        <f>IFERROR(__xludf.DUMMYFUNCTION("""COMPUTED_VALUE"""),43331.0)</f>
        <v>43331</v>
      </c>
      <c r="D138" s="39">
        <f>IFERROR(__xludf.DUMMYFUNCTION("""COMPUTED_VALUE"""),33.0)</f>
        <v>33</v>
      </c>
      <c r="E138" s="39">
        <f>IFERROR(__xludf.DUMMYFUNCTION("""COMPUTED_VALUE"""),2306.0)</f>
        <v>2306</v>
      </c>
    </row>
    <row r="139">
      <c r="A139" s="39" t="str">
        <f>IFERROR(__xludf.DUMMYFUNCTION("""COMPUTED_VALUE"""),"Chile")</f>
        <v>Chile</v>
      </c>
      <c r="B139" s="40">
        <f>IFERROR(__xludf.DUMMYFUNCTION("""COMPUTED_VALUE"""),43332.0)</f>
        <v>43332</v>
      </c>
      <c r="C139" s="41">
        <f>IFERROR(__xludf.DUMMYFUNCTION("""COMPUTED_VALUE"""),43338.0)</f>
        <v>43338</v>
      </c>
      <c r="D139" s="39">
        <f>IFERROR(__xludf.DUMMYFUNCTION("""COMPUTED_VALUE"""),34.0)</f>
        <v>34</v>
      </c>
      <c r="E139" s="39">
        <f>IFERROR(__xludf.DUMMYFUNCTION("""COMPUTED_VALUE"""),2388.0)</f>
        <v>2388</v>
      </c>
    </row>
    <row r="140">
      <c r="A140" s="39" t="str">
        <f>IFERROR(__xludf.DUMMYFUNCTION("""COMPUTED_VALUE"""),"Chile")</f>
        <v>Chile</v>
      </c>
      <c r="B140" s="40">
        <f>IFERROR(__xludf.DUMMYFUNCTION("""COMPUTED_VALUE"""),43339.0)</f>
        <v>43339</v>
      </c>
      <c r="C140" s="41">
        <f>IFERROR(__xludf.DUMMYFUNCTION("""COMPUTED_VALUE"""),43345.0)</f>
        <v>43345</v>
      </c>
      <c r="D140" s="39">
        <f>IFERROR(__xludf.DUMMYFUNCTION("""COMPUTED_VALUE"""),35.0)</f>
        <v>35</v>
      </c>
      <c r="E140" s="39">
        <f>IFERROR(__xludf.DUMMYFUNCTION("""COMPUTED_VALUE"""),2178.0)</f>
        <v>2178</v>
      </c>
    </row>
    <row r="141">
      <c r="A141" s="39" t="str">
        <f>IFERROR(__xludf.DUMMYFUNCTION("""COMPUTED_VALUE"""),"Chile")</f>
        <v>Chile</v>
      </c>
      <c r="B141" s="40">
        <f>IFERROR(__xludf.DUMMYFUNCTION("""COMPUTED_VALUE"""),43346.0)</f>
        <v>43346</v>
      </c>
      <c r="C141" s="41">
        <f>IFERROR(__xludf.DUMMYFUNCTION("""COMPUTED_VALUE"""),43352.0)</f>
        <v>43352</v>
      </c>
      <c r="D141" s="39">
        <f>IFERROR(__xludf.DUMMYFUNCTION("""COMPUTED_VALUE"""),36.0)</f>
        <v>36</v>
      </c>
      <c r="E141" s="39">
        <f>IFERROR(__xludf.DUMMYFUNCTION("""COMPUTED_VALUE"""),2238.0)</f>
        <v>2238</v>
      </c>
    </row>
    <row r="142">
      <c r="A142" s="39" t="str">
        <f>IFERROR(__xludf.DUMMYFUNCTION("""COMPUTED_VALUE"""),"Chile")</f>
        <v>Chile</v>
      </c>
      <c r="B142" s="40">
        <f>IFERROR(__xludf.DUMMYFUNCTION("""COMPUTED_VALUE"""),43353.0)</f>
        <v>43353</v>
      </c>
      <c r="C142" s="41">
        <f>IFERROR(__xludf.DUMMYFUNCTION("""COMPUTED_VALUE"""),43359.0)</f>
        <v>43359</v>
      </c>
      <c r="D142" s="39">
        <f>IFERROR(__xludf.DUMMYFUNCTION("""COMPUTED_VALUE"""),37.0)</f>
        <v>37</v>
      </c>
      <c r="E142" s="39">
        <f>IFERROR(__xludf.DUMMYFUNCTION("""COMPUTED_VALUE"""),2140.0)</f>
        <v>2140</v>
      </c>
    </row>
    <row r="143">
      <c r="A143" s="39" t="str">
        <f>IFERROR(__xludf.DUMMYFUNCTION("""COMPUTED_VALUE"""),"Chile")</f>
        <v>Chile</v>
      </c>
      <c r="B143" s="40">
        <f>IFERROR(__xludf.DUMMYFUNCTION("""COMPUTED_VALUE"""),43360.0)</f>
        <v>43360</v>
      </c>
      <c r="C143" s="41">
        <f>IFERROR(__xludf.DUMMYFUNCTION("""COMPUTED_VALUE"""),43366.0)</f>
        <v>43366</v>
      </c>
      <c r="D143" s="39">
        <f>IFERROR(__xludf.DUMMYFUNCTION("""COMPUTED_VALUE"""),38.0)</f>
        <v>38</v>
      </c>
      <c r="E143" s="39">
        <f>IFERROR(__xludf.DUMMYFUNCTION("""COMPUTED_VALUE"""),2217.0)</f>
        <v>2217</v>
      </c>
    </row>
    <row r="144">
      <c r="A144" s="39" t="str">
        <f>IFERROR(__xludf.DUMMYFUNCTION("""COMPUTED_VALUE"""),"Chile")</f>
        <v>Chile</v>
      </c>
      <c r="B144" s="40">
        <f>IFERROR(__xludf.DUMMYFUNCTION("""COMPUTED_VALUE"""),43367.0)</f>
        <v>43367</v>
      </c>
      <c r="C144" s="41">
        <f>IFERROR(__xludf.DUMMYFUNCTION("""COMPUTED_VALUE"""),43373.0)</f>
        <v>43373</v>
      </c>
      <c r="D144" s="39">
        <f>IFERROR(__xludf.DUMMYFUNCTION("""COMPUTED_VALUE"""),39.0)</f>
        <v>39</v>
      </c>
      <c r="E144" s="39">
        <f>IFERROR(__xludf.DUMMYFUNCTION("""COMPUTED_VALUE"""),2046.0)</f>
        <v>2046</v>
      </c>
    </row>
    <row r="145">
      <c r="A145" s="39" t="str">
        <f>IFERROR(__xludf.DUMMYFUNCTION("""COMPUTED_VALUE"""),"Chile")</f>
        <v>Chile</v>
      </c>
      <c r="B145" s="40">
        <f>IFERROR(__xludf.DUMMYFUNCTION("""COMPUTED_VALUE"""),43374.0)</f>
        <v>43374</v>
      </c>
      <c r="C145" s="41">
        <f>IFERROR(__xludf.DUMMYFUNCTION("""COMPUTED_VALUE"""),43380.0)</f>
        <v>43380</v>
      </c>
      <c r="D145" s="39">
        <f>IFERROR(__xludf.DUMMYFUNCTION("""COMPUTED_VALUE"""),40.0)</f>
        <v>40</v>
      </c>
      <c r="E145" s="39">
        <f>IFERROR(__xludf.DUMMYFUNCTION("""COMPUTED_VALUE"""),2058.0)</f>
        <v>2058</v>
      </c>
    </row>
    <row r="146">
      <c r="A146" s="39" t="str">
        <f>IFERROR(__xludf.DUMMYFUNCTION("""COMPUTED_VALUE"""),"Chile")</f>
        <v>Chile</v>
      </c>
      <c r="B146" s="40">
        <f>IFERROR(__xludf.DUMMYFUNCTION("""COMPUTED_VALUE"""),43381.0)</f>
        <v>43381</v>
      </c>
      <c r="C146" s="41">
        <f>IFERROR(__xludf.DUMMYFUNCTION("""COMPUTED_VALUE"""),43387.0)</f>
        <v>43387</v>
      </c>
      <c r="D146" s="39">
        <f>IFERROR(__xludf.DUMMYFUNCTION("""COMPUTED_VALUE"""),41.0)</f>
        <v>41</v>
      </c>
      <c r="E146" s="39">
        <f>IFERROR(__xludf.DUMMYFUNCTION("""COMPUTED_VALUE"""),1986.0)</f>
        <v>1986</v>
      </c>
    </row>
    <row r="147">
      <c r="A147" s="39" t="str">
        <f>IFERROR(__xludf.DUMMYFUNCTION("""COMPUTED_VALUE"""),"Chile")</f>
        <v>Chile</v>
      </c>
      <c r="B147" s="40">
        <f>IFERROR(__xludf.DUMMYFUNCTION("""COMPUTED_VALUE"""),43388.0)</f>
        <v>43388</v>
      </c>
      <c r="C147" s="41">
        <f>IFERROR(__xludf.DUMMYFUNCTION("""COMPUTED_VALUE"""),43394.0)</f>
        <v>43394</v>
      </c>
      <c r="D147" s="39">
        <f>IFERROR(__xludf.DUMMYFUNCTION("""COMPUTED_VALUE"""),42.0)</f>
        <v>42</v>
      </c>
      <c r="E147" s="39">
        <f>IFERROR(__xludf.DUMMYFUNCTION("""COMPUTED_VALUE"""),2002.0)</f>
        <v>2002</v>
      </c>
    </row>
    <row r="148">
      <c r="A148" s="39" t="str">
        <f>IFERROR(__xludf.DUMMYFUNCTION("""COMPUTED_VALUE"""),"Chile")</f>
        <v>Chile</v>
      </c>
      <c r="B148" s="40">
        <f>IFERROR(__xludf.DUMMYFUNCTION("""COMPUTED_VALUE"""),43395.0)</f>
        <v>43395</v>
      </c>
      <c r="C148" s="41">
        <f>IFERROR(__xludf.DUMMYFUNCTION("""COMPUTED_VALUE"""),43401.0)</f>
        <v>43401</v>
      </c>
      <c r="D148" s="39">
        <f>IFERROR(__xludf.DUMMYFUNCTION("""COMPUTED_VALUE"""),43.0)</f>
        <v>43</v>
      </c>
      <c r="E148" s="39">
        <f>IFERROR(__xludf.DUMMYFUNCTION("""COMPUTED_VALUE"""),2030.0)</f>
        <v>2030</v>
      </c>
    </row>
    <row r="149">
      <c r="A149" s="39" t="str">
        <f>IFERROR(__xludf.DUMMYFUNCTION("""COMPUTED_VALUE"""),"Chile")</f>
        <v>Chile</v>
      </c>
      <c r="B149" s="40">
        <f>IFERROR(__xludf.DUMMYFUNCTION("""COMPUTED_VALUE"""),43402.0)</f>
        <v>43402</v>
      </c>
      <c r="C149" s="41">
        <f>IFERROR(__xludf.DUMMYFUNCTION("""COMPUTED_VALUE"""),43408.0)</f>
        <v>43408</v>
      </c>
      <c r="D149" s="39">
        <f>IFERROR(__xludf.DUMMYFUNCTION("""COMPUTED_VALUE"""),44.0)</f>
        <v>44</v>
      </c>
      <c r="E149" s="39">
        <f>IFERROR(__xludf.DUMMYFUNCTION("""COMPUTED_VALUE"""),1940.0)</f>
        <v>1940</v>
      </c>
    </row>
    <row r="150">
      <c r="A150" s="39" t="str">
        <f>IFERROR(__xludf.DUMMYFUNCTION("""COMPUTED_VALUE"""),"Chile")</f>
        <v>Chile</v>
      </c>
      <c r="B150" s="40">
        <f>IFERROR(__xludf.DUMMYFUNCTION("""COMPUTED_VALUE"""),43409.0)</f>
        <v>43409</v>
      </c>
      <c r="C150" s="41">
        <f>IFERROR(__xludf.DUMMYFUNCTION("""COMPUTED_VALUE"""),43415.0)</f>
        <v>43415</v>
      </c>
      <c r="D150" s="39">
        <f>IFERROR(__xludf.DUMMYFUNCTION("""COMPUTED_VALUE"""),45.0)</f>
        <v>45</v>
      </c>
      <c r="E150" s="39">
        <f>IFERROR(__xludf.DUMMYFUNCTION("""COMPUTED_VALUE"""),1960.0)</f>
        <v>1960</v>
      </c>
    </row>
    <row r="151">
      <c r="A151" s="39" t="str">
        <f>IFERROR(__xludf.DUMMYFUNCTION("""COMPUTED_VALUE"""),"Chile")</f>
        <v>Chile</v>
      </c>
      <c r="B151" s="40">
        <f>IFERROR(__xludf.DUMMYFUNCTION("""COMPUTED_VALUE"""),43416.0)</f>
        <v>43416</v>
      </c>
      <c r="C151" s="41">
        <f>IFERROR(__xludf.DUMMYFUNCTION("""COMPUTED_VALUE"""),43422.0)</f>
        <v>43422</v>
      </c>
      <c r="D151" s="39">
        <f>IFERROR(__xludf.DUMMYFUNCTION("""COMPUTED_VALUE"""),46.0)</f>
        <v>46</v>
      </c>
      <c r="E151" s="39">
        <f>IFERROR(__xludf.DUMMYFUNCTION("""COMPUTED_VALUE"""),1945.0)</f>
        <v>1945</v>
      </c>
    </row>
    <row r="152">
      <c r="A152" s="39" t="str">
        <f>IFERROR(__xludf.DUMMYFUNCTION("""COMPUTED_VALUE"""),"Chile")</f>
        <v>Chile</v>
      </c>
      <c r="B152" s="40">
        <f>IFERROR(__xludf.DUMMYFUNCTION("""COMPUTED_VALUE"""),43423.0)</f>
        <v>43423</v>
      </c>
      <c r="C152" s="41">
        <f>IFERROR(__xludf.DUMMYFUNCTION("""COMPUTED_VALUE"""),43429.0)</f>
        <v>43429</v>
      </c>
      <c r="D152" s="39">
        <f>IFERROR(__xludf.DUMMYFUNCTION("""COMPUTED_VALUE"""),47.0)</f>
        <v>47</v>
      </c>
      <c r="E152" s="39">
        <f>IFERROR(__xludf.DUMMYFUNCTION("""COMPUTED_VALUE"""),1992.0)</f>
        <v>1992</v>
      </c>
    </row>
    <row r="153">
      <c r="A153" s="39" t="str">
        <f>IFERROR(__xludf.DUMMYFUNCTION("""COMPUTED_VALUE"""),"Chile")</f>
        <v>Chile</v>
      </c>
      <c r="B153" s="40">
        <f>IFERROR(__xludf.DUMMYFUNCTION("""COMPUTED_VALUE"""),43430.0)</f>
        <v>43430</v>
      </c>
      <c r="C153" s="41">
        <f>IFERROR(__xludf.DUMMYFUNCTION("""COMPUTED_VALUE"""),43436.0)</f>
        <v>43436</v>
      </c>
      <c r="D153" s="39">
        <f>IFERROR(__xludf.DUMMYFUNCTION("""COMPUTED_VALUE"""),48.0)</f>
        <v>48</v>
      </c>
      <c r="E153" s="39">
        <f>IFERROR(__xludf.DUMMYFUNCTION("""COMPUTED_VALUE"""),1924.0)</f>
        <v>1924</v>
      </c>
    </row>
    <row r="154">
      <c r="A154" s="39" t="str">
        <f>IFERROR(__xludf.DUMMYFUNCTION("""COMPUTED_VALUE"""),"Chile")</f>
        <v>Chile</v>
      </c>
      <c r="B154" s="40">
        <f>IFERROR(__xludf.DUMMYFUNCTION("""COMPUTED_VALUE"""),43437.0)</f>
        <v>43437</v>
      </c>
      <c r="C154" s="41">
        <f>IFERROR(__xludf.DUMMYFUNCTION("""COMPUTED_VALUE"""),43443.0)</f>
        <v>43443</v>
      </c>
      <c r="D154" s="39">
        <f>IFERROR(__xludf.DUMMYFUNCTION("""COMPUTED_VALUE"""),49.0)</f>
        <v>49</v>
      </c>
      <c r="E154" s="39">
        <f>IFERROR(__xludf.DUMMYFUNCTION("""COMPUTED_VALUE"""),1852.0)</f>
        <v>1852</v>
      </c>
    </row>
    <row r="155">
      <c r="A155" s="39" t="str">
        <f>IFERROR(__xludf.DUMMYFUNCTION("""COMPUTED_VALUE"""),"Chile")</f>
        <v>Chile</v>
      </c>
      <c r="B155" s="40">
        <f>IFERROR(__xludf.DUMMYFUNCTION("""COMPUTED_VALUE"""),43444.0)</f>
        <v>43444</v>
      </c>
      <c r="C155" s="41">
        <f>IFERROR(__xludf.DUMMYFUNCTION("""COMPUTED_VALUE"""),43450.0)</f>
        <v>43450</v>
      </c>
      <c r="D155" s="39">
        <f>IFERROR(__xludf.DUMMYFUNCTION("""COMPUTED_VALUE"""),50.0)</f>
        <v>50</v>
      </c>
      <c r="E155" s="39">
        <f>IFERROR(__xludf.DUMMYFUNCTION("""COMPUTED_VALUE"""),1910.0)</f>
        <v>1910</v>
      </c>
    </row>
    <row r="156">
      <c r="A156" s="39" t="str">
        <f>IFERROR(__xludf.DUMMYFUNCTION("""COMPUTED_VALUE"""),"Chile")</f>
        <v>Chile</v>
      </c>
      <c r="B156" s="40">
        <f>IFERROR(__xludf.DUMMYFUNCTION("""COMPUTED_VALUE"""),43451.0)</f>
        <v>43451</v>
      </c>
      <c r="C156" s="41">
        <f>IFERROR(__xludf.DUMMYFUNCTION("""COMPUTED_VALUE"""),43457.0)</f>
        <v>43457</v>
      </c>
      <c r="D156" s="39">
        <f>IFERROR(__xludf.DUMMYFUNCTION("""COMPUTED_VALUE"""),51.0)</f>
        <v>51</v>
      </c>
      <c r="E156" s="39">
        <f>IFERROR(__xludf.DUMMYFUNCTION("""COMPUTED_VALUE"""),1941.0)</f>
        <v>1941</v>
      </c>
    </row>
    <row r="157">
      <c r="A157" s="39" t="str">
        <f>IFERROR(__xludf.DUMMYFUNCTION("""COMPUTED_VALUE"""),"Chile")</f>
        <v>Chile</v>
      </c>
      <c r="B157" s="40">
        <f>IFERROR(__xludf.DUMMYFUNCTION("""COMPUTED_VALUE"""),43458.0)</f>
        <v>43458</v>
      </c>
      <c r="C157" s="41">
        <f>IFERROR(__xludf.DUMMYFUNCTION("""COMPUTED_VALUE"""),43464.0)</f>
        <v>43464</v>
      </c>
      <c r="D157" s="39">
        <f>IFERROR(__xludf.DUMMYFUNCTION("""COMPUTED_VALUE"""),52.0)</f>
        <v>52</v>
      </c>
      <c r="E157" s="39">
        <f>IFERROR(__xludf.DUMMYFUNCTION("""COMPUTED_VALUE"""),1887.0)</f>
        <v>1887</v>
      </c>
    </row>
    <row r="158">
      <c r="A158" s="39" t="str">
        <f>IFERROR(__xludf.DUMMYFUNCTION("""COMPUTED_VALUE"""),"Chile")</f>
        <v>Chile</v>
      </c>
      <c r="B158" s="40">
        <f>IFERROR(__xludf.DUMMYFUNCTION("""COMPUTED_VALUE"""),43465.0)</f>
        <v>43465</v>
      </c>
      <c r="C158" s="41">
        <f>IFERROR(__xludf.DUMMYFUNCTION("""COMPUTED_VALUE"""),43471.0)</f>
        <v>43471</v>
      </c>
      <c r="D158" s="39">
        <f>IFERROR(__xludf.DUMMYFUNCTION("""COMPUTED_VALUE"""),1.0)</f>
        <v>1</v>
      </c>
      <c r="E158" s="39">
        <f>IFERROR(__xludf.DUMMYFUNCTION("""COMPUTED_VALUE"""),2020.0)</f>
        <v>2020</v>
      </c>
    </row>
    <row r="159">
      <c r="A159" s="39" t="str">
        <f>IFERROR(__xludf.DUMMYFUNCTION("""COMPUTED_VALUE"""),"Chile")</f>
        <v>Chile</v>
      </c>
      <c r="B159" s="40">
        <f>IFERROR(__xludf.DUMMYFUNCTION("""COMPUTED_VALUE"""),43472.0)</f>
        <v>43472</v>
      </c>
      <c r="C159" s="41">
        <f>IFERROR(__xludf.DUMMYFUNCTION("""COMPUTED_VALUE"""),43478.0)</f>
        <v>43478</v>
      </c>
      <c r="D159" s="39">
        <f>IFERROR(__xludf.DUMMYFUNCTION("""COMPUTED_VALUE"""),2.0)</f>
        <v>2</v>
      </c>
      <c r="E159" s="39">
        <f>IFERROR(__xludf.DUMMYFUNCTION("""COMPUTED_VALUE"""),1818.0)</f>
        <v>1818</v>
      </c>
    </row>
    <row r="160">
      <c r="A160" s="39" t="str">
        <f>IFERROR(__xludf.DUMMYFUNCTION("""COMPUTED_VALUE"""),"Chile")</f>
        <v>Chile</v>
      </c>
      <c r="B160" s="40">
        <f>IFERROR(__xludf.DUMMYFUNCTION("""COMPUTED_VALUE"""),43479.0)</f>
        <v>43479</v>
      </c>
      <c r="C160" s="41">
        <f>IFERROR(__xludf.DUMMYFUNCTION("""COMPUTED_VALUE"""),43485.0)</f>
        <v>43485</v>
      </c>
      <c r="D160" s="39">
        <f>IFERROR(__xludf.DUMMYFUNCTION("""COMPUTED_VALUE"""),3.0)</f>
        <v>3</v>
      </c>
      <c r="E160" s="39">
        <f>IFERROR(__xludf.DUMMYFUNCTION("""COMPUTED_VALUE"""),1819.0)</f>
        <v>1819</v>
      </c>
    </row>
    <row r="161">
      <c r="A161" s="39" t="str">
        <f>IFERROR(__xludf.DUMMYFUNCTION("""COMPUTED_VALUE"""),"Chile")</f>
        <v>Chile</v>
      </c>
      <c r="B161" s="40">
        <f>IFERROR(__xludf.DUMMYFUNCTION("""COMPUTED_VALUE"""),43486.0)</f>
        <v>43486</v>
      </c>
      <c r="C161" s="41">
        <f>IFERROR(__xludf.DUMMYFUNCTION("""COMPUTED_VALUE"""),43492.0)</f>
        <v>43492</v>
      </c>
      <c r="D161" s="39">
        <f>IFERROR(__xludf.DUMMYFUNCTION("""COMPUTED_VALUE"""),4.0)</f>
        <v>4</v>
      </c>
      <c r="E161" s="39">
        <f>IFERROR(__xludf.DUMMYFUNCTION("""COMPUTED_VALUE"""),1945.0)</f>
        <v>1945</v>
      </c>
    </row>
    <row r="162">
      <c r="A162" s="39" t="str">
        <f>IFERROR(__xludf.DUMMYFUNCTION("""COMPUTED_VALUE"""),"Chile")</f>
        <v>Chile</v>
      </c>
      <c r="B162" s="40">
        <f>IFERROR(__xludf.DUMMYFUNCTION("""COMPUTED_VALUE"""),43493.0)</f>
        <v>43493</v>
      </c>
      <c r="C162" s="41">
        <f>IFERROR(__xludf.DUMMYFUNCTION("""COMPUTED_VALUE"""),43499.0)</f>
        <v>43499</v>
      </c>
      <c r="D162" s="39">
        <f>IFERROR(__xludf.DUMMYFUNCTION("""COMPUTED_VALUE"""),5.0)</f>
        <v>5</v>
      </c>
      <c r="E162" s="39">
        <f>IFERROR(__xludf.DUMMYFUNCTION("""COMPUTED_VALUE"""),1961.0)</f>
        <v>1961</v>
      </c>
    </row>
    <row r="163">
      <c r="A163" s="39" t="str">
        <f>IFERROR(__xludf.DUMMYFUNCTION("""COMPUTED_VALUE"""),"Chile")</f>
        <v>Chile</v>
      </c>
      <c r="B163" s="40">
        <f>IFERROR(__xludf.DUMMYFUNCTION("""COMPUTED_VALUE"""),43500.0)</f>
        <v>43500</v>
      </c>
      <c r="C163" s="41">
        <f>IFERROR(__xludf.DUMMYFUNCTION("""COMPUTED_VALUE"""),43506.0)</f>
        <v>43506</v>
      </c>
      <c r="D163" s="39">
        <f>IFERROR(__xludf.DUMMYFUNCTION("""COMPUTED_VALUE"""),6.0)</f>
        <v>6</v>
      </c>
      <c r="E163" s="39">
        <f>IFERROR(__xludf.DUMMYFUNCTION("""COMPUTED_VALUE"""),2023.0)</f>
        <v>2023</v>
      </c>
    </row>
    <row r="164">
      <c r="A164" s="39" t="str">
        <f>IFERROR(__xludf.DUMMYFUNCTION("""COMPUTED_VALUE"""),"Chile")</f>
        <v>Chile</v>
      </c>
      <c r="B164" s="40">
        <f>IFERROR(__xludf.DUMMYFUNCTION("""COMPUTED_VALUE"""),43507.0)</f>
        <v>43507</v>
      </c>
      <c r="C164" s="41">
        <f>IFERROR(__xludf.DUMMYFUNCTION("""COMPUTED_VALUE"""),43513.0)</f>
        <v>43513</v>
      </c>
      <c r="D164" s="39">
        <f>IFERROR(__xludf.DUMMYFUNCTION("""COMPUTED_VALUE"""),7.0)</f>
        <v>7</v>
      </c>
      <c r="E164" s="39">
        <f>IFERROR(__xludf.DUMMYFUNCTION("""COMPUTED_VALUE"""),1875.0)</f>
        <v>1875</v>
      </c>
    </row>
    <row r="165">
      <c r="A165" s="39" t="str">
        <f>IFERROR(__xludf.DUMMYFUNCTION("""COMPUTED_VALUE"""),"Chile")</f>
        <v>Chile</v>
      </c>
      <c r="B165" s="40">
        <f>IFERROR(__xludf.DUMMYFUNCTION("""COMPUTED_VALUE"""),43514.0)</f>
        <v>43514</v>
      </c>
      <c r="C165" s="41">
        <f>IFERROR(__xludf.DUMMYFUNCTION("""COMPUTED_VALUE"""),43520.0)</f>
        <v>43520</v>
      </c>
      <c r="D165" s="39">
        <f>IFERROR(__xludf.DUMMYFUNCTION("""COMPUTED_VALUE"""),8.0)</f>
        <v>8</v>
      </c>
      <c r="E165" s="39">
        <f>IFERROR(__xludf.DUMMYFUNCTION("""COMPUTED_VALUE"""),1931.0)</f>
        <v>1931</v>
      </c>
    </row>
    <row r="166">
      <c r="A166" s="39" t="str">
        <f>IFERROR(__xludf.DUMMYFUNCTION("""COMPUTED_VALUE"""),"Chile")</f>
        <v>Chile</v>
      </c>
      <c r="B166" s="40">
        <f>IFERROR(__xludf.DUMMYFUNCTION("""COMPUTED_VALUE"""),43521.0)</f>
        <v>43521</v>
      </c>
      <c r="C166" s="41">
        <f>IFERROR(__xludf.DUMMYFUNCTION("""COMPUTED_VALUE"""),43527.0)</f>
        <v>43527</v>
      </c>
      <c r="D166" s="39">
        <f>IFERROR(__xludf.DUMMYFUNCTION("""COMPUTED_VALUE"""),9.0)</f>
        <v>9</v>
      </c>
      <c r="E166" s="39">
        <f>IFERROR(__xludf.DUMMYFUNCTION("""COMPUTED_VALUE"""),1862.0)</f>
        <v>1862</v>
      </c>
    </row>
    <row r="167">
      <c r="A167" s="39" t="str">
        <f>IFERROR(__xludf.DUMMYFUNCTION("""COMPUTED_VALUE"""),"Chile")</f>
        <v>Chile</v>
      </c>
      <c r="B167" s="40">
        <f>IFERROR(__xludf.DUMMYFUNCTION("""COMPUTED_VALUE"""),43528.0)</f>
        <v>43528</v>
      </c>
      <c r="C167" s="41">
        <f>IFERROR(__xludf.DUMMYFUNCTION("""COMPUTED_VALUE"""),43534.0)</f>
        <v>43534</v>
      </c>
      <c r="D167" s="39">
        <f>IFERROR(__xludf.DUMMYFUNCTION("""COMPUTED_VALUE"""),10.0)</f>
        <v>10</v>
      </c>
      <c r="E167" s="39">
        <f>IFERROR(__xludf.DUMMYFUNCTION("""COMPUTED_VALUE"""),1795.0)</f>
        <v>1795</v>
      </c>
    </row>
    <row r="168">
      <c r="A168" s="39" t="str">
        <f>IFERROR(__xludf.DUMMYFUNCTION("""COMPUTED_VALUE"""),"Chile")</f>
        <v>Chile</v>
      </c>
      <c r="B168" s="40">
        <f>IFERROR(__xludf.DUMMYFUNCTION("""COMPUTED_VALUE"""),43535.0)</f>
        <v>43535</v>
      </c>
      <c r="C168" s="41">
        <f>IFERROR(__xludf.DUMMYFUNCTION("""COMPUTED_VALUE"""),43541.0)</f>
        <v>43541</v>
      </c>
      <c r="D168" s="39">
        <f>IFERROR(__xludf.DUMMYFUNCTION("""COMPUTED_VALUE"""),11.0)</f>
        <v>11</v>
      </c>
      <c r="E168" s="39">
        <f>IFERROR(__xludf.DUMMYFUNCTION("""COMPUTED_VALUE"""),1867.0)</f>
        <v>1867</v>
      </c>
    </row>
    <row r="169">
      <c r="A169" s="39" t="str">
        <f>IFERROR(__xludf.DUMMYFUNCTION("""COMPUTED_VALUE"""),"Chile")</f>
        <v>Chile</v>
      </c>
      <c r="B169" s="40">
        <f>IFERROR(__xludf.DUMMYFUNCTION("""COMPUTED_VALUE"""),43542.0)</f>
        <v>43542</v>
      </c>
      <c r="C169" s="41">
        <f>IFERROR(__xludf.DUMMYFUNCTION("""COMPUTED_VALUE"""),43548.0)</f>
        <v>43548</v>
      </c>
      <c r="D169" s="39">
        <f>IFERROR(__xludf.DUMMYFUNCTION("""COMPUTED_VALUE"""),12.0)</f>
        <v>12</v>
      </c>
      <c r="E169" s="39">
        <f>IFERROR(__xludf.DUMMYFUNCTION("""COMPUTED_VALUE"""),1877.0)</f>
        <v>1877</v>
      </c>
    </row>
    <row r="170">
      <c r="A170" s="39" t="str">
        <f>IFERROR(__xludf.DUMMYFUNCTION("""COMPUTED_VALUE"""),"Chile")</f>
        <v>Chile</v>
      </c>
      <c r="B170" s="40">
        <f>IFERROR(__xludf.DUMMYFUNCTION("""COMPUTED_VALUE"""),43549.0)</f>
        <v>43549</v>
      </c>
      <c r="C170" s="41">
        <f>IFERROR(__xludf.DUMMYFUNCTION("""COMPUTED_VALUE"""),43555.0)</f>
        <v>43555</v>
      </c>
      <c r="D170" s="39">
        <f>IFERROR(__xludf.DUMMYFUNCTION("""COMPUTED_VALUE"""),13.0)</f>
        <v>13</v>
      </c>
      <c r="E170" s="39">
        <f>IFERROR(__xludf.DUMMYFUNCTION("""COMPUTED_VALUE"""),1848.0)</f>
        <v>1848</v>
      </c>
    </row>
    <row r="171">
      <c r="A171" s="39" t="str">
        <f>IFERROR(__xludf.DUMMYFUNCTION("""COMPUTED_VALUE"""),"Chile")</f>
        <v>Chile</v>
      </c>
      <c r="B171" s="40">
        <f>IFERROR(__xludf.DUMMYFUNCTION("""COMPUTED_VALUE"""),43556.0)</f>
        <v>43556</v>
      </c>
      <c r="C171" s="41">
        <f>IFERROR(__xludf.DUMMYFUNCTION("""COMPUTED_VALUE"""),43562.0)</f>
        <v>43562</v>
      </c>
      <c r="D171" s="39">
        <f>IFERROR(__xludf.DUMMYFUNCTION("""COMPUTED_VALUE"""),14.0)</f>
        <v>14</v>
      </c>
      <c r="E171" s="39">
        <f>IFERROR(__xludf.DUMMYFUNCTION("""COMPUTED_VALUE"""),1959.0)</f>
        <v>1959</v>
      </c>
    </row>
    <row r="172">
      <c r="A172" s="39" t="str">
        <f>IFERROR(__xludf.DUMMYFUNCTION("""COMPUTED_VALUE"""),"Chile")</f>
        <v>Chile</v>
      </c>
      <c r="B172" s="40">
        <f>IFERROR(__xludf.DUMMYFUNCTION("""COMPUTED_VALUE"""),43563.0)</f>
        <v>43563</v>
      </c>
      <c r="C172" s="41">
        <f>IFERROR(__xludf.DUMMYFUNCTION("""COMPUTED_VALUE"""),43569.0)</f>
        <v>43569</v>
      </c>
      <c r="D172" s="39">
        <f>IFERROR(__xludf.DUMMYFUNCTION("""COMPUTED_VALUE"""),15.0)</f>
        <v>15</v>
      </c>
      <c r="E172" s="39">
        <f>IFERROR(__xludf.DUMMYFUNCTION("""COMPUTED_VALUE"""),1973.0)</f>
        <v>1973</v>
      </c>
    </row>
    <row r="173">
      <c r="A173" s="39" t="str">
        <f>IFERROR(__xludf.DUMMYFUNCTION("""COMPUTED_VALUE"""),"Chile")</f>
        <v>Chile</v>
      </c>
      <c r="B173" s="40">
        <f>IFERROR(__xludf.DUMMYFUNCTION("""COMPUTED_VALUE"""),43570.0)</f>
        <v>43570</v>
      </c>
      <c r="C173" s="41">
        <f>IFERROR(__xludf.DUMMYFUNCTION("""COMPUTED_VALUE"""),43576.0)</f>
        <v>43576</v>
      </c>
      <c r="D173" s="39">
        <f>IFERROR(__xludf.DUMMYFUNCTION("""COMPUTED_VALUE"""),16.0)</f>
        <v>16</v>
      </c>
      <c r="E173" s="39">
        <f>IFERROR(__xludf.DUMMYFUNCTION("""COMPUTED_VALUE"""),1980.0)</f>
        <v>1980</v>
      </c>
    </row>
    <row r="174">
      <c r="A174" s="39" t="str">
        <f>IFERROR(__xludf.DUMMYFUNCTION("""COMPUTED_VALUE"""),"Chile")</f>
        <v>Chile</v>
      </c>
      <c r="B174" s="40">
        <f>IFERROR(__xludf.DUMMYFUNCTION("""COMPUTED_VALUE"""),43577.0)</f>
        <v>43577</v>
      </c>
      <c r="C174" s="41">
        <f>IFERROR(__xludf.DUMMYFUNCTION("""COMPUTED_VALUE"""),43583.0)</f>
        <v>43583</v>
      </c>
      <c r="D174" s="39">
        <f>IFERROR(__xludf.DUMMYFUNCTION("""COMPUTED_VALUE"""),17.0)</f>
        <v>17</v>
      </c>
      <c r="E174" s="39">
        <f>IFERROR(__xludf.DUMMYFUNCTION("""COMPUTED_VALUE"""),2033.0)</f>
        <v>2033</v>
      </c>
    </row>
    <row r="175">
      <c r="A175" s="39" t="str">
        <f>IFERROR(__xludf.DUMMYFUNCTION("""COMPUTED_VALUE"""),"Chile")</f>
        <v>Chile</v>
      </c>
      <c r="B175" s="40">
        <f>IFERROR(__xludf.DUMMYFUNCTION("""COMPUTED_VALUE"""),43584.0)</f>
        <v>43584</v>
      </c>
      <c r="C175" s="41">
        <f>IFERROR(__xludf.DUMMYFUNCTION("""COMPUTED_VALUE"""),43590.0)</f>
        <v>43590</v>
      </c>
      <c r="D175" s="39">
        <f>IFERROR(__xludf.DUMMYFUNCTION("""COMPUTED_VALUE"""),18.0)</f>
        <v>18</v>
      </c>
      <c r="E175" s="39">
        <f>IFERROR(__xludf.DUMMYFUNCTION("""COMPUTED_VALUE"""),2095.0)</f>
        <v>2095</v>
      </c>
    </row>
    <row r="176">
      <c r="A176" s="39" t="str">
        <f>IFERROR(__xludf.DUMMYFUNCTION("""COMPUTED_VALUE"""),"Chile")</f>
        <v>Chile</v>
      </c>
      <c r="B176" s="40">
        <f>IFERROR(__xludf.DUMMYFUNCTION("""COMPUTED_VALUE"""),43591.0)</f>
        <v>43591</v>
      </c>
      <c r="C176" s="41">
        <f>IFERROR(__xludf.DUMMYFUNCTION("""COMPUTED_VALUE"""),43597.0)</f>
        <v>43597</v>
      </c>
      <c r="D176" s="39">
        <f>IFERROR(__xludf.DUMMYFUNCTION("""COMPUTED_VALUE"""),19.0)</f>
        <v>19</v>
      </c>
      <c r="E176" s="39">
        <f>IFERROR(__xludf.DUMMYFUNCTION("""COMPUTED_VALUE"""),2072.0)</f>
        <v>2072</v>
      </c>
    </row>
    <row r="177">
      <c r="A177" s="39" t="str">
        <f>IFERROR(__xludf.DUMMYFUNCTION("""COMPUTED_VALUE"""),"Chile")</f>
        <v>Chile</v>
      </c>
      <c r="B177" s="40">
        <f>IFERROR(__xludf.DUMMYFUNCTION("""COMPUTED_VALUE"""),43598.0)</f>
        <v>43598</v>
      </c>
      <c r="C177" s="41">
        <f>IFERROR(__xludf.DUMMYFUNCTION("""COMPUTED_VALUE"""),43604.0)</f>
        <v>43604</v>
      </c>
      <c r="D177" s="39">
        <f>IFERROR(__xludf.DUMMYFUNCTION("""COMPUTED_VALUE"""),20.0)</f>
        <v>20</v>
      </c>
      <c r="E177" s="39">
        <f>IFERROR(__xludf.DUMMYFUNCTION("""COMPUTED_VALUE"""),2147.0)</f>
        <v>2147</v>
      </c>
    </row>
    <row r="178">
      <c r="A178" s="39" t="str">
        <f>IFERROR(__xludf.DUMMYFUNCTION("""COMPUTED_VALUE"""),"Chile")</f>
        <v>Chile</v>
      </c>
      <c r="B178" s="40">
        <f>IFERROR(__xludf.DUMMYFUNCTION("""COMPUTED_VALUE"""),43605.0)</f>
        <v>43605</v>
      </c>
      <c r="C178" s="41">
        <f>IFERROR(__xludf.DUMMYFUNCTION("""COMPUTED_VALUE"""),43611.0)</f>
        <v>43611</v>
      </c>
      <c r="D178" s="39">
        <f>IFERROR(__xludf.DUMMYFUNCTION("""COMPUTED_VALUE"""),21.0)</f>
        <v>21</v>
      </c>
      <c r="E178" s="39">
        <f>IFERROR(__xludf.DUMMYFUNCTION("""COMPUTED_VALUE"""),2364.0)</f>
        <v>2364</v>
      </c>
    </row>
    <row r="179">
      <c r="A179" s="39" t="str">
        <f>IFERROR(__xludf.DUMMYFUNCTION("""COMPUTED_VALUE"""),"Chile")</f>
        <v>Chile</v>
      </c>
      <c r="B179" s="40">
        <f>IFERROR(__xludf.DUMMYFUNCTION("""COMPUTED_VALUE"""),43612.0)</f>
        <v>43612</v>
      </c>
      <c r="C179" s="41">
        <f>IFERROR(__xludf.DUMMYFUNCTION("""COMPUTED_VALUE"""),43618.0)</f>
        <v>43618</v>
      </c>
      <c r="D179" s="39">
        <f>IFERROR(__xludf.DUMMYFUNCTION("""COMPUTED_VALUE"""),22.0)</f>
        <v>22</v>
      </c>
      <c r="E179" s="39">
        <f>IFERROR(__xludf.DUMMYFUNCTION("""COMPUTED_VALUE"""),2354.0)</f>
        <v>2354</v>
      </c>
    </row>
    <row r="180">
      <c r="A180" s="39" t="str">
        <f>IFERROR(__xludf.DUMMYFUNCTION("""COMPUTED_VALUE"""),"Chile")</f>
        <v>Chile</v>
      </c>
      <c r="B180" s="40">
        <f>IFERROR(__xludf.DUMMYFUNCTION("""COMPUTED_VALUE"""),43619.0)</f>
        <v>43619</v>
      </c>
      <c r="C180" s="41">
        <f>IFERROR(__xludf.DUMMYFUNCTION("""COMPUTED_VALUE"""),43625.0)</f>
        <v>43625</v>
      </c>
      <c r="D180" s="39">
        <f>IFERROR(__xludf.DUMMYFUNCTION("""COMPUTED_VALUE"""),23.0)</f>
        <v>23</v>
      </c>
      <c r="E180" s="39">
        <f>IFERROR(__xludf.DUMMYFUNCTION("""COMPUTED_VALUE"""),2324.0)</f>
        <v>2324</v>
      </c>
    </row>
    <row r="181">
      <c r="A181" s="39" t="str">
        <f>IFERROR(__xludf.DUMMYFUNCTION("""COMPUTED_VALUE"""),"Chile")</f>
        <v>Chile</v>
      </c>
      <c r="B181" s="40">
        <f>IFERROR(__xludf.DUMMYFUNCTION("""COMPUTED_VALUE"""),43626.0)</f>
        <v>43626</v>
      </c>
      <c r="C181" s="41">
        <f>IFERROR(__xludf.DUMMYFUNCTION("""COMPUTED_VALUE"""),43632.0)</f>
        <v>43632</v>
      </c>
      <c r="D181" s="39">
        <f>IFERROR(__xludf.DUMMYFUNCTION("""COMPUTED_VALUE"""),24.0)</f>
        <v>24</v>
      </c>
      <c r="E181" s="39">
        <f>IFERROR(__xludf.DUMMYFUNCTION("""COMPUTED_VALUE"""),2429.0)</f>
        <v>2429</v>
      </c>
    </row>
    <row r="182">
      <c r="A182" s="39" t="str">
        <f>IFERROR(__xludf.DUMMYFUNCTION("""COMPUTED_VALUE"""),"Chile")</f>
        <v>Chile</v>
      </c>
      <c r="B182" s="40">
        <f>IFERROR(__xludf.DUMMYFUNCTION("""COMPUTED_VALUE"""),43633.0)</f>
        <v>43633</v>
      </c>
      <c r="C182" s="41">
        <f>IFERROR(__xludf.DUMMYFUNCTION("""COMPUTED_VALUE"""),43639.0)</f>
        <v>43639</v>
      </c>
      <c r="D182" s="39">
        <f>IFERROR(__xludf.DUMMYFUNCTION("""COMPUTED_VALUE"""),25.0)</f>
        <v>25</v>
      </c>
      <c r="E182" s="39">
        <f>IFERROR(__xludf.DUMMYFUNCTION("""COMPUTED_VALUE"""),2477.0)</f>
        <v>2477</v>
      </c>
    </row>
    <row r="183">
      <c r="A183" s="39" t="str">
        <f>IFERROR(__xludf.DUMMYFUNCTION("""COMPUTED_VALUE"""),"Chile")</f>
        <v>Chile</v>
      </c>
      <c r="B183" s="40">
        <f>IFERROR(__xludf.DUMMYFUNCTION("""COMPUTED_VALUE"""),43640.0)</f>
        <v>43640</v>
      </c>
      <c r="C183" s="41">
        <f>IFERROR(__xludf.DUMMYFUNCTION("""COMPUTED_VALUE"""),43646.0)</f>
        <v>43646</v>
      </c>
      <c r="D183" s="39">
        <f>IFERROR(__xludf.DUMMYFUNCTION("""COMPUTED_VALUE"""),26.0)</f>
        <v>26</v>
      </c>
      <c r="E183" s="39">
        <f>IFERROR(__xludf.DUMMYFUNCTION("""COMPUTED_VALUE"""),2504.0)</f>
        <v>2504</v>
      </c>
    </row>
    <row r="184">
      <c r="A184" s="39" t="str">
        <f>IFERROR(__xludf.DUMMYFUNCTION("""COMPUTED_VALUE"""),"Chile")</f>
        <v>Chile</v>
      </c>
      <c r="B184" s="40">
        <f>IFERROR(__xludf.DUMMYFUNCTION("""COMPUTED_VALUE"""),43647.0)</f>
        <v>43647</v>
      </c>
      <c r="C184" s="41">
        <f>IFERROR(__xludf.DUMMYFUNCTION("""COMPUTED_VALUE"""),43653.0)</f>
        <v>43653</v>
      </c>
      <c r="D184" s="39">
        <f>IFERROR(__xludf.DUMMYFUNCTION("""COMPUTED_VALUE"""),27.0)</f>
        <v>27</v>
      </c>
      <c r="E184" s="39">
        <f>IFERROR(__xludf.DUMMYFUNCTION("""COMPUTED_VALUE"""),2458.0)</f>
        <v>2458</v>
      </c>
    </row>
    <row r="185">
      <c r="A185" s="39" t="str">
        <f>IFERROR(__xludf.DUMMYFUNCTION("""COMPUTED_VALUE"""),"Chile")</f>
        <v>Chile</v>
      </c>
      <c r="B185" s="40">
        <f>IFERROR(__xludf.DUMMYFUNCTION("""COMPUTED_VALUE"""),43654.0)</f>
        <v>43654</v>
      </c>
      <c r="C185" s="41">
        <f>IFERROR(__xludf.DUMMYFUNCTION("""COMPUTED_VALUE"""),43660.0)</f>
        <v>43660</v>
      </c>
      <c r="D185" s="39">
        <f>IFERROR(__xludf.DUMMYFUNCTION("""COMPUTED_VALUE"""),28.0)</f>
        <v>28</v>
      </c>
      <c r="E185" s="39">
        <f>IFERROR(__xludf.DUMMYFUNCTION("""COMPUTED_VALUE"""),2376.0)</f>
        <v>2376</v>
      </c>
    </row>
    <row r="186">
      <c r="A186" s="39" t="str">
        <f>IFERROR(__xludf.DUMMYFUNCTION("""COMPUTED_VALUE"""),"Chile")</f>
        <v>Chile</v>
      </c>
      <c r="B186" s="40">
        <f>IFERROR(__xludf.DUMMYFUNCTION("""COMPUTED_VALUE"""),43661.0)</f>
        <v>43661</v>
      </c>
      <c r="C186" s="41">
        <f>IFERROR(__xludf.DUMMYFUNCTION("""COMPUTED_VALUE"""),43667.0)</f>
        <v>43667</v>
      </c>
      <c r="D186" s="39">
        <f>IFERROR(__xludf.DUMMYFUNCTION("""COMPUTED_VALUE"""),29.0)</f>
        <v>29</v>
      </c>
      <c r="E186" s="39">
        <f>IFERROR(__xludf.DUMMYFUNCTION("""COMPUTED_VALUE"""),2420.0)</f>
        <v>2420</v>
      </c>
    </row>
    <row r="187">
      <c r="A187" s="39" t="str">
        <f>IFERROR(__xludf.DUMMYFUNCTION("""COMPUTED_VALUE"""),"Chile")</f>
        <v>Chile</v>
      </c>
      <c r="B187" s="40">
        <f>IFERROR(__xludf.DUMMYFUNCTION("""COMPUTED_VALUE"""),43668.0)</f>
        <v>43668</v>
      </c>
      <c r="C187" s="41">
        <f>IFERROR(__xludf.DUMMYFUNCTION("""COMPUTED_VALUE"""),43674.0)</f>
        <v>43674</v>
      </c>
      <c r="D187" s="39">
        <f>IFERROR(__xludf.DUMMYFUNCTION("""COMPUTED_VALUE"""),30.0)</f>
        <v>30</v>
      </c>
      <c r="E187" s="39">
        <f>IFERROR(__xludf.DUMMYFUNCTION("""COMPUTED_VALUE"""),2343.0)</f>
        <v>2343</v>
      </c>
    </row>
    <row r="188">
      <c r="A188" s="39" t="str">
        <f>IFERROR(__xludf.DUMMYFUNCTION("""COMPUTED_VALUE"""),"Chile")</f>
        <v>Chile</v>
      </c>
      <c r="B188" s="40">
        <f>IFERROR(__xludf.DUMMYFUNCTION("""COMPUTED_VALUE"""),43675.0)</f>
        <v>43675</v>
      </c>
      <c r="C188" s="41">
        <f>IFERROR(__xludf.DUMMYFUNCTION("""COMPUTED_VALUE"""),43681.0)</f>
        <v>43681</v>
      </c>
      <c r="D188" s="39">
        <f>IFERROR(__xludf.DUMMYFUNCTION("""COMPUTED_VALUE"""),31.0)</f>
        <v>31</v>
      </c>
      <c r="E188" s="39">
        <f>IFERROR(__xludf.DUMMYFUNCTION("""COMPUTED_VALUE"""),2341.0)</f>
        <v>2341</v>
      </c>
    </row>
    <row r="189">
      <c r="A189" s="39" t="str">
        <f>IFERROR(__xludf.DUMMYFUNCTION("""COMPUTED_VALUE"""),"Chile")</f>
        <v>Chile</v>
      </c>
      <c r="B189" s="40">
        <f>IFERROR(__xludf.DUMMYFUNCTION("""COMPUTED_VALUE"""),43682.0)</f>
        <v>43682</v>
      </c>
      <c r="C189" s="41">
        <f>IFERROR(__xludf.DUMMYFUNCTION("""COMPUTED_VALUE"""),43688.0)</f>
        <v>43688</v>
      </c>
      <c r="D189" s="39">
        <f>IFERROR(__xludf.DUMMYFUNCTION("""COMPUTED_VALUE"""),32.0)</f>
        <v>32</v>
      </c>
      <c r="E189" s="39">
        <f>IFERROR(__xludf.DUMMYFUNCTION("""COMPUTED_VALUE"""),2265.0)</f>
        <v>2265</v>
      </c>
    </row>
    <row r="190">
      <c r="A190" s="39" t="str">
        <f>IFERROR(__xludf.DUMMYFUNCTION("""COMPUTED_VALUE"""),"Chile")</f>
        <v>Chile</v>
      </c>
      <c r="B190" s="40">
        <f>IFERROR(__xludf.DUMMYFUNCTION("""COMPUTED_VALUE"""),43689.0)</f>
        <v>43689</v>
      </c>
      <c r="C190" s="41">
        <f>IFERROR(__xludf.DUMMYFUNCTION("""COMPUTED_VALUE"""),43695.0)</f>
        <v>43695</v>
      </c>
      <c r="D190" s="39">
        <f>IFERROR(__xludf.DUMMYFUNCTION("""COMPUTED_VALUE"""),33.0)</f>
        <v>33</v>
      </c>
      <c r="E190" s="39">
        <f>IFERROR(__xludf.DUMMYFUNCTION("""COMPUTED_VALUE"""),2296.0)</f>
        <v>2296</v>
      </c>
    </row>
    <row r="191">
      <c r="A191" s="39" t="str">
        <f>IFERROR(__xludf.DUMMYFUNCTION("""COMPUTED_VALUE"""),"Chile")</f>
        <v>Chile</v>
      </c>
      <c r="B191" s="40">
        <f>IFERROR(__xludf.DUMMYFUNCTION("""COMPUTED_VALUE"""),43696.0)</f>
        <v>43696</v>
      </c>
      <c r="C191" s="41">
        <f>IFERROR(__xludf.DUMMYFUNCTION("""COMPUTED_VALUE"""),43702.0)</f>
        <v>43702</v>
      </c>
      <c r="D191" s="39">
        <f>IFERROR(__xludf.DUMMYFUNCTION("""COMPUTED_VALUE"""),34.0)</f>
        <v>34</v>
      </c>
      <c r="E191" s="39">
        <f>IFERROR(__xludf.DUMMYFUNCTION("""COMPUTED_VALUE"""),2239.0)</f>
        <v>2239</v>
      </c>
    </row>
    <row r="192">
      <c r="A192" s="39" t="str">
        <f>IFERROR(__xludf.DUMMYFUNCTION("""COMPUTED_VALUE"""),"Chile")</f>
        <v>Chile</v>
      </c>
      <c r="B192" s="40">
        <f>IFERROR(__xludf.DUMMYFUNCTION("""COMPUTED_VALUE"""),43703.0)</f>
        <v>43703</v>
      </c>
      <c r="C192" s="41">
        <f>IFERROR(__xludf.DUMMYFUNCTION("""COMPUTED_VALUE"""),43709.0)</f>
        <v>43709</v>
      </c>
      <c r="D192" s="39">
        <f>IFERROR(__xludf.DUMMYFUNCTION("""COMPUTED_VALUE"""),35.0)</f>
        <v>35</v>
      </c>
      <c r="E192" s="39">
        <f>IFERROR(__xludf.DUMMYFUNCTION("""COMPUTED_VALUE"""),2181.0)</f>
        <v>2181</v>
      </c>
    </row>
    <row r="193">
      <c r="A193" s="39" t="str">
        <f>IFERROR(__xludf.DUMMYFUNCTION("""COMPUTED_VALUE"""),"Chile")</f>
        <v>Chile</v>
      </c>
      <c r="B193" s="40">
        <f>IFERROR(__xludf.DUMMYFUNCTION("""COMPUTED_VALUE"""),43710.0)</f>
        <v>43710</v>
      </c>
      <c r="C193" s="41">
        <f>IFERROR(__xludf.DUMMYFUNCTION("""COMPUTED_VALUE"""),43716.0)</f>
        <v>43716</v>
      </c>
      <c r="D193" s="39">
        <f>IFERROR(__xludf.DUMMYFUNCTION("""COMPUTED_VALUE"""),36.0)</f>
        <v>36</v>
      </c>
      <c r="E193" s="39">
        <f>IFERROR(__xludf.DUMMYFUNCTION("""COMPUTED_VALUE"""),2181.0)</f>
        <v>2181</v>
      </c>
    </row>
    <row r="194">
      <c r="A194" s="39" t="str">
        <f>IFERROR(__xludf.DUMMYFUNCTION("""COMPUTED_VALUE"""),"Chile")</f>
        <v>Chile</v>
      </c>
      <c r="B194" s="40">
        <f>IFERROR(__xludf.DUMMYFUNCTION("""COMPUTED_VALUE"""),43717.0)</f>
        <v>43717</v>
      </c>
      <c r="C194" s="41">
        <f>IFERROR(__xludf.DUMMYFUNCTION("""COMPUTED_VALUE"""),43723.0)</f>
        <v>43723</v>
      </c>
      <c r="D194" s="39">
        <f>IFERROR(__xludf.DUMMYFUNCTION("""COMPUTED_VALUE"""),37.0)</f>
        <v>37</v>
      </c>
      <c r="E194" s="39">
        <f>IFERROR(__xludf.DUMMYFUNCTION("""COMPUTED_VALUE"""),2210.0)</f>
        <v>2210</v>
      </c>
    </row>
    <row r="195">
      <c r="A195" s="39" t="str">
        <f>IFERROR(__xludf.DUMMYFUNCTION("""COMPUTED_VALUE"""),"Chile")</f>
        <v>Chile</v>
      </c>
      <c r="B195" s="40">
        <f>IFERROR(__xludf.DUMMYFUNCTION("""COMPUTED_VALUE"""),43724.0)</f>
        <v>43724</v>
      </c>
      <c r="C195" s="41">
        <f>IFERROR(__xludf.DUMMYFUNCTION("""COMPUTED_VALUE"""),43730.0)</f>
        <v>43730</v>
      </c>
      <c r="D195" s="39">
        <f>IFERROR(__xludf.DUMMYFUNCTION("""COMPUTED_VALUE"""),38.0)</f>
        <v>38</v>
      </c>
      <c r="E195" s="39">
        <f>IFERROR(__xludf.DUMMYFUNCTION("""COMPUTED_VALUE"""),2224.0)</f>
        <v>2224</v>
      </c>
    </row>
    <row r="196">
      <c r="A196" s="39" t="str">
        <f>IFERROR(__xludf.DUMMYFUNCTION("""COMPUTED_VALUE"""),"Chile")</f>
        <v>Chile</v>
      </c>
      <c r="B196" s="40">
        <f>IFERROR(__xludf.DUMMYFUNCTION("""COMPUTED_VALUE"""),43731.0)</f>
        <v>43731</v>
      </c>
      <c r="C196" s="41">
        <f>IFERROR(__xludf.DUMMYFUNCTION("""COMPUTED_VALUE"""),43737.0)</f>
        <v>43737</v>
      </c>
      <c r="D196" s="39">
        <f>IFERROR(__xludf.DUMMYFUNCTION("""COMPUTED_VALUE"""),39.0)</f>
        <v>39</v>
      </c>
      <c r="E196" s="39">
        <f>IFERROR(__xludf.DUMMYFUNCTION("""COMPUTED_VALUE"""),2270.0)</f>
        <v>2270</v>
      </c>
    </row>
    <row r="197">
      <c r="A197" s="39" t="str">
        <f>IFERROR(__xludf.DUMMYFUNCTION("""COMPUTED_VALUE"""),"Chile")</f>
        <v>Chile</v>
      </c>
      <c r="B197" s="40">
        <f>IFERROR(__xludf.DUMMYFUNCTION("""COMPUTED_VALUE"""),43738.0)</f>
        <v>43738</v>
      </c>
      <c r="C197" s="41">
        <f>IFERROR(__xludf.DUMMYFUNCTION("""COMPUTED_VALUE"""),43744.0)</f>
        <v>43744</v>
      </c>
      <c r="D197" s="39">
        <f>IFERROR(__xludf.DUMMYFUNCTION("""COMPUTED_VALUE"""),40.0)</f>
        <v>40</v>
      </c>
      <c r="E197" s="39">
        <f>IFERROR(__xludf.DUMMYFUNCTION("""COMPUTED_VALUE"""),2163.0)</f>
        <v>2163</v>
      </c>
    </row>
    <row r="198">
      <c r="A198" s="39" t="str">
        <f>IFERROR(__xludf.DUMMYFUNCTION("""COMPUTED_VALUE"""),"Chile")</f>
        <v>Chile</v>
      </c>
      <c r="B198" s="40">
        <f>IFERROR(__xludf.DUMMYFUNCTION("""COMPUTED_VALUE"""),43745.0)</f>
        <v>43745</v>
      </c>
      <c r="C198" s="41">
        <f>IFERROR(__xludf.DUMMYFUNCTION("""COMPUTED_VALUE"""),43751.0)</f>
        <v>43751</v>
      </c>
      <c r="D198" s="39">
        <f>IFERROR(__xludf.DUMMYFUNCTION("""COMPUTED_VALUE"""),41.0)</f>
        <v>41</v>
      </c>
      <c r="E198" s="39">
        <f>IFERROR(__xludf.DUMMYFUNCTION("""COMPUTED_VALUE"""),2123.0)</f>
        <v>2123</v>
      </c>
    </row>
    <row r="199">
      <c r="A199" s="39" t="str">
        <f>IFERROR(__xludf.DUMMYFUNCTION("""COMPUTED_VALUE"""),"Chile")</f>
        <v>Chile</v>
      </c>
      <c r="B199" s="40">
        <f>IFERROR(__xludf.DUMMYFUNCTION("""COMPUTED_VALUE"""),43752.0)</f>
        <v>43752</v>
      </c>
      <c r="C199" s="41">
        <f>IFERROR(__xludf.DUMMYFUNCTION("""COMPUTED_VALUE"""),43758.0)</f>
        <v>43758</v>
      </c>
      <c r="D199" s="39">
        <f>IFERROR(__xludf.DUMMYFUNCTION("""COMPUTED_VALUE"""),42.0)</f>
        <v>42</v>
      </c>
      <c r="E199" s="39">
        <f>IFERROR(__xludf.DUMMYFUNCTION("""COMPUTED_VALUE"""),2067.0)</f>
        <v>2067</v>
      </c>
    </row>
    <row r="200">
      <c r="A200" s="39" t="str">
        <f>IFERROR(__xludf.DUMMYFUNCTION("""COMPUTED_VALUE"""),"Chile")</f>
        <v>Chile</v>
      </c>
      <c r="B200" s="40">
        <f>IFERROR(__xludf.DUMMYFUNCTION("""COMPUTED_VALUE"""),43759.0)</f>
        <v>43759</v>
      </c>
      <c r="C200" s="41">
        <f>IFERROR(__xludf.DUMMYFUNCTION("""COMPUTED_VALUE"""),43765.0)</f>
        <v>43765</v>
      </c>
      <c r="D200" s="39">
        <f>IFERROR(__xludf.DUMMYFUNCTION("""COMPUTED_VALUE"""),43.0)</f>
        <v>43</v>
      </c>
      <c r="E200" s="39">
        <f>IFERROR(__xludf.DUMMYFUNCTION("""COMPUTED_VALUE"""),2025.0)</f>
        <v>2025</v>
      </c>
    </row>
    <row r="201">
      <c r="A201" s="39" t="str">
        <f>IFERROR(__xludf.DUMMYFUNCTION("""COMPUTED_VALUE"""),"Chile")</f>
        <v>Chile</v>
      </c>
      <c r="B201" s="40">
        <f>IFERROR(__xludf.DUMMYFUNCTION("""COMPUTED_VALUE"""),43766.0)</f>
        <v>43766</v>
      </c>
      <c r="C201" s="41">
        <f>IFERROR(__xludf.DUMMYFUNCTION("""COMPUTED_VALUE"""),43772.0)</f>
        <v>43772</v>
      </c>
      <c r="D201" s="39">
        <f>IFERROR(__xludf.DUMMYFUNCTION("""COMPUTED_VALUE"""),44.0)</f>
        <v>44</v>
      </c>
      <c r="E201" s="39">
        <f>IFERROR(__xludf.DUMMYFUNCTION("""COMPUTED_VALUE"""),2038.0)</f>
        <v>2038</v>
      </c>
    </row>
    <row r="202">
      <c r="A202" s="39" t="str">
        <f>IFERROR(__xludf.DUMMYFUNCTION("""COMPUTED_VALUE"""),"Chile")</f>
        <v>Chile</v>
      </c>
      <c r="B202" s="40">
        <f>IFERROR(__xludf.DUMMYFUNCTION("""COMPUTED_VALUE"""),43773.0)</f>
        <v>43773</v>
      </c>
      <c r="C202" s="41">
        <f>IFERROR(__xludf.DUMMYFUNCTION("""COMPUTED_VALUE"""),43779.0)</f>
        <v>43779</v>
      </c>
      <c r="D202" s="39">
        <f>IFERROR(__xludf.DUMMYFUNCTION("""COMPUTED_VALUE"""),45.0)</f>
        <v>45</v>
      </c>
      <c r="E202" s="39">
        <f>IFERROR(__xludf.DUMMYFUNCTION("""COMPUTED_VALUE"""),2039.0)</f>
        <v>2039</v>
      </c>
    </row>
    <row r="203">
      <c r="A203" s="39" t="str">
        <f>IFERROR(__xludf.DUMMYFUNCTION("""COMPUTED_VALUE"""),"Chile")</f>
        <v>Chile</v>
      </c>
      <c r="B203" s="40">
        <f>IFERROR(__xludf.DUMMYFUNCTION("""COMPUTED_VALUE"""),43780.0)</f>
        <v>43780</v>
      </c>
      <c r="C203" s="41">
        <f>IFERROR(__xludf.DUMMYFUNCTION("""COMPUTED_VALUE"""),43786.0)</f>
        <v>43786</v>
      </c>
      <c r="D203" s="39">
        <f>IFERROR(__xludf.DUMMYFUNCTION("""COMPUTED_VALUE"""),46.0)</f>
        <v>46</v>
      </c>
      <c r="E203" s="39">
        <f>IFERROR(__xludf.DUMMYFUNCTION("""COMPUTED_VALUE"""),2013.0)</f>
        <v>2013</v>
      </c>
    </row>
    <row r="204">
      <c r="A204" s="39" t="str">
        <f>IFERROR(__xludf.DUMMYFUNCTION("""COMPUTED_VALUE"""),"Chile")</f>
        <v>Chile</v>
      </c>
      <c r="B204" s="40">
        <f>IFERROR(__xludf.DUMMYFUNCTION("""COMPUTED_VALUE"""),43787.0)</f>
        <v>43787</v>
      </c>
      <c r="C204" s="41">
        <f>IFERROR(__xludf.DUMMYFUNCTION("""COMPUTED_VALUE"""),43793.0)</f>
        <v>43793</v>
      </c>
      <c r="D204" s="39">
        <f>IFERROR(__xludf.DUMMYFUNCTION("""COMPUTED_VALUE"""),47.0)</f>
        <v>47</v>
      </c>
      <c r="E204" s="39">
        <f>IFERROR(__xludf.DUMMYFUNCTION("""COMPUTED_VALUE"""),2003.0)</f>
        <v>2003</v>
      </c>
    </row>
    <row r="205">
      <c r="A205" s="39" t="str">
        <f>IFERROR(__xludf.DUMMYFUNCTION("""COMPUTED_VALUE"""),"Chile")</f>
        <v>Chile</v>
      </c>
      <c r="B205" s="40">
        <f>IFERROR(__xludf.DUMMYFUNCTION("""COMPUTED_VALUE"""),43794.0)</f>
        <v>43794</v>
      </c>
      <c r="C205" s="41">
        <f>IFERROR(__xludf.DUMMYFUNCTION("""COMPUTED_VALUE"""),43800.0)</f>
        <v>43800</v>
      </c>
      <c r="D205" s="39">
        <f>IFERROR(__xludf.DUMMYFUNCTION("""COMPUTED_VALUE"""),48.0)</f>
        <v>48</v>
      </c>
      <c r="E205" s="39">
        <f>IFERROR(__xludf.DUMMYFUNCTION("""COMPUTED_VALUE"""),1978.0)</f>
        <v>1978</v>
      </c>
    </row>
    <row r="206">
      <c r="A206" s="39" t="str">
        <f>IFERROR(__xludf.DUMMYFUNCTION("""COMPUTED_VALUE"""),"Chile")</f>
        <v>Chile</v>
      </c>
      <c r="B206" s="40">
        <f>IFERROR(__xludf.DUMMYFUNCTION("""COMPUTED_VALUE"""),43801.0)</f>
        <v>43801</v>
      </c>
      <c r="C206" s="41">
        <f>IFERROR(__xludf.DUMMYFUNCTION("""COMPUTED_VALUE"""),43807.0)</f>
        <v>43807</v>
      </c>
      <c r="D206" s="39">
        <f>IFERROR(__xludf.DUMMYFUNCTION("""COMPUTED_VALUE"""),49.0)</f>
        <v>49</v>
      </c>
      <c r="E206" s="39">
        <f>IFERROR(__xludf.DUMMYFUNCTION("""COMPUTED_VALUE"""),1878.0)</f>
        <v>1878</v>
      </c>
    </row>
    <row r="207">
      <c r="A207" s="39" t="str">
        <f>IFERROR(__xludf.DUMMYFUNCTION("""COMPUTED_VALUE"""),"Chile")</f>
        <v>Chile</v>
      </c>
      <c r="B207" s="40">
        <f>IFERROR(__xludf.DUMMYFUNCTION("""COMPUTED_VALUE"""),43808.0)</f>
        <v>43808</v>
      </c>
      <c r="C207" s="41">
        <f>IFERROR(__xludf.DUMMYFUNCTION("""COMPUTED_VALUE"""),43814.0)</f>
        <v>43814</v>
      </c>
      <c r="D207" s="39">
        <f>IFERROR(__xludf.DUMMYFUNCTION("""COMPUTED_VALUE"""),50.0)</f>
        <v>50</v>
      </c>
      <c r="E207" s="39">
        <f>IFERROR(__xludf.DUMMYFUNCTION("""COMPUTED_VALUE"""),1892.0)</f>
        <v>1892</v>
      </c>
    </row>
    <row r="208">
      <c r="A208" s="39" t="str">
        <f>IFERROR(__xludf.DUMMYFUNCTION("""COMPUTED_VALUE"""),"Chile")</f>
        <v>Chile</v>
      </c>
      <c r="B208" s="40">
        <f>IFERROR(__xludf.DUMMYFUNCTION("""COMPUTED_VALUE"""),43815.0)</f>
        <v>43815</v>
      </c>
      <c r="C208" s="41">
        <f>IFERROR(__xludf.DUMMYFUNCTION("""COMPUTED_VALUE"""),43821.0)</f>
        <v>43821</v>
      </c>
      <c r="D208" s="39">
        <f>IFERROR(__xludf.DUMMYFUNCTION("""COMPUTED_VALUE"""),51.0)</f>
        <v>51</v>
      </c>
      <c r="E208" s="39">
        <f>IFERROR(__xludf.DUMMYFUNCTION("""COMPUTED_VALUE"""),1963.0)</f>
        <v>1963</v>
      </c>
    </row>
    <row r="209">
      <c r="A209" s="39" t="str">
        <f>IFERROR(__xludf.DUMMYFUNCTION("""COMPUTED_VALUE"""),"Chile")</f>
        <v>Chile</v>
      </c>
      <c r="B209" s="40">
        <f>IFERROR(__xludf.DUMMYFUNCTION("""COMPUTED_VALUE"""),43822.0)</f>
        <v>43822</v>
      </c>
      <c r="C209" s="41">
        <f>IFERROR(__xludf.DUMMYFUNCTION("""COMPUTED_VALUE"""),43828.0)</f>
        <v>43828</v>
      </c>
      <c r="D209" s="39">
        <f>IFERROR(__xludf.DUMMYFUNCTION("""COMPUTED_VALUE"""),52.0)</f>
        <v>52</v>
      </c>
      <c r="E209" s="39">
        <f>IFERROR(__xludf.DUMMYFUNCTION("""COMPUTED_VALUE"""),2010.0)</f>
        <v>2010</v>
      </c>
    </row>
    <row r="210">
      <c r="A210" s="39" t="str">
        <f>IFERROR(__xludf.DUMMYFUNCTION("""COMPUTED_VALUE"""),"Chile")</f>
        <v>Chile</v>
      </c>
      <c r="B210" s="40">
        <f>IFERROR(__xludf.DUMMYFUNCTION("""COMPUTED_VALUE"""),43829.0)</f>
        <v>43829</v>
      </c>
      <c r="C210" s="41">
        <f>IFERROR(__xludf.DUMMYFUNCTION("""COMPUTED_VALUE"""),43835.0)</f>
        <v>43835</v>
      </c>
      <c r="D210" s="39">
        <f>IFERROR(__xludf.DUMMYFUNCTION("""COMPUTED_VALUE"""),1.0)</f>
        <v>1</v>
      </c>
      <c r="E210" s="39">
        <f>IFERROR(__xludf.DUMMYFUNCTION("""COMPUTED_VALUE"""),2108.0)</f>
        <v>2108</v>
      </c>
    </row>
    <row r="211">
      <c r="A211" s="39" t="str">
        <f>IFERROR(__xludf.DUMMYFUNCTION("""COMPUTED_VALUE"""),"Chile")</f>
        <v>Chile</v>
      </c>
      <c r="B211" s="40">
        <f>IFERROR(__xludf.DUMMYFUNCTION("""COMPUTED_VALUE"""),43836.0)</f>
        <v>43836</v>
      </c>
      <c r="C211" s="41">
        <f>IFERROR(__xludf.DUMMYFUNCTION("""COMPUTED_VALUE"""),43842.0)</f>
        <v>43842</v>
      </c>
      <c r="D211" s="39">
        <f>IFERROR(__xludf.DUMMYFUNCTION("""COMPUTED_VALUE"""),2.0)</f>
        <v>2</v>
      </c>
      <c r="E211" s="39">
        <f>IFERROR(__xludf.DUMMYFUNCTION("""COMPUTED_VALUE"""),2053.0)</f>
        <v>2053</v>
      </c>
    </row>
    <row r="212">
      <c r="A212" s="39" t="str">
        <f>IFERROR(__xludf.DUMMYFUNCTION("""COMPUTED_VALUE"""),"Chile")</f>
        <v>Chile</v>
      </c>
      <c r="B212" s="40">
        <f>IFERROR(__xludf.DUMMYFUNCTION("""COMPUTED_VALUE"""),43843.0)</f>
        <v>43843</v>
      </c>
      <c r="C212" s="41">
        <f>IFERROR(__xludf.DUMMYFUNCTION("""COMPUTED_VALUE"""),43849.0)</f>
        <v>43849</v>
      </c>
      <c r="D212" s="39">
        <f>IFERROR(__xludf.DUMMYFUNCTION("""COMPUTED_VALUE"""),3.0)</f>
        <v>3</v>
      </c>
      <c r="E212" s="39">
        <f>IFERROR(__xludf.DUMMYFUNCTION("""COMPUTED_VALUE"""),2057.0)</f>
        <v>2057</v>
      </c>
    </row>
    <row r="213">
      <c r="A213" s="39" t="str">
        <f>IFERROR(__xludf.DUMMYFUNCTION("""COMPUTED_VALUE"""),"Chile")</f>
        <v>Chile</v>
      </c>
      <c r="B213" s="40">
        <f>IFERROR(__xludf.DUMMYFUNCTION("""COMPUTED_VALUE"""),43850.0)</f>
        <v>43850</v>
      </c>
      <c r="C213" s="41">
        <f>IFERROR(__xludf.DUMMYFUNCTION("""COMPUTED_VALUE"""),43856.0)</f>
        <v>43856</v>
      </c>
      <c r="D213" s="39">
        <f>IFERROR(__xludf.DUMMYFUNCTION("""COMPUTED_VALUE"""),4.0)</f>
        <v>4</v>
      </c>
      <c r="E213" s="39">
        <f>IFERROR(__xludf.DUMMYFUNCTION("""COMPUTED_VALUE"""),1964.0)</f>
        <v>1964</v>
      </c>
    </row>
    <row r="214">
      <c r="A214" s="39" t="str">
        <f>IFERROR(__xludf.DUMMYFUNCTION("""COMPUTED_VALUE"""),"Chile")</f>
        <v>Chile</v>
      </c>
      <c r="B214" s="40">
        <f>IFERROR(__xludf.DUMMYFUNCTION("""COMPUTED_VALUE"""),43857.0)</f>
        <v>43857</v>
      </c>
      <c r="C214" s="41">
        <f>IFERROR(__xludf.DUMMYFUNCTION("""COMPUTED_VALUE"""),43863.0)</f>
        <v>43863</v>
      </c>
      <c r="D214" s="39">
        <f>IFERROR(__xludf.DUMMYFUNCTION("""COMPUTED_VALUE"""),5.0)</f>
        <v>5</v>
      </c>
      <c r="E214" s="39">
        <f>IFERROR(__xludf.DUMMYFUNCTION("""COMPUTED_VALUE"""),1970.0)</f>
        <v>1970</v>
      </c>
    </row>
    <row r="215">
      <c r="A215" s="39" t="str">
        <f>IFERROR(__xludf.DUMMYFUNCTION("""COMPUTED_VALUE"""),"Chile")</f>
        <v>Chile</v>
      </c>
      <c r="B215" s="40">
        <f>IFERROR(__xludf.DUMMYFUNCTION("""COMPUTED_VALUE"""),43864.0)</f>
        <v>43864</v>
      </c>
      <c r="C215" s="41">
        <f>IFERROR(__xludf.DUMMYFUNCTION("""COMPUTED_VALUE"""),43870.0)</f>
        <v>43870</v>
      </c>
      <c r="D215" s="39">
        <f>IFERROR(__xludf.DUMMYFUNCTION("""COMPUTED_VALUE"""),6.0)</f>
        <v>6</v>
      </c>
      <c r="E215" s="39">
        <f>IFERROR(__xludf.DUMMYFUNCTION("""COMPUTED_VALUE"""),1994.0)</f>
        <v>1994</v>
      </c>
    </row>
    <row r="216">
      <c r="A216" s="39" t="str">
        <f>IFERROR(__xludf.DUMMYFUNCTION("""COMPUTED_VALUE"""),"Chile")</f>
        <v>Chile</v>
      </c>
      <c r="B216" s="40">
        <f>IFERROR(__xludf.DUMMYFUNCTION("""COMPUTED_VALUE"""),43871.0)</f>
        <v>43871</v>
      </c>
      <c r="C216" s="41">
        <f>IFERROR(__xludf.DUMMYFUNCTION("""COMPUTED_VALUE"""),43877.0)</f>
        <v>43877</v>
      </c>
      <c r="D216" s="39">
        <f>IFERROR(__xludf.DUMMYFUNCTION("""COMPUTED_VALUE"""),7.0)</f>
        <v>7</v>
      </c>
      <c r="E216" s="39">
        <f>IFERROR(__xludf.DUMMYFUNCTION("""COMPUTED_VALUE"""),1909.0)</f>
        <v>1909</v>
      </c>
    </row>
    <row r="217">
      <c r="A217" s="39" t="str">
        <f>IFERROR(__xludf.DUMMYFUNCTION("""COMPUTED_VALUE"""),"Chile")</f>
        <v>Chile</v>
      </c>
      <c r="B217" s="40">
        <f>IFERROR(__xludf.DUMMYFUNCTION("""COMPUTED_VALUE"""),43878.0)</f>
        <v>43878</v>
      </c>
      <c r="C217" s="41">
        <f>IFERROR(__xludf.DUMMYFUNCTION("""COMPUTED_VALUE"""),43884.0)</f>
        <v>43884</v>
      </c>
      <c r="D217" s="39">
        <f>IFERROR(__xludf.DUMMYFUNCTION("""COMPUTED_VALUE"""),8.0)</f>
        <v>8</v>
      </c>
      <c r="E217" s="39">
        <f>IFERROR(__xludf.DUMMYFUNCTION("""COMPUTED_VALUE"""),1899.0)</f>
        <v>1899</v>
      </c>
    </row>
    <row r="218">
      <c r="A218" s="39" t="str">
        <f>IFERROR(__xludf.DUMMYFUNCTION("""COMPUTED_VALUE"""),"Chile")</f>
        <v>Chile</v>
      </c>
      <c r="B218" s="40">
        <f>IFERROR(__xludf.DUMMYFUNCTION("""COMPUTED_VALUE"""),43885.0)</f>
        <v>43885</v>
      </c>
      <c r="C218" s="41">
        <f>IFERROR(__xludf.DUMMYFUNCTION("""COMPUTED_VALUE"""),43891.0)</f>
        <v>43891</v>
      </c>
      <c r="D218" s="39">
        <f>IFERROR(__xludf.DUMMYFUNCTION("""COMPUTED_VALUE"""),9.0)</f>
        <v>9</v>
      </c>
      <c r="E218" s="39">
        <f>IFERROR(__xludf.DUMMYFUNCTION("""COMPUTED_VALUE"""),1884.0)</f>
        <v>1884</v>
      </c>
    </row>
    <row r="219">
      <c r="A219" s="39" t="str">
        <f>IFERROR(__xludf.DUMMYFUNCTION("""COMPUTED_VALUE"""),"Chile")</f>
        <v>Chile</v>
      </c>
      <c r="B219" s="40">
        <f>IFERROR(__xludf.DUMMYFUNCTION("""COMPUTED_VALUE"""),43892.0)</f>
        <v>43892</v>
      </c>
      <c r="C219" s="41">
        <f>IFERROR(__xludf.DUMMYFUNCTION("""COMPUTED_VALUE"""),43898.0)</f>
        <v>43898</v>
      </c>
      <c r="D219" s="39">
        <f>IFERROR(__xludf.DUMMYFUNCTION("""COMPUTED_VALUE"""),10.0)</f>
        <v>10</v>
      </c>
      <c r="E219" s="39">
        <f>IFERROR(__xludf.DUMMYFUNCTION("""COMPUTED_VALUE"""),1885.0)</f>
        <v>1885</v>
      </c>
    </row>
    <row r="220">
      <c r="A220" s="39" t="str">
        <f>IFERROR(__xludf.DUMMYFUNCTION("""COMPUTED_VALUE"""),"Chile")</f>
        <v>Chile</v>
      </c>
      <c r="B220" s="40">
        <f>IFERROR(__xludf.DUMMYFUNCTION("""COMPUTED_VALUE"""),43899.0)</f>
        <v>43899</v>
      </c>
      <c r="C220" s="41">
        <f>IFERROR(__xludf.DUMMYFUNCTION("""COMPUTED_VALUE"""),43905.0)</f>
        <v>43905</v>
      </c>
      <c r="D220" s="39">
        <f>IFERROR(__xludf.DUMMYFUNCTION("""COMPUTED_VALUE"""),11.0)</f>
        <v>11</v>
      </c>
      <c r="E220" s="39">
        <f>IFERROR(__xludf.DUMMYFUNCTION("""COMPUTED_VALUE"""),1928.0)</f>
        <v>1928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>
      <c r="A2" s="1" t="s">
        <v>2</v>
      </c>
      <c r="B2" s="2">
        <v>42002.0</v>
      </c>
      <c r="C2" s="3">
        <v>42008.0</v>
      </c>
      <c r="D2" s="1">
        <v>1.0</v>
      </c>
      <c r="E2" s="1">
        <v>15101.0</v>
      </c>
      <c r="F2" s="1">
        <v>0.0</v>
      </c>
    </row>
    <row r="3">
      <c r="A3" s="1" t="s">
        <v>2</v>
      </c>
      <c r="B3" s="3">
        <v>42009.0</v>
      </c>
      <c r="C3" s="3">
        <v>42015.0</v>
      </c>
      <c r="D3" s="1">
        <v>2.0</v>
      </c>
      <c r="E3" s="1">
        <v>15449.0</v>
      </c>
      <c r="F3" s="1">
        <v>0.0</v>
      </c>
    </row>
    <row r="4">
      <c r="A4" s="1" t="s">
        <v>2</v>
      </c>
      <c r="B4" s="3">
        <v>42016.0</v>
      </c>
      <c r="C4" s="3">
        <v>42022.0</v>
      </c>
      <c r="D4" s="1">
        <v>3.0</v>
      </c>
      <c r="E4" s="1">
        <v>14820.0</v>
      </c>
      <c r="F4" s="1">
        <v>0.0</v>
      </c>
    </row>
    <row r="5">
      <c r="A5" s="1" t="s">
        <v>2</v>
      </c>
      <c r="B5" s="3">
        <v>42023.0</v>
      </c>
      <c r="C5" s="3">
        <v>42029.0</v>
      </c>
      <c r="D5" s="1">
        <v>4.0</v>
      </c>
      <c r="E5" s="1">
        <v>14172.0</v>
      </c>
      <c r="F5" s="1">
        <v>0.0</v>
      </c>
    </row>
    <row r="6">
      <c r="A6" s="1" t="s">
        <v>2</v>
      </c>
      <c r="B6" s="3">
        <v>42030.0</v>
      </c>
      <c r="C6" s="3">
        <v>42036.0</v>
      </c>
      <c r="D6" s="1">
        <v>5.0</v>
      </c>
      <c r="E6" s="1">
        <v>13628.0</v>
      </c>
      <c r="F6" s="1">
        <v>0.0</v>
      </c>
    </row>
    <row r="7">
      <c r="A7" s="1" t="s">
        <v>2</v>
      </c>
      <c r="B7" s="3">
        <v>42037.0</v>
      </c>
      <c r="C7" s="3">
        <v>42043.0</v>
      </c>
      <c r="D7" s="1">
        <v>6.0</v>
      </c>
      <c r="E7" s="1">
        <v>13914.0</v>
      </c>
      <c r="F7" s="1">
        <v>0.0</v>
      </c>
    </row>
    <row r="8">
      <c r="A8" s="1" t="s">
        <v>2</v>
      </c>
      <c r="B8" s="3">
        <v>42044.0</v>
      </c>
      <c r="C8" s="3">
        <v>42050.0</v>
      </c>
      <c r="D8" s="1">
        <v>7.0</v>
      </c>
      <c r="E8" s="1">
        <v>13550.0</v>
      </c>
      <c r="F8" s="1">
        <v>0.0</v>
      </c>
    </row>
    <row r="9">
      <c r="A9" s="1" t="s">
        <v>2</v>
      </c>
      <c r="B9" s="3">
        <v>42051.0</v>
      </c>
      <c r="C9" s="3">
        <v>42057.0</v>
      </c>
      <c r="D9" s="1">
        <v>8.0</v>
      </c>
      <c r="E9" s="1">
        <v>13799.0</v>
      </c>
      <c r="F9" s="1">
        <v>0.0</v>
      </c>
    </row>
    <row r="10">
      <c r="A10" s="1" t="s">
        <v>2</v>
      </c>
      <c r="B10" s="3">
        <v>42058.0</v>
      </c>
      <c r="C10" s="3">
        <v>42064.0</v>
      </c>
      <c r="D10" s="1">
        <v>9.0</v>
      </c>
      <c r="E10" s="1">
        <v>13054.0</v>
      </c>
      <c r="F10" s="1">
        <v>0.0</v>
      </c>
    </row>
    <row r="11">
      <c r="A11" s="1" t="s">
        <v>2</v>
      </c>
      <c r="B11" s="3">
        <v>42065.0</v>
      </c>
      <c r="C11" s="3">
        <v>42071.0</v>
      </c>
      <c r="D11" s="1">
        <v>10.0</v>
      </c>
      <c r="E11" s="1">
        <v>12979.0</v>
      </c>
      <c r="F11" s="1">
        <v>0.0</v>
      </c>
    </row>
    <row r="12">
      <c r="A12" s="1" t="s">
        <v>2</v>
      </c>
      <c r="B12" s="3">
        <v>42072.0</v>
      </c>
      <c r="C12" s="3">
        <v>42078.0</v>
      </c>
      <c r="D12" s="1">
        <v>11.0</v>
      </c>
      <c r="E12" s="1">
        <v>12498.0</v>
      </c>
      <c r="F12" s="1">
        <v>0.0</v>
      </c>
    </row>
    <row r="13">
      <c r="A13" s="1" t="s">
        <v>2</v>
      </c>
      <c r="B13" s="3">
        <v>42079.0</v>
      </c>
      <c r="C13" s="3">
        <v>42085.0</v>
      </c>
      <c r="D13" s="1">
        <v>12.0</v>
      </c>
      <c r="E13" s="1">
        <v>13133.0</v>
      </c>
      <c r="F13" s="1">
        <v>0.0</v>
      </c>
    </row>
    <row r="14">
      <c r="A14" s="1" t="s">
        <v>2</v>
      </c>
      <c r="B14" s="3">
        <v>42086.0</v>
      </c>
      <c r="C14" s="3">
        <v>42092.0</v>
      </c>
      <c r="D14" s="1">
        <v>13.0</v>
      </c>
      <c r="E14" s="1">
        <v>12066.0</v>
      </c>
      <c r="F14" s="1">
        <v>0.0</v>
      </c>
    </row>
    <row r="15">
      <c r="A15" s="1" t="s">
        <v>2</v>
      </c>
      <c r="B15" s="3">
        <v>42093.0</v>
      </c>
      <c r="C15" s="3">
        <v>42099.0</v>
      </c>
      <c r="D15" s="1">
        <v>14.0</v>
      </c>
      <c r="E15" s="1">
        <v>12477.0</v>
      </c>
      <c r="F15" s="1">
        <v>0.0</v>
      </c>
    </row>
    <row r="16">
      <c r="A16" s="1" t="s">
        <v>2</v>
      </c>
      <c r="B16" s="3">
        <v>42100.0</v>
      </c>
      <c r="C16" s="3">
        <v>42106.0</v>
      </c>
      <c r="D16" s="1">
        <v>15.0</v>
      </c>
      <c r="E16" s="1">
        <v>12202.0</v>
      </c>
      <c r="F16" s="1">
        <v>0.0</v>
      </c>
    </row>
    <row r="17">
      <c r="A17" s="1" t="s">
        <v>2</v>
      </c>
      <c r="B17" s="3">
        <v>42107.0</v>
      </c>
      <c r="C17" s="3">
        <v>42113.0</v>
      </c>
      <c r="D17" s="1">
        <v>16.0</v>
      </c>
      <c r="E17" s="1">
        <v>11796.0</v>
      </c>
      <c r="F17" s="1">
        <v>0.0</v>
      </c>
    </row>
    <row r="18">
      <c r="A18" s="1" t="s">
        <v>2</v>
      </c>
      <c r="B18" s="3">
        <v>42114.0</v>
      </c>
      <c r="C18" s="3">
        <v>42120.0</v>
      </c>
      <c r="D18" s="1">
        <v>17.0</v>
      </c>
      <c r="E18" s="1">
        <v>12403.0</v>
      </c>
      <c r="F18" s="1">
        <v>0.0</v>
      </c>
    </row>
    <row r="19">
      <c r="A19" s="1" t="s">
        <v>2</v>
      </c>
      <c r="B19" s="3">
        <v>42121.0</v>
      </c>
      <c r="C19" s="3">
        <v>42127.0</v>
      </c>
      <c r="D19" s="1">
        <v>18.0</v>
      </c>
      <c r="E19" s="1">
        <v>11763.0</v>
      </c>
      <c r="F19" s="1">
        <v>0.0</v>
      </c>
    </row>
    <row r="20">
      <c r="A20" s="1" t="s">
        <v>2</v>
      </c>
      <c r="B20" s="3">
        <v>42128.0</v>
      </c>
      <c r="C20" s="3">
        <v>42134.0</v>
      </c>
      <c r="D20" s="1">
        <v>19.0</v>
      </c>
      <c r="E20" s="1">
        <v>12059.0</v>
      </c>
      <c r="F20" s="1">
        <v>0.0</v>
      </c>
    </row>
    <row r="21">
      <c r="A21" s="1" t="s">
        <v>2</v>
      </c>
      <c r="B21" s="3">
        <v>42135.0</v>
      </c>
      <c r="C21" s="3">
        <v>42141.0</v>
      </c>
      <c r="D21" s="1">
        <v>20.0</v>
      </c>
      <c r="E21" s="1">
        <v>11732.0</v>
      </c>
      <c r="F21" s="1">
        <v>0.0</v>
      </c>
    </row>
    <row r="22">
      <c r="A22" s="1" t="s">
        <v>2</v>
      </c>
      <c r="B22" s="3">
        <v>42142.0</v>
      </c>
      <c r="C22" s="3">
        <v>42148.0</v>
      </c>
      <c r="D22" s="1">
        <v>21.0</v>
      </c>
      <c r="E22" s="1">
        <v>11856.0</v>
      </c>
      <c r="F22" s="1">
        <v>0.0</v>
      </c>
    </row>
    <row r="23">
      <c r="A23" s="1" t="s">
        <v>2</v>
      </c>
      <c r="B23" s="3">
        <v>42149.0</v>
      </c>
      <c r="C23" s="3">
        <v>42155.0</v>
      </c>
      <c r="D23" s="1">
        <v>22.0</v>
      </c>
      <c r="E23" s="1">
        <v>11608.0</v>
      </c>
      <c r="F23" s="1">
        <v>0.0</v>
      </c>
    </row>
    <row r="24">
      <c r="A24" s="1" t="s">
        <v>2</v>
      </c>
      <c r="B24" s="3">
        <v>42156.0</v>
      </c>
      <c r="C24" s="3">
        <v>42162.0</v>
      </c>
      <c r="D24" s="1">
        <v>23.0</v>
      </c>
      <c r="E24" s="1">
        <v>11876.0</v>
      </c>
      <c r="F24" s="1">
        <v>0.0</v>
      </c>
    </row>
    <row r="25">
      <c r="A25" s="1" t="s">
        <v>2</v>
      </c>
      <c r="B25" s="3">
        <v>42163.0</v>
      </c>
      <c r="C25" s="3">
        <v>42169.0</v>
      </c>
      <c r="D25" s="1">
        <v>24.0</v>
      </c>
      <c r="E25" s="1">
        <v>11709.0</v>
      </c>
      <c r="F25" s="1">
        <v>0.0</v>
      </c>
    </row>
    <row r="26">
      <c r="A26" s="1" t="s">
        <v>2</v>
      </c>
      <c r="B26" s="3">
        <v>42170.0</v>
      </c>
      <c r="C26" s="3">
        <v>42176.0</v>
      </c>
      <c r="D26" s="1">
        <v>25.0</v>
      </c>
      <c r="E26" s="1">
        <v>11510.0</v>
      </c>
      <c r="F26" s="1">
        <v>0.0</v>
      </c>
    </row>
    <row r="27">
      <c r="A27" s="1" t="s">
        <v>2</v>
      </c>
      <c r="B27" s="3">
        <v>42177.0</v>
      </c>
      <c r="C27" s="3">
        <v>42183.0</v>
      </c>
      <c r="D27" s="1">
        <v>26.0</v>
      </c>
      <c r="E27" s="1">
        <v>11571.0</v>
      </c>
      <c r="F27" s="1">
        <v>0.0</v>
      </c>
    </row>
    <row r="28">
      <c r="A28" s="1" t="s">
        <v>2</v>
      </c>
      <c r="B28" s="3">
        <v>42184.0</v>
      </c>
      <c r="C28" s="3">
        <v>42190.0</v>
      </c>
      <c r="D28" s="1">
        <v>27.0</v>
      </c>
      <c r="E28" s="1">
        <v>11583.0</v>
      </c>
      <c r="F28" s="1">
        <v>0.0</v>
      </c>
    </row>
    <row r="29">
      <c r="A29" s="1" t="s">
        <v>2</v>
      </c>
      <c r="B29" s="3">
        <v>42191.0</v>
      </c>
      <c r="C29" s="3">
        <v>42197.0</v>
      </c>
      <c r="D29" s="1">
        <v>28.0</v>
      </c>
      <c r="E29" s="1">
        <v>11538.0</v>
      </c>
      <c r="F29" s="1">
        <v>0.0</v>
      </c>
    </row>
    <row r="30">
      <c r="A30" s="1" t="s">
        <v>2</v>
      </c>
      <c r="B30" s="3">
        <v>42198.0</v>
      </c>
      <c r="C30" s="3">
        <v>42204.0</v>
      </c>
      <c r="D30" s="1">
        <v>29.0</v>
      </c>
      <c r="E30" s="1">
        <v>12003.0</v>
      </c>
      <c r="F30" s="1">
        <v>0.0</v>
      </c>
    </row>
    <row r="31">
      <c r="A31" s="1" t="s">
        <v>2</v>
      </c>
      <c r="B31" s="3">
        <v>42205.0</v>
      </c>
      <c r="C31" s="3">
        <v>42211.0</v>
      </c>
      <c r="D31" s="1">
        <v>30.0</v>
      </c>
      <c r="E31" s="1">
        <v>11947.0</v>
      </c>
      <c r="F31" s="1">
        <v>0.0</v>
      </c>
    </row>
    <row r="32">
      <c r="A32" s="1" t="s">
        <v>2</v>
      </c>
      <c r="B32" s="3">
        <v>42212.0</v>
      </c>
      <c r="C32" s="3">
        <v>42218.0</v>
      </c>
      <c r="D32" s="1">
        <v>31.0</v>
      </c>
      <c r="E32" s="1">
        <v>12083.0</v>
      </c>
      <c r="F32" s="1">
        <v>0.0</v>
      </c>
    </row>
    <row r="33">
      <c r="A33" s="1" t="s">
        <v>2</v>
      </c>
      <c r="B33" s="3">
        <v>42219.0</v>
      </c>
      <c r="C33" s="3">
        <v>42225.0</v>
      </c>
      <c r="D33" s="1">
        <v>32.0</v>
      </c>
      <c r="E33" s="1">
        <v>12237.0</v>
      </c>
      <c r="F33" s="1">
        <v>0.0</v>
      </c>
    </row>
    <row r="34">
      <c r="A34" s="1" t="s">
        <v>2</v>
      </c>
      <c r="B34" s="3">
        <v>42226.0</v>
      </c>
      <c r="C34" s="3">
        <v>42232.0</v>
      </c>
      <c r="D34" s="1">
        <v>33.0</v>
      </c>
      <c r="E34" s="1">
        <v>11739.0</v>
      </c>
      <c r="F34" s="1">
        <v>0.0</v>
      </c>
    </row>
    <row r="35">
      <c r="A35" s="1" t="s">
        <v>2</v>
      </c>
      <c r="B35" s="3">
        <v>42233.0</v>
      </c>
      <c r="C35" s="3">
        <v>42239.0</v>
      </c>
      <c r="D35" s="1">
        <v>34.0</v>
      </c>
      <c r="E35" s="1">
        <v>11670.0</v>
      </c>
      <c r="F35" s="1">
        <v>0.0</v>
      </c>
    </row>
    <row r="36">
      <c r="A36" s="1" t="s">
        <v>2</v>
      </c>
      <c r="B36" s="3">
        <v>42240.0</v>
      </c>
      <c r="C36" s="3">
        <v>42246.0</v>
      </c>
      <c r="D36" s="1">
        <v>35.0</v>
      </c>
      <c r="E36" s="1">
        <v>11680.0</v>
      </c>
      <c r="F36" s="1">
        <v>0.0</v>
      </c>
    </row>
    <row r="37">
      <c r="A37" s="1" t="s">
        <v>2</v>
      </c>
      <c r="B37" s="3">
        <v>42247.0</v>
      </c>
      <c r="C37" s="3">
        <v>42253.0</v>
      </c>
      <c r="D37" s="1">
        <v>36.0</v>
      </c>
      <c r="E37" s="1">
        <v>11668.0</v>
      </c>
      <c r="F37" s="1">
        <v>0.0</v>
      </c>
    </row>
    <row r="38">
      <c r="A38" s="1" t="s">
        <v>2</v>
      </c>
      <c r="B38" s="3">
        <v>42254.0</v>
      </c>
      <c r="C38" s="3">
        <v>42260.0</v>
      </c>
      <c r="D38" s="1">
        <v>37.0</v>
      </c>
      <c r="E38" s="1">
        <v>11814.0</v>
      </c>
      <c r="F38" s="1">
        <v>0.0</v>
      </c>
    </row>
    <row r="39">
      <c r="A39" s="1" t="s">
        <v>2</v>
      </c>
      <c r="B39" s="3">
        <v>42261.0</v>
      </c>
      <c r="C39" s="3">
        <v>42267.0</v>
      </c>
      <c r="D39" s="1">
        <v>38.0</v>
      </c>
      <c r="E39" s="1">
        <v>11957.0</v>
      </c>
      <c r="F39" s="1">
        <v>0.0</v>
      </c>
    </row>
    <row r="40">
      <c r="A40" s="1" t="s">
        <v>2</v>
      </c>
      <c r="B40" s="3">
        <v>42268.0</v>
      </c>
      <c r="C40" s="3">
        <v>42274.0</v>
      </c>
      <c r="D40" s="1">
        <v>39.0</v>
      </c>
      <c r="E40" s="1">
        <v>11560.0</v>
      </c>
      <c r="F40" s="1">
        <v>0.0</v>
      </c>
    </row>
    <row r="41">
      <c r="A41" s="1" t="s">
        <v>2</v>
      </c>
      <c r="B41" s="3">
        <v>42275.0</v>
      </c>
      <c r="C41" s="2">
        <v>42281.0</v>
      </c>
      <c r="D41" s="1">
        <v>40.0</v>
      </c>
      <c r="E41" s="1">
        <v>12484.0</v>
      </c>
      <c r="F41" s="1">
        <v>0.0</v>
      </c>
    </row>
    <row r="42">
      <c r="A42" s="1" t="s">
        <v>2</v>
      </c>
      <c r="B42" s="2">
        <v>42282.0</v>
      </c>
      <c r="C42" s="2">
        <v>42288.0</v>
      </c>
      <c r="D42" s="1">
        <v>41.0</v>
      </c>
      <c r="E42" s="1">
        <v>12397.0</v>
      </c>
      <c r="F42" s="1">
        <v>0.0</v>
      </c>
    </row>
    <row r="43">
      <c r="A43" s="1" t="s">
        <v>2</v>
      </c>
      <c r="B43" s="2">
        <v>42289.0</v>
      </c>
      <c r="C43" s="2">
        <v>42295.0</v>
      </c>
      <c r="D43" s="1">
        <v>42.0</v>
      </c>
      <c r="E43" s="1">
        <v>12063.0</v>
      </c>
      <c r="F43" s="1">
        <v>0.0</v>
      </c>
    </row>
    <row r="44">
      <c r="A44" s="1" t="s">
        <v>2</v>
      </c>
      <c r="B44" s="2">
        <v>42296.0</v>
      </c>
      <c r="C44" s="2">
        <v>42302.0</v>
      </c>
      <c r="D44" s="1">
        <v>43.0</v>
      </c>
      <c r="E44" s="1">
        <v>12221.0</v>
      </c>
      <c r="F44" s="1">
        <v>0.0</v>
      </c>
    </row>
    <row r="45">
      <c r="A45" s="1" t="s">
        <v>2</v>
      </c>
      <c r="B45" s="2">
        <v>42303.0</v>
      </c>
      <c r="C45" s="2">
        <v>42309.0</v>
      </c>
      <c r="D45" s="1">
        <v>44.0</v>
      </c>
      <c r="E45" s="1">
        <v>12153.0</v>
      </c>
      <c r="F45" s="1">
        <v>0.0</v>
      </c>
    </row>
    <row r="46">
      <c r="A46" s="1" t="s">
        <v>2</v>
      </c>
      <c r="B46" s="2">
        <v>42310.0</v>
      </c>
      <c r="C46" s="2">
        <v>42316.0</v>
      </c>
      <c r="D46" s="1">
        <v>45.0</v>
      </c>
      <c r="E46" s="1">
        <v>12543.0</v>
      </c>
      <c r="F46" s="1">
        <v>0.0</v>
      </c>
    </row>
    <row r="47">
      <c r="A47" s="1" t="s">
        <v>2</v>
      </c>
      <c r="B47" s="2">
        <v>42317.0</v>
      </c>
      <c r="C47" s="2">
        <v>42323.0</v>
      </c>
      <c r="D47" s="1">
        <v>46.0</v>
      </c>
      <c r="E47" s="1">
        <v>12217.0</v>
      </c>
      <c r="F47" s="1">
        <v>0.0</v>
      </c>
    </row>
    <row r="48">
      <c r="A48" s="1" t="s">
        <v>2</v>
      </c>
      <c r="B48" s="2">
        <v>42324.0</v>
      </c>
      <c r="C48" s="2">
        <v>42330.0</v>
      </c>
      <c r="D48" s="1">
        <v>47.0</v>
      </c>
      <c r="E48" s="1">
        <v>12542.0</v>
      </c>
      <c r="F48" s="1">
        <v>0.0</v>
      </c>
    </row>
    <row r="49">
      <c r="A49" s="1" t="s">
        <v>2</v>
      </c>
      <c r="B49" s="2">
        <v>42331.0</v>
      </c>
      <c r="C49" s="2">
        <v>42337.0</v>
      </c>
      <c r="D49" s="1">
        <v>48.0</v>
      </c>
      <c r="E49" s="1">
        <v>12597.0</v>
      </c>
      <c r="F49" s="1">
        <v>0.0</v>
      </c>
    </row>
    <row r="50">
      <c r="A50" s="1" t="s">
        <v>2</v>
      </c>
      <c r="B50" s="2">
        <v>42338.0</v>
      </c>
      <c r="C50" s="2">
        <v>42344.0</v>
      </c>
      <c r="D50" s="1">
        <v>49.0</v>
      </c>
      <c r="E50" s="1">
        <v>12830.0</v>
      </c>
      <c r="F50" s="1">
        <v>0.0</v>
      </c>
    </row>
    <row r="51">
      <c r="A51" s="1" t="s">
        <v>2</v>
      </c>
      <c r="B51" s="2">
        <v>42345.0</v>
      </c>
      <c r="C51" s="2">
        <v>42351.0</v>
      </c>
      <c r="D51" s="1">
        <v>50.0</v>
      </c>
      <c r="E51" s="1">
        <v>13526.0</v>
      </c>
      <c r="F51" s="1">
        <v>0.0</v>
      </c>
    </row>
    <row r="52">
      <c r="A52" s="1" t="s">
        <v>2</v>
      </c>
      <c r="B52" s="2">
        <v>42352.0</v>
      </c>
      <c r="C52" s="2">
        <v>42358.0</v>
      </c>
      <c r="D52" s="1">
        <v>51.0</v>
      </c>
      <c r="E52" s="1">
        <v>13542.0</v>
      </c>
      <c r="F52" s="1">
        <v>0.0</v>
      </c>
    </row>
    <row r="53">
      <c r="A53" s="1" t="s">
        <v>2</v>
      </c>
      <c r="B53" s="2">
        <v>42359.0</v>
      </c>
      <c r="C53" s="2">
        <v>42365.0</v>
      </c>
      <c r="D53" s="1">
        <v>52.0</v>
      </c>
      <c r="E53" s="1">
        <v>14351.0</v>
      </c>
      <c r="F53" s="1">
        <v>0.0</v>
      </c>
    </row>
    <row r="54">
      <c r="A54" s="4" t="s">
        <v>2</v>
      </c>
      <c r="B54" s="5">
        <v>42366.0</v>
      </c>
      <c r="C54" s="6">
        <v>42372.0</v>
      </c>
      <c r="D54" s="4">
        <v>53.0</v>
      </c>
      <c r="E54" s="4">
        <v>14170.0</v>
      </c>
      <c r="F54" s="4">
        <v>0.0</v>
      </c>
      <c r="G54" s="7"/>
      <c r="H54" s="7"/>
    </row>
    <row r="55">
      <c r="A55" s="1" t="s">
        <v>2</v>
      </c>
      <c r="B55" s="3">
        <v>42373.0</v>
      </c>
      <c r="C55" s="3">
        <v>42379.0</v>
      </c>
      <c r="D55" s="1">
        <v>1.0</v>
      </c>
      <c r="E55" s="1">
        <v>14299.0</v>
      </c>
      <c r="F55" s="1">
        <v>0.0</v>
      </c>
    </row>
    <row r="56">
      <c r="A56" s="1" t="s">
        <v>2</v>
      </c>
      <c r="B56" s="3">
        <v>42380.0</v>
      </c>
      <c r="C56" s="3">
        <v>42386.0</v>
      </c>
      <c r="D56" s="1">
        <v>2.0</v>
      </c>
      <c r="E56" s="1">
        <v>14540.0</v>
      </c>
      <c r="F56" s="1">
        <v>0.0</v>
      </c>
    </row>
    <row r="57">
      <c r="A57" s="1" t="s">
        <v>2</v>
      </c>
      <c r="B57" s="3">
        <v>42387.0</v>
      </c>
      <c r="C57" s="3">
        <v>42393.0</v>
      </c>
      <c r="D57" s="1">
        <v>3.0</v>
      </c>
      <c r="E57" s="1">
        <v>14557.0</v>
      </c>
      <c r="F57" s="1">
        <v>0.0</v>
      </c>
    </row>
    <row r="58">
      <c r="A58" s="1" t="s">
        <v>2</v>
      </c>
      <c r="B58" s="3">
        <v>42394.0</v>
      </c>
      <c r="C58" s="3">
        <v>42400.0</v>
      </c>
      <c r="D58" s="1">
        <v>4.0</v>
      </c>
      <c r="E58" s="1">
        <v>14902.0</v>
      </c>
      <c r="F58" s="1">
        <v>0.0</v>
      </c>
    </row>
    <row r="59">
      <c r="A59" s="1" t="s">
        <v>2</v>
      </c>
      <c r="B59" s="3">
        <v>42401.0</v>
      </c>
      <c r="C59" s="3">
        <v>42407.0</v>
      </c>
      <c r="D59" s="1">
        <v>5.0</v>
      </c>
      <c r="E59" s="1">
        <v>15160.0</v>
      </c>
      <c r="F59" s="1">
        <v>0.0</v>
      </c>
    </row>
    <row r="60">
      <c r="A60" s="1" t="s">
        <v>2</v>
      </c>
      <c r="B60" s="3">
        <v>42408.0</v>
      </c>
      <c r="C60" s="3">
        <v>42414.0</v>
      </c>
      <c r="D60" s="1">
        <v>6.0</v>
      </c>
      <c r="E60" s="1">
        <v>15691.0</v>
      </c>
      <c r="F60" s="1">
        <v>0.0</v>
      </c>
    </row>
    <row r="61">
      <c r="A61" s="1" t="s">
        <v>2</v>
      </c>
      <c r="B61" s="3">
        <v>42415.0</v>
      </c>
      <c r="C61" s="3">
        <v>42421.0</v>
      </c>
      <c r="D61" s="1">
        <v>7.0</v>
      </c>
      <c r="E61" s="1">
        <v>15725.0</v>
      </c>
      <c r="F61" s="1">
        <v>0.0</v>
      </c>
    </row>
    <row r="62">
      <c r="A62" s="1" t="s">
        <v>2</v>
      </c>
      <c r="B62" s="3">
        <v>42422.0</v>
      </c>
      <c r="C62" s="3">
        <v>42428.0</v>
      </c>
      <c r="D62" s="1">
        <v>8.0</v>
      </c>
      <c r="E62" s="1">
        <v>15034.0</v>
      </c>
      <c r="F62" s="1">
        <v>0.0</v>
      </c>
    </row>
    <row r="63">
      <c r="A63" s="1" t="s">
        <v>2</v>
      </c>
      <c r="B63" s="3">
        <v>42429.0</v>
      </c>
      <c r="C63" s="3">
        <v>42435.0</v>
      </c>
      <c r="D63" s="1">
        <v>9.0</v>
      </c>
      <c r="E63" s="1">
        <v>14797.0</v>
      </c>
      <c r="F63" s="1">
        <v>0.0</v>
      </c>
    </row>
    <row r="64">
      <c r="A64" s="1" t="s">
        <v>2</v>
      </c>
      <c r="B64" s="3">
        <v>42436.0</v>
      </c>
      <c r="C64" s="3">
        <v>42442.0</v>
      </c>
      <c r="D64" s="1">
        <v>10.0</v>
      </c>
      <c r="E64" s="1">
        <v>14351.0</v>
      </c>
      <c r="F64" s="1">
        <v>0.0</v>
      </c>
    </row>
    <row r="65">
      <c r="A65" s="1" t="s">
        <v>2</v>
      </c>
      <c r="B65" s="3">
        <v>42443.0</v>
      </c>
      <c r="C65" s="3">
        <v>42449.0</v>
      </c>
      <c r="D65" s="1">
        <v>11.0</v>
      </c>
      <c r="E65" s="1">
        <v>14025.0</v>
      </c>
      <c r="F65" s="1">
        <v>0.0</v>
      </c>
    </row>
    <row r="66">
      <c r="A66" s="1" t="s">
        <v>2</v>
      </c>
      <c r="B66" s="3">
        <v>42450.0</v>
      </c>
      <c r="C66" s="3">
        <v>42456.0</v>
      </c>
      <c r="D66" s="1">
        <v>12.0</v>
      </c>
      <c r="E66" s="1">
        <v>13418.0</v>
      </c>
      <c r="F66" s="1">
        <v>0.0</v>
      </c>
    </row>
    <row r="67">
      <c r="A67" s="1" t="s">
        <v>2</v>
      </c>
      <c r="B67" s="3">
        <v>42457.0</v>
      </c>
      <c r="C67" s="3">
        <v>42463.0</v>
      </c>
      <c r="D67" s="1">
        <v>13.0</v>
      </c>
      <c r="E67" s="1">
        <v>13411.0</v>
      </c>
      <c r="F67" s="1">
        <v>0.0</v>
      </c>
    </row>
    <row r="68">
      <c r="A68" s="1" t="s">
        <v>2</v>
      </c>
      <c r="B68" s="3">
        <v>42464.0</v>
      </c>
      <c r="C68" s="3">
        <v>42470.0</v>
      </c>
      <c r="D68" s="1">
        <v>14.0</v>
      </c>
      <c r="E68" s="1">
        <v>12710.0</v>
      </c>
      <c r="F68" s="1">
        <v>0.0</v>
      </c>
    </row>
    <row r="69">
      <c r="A69" s="1" t="s">
        <v>2</v>
      </c>
      <c r="B69" s="3">
        <v>42471.0</v>
      </c>
      <c r="C69" s="3">
        <v>42477.0</v>
      </c>
      <c r="D69" s="1">
        <v>15.0</v>
      </c>
      <c r="E69" s="1">
        <v>12422.0</v>
      </c>
      <c r="F69" s="1">
        <v>0.0</v>
      </c>
    </row>
    <row r="70">
      <c r="A70" s="1" t="s">
        <v>2</v>
      </c>
      <c r="B70" s="3">
        <v>42478.0</v>
      </c>
      <c r="C70" s="3">
        <v>42484.0</v>
      </c>
      <c r="D70" s="1">
        <v>16.0</v>
      </c>
      <c r="E70" s="1">
        <v>11939.0</v>
      </c>
      <c r="F70" s="1">
        <v>0.0</v>
      </c>
    </row>
    <row r="71">
      <c r="A71" s="1" t="s">
        <v>2</v>
      </c>
      <c r="B71" s="3">
        <v>42485.0</v>
      </c>
      <c r="C71" s="3">
        <v>42491.0</v>
      </c>
      <c r="D71" s="1">
        <v>17.0</v>
      </c>
      <c r="E71" s="1">
        <v>12481.0</v>
      </c>
      <c r="F71" s="1">
        <v>0.0</v>
      </c>
    </row>
    <row r="72">
      <c r="A72" s="1" t="s">
        <v>2</v>
      </c>
      <c r="B72" s="3">
        <v>42492.0</v>
      </c>
      <c r="C72" s="3">
        <v>42498.0</v>
      </c>
      <c r="D72" s="1">
        <v>18.0</v>
      </c>
      <c r="E72" s="1">
        <v>12723.0</v>
      </c>
      <c r="F72" s="1">
        <v>0.0</v>
      </c>
    </row>
    <row r="73">
      <c r="A73" s="1" t="s">
        <v>2</v>
      </c>
      <c r="B73" s="3">
        <v>42499.0</v>
      </c>
      <c r="C73" s="3">
        <v>42505.0</v>
      </c>
      <c r="D73" s="1">
        <v>19.0</v>
      </c>
      <c r="E73" s="1">
        <v>12478.0</v>
      </c>
      <c r="F73" s="1">
        <v>0.0</v>
      </c>
    </row>
    <row r="74">
      <c r="A74" s="1" t="s">
        <v>2</v>
      </c>
      <c r="B74" s="3">
        <v>42506.0</v>
      </c>
      <c r="C74" s="3">
        <v>42512.0</v>
      </c>
      <c r="D74" s="1">
        <v>20.0</v>
      </c>
      <c r="E74" s="1">
        <v>12483.0</v>
      </c>
      <c r="F74" s="1">
        <v>0.0</v>
      </c>
    </row>
    <row r="75">
      <c r="A75" s="1" t="s">
        <v>2</v>
      </c>
      <c r="B75" s="3">
        <v>42513.0</v>
      </c>
      <c r="C75" s="3">
        <v>42519.0</v>
      </c>
      <c r="D75" s="1">
        <v>21.0</v>
      </c>
      <c r="E75" s="1">
        <v>13019.0</v>
      </c>
      <c r="F75" s="1">
        <v>0.0</v>
      </c>
    </row>
    <row r="76">
      <c r="A76" s="1" t="s">
        <v>2</v>
      </c>
      <c r="B76" s="3">
        <v>42520.0</v>
      </c>
      <c r="C76" s="3">
        <v>42526.0</v>
      </c>
      <c r="D76" s="1">
        <v>22.0</v>
      </c>
      <c r="E76" s="1">
        <v>12222.0</v>
      </c>
      <c r="F76" s="1">
        <v>0.0</v>
      </c>
    </row>
    <row r="77">
      <c r="A77" s="1" t="s">
        <v>2</v>
      </c>
      <c r="B77" s="3">
        <v>42527.0</v>
      </c>
      <c r="C77" s="3">
        <v>42533.0</v>
      </c>
      <c r="D77" s="1">
        <v>23.0</v>
      </c>
      <c r="E77" s="1">
        <v>12011.0</v>
      </c>
      <c r="F77" s="1">
        <v>0.0</v>
      </c>
    </row>
    <row r="78">
      <c r="A78" s="1" t="s">
        <v>2</v>
      </c>
      <c r="B78" s="3">
        <v>42534.0</v>
      </c>
      <c r="C78" s="3">
        <v>42540.0</v>
      </c>
      <c r="D78" s="1">
        <v>24.0</v>
      </c>
      <c r="E78" s="1">
        <v>11994.0</v>
      </c>
      <c r="F78" s="1">
        <v>0.0</v>
      </c>
    </row>
    <row r="79">
      <c r="A79" s="1" t="s">
        <v>2</v>
      </c>
      <c r="B79" s="3">
        <v>42541.0</v>
      </c>
      <c r="C79" s="3">
        <v>42547.0</v>
      </c>
      <c r="D79" s="1">
        <v>25.0</v>
      </c>
      <c r="E79" s="1">
        <v>12117.0</v>
      </c>
      <c r="F79" s="1">
        <v>0.0</v>
      </c>
    </row>
    <row r="80">
      <c r="A80" s="1" t="s">
        <v>2</v>
      </c>
      <c r="B80" s="3">
        <v>42548.0</v>
      </c>
      <c r="C80" s="3">
        <v>42554.0</v>
      </c>
      <c r="D80" s="1">
        <v>26.0</v>
      </c>
      <c r="E80" s="1">
        <v>12203.0</v>
      </c>
      <c r="F80" s="1">
        <v>0.0</v>
      </c>
    </row>
    <row r="81">
      <c r="A81" s="1" t="s">
        <v>2</v>
      </c>
      <c r="B81" s="3">
        <v>42555.0</v>
      </c>
      <c r="C81" s="3">
        <v>42561.0</v>
      </c>
      <c r="D81" s="1">
        <v>27.0</v>
      </c>
      <c r="E81" s="1">
        <v>12439.0</v>
      </c>
      <c r="F81" s="1">
        <v>0.0</v>
      </c>
    </row>
    <row r="82">
      <c r="A82" s="1" t="s">
        <v>2</v>
      </c>
      <c r="B82" s="3">
        <v>42562.0</v>
      </c>
      <c r="C82" s="3">
        <v>42568.0</v>
      </c>
      <c r="D82" s="1">
        <v>28.0</v>
      </c>
      <c r="E82" s="1">
        <v>12241.0</v>
      </c>
      <c r="F82" s="1">
        <v>0.0</v>
      </c>
    </row>
    <row r="83">
      <c r="A83" s="1" t="s">
        <v>2</v>
      </c>
      <c r="B83" s="3">
        <v>42569.0</v>
      </c>
      <c r="C83" s="3">
        <v>42575.0</v>
      </c>
      <c r="D83" s="1">
        <v>29.0</v>
      </c>
      <c r="E83" s="1">
        <v>12316.0</v>
      </c>
      <c r="F83" s="1">
        <v>0.0</v>
      </c>
    </row>
    <row r="84">
      <c r="A84" s="1" t="s">
        <v>2</v>
      </c>
      <c r="B84" s="3">
        <v>42576.0</v>
      </c>
      <c r="C84" s="3">
        <v>42582.0</v>
      </c>
      <c r="D84" s="1">
        <v>30.0</v>
      </c>
      <c r="E84" s="1">
        <v>12141.0</v>
      </c>
      <c r="F84" s="1">
        <v>0.0</v>
      </c>
    </row>
    <row r="85">
      <c r="A85" s="1" t="s">
        <v>2</v>
      </c>
      <c r="B85" s="3">
        <v>42583.0</v>
      </c>
      <c r="C85" s="3">
        <v>42589.0</v>
      </c>
      <c r="D85" s="1">
        <v>31.0</v>
      </c>
      <c r="E85" s="1">
        <v>12456.0</v>
      </c>
      <c r="F85" s="1">
        <v>0.0</v>
      </c>
    </row>
    <row r="86">
      <c r="A86" s="1" t="s">
        <v>2</v>
      </c>
      <c r="B86" s="3">
        <v>42590.0</v>
      </c>
      <c r="C86" s="3">
        <v>42596.0</v>
      </c>
      <c r="D86" s="1">
        <v>32.0</v>
      </c>
      <c r="E86" s="1">
        <v>12173.0</v>
      </c>
      <c r="F86" s="1">
        <v>0.0</v>
      </c>
    </row>
    <row r="87">
      <c r="A87" s="1" t="s">
        <v>2</v>
      </c>
      <c r="B87" s="3">
        <v>42597.0</v>
      </c>
      <c r="C87" s="3">
        <v>42603.0</v>
      </c>
      <c r="D87" s="1">
        <v>33.0</v>
      </c>
      <c r="E87" s="1">
        <v>12261.0</v>
      </c>
      <c r="F87" s="1">
        <v>0.0</v>
      </c>
    </row>
    <row r="88">
      <c r="A88" s="1" t="s">
        <v>2</v>
      </c>
      <c r="B88" s="3">
        <v>42604.0</v>
      </c>
      <c r="C88" s="3">
        <v>42610.0</v>
      </c>
      <c r="D88" s="1">
        <v>34.0</v>
      </c>
      <c r="E88" s="1">
        <v>12245.0</v>
      </c>
      <c r="F88" s="1">
        <v>0.0</v>
      </c>
    </row>
    <row r="89">
      <c r="A89" s="1" t="s">
        <v>2</v>
      </c>
      <c r="B89" s="3">
        <v>42611.0</v>
      </c>
      <c r="C89" s="3">
        <v>42617.0</v>
      </c>
      <c r="D89" s="1">
        <v>35.0</v>
      </c>
      <c r="E89" s="1">
        <v>12137.0</v>
      </c>
      <c r="F89" s="1">
        <v>0.0</v>
      </c>
    </row>
    <row r="90">
      <c r="A90" s="1" t="s">
        <v>2</v>
      </c>
      <c r="B90" s="3">
        <v>42618.0</v>
      </c>
      <c r="C90" s="3">
        <v>42624.0</v>
      </c>
      <c r="D90" s="1">
        <v>36.0</v>
      </c>
      <c r="E90" s="1">
        <v>12285.0</v>
      </c>
      <c r="F90" s="1">
        <v>0.0</v>
      </c>
    </row>
    <row r="91">
      <c r="A91" s="1" t="s">
        <v>2</v>
      </c>
      <c r="B91" s="3">
        <v>42625.0</v>
      </c>
      <c r="C91" s="3">
        <v>42631.0</v>
      </c>
      <c r="D91" s="1">
        <v>37.0</v>
      </c>
      <c r="E91" s="1">
        <v>12491.0</v>
      </c>
      <c r="F91" s="1">
        <v>0.0</v>
      </c>
    </row>
    <row r="92">
      <c r="A92" s="1" t="s">
        <v>2</v>
      </c>
      <c r="B92" s="3">
        <v>42632.0</v>
      </c>
      <c r="C92" s="3">
        <v>42638.0</v>
      </c>
      <c r="D92" s="1">
        <v>38.0</v>
      </c>
      <c r="E92" s="1">
        <v>12203.0</v>
      </c>
      <c r="F92" s="1">
        <v>0.0</v>
      </c>
    </row>
    <row r="93">
      <c r="A93" s="1" t="s">
        <v>2</v>
      </c>
      <c r="B93" s="3">
        <v>42639.0</v>
      </c>
      <c r="C93" s="2">
        <v>42645.0</v>
      </c>
      <c r="D93" s="1">
        <v>39.0</v>
      </c>
      <c r="E93" s="1">
        <v>12300.0</v>
      </c>
      <c r="F93" s="1">
        <v>0.0</v>
      </c>
    </row>
    <row r="94">
      <c r="A94" s="1" t="s">
        <v>2</v>
      </c>
      <c r="B94" s="2">
        <v>42646.0</v>
      </c>
      <c r="C94" s="2">
        <v>42652.0</v>
      </c>
      <c r="D94" s="1">
        <v>40.0</v>
      </c>
      <c r="E94" s="1">
        <v>12500.0</v>
      </c>
      <c r="F94" s="1">
        <v>0.0</v>
      </c>
    </row>
    <row r="95">
      <c r="A95" s="1" t="s">
        <v>2</v>
      </c>
      <c r="B95" s="2">
        <v>42653.0</v>
      </c>
      <c r="C95" s="2">
        <v>42659.0</v>
      </c>
      <c r="D95" s="1">
        <v>41.0</v>
      </c>
      <c r="E95" s="1">
        <v>12201.0</v>
      </c>
      <c r="F95" s="1">
        <v>0.0</v>
      </c>
    </row>
    <row r="96">
      <c r="A96" s="1" t="s">
        <v>2</v>
      </c>
      <c r="B96" s="2">
        <v>42660.0</v>
      </c>
      <c r="C96" s="2">
        <v>42666.0</v>
      </c>
      <c r="D96" s="1">
        <v>42.0</v>
      </c>
      <c r="E96" s="1">
        <v>12365.0</v>
      </c>
      <c r="F96" s="1">
        <v>0.0</v>
      </c>
    </row>
    <row r="97">
      <c r="A97" s="1" t="s">
        <v>2</v>
      </c>
      <c r="B97" s="2">
        <v>42667.0</v>
      </c>
      <c r="C97" s="2">
        <v>42673.0</v>
      </c>
      <c r="D97" s="1">
        <v>43.0</v>
      </c>
      <c r="E97" s="1">
        <v>12506.0</v>
      </c>
      <c r="F97" s="1">
        <v>0.0</v>
      </c>
    </row>
    <row r="98">
      <c r="A98" s="1" t="s">
        <v>2</v>
      </c>
      <c r="B98" s="2">
        <v>42674.0</v>
      </c>
      <c r="C98" s="2">
        <v>42680.0</v>
      </c>
      <c r="D98" s="1">
        <v>44.0</v>
      </c>
      <c r="E98" s="1">
        <v>12735.0</v>
      </c>
      <c r="F98" s="1">
        <v>0.0</v>
      </c>
    </row>
    <row r="99">
      <c r="A99" s="1" t="s">
        <v>2</v>
      </c>
      <c r="B99" s="2">
        <v>42681.0</v>
      </c>
      <c r="C99" s="2">
        <v>42687.0</v>
      </c>
      <c r="D99" s="1">
        <v>45.0</v>
      </c>
      <c r="E99" s="1">
        <v>12478.0</v>
      </c>
      <c r="F99" s="1">
        <v>0.0</v>
      </c>
    </row>
    <row r="100">
      <c r="A100" s="1" t="s">
        <v>2</v>
      </c>
      <c r="B100" s="2">
        <v>42688.0</v>
      </c>
      <c r="C100" s="2">
        <v>42694.0</v>
      </c>
      <c r="D100" s="1">
        <v>46.0</v>
      </c>
      <c r="E100" s="1">
        <v>12837.0</v>
      </c>
      <c r="F100" s="1">
        <v>0.0</v>
      </c>
    </row>
    <row r="101">
      <c r="A101" s="1" t="s">
        <v>2</v>
      </c>
      <c r="B101" s="2">
        <v>42695.0</v>
      </c>
      <c r="C101" s="2">
        <v>42701.0</v>
      </c>
      <c r="D101" s="1">
        <v>47.0</v>
      </c>
      <c r="E101" s="1">
        <v>13616.0</v>
      </c>
      <c r="F101" s="1">
        <v>0.0</v>
      </c>
    </row>
    <row r="102">
      <c r="A102" s="1" t="s">
        <v>2</v>
      </c>
      <c r="B102" s="2">
        <v>42702.0</v>
      </c>
      <c r="C102" s="2">
        <v>42708.0</v>
      </c>
      <c r="D102" s="1">
        <v>48.0</v>
      </c>
      <c r="E102" s="1">
        <v>13678.0</v>
      </c>
      <c r="F102" s="1">
        <v>0.0</v>
      </c>
    </row>
    <row r="103">
      <c r="A103" s="1" t="s">
        <v>2</v>
      </c>
      <c r="B103" s="2">
        <v>42709.0</v>
      </c>
      <c r="C103" s="2">
        <v>42715.0</v>
      </c>
      <c r="D103" s="1">
        <v>49.0</v>
      </c>
      <c r="E103" s="1">
        <v>13396.0</v>
      </c>
      <c r="F103" s="1">
        <v>0.0</v>
      </c>
    </row>
    <row r="104">
      <c r="A104" s="1" t="s">
        <v>2</v>
      </c>
      <c r="B104" s="2">
        <v>42716.0</v>
      </c>
      <c r="C104" s="2">
        <v>42722.0</v>
      </c>
      <c r="D104" s="1">
        <v>50.0</v>
      </c>
      <c r="E104" s="1">
        <v>13697.0</v>
      </c>
      <c r="F104" s="1">
        <v>0.0</v>
      </c>
    </row>
    <row r="105">
      <c r="A105" s="1" t="s">
        <v>2</v>
      </c>
      <c r="B105" s="2">
        <v>42723.0</v>
      </c>
      <c r="C105" s="2">
        <v>42729.0</v>
      </c>
      <c r="D105" s="1">
        <v>51.0</v>
      </c>
      <c r="E105" s="1">
        <v>13784.0</v>
      </c>
      <c r="F105" s="1">
        <v>0.0</v>
      </c>
    </row>
    <row r="106">
      <c r="A106" s="1" t="s">
        <v>2</v>
      </c>
      <c r="B106" s="2">
        <v>42730.0</v>
      </c>
      <c r="C106" s="3">
        <v>42736.0</v>
      </c>
      <c r="D106" s="1">
        <v>52.0</v>
      </c>
      <c r="E106" s="1">
        <v>14313.0</v>
      </c>
      <c r="F106" s="1">
        <v>0.0</v>
      </c>
    </row>
    <row r="107">
      <c r="A107" s="1" t="s">
        <v>2</v>
      </c>
      <c r="B107" s="3">
        <v>42737.0</v>
      </c>
      <c r="C107" s="3">
        <v>42743.0</v>
      </c>
      <c r="D107" s="1">
        <v>1.0</v>
      </c>
      <c r="E107" s="1">
        <v>14312.0</v>
      </c>
      <c r="F107" s="1">
        <v>0.0</v>
      </c>
    </row>
    <row r="108">
      <c r="A108" s="1" t="s">
        <v>2</v>
      </c>
      <c r="B108" s="3">
        <v>42744.0</v>
      </c>
      <c r="C108" s="3">
        <v>42750.0</v>
      </c>
      <c r="D108" s="1">
        <v>2.0</v>
      </c>
      <c r="E108" s="1">
        <v>14583.0</v>
      </c>
      <c r="F108" s="1">
        <v>0.0</v>
      </c>
    </row>
    <row r="109">
      <c r="A109" s="1" t="s">
        <v>2</v>
      </c>
      <c r="B109" s="3">
        <v>42751.0</v>
      </c>
      <c r="C109" s="3">
        <v>42757.0</v>
      </c>
      <c r="D109" s="1">
        <v>3.0</v>
      </c>
      <c r="E109" s="1">
        <v>14163.0</v>
      </c>
      <c r="F109" s="1">
        <v>0.0</v>
      </c>
    </row>
    <row r="110">
      <c r="A110" s="1" t="s">
        <v>2</v>
      </c>
      <c r="B110" s="3">
        <v>42758.0</v>
      </c>
      <c r="C110" s="3">
        <v>42764.0</v>
      </c>
      <c r="D110" s="1">
        <v>4.0</v>
      </c>
      <c r="E110" s="1">
        <v>14118.0</v>
      </c>
      <c r="F110" s="1">
        <v>0.0</v>
      </c>
    </row>
    <row r="111">
      <c r="A111" s="1" t="s">
        <v>2</v>
      </c>
      <c r="B111" s="3">
        <v>42765.0</v>
      </c>
      <c r="C111" s="3">
        <v>42771.0</v>
      </c>
      <c r="D111" s="1">
        <v>5.0</v>
      </c>
      <c r="E111" s="1">
        <v>14444.0</v>
      </c>
      <c r="F111" s="1">
        <v>0.0</v>
      </c>
    </row>
    <row r="112">
      <c r="A112" s="1" t="s">
        <v>2</v>
      </c>
      <c r="B112" s="3">
        <v>42772.0</v>
      </c>
      <c r="C112" s="3">
        <v>42778.0</v>
      </c>
      <c r="D112" s="1">
        <v>6.0</v>
      </c>
      <c r="E112" s="1">
        <v>14330.0</v>
      </c>
      <c r="F112" s="1">
        <v>0.0</v>
      </c>
    </row>
    <row r="113">
      <c r="A113" s="1" t="s">
        <v>2</v>
      </c>
      <c r="B113" s="3">
        <v>42779.0</v>
      </c>
      <c r="C113" s="3">
        <v>42785.0</v>
      </c>
      <c r="D113" s="1">
        <v>7.0</v>
      </c>
      <c r="E113" s="1">
        <v>14165.0</v>
      </c>
      <c r="F113" s="1">
        <v>0.0</v>
      </c>
    </row>
    <row r="114">
      <c r="A114" s="1" t="s">
        <v>2</v>
      </c>
      <c r="B114" s="3">
        <v>42786.0</v>
      </c>
      <c r="C114" s="3">
        <v>42792.0</v>
      </c>
      <c r="D114" s="1">
        <v>8.0</v>
      </c>
      <c r="E114" s="1">
        <v>14278.0</v>
      </c>
      <c r="F114" s="1">
        <v>0.0</v>
      </c>
    </row>
    <row r="115">
      <c r="A115" s="1" t="s">
        <v>2</v>
      </c>
      <c r="B115" s="3">
        <v>42793.0</v>
      </c>
      <c r="C115" s="3">
        <v>42799.0</v>
      </c>
      <c r="D115" s="1">
        <v>9.0</v>
      </c>
      <c r="E115" s="1">
        <v>14456.0</v>
      </c>
      <c r="F115" s="1">
        <v>0.0</v>
      </c>
    </row>
    <row r="116">
      <c r="A116" s="1" t="s">
        <v>2</v>
      </c>
      <c r="B116" s="3">
        <v>42800.0</v>
      </c>
      <c r="C116" s="3">
        <v>42806.0</v>
      </c>
      <c r="D116" s="1">
        <v>10.0</v>
      </c>
      <c r="E116" s="1">
        <v>13844.0</v>
      </c>
      <c r="F116" s="1">
        <v>0.0</v>
      </c>
    </row>
    <row r="117">
      <c r="A117" s="1" t="s">
        <v>2</v>
      </c>
      <c r="B117" s="3">
        <v>42807.0</v>
      </c>
      <c r="C117" s="3">
        <v>42813.0</v>
      </c>
      <c r="D117" s="1">
        <v>11.0</v>
      </c>
      <c r="E117" s="1">
        <v>13948.0</v>
      </c>
      <c r="F117" s="1">
        <v>0.0</v>
      </c>
    </row>
    <row r="118">
      <c r="A118" s="1" t="s">
        <v>2</v>
      </c>
      <c r="B118" s="3">
        <v>42814.0</v>
      </c>
      <c r="C118" s="3">
        <v>42820.0</v>
      </c>
      <c r="D118" s="1">
        <v>12.0</v>
      </c>
      <c r="E118" s="1">
        <v>13878.0</v>
      </c>
      <c r="F118" s="1">
        <v>0.0</v>
      </c>
    </row>
    <row r="119">
      <c r="A119" s="1" t="s">
        <v>2</v>
      </c>
      <c r="B119" s="3">
        <v>42821.0</v>
      </c>
      <c r="C119" s="3">
        <v>42827.0</v>
      </c>
      <c r="D119" s="1">
        <v>13.0</v>
      </c>
      <c r="E119" s="1">
        <v>13307.0</v>
      </c>
      <c r="F119" s="1">
        <v>0.0</v>
      </c>
    </row>
    <row r="120">
      <c r="A120" s="1" t="s">
        <v>2</v>
      </c>
      <c r="B120" s="3">
        <v>42828.0</v>
      </c>
      <c r="C120" s="3">
        <v>42834.0</v>
      </c>
      <c r="D120" s="1">
        <v>14.0</v>
      </c>
      <c r="E120" s="1">
        <v>13470.0</v>
      </c>
      <c r="F120" s="1">
        <v>0.0</v>
      </c>
    </row>
    <row r="121">
      <c r="A121" s="1" t="s">
        <v>2</v>
      </c>
      <c r="B121" s="3">
        <v>42835.0</v>
      </c>
      <c r="C121" s="3">
        <v>42841.0</v>
      </c>
      <c r="D121" s="1">
        <v>15.0</v>
      </c>
      <c r="E121" s="1">
        <v>13210.0</v>
      </c>
      <c r="F121" s="1">
        <v>0.0</v>
      </c>
    </row>
    <row r="122">
      <c r="A122" s="1" t="s">
        <v>2</v>
      </c>
      <c r="B122" s="3">
        <v>42842.0</v>
      </c>
      <c r="C122" s="3">
        <v>42848.0</v>
      </c>
      <c r="D122" s="1">
        <v>16.0</v>
      </c>
      <c r="E122" s="1">
        <v>13212.0</v>
      </c>
      <c r="F122" s="1">
        <v>0.0</v>
      </c>
    </row>
    <row r="123">
      <c r="A123" s="1" t="s">
        <v>2</v>
      </c>
      <c r="B123" s="3">
        <v>42849.0</v>
      </c>
      <c r="C123" s="3">
        <v>42855.0</v>
      </c>
      <c r="D123" s="1">
        <v>17.0</v>
      </c>
      <c r="E123" s="1">
        <v>13363.0</v>
      </c>
      <c r="F123" s="1">
        <v>0.0</v>
      </c>
    </row>
    <row r="124">
      <c r="A124" s="1" t="s">
        <v>2</v>
      </c>
      <c r="B124" s="3">
        <v>42856.0</v>
      </c>
      <c r="C124" s="3">
        <v>42862.0</v>
      </c>
      <c r="D124" s="1">
        <v>18.0</v>
      </c>
      <c r="E124" s="1">
        <v>13016.0</v>
      </c>
      <c r="F124" s="1">
        <v>0.0</v>
      </c>
    </row>
    <row r="125">
      <c r="A125" s="1" t="s">
        <v>2</v>
      </c>
      <c r="B125" s="3">
        <v>42863.0</v>
      </c>
      <c r="C125" s="3">
        <v>42869.0</v>
      </c>
      <c r="D125" s="1">
        <v>19.0</v>
      </c>
      <c r="E125" s="1">
        <v>12868.0</v>
      </c>
      <c r="F125" s="1">
        <v>0.0</v>
      </c>
    </row>
    <row r="126">
      <c r="A126" s="1" t="s">
        <v>2</v>
      </c>
      <c r="B126" s="3">
        <v>42870.0</v>
      </c>
      <c r="C126" s="3">
        <v>42876.0</v>
      </c>
      <c r="D126" s="1">
        <v>20.0</v>
      </c>
      <c r="E126" s="1">
        <v>13361.0</v>
      </c>
      <c r="F126" s="1">
        <v>0.0</v>
      </c>
    </row>
    <row r="127">
      <c r="A127" s="1" t="s">
        <v>2</v>
      </c>
      <c r="B127" s="3">
        <v>42877.0</v>
      </c>
      <c r="C127" s="3">
        <v>42883.0</v>
      </c>
      <c r="D127" s="1">
        <v>21.0</v>
      </c>
      <c r="E127" s="1">
        <v>13165.0</v>
      </c>
      <c r="F127" s="1">
        <v>0.0</v>
      </c>
    </row>
    <row r="128">
      <c r="A128" s="1" t="s">
        <v>2</v>
      </c>
      <c r="B128" s="3">
        <v>42884.0</v>
      </c>
      <c r="C128" s="3">
        <v>42890.0</v>
      </c>
      <c r="D128" s="1">
        <v>22.0</v>
      </c>
      <c r="E128" s="1">
        <v>12510.0</v>
      </c>
      <c r="F128" s="1">
        <v>0.0</v>
      </c>
    </row>
    <row r="129">
      <c r="A129" s="1" t="s">
        <v>2</v>
      </c>
      <c r="B129" s="3">
        <v>42891.0</v>
      </c>
      <c r="C129" s="3">
        <v>42897.0</v>
      </c>
      <c r="D129" s="1">
        <v>23.0</v>
      </c>
      <c r="E129" s="1">
        <v>12753.0</v>
      </c>
      <c r="F129" s="1">
        <v>0.0</v>
      </c>
    </row>
    <row r="130">
      <c r="A130" s="1" t="s">
        <v>2</v>
      </c>
      <c r="B130" s="3">
        <v>42898.0</v>
      </c>
      <c r="C130" s="3">
        <v>42904.0</v>
      </c>
      <c r="D130" s="1">
        <v>24.0</v>
      </c>
      <c r="E130" s="1">
        <v>12724.0</v>
      </c>
      <c r="F130" s="1">
        <v>0.0</v>
      </c>
    </row>
    <row r="131">
      <c r="A131" s="1" t="s">
        <v>2</v>
      </c>
      <c r="B131" s="3">
        <v>42905.0</v>
      </c>
      <c r="C131" s="3">
        <v>42911.0</v>
      </c>
      <c r="D131" s="1">
        <v>25.0</v>
      </c>
      <c r="E131" s="1">
        <v>13154.0</v>
      </c>
      <c r="F131" s="1">
        <v>0.0</v>
      </c>
    </row>
    <row r="132">
      <c r="A132" s="1" t="s">
        <v>2</v>
      </c>
      <c r="B132" s="3">
        <v>42912.0</v>
      </c>
      <c r="C132" s="3">
        <v>42918.0</v>
      </c>
      <c r="D132" s="1">
        <v>26.0</v>
      </c>
      <c r="E132" s="1">
        <v>12736.0</v>
      </c>
      <c r="F132" s="1">
        <v>0.0</v>
      </c>
    </row>
    <row r="133">
      <c r="A133" s="1" t="s">
        <v>2</v>
      </c>
      <c r="B133" s="3">
        <v>42919.0</v>
      </c>
      <c r="C133" s="3">
        <v>42925.0</v>
      </c>
      <c r="D133" s="1">
        <v>27.0</v>
      </c>
      <c r="E133" s="1">
        <v>12502.0</v>
      </c>
      <c r="F133" s="1">
        <v>0.0</v>
      </c>
    </row>
    <row r="134">
      <c r="A134" s="1" t="s">
        <v>2</v>
      </c>
      <c r="B134" s="3">
        <v>42926.0</v>
      </c>
      <c r="C134" s="3">
        <v>42932.0</v>
      </c>
      <c r="D134" s="1">
        <v>28.0</v>
      </c>
      <c r="E134" s="1">
        <v>12822.0</v>
      </c>
      <c r="F134" s="1">
        <v>0.0</v>
      </c>
    </row>
    <row r="135">
      <c r="A135" s="1" t="s">
        <v>2</v>
      </c>
      <c r="B135" s="3">
        <v>42933.0</v>
      </c>
      <c r="C135" s="3">
        <v>42939.0</v>
      </c>
      <c r="D135" s="1">
        <v>29.0</v>
      </c>
      <c r="E135" s="1">
        <v>12512.0</v>
      </c>
      <c r="F135" s="1">
        <v>0.0</v>
      </c>
    </row>
    <row r="136">
      <c r="A136" s="1" t="s">
        <v>2</v>
      </c>
      <c r="B136" s="3">
        <v>42940.0</v>
      </c>
      <c r="C136" s="3">
        <v>42946.0</v>
      </c>
      <c r="D136" s="1">
        <v>30.0</v>
      </c>
      <c r="E136" s="1">
        <v>12923.0</v>
      </c>
      <c r="F136" s="1">
        <v>0.0</v>
      </c>
    </row>
    <row r="137">
      <c r="A137" s="1" t="s">
        <v>2</v>
      </c>
      <c r="B137" s="3">
        <v>42947.0</v>
      </c>
      <c r="C137" s="3">
        <v>42953.0</v>
      </c>
      <c r="D137" s="1">
        <v>31.0</v>
      </c>
      <c r="E137" s="1">
        <v>12967.0</v>
      </c>
      <c r="F137" s="1">
        <v>0.0</v>
      </c>
    </row>
    <row r="138">
      <c r="A138" s="1" t="s">
        <v>2</v>
      </c>
      <c r="B138" s="3">
        <v>42954.0</v>
      </c>
      <c r="C138" s="3">
        <v>42960.0</v>
      </c>
      <c r="D138" s="1">
        <v>32.0</v>
      </c>
      <c r="E138" s="1">
        <v>12464.0</v>
      </c>
      <c r="F138" s="1">
        <v>0.0</v>
      </c>
    </row>
    <row r="139">
      <c r="A139" s="1" t="s">
        <v>2</v>
      </c>
      <c r="B139" s="3">
        <v>42961.0</v>
      </c>
      <c r="C139" s="3">
        <v>42967.0</v>
      </c>
      <c r="D139" s="1">
        <v>33.0</v>
      </c>
      <c r="E139" s="1">
        <v>12638.0</v>
      </c>
      <c r="F139" s="1">
        <v>0.0</v>
      </c>
    </row>
    <row r="140">
      <c r="A140" s="1" t="s">
        <v>2</v>
      </c>
      <c r="B140" s="3">
        <v>42968.0</v>
      </c>
      <c r="C140" s="3">
        <v>42974.0</v>
      </c>
      <c r="D140" s="1">
        <v>34.0</v>
      </c>
      <c r="E140" s="1">
        <v>12432.0</v>
      </c>
      <c r="F140" s="1">
        <v>0.0</v>
      </c>
    </row>
    <row r="141">
      <c r="A141" s="1" t="s">
        <v>2</v>
      </c>
      <c r="B141" s="3">
        <v>42975.0</v>
      </c>
      <c r="C141" s="3">
        <v>42981.0</v>
      </c>
      <c r="D141" s="1">
        <v>35.0</v>
      </c>
      <c r="E141" s="1">
        <v>12172.0</v>
      </c>
      <c r="F141" s="1">
        <v>0.0</v>
      </c>
    </row>
    <row r="142">
      <c r="A142" s="1" t="s">
        <v>2</v>
      </c>
      <c r="B142" s="3">
        <v>42982.0</v>
      </c>
      <c r="C142" s="3">
        <v>42988.0</v>
      </c>
      <c r="D142" s="1">
        <v>36.0</v>
      </c>
      <c r="E142" s="1">
        <v>12933.0</v>
      </c>
      <c r="F142" s="1">
        <v>0.0</v>
      </c>
    </row>
    <row r="143">
      <c r="A143" s="1" t="s">
        <v>2</v>
      </c>
      <c r="B143" s="3">
        <v>42989.0</v>
      </c>
      <c r="C143" s="3">
        <v>42995.0</v>
      </c>
      <c r="D143" s="1">
        <v>37.0</v>
      </c>
      <c r="E143" s="1">
        <v>13333.0</v>
      </c>
      <c r="F143" s="1">
        <v>0.0</v>
      </c>
    </row>
    <row r="144">
      <c r="A144" s="1" t="s">
        <v>2</v>
      </c>
      <c r="B144" s="3">
        <v>42996.0</v>
      </c>
      <c r="C144" s="3">
        <v>43002.0</v>
      </c>
      <c r="D144" s="1">
        <v>38.0</v>
      </c>
      <c r="E144" s="1">
        <v>13164.0</v>
      </c>
      <c r="F144" s="1">
        <v>0.0</v>
      </c>
    </row>
    <row r="145">
      <c r="A145" s="1" t="s">
        <v>2</v>
      </c>
      <c r="B145" s="3">
        <v>43003.0</v>
      </c>
      <c r="C145" s="2">
        <v>43009.0</v>
      </c>
      <c r="D145" s="1">
        <v>39.0</v>
      </c>
      <c r="E145" s="1">
        <v>12604.0</v>
      </c>
      <c r="F145" s="1">
        <v>0.0</v>
      </c>
    </row>
    <row r="146">
      <c r="A146" s="1" t="s">
        <v>2</v>
      </c>
      <c r="B146" s="2">
        <v>43010.0</v>
      </c>
      <c r="C146" s="2">
        <v>43016.0</v>
      </c>
      <c r="D146" s="1">
        <v>40.0</v>
      </c>
      <c r="E146" s="1">
        <v>13026.0</v>
      </c>
      <c r="F146" s="1">
        <v>0.0</v>
      </c>
    </row>
    <row r="147">
      <c r="A147" s="1" t="s">
        <v>2</v>
      </c>
      <c r="B147" s="2">
        <v>43017.0</v>
      </c>
      <c r="C147" s="2">
        <v>43023.0</v>
      </c>
      <c r="D147" s="1">
        <v>41.0</v>
      </c>
      <c r="E147" s="1">
        <v>13031.0</v>
      </c>
      <c r="F147" s="1">
        <v>0.0</v>
      </c>
    </row>
    <row r="148">
      <c r="A148" s="1" t="s">
        <v>2</v>
      </c>
      <c r="B148" s="2">
        <v>43024.0</v>
      </c>
      <c r="C148" s="2">
        <v>43030.0</v>
      </c>
      <c r="D148" s="1">
        <v>42.0</v>
      </c>
      <c r="E148" s="1">
        <v>13390.0</v>
      </c>
      <c r="F148" s="1">
        <v>0.0</v>
      </c>
    </row>
    <row r="149">
      <c r="A149" s="1" t="s">
        <v>2</v>
      </c>
      <c r="B149" s="2">
        <v>43031.0</v>
      </c>
      <c r="C149" s="2">
        <v>43037.0</v>
      </c>
      <c r="D149" s="1">
        <v>43.0</v>
      </c>
      <c r="E149" s="1">
        <v>13216.0</v>
      </c>
      <c r="F149" s="1">
        <v>0.0</v>
      </c>
    </row>
    <row r="150">
      <c r="A150" s="1" t="s">
        <v>2</v>
      </c>
      <c r="B150" s="2">
        <v>43038.0</v>
      </c>
      <c r="C150" s="2">
        <v>43044.0</v>
      </c>
      <c r="D150" s="1">
        <v>44.0</v>
      </c>
      <c r="E150" s="1">
        <v>13538.0</v>
      </c>
      <c r="F150" s="1">
        <v>0.0</v>
      </c>
    </row>
    <row r="151">
      <c r="A151" s="1" t="s">
        <v>2</v>
      </c>
      <c r="B151" s="2">
        <v>43045.0</v>
      </c>
      <c r="C151" s="2">
        <v>43051.0</v>
      </c>
      <c r="D151" s="1">
        <v>45.0</v>
      </c>
      <c r="E151" s="1">
        <v>13258.0</v>
      </c>
      <c r="F151" s="1">
        <v>0.0</v>
      </c>
    </row>
    <row r="152">
      <c r="A152" s="1" t="s">
        <v>2</v>
      </c>
      <c r="B152" s="2">
        <v>43052.0</v>
      </c>
      <c r="C152" s="2">
        <v>43058.0</v>
      </c>
      <c r="D152" s="1">
        <v>46.0</v>
      </c>
      <c r="E152" s="1">
        <v>13197.0</v>
      </c>
      <c r="F152" s="1">
        <v>0.0</v>
      </c>
    </row>
    <row r="153">
      <c r="A153" s="1" t="s">
        <v>2</v>
      </c>
      <c r="B153" s="2">
        <v>43059.0</v>
      </c>
      <c r="C153" s="2">
        <v>43065.0</v>
      </c>
      <c r="D153" s="1">
        <v>47.0</v>
      </c>
      <c r="E153" s="1">
        <v>13584.0</v>
      </c>
      <c r="F153" s="1">
        <v>0.0</v>
      </c>
    </row>
    <row r="154">
      <c r="A154" s="1" t="s">
        <v>2</v>
      </c>
      <c r="B154" s="2">
        <v>43066.0</v>
      </c>
      <c r="C154" s="2">
        <v>43072.0</v>
      </c>
      <c r="D154" s="1">
        <v>48.0</v>
      </c>
      <c r="E154" s="1">
        <v>14233.0</v>
      </c>
      <c r="F154" s="1">
        <v>0.0</v>
      </c>
    </row>
    <row r="155">
      <c r="A155" s="1" t="s">
        <v>2</v>
      </c>
      <c r="B155" s="2">
        <v>43073.0</v>
      </c>
      <c r="C155" s="2">
        <v>43079.0</v>
      </c>
      <c r="D155" s="1">
        <v>49.0</v>
      </c>
      <c r="E155" s="1">
        <v>14470.0</v>
      </c>
      <c r="F155" s="1">
        <v>0.0</v>
      </c>
    </row>
    <row r="156">
      <c r="A156" s="1" t="s">
        <v>2</v>
      </c>
      <c r="B156" s="2">
        <v>43080.0</v>
      </c>
      <c r="C156" s="2">
        <v>43086.0</v>
      </c>
      <c r="D156" s="1">
        <v>50.0</v>
      </c>
      <c r="E156" s="1">
        <v>16334.0</v>
      </c>
      <c r="F156" s="1">
        <v>0.0</v>
      </c>
    </row>
    <row r="157">
      <c r="A157" s="1" t="s">
        <v>2</v>
      </c>
      <c r="B157" s="2">
        <v>43087.0</v>
      </c>
      <c r="C157" s="2">
        <v>43093.0</v>
      </c>
      <c r="D157" s="1">
        <v>51.0</v>
      </c>
      <c r="E157" s="1">
        <v>15557.0</v>
      </c>
      <c r="F157" s="1">
        <v>0.0</v>
      </c>
    </row>
    <row r="158">
      <c r="A158" s="1" t="s">
        <v>2</v>
      </c>
      <c r="B158" s="2">
        <v>43094.0</v>
      </c>
      <c r="C158" s="2">
        <v>43100.0</v>
      </c>
      <c r="D158" s="1">
        <v>52.0</v>
      </c>
      <c r="E158" s="1">
        <v>15492.0</v>
      </c>
      <c r="F158" s="1">
        <v>0.0</v>
      </c>
    </row>
    <row r="159">
      <c r="A159" s="1" t="s">
        <v>2</v>
      </c>
      <c r="B159" s="3">
        <v>43101.0</v>
      </c>
      <c r="C159" s="3">
        <v>43107.0</v>
      </c>
      <c r="D159" s="1">
        <v>1.0</v>
      </c>
      <c r="E159" s="1">
        <v>16721.0</v>
      </c>
      <c r="F159" s="1">
        <v>0.0</v>
      </c>
    </row>
    <row r="160">
      <c r="A160" s="1" t="s">
        <v>2</v>
      </c>
      <c r="B160" s="3">
        <v>43108.0</v>
      </c>
      <c r="C160" s="3">
        <v>43114.0</v>
      </c>
      <c r="D160" s="1">
        <v>2.0</v>
      </c>
      <c r="E160" s="1">
        <v>16170.0</v>
      </c>
      <c r="F160" s="1">
        <v>0.0</v>
      </c>
    </row>
    <row r="161">
      <c r="A161" s="1" t="s">
        <v>2</v>
      </c>
      <c r="B161" s="3">
        <v>43115.0</v>
      </c>
      <c r="C161" s="3">
        <v>43121.0</v>
      </c>
      <c r="D161" s="1">
        <v>3.0</v>
      </c>
      <c r="E161" s="1">
        <v>16738.0</v>
      </c>
      <c r="F161" s="1">
        <v>0.0</v>
      </c>
    </row>
    <row r="162">
      <c r="A162" s="1" t="s">
        <v>2</v>
      </c>
      <c r="B162" s="3">
        <v>43122.0</v>
      </c>
      <c r="C162" s="3">
        <v>43128.0</v>
      </c>
      <c r="D162" s="1">
        <v>4.0</v>
      </c>
      <c r="E162" s="1">
        <v>16041.0</v>
      </c>
      <c r="F162" s="1">
        <v>0.0</v>
      </c>
    </row>
    <row r="163">
      <c r="A163" s="1" t="s">
        <v>2</v>
      </c>
      <c r="B163" s="3">
        <v>43129.0</v>
      </c>
      <c r="C163" s="3">
        <v>43135.0</v>
      </c>
      <c r="D163" s="1">
        <v>5.0</v>
      </c>
      <c r="E163" s="1">
        <v>15770.0</v>
      </c>
      <c r="F163" s="1">
        <v>0.0</v>
      </c>
    </row>
    <row r="164">
      <c r="A164" s="1" t="s">
        <v>2</v>
      </c>
      <c r="B164" s="3">
        <v>43136.0</v>
      </c>
      <c r="C164" s="3">
        <v>43142.0</v>
      </c>
      <c r="D164" s="1">
        <v>6.0</v>
      </c>
      <c r="E164" s="1">
        <v>15306.0</v>
      </c>
      <c r="F164" s="1">
        <v>0.0</v>
      </c>
    </row>
    <row r="165">
      <c r="A165" s="1" t="s">
        <v>2</v>
      </c>
      <c r="B165" s="3">
        <v>43143.0</v>
      </c>
      <c r="C165" s="3">
        <v>43149.0</v>
      </c>
      <c r="D165" s="1">
        <v>7.0</v>
      </c>
      <c r="E165" s="1">
        <v>14588.0</v>
      </c>
      <c r="F165" s="1">
        <v>0.0</v>
      </c>
    </row>
    <row r="166">
      <c r="A166" s="1" t="s">
        <v>2</v>
      </c>
      <c r="B166" s="3">
        <v>43150.0</v>
      </c>
      <c r="C166" s="3">
        <v>43156.0</v>
      </c>
      <c r="D166" s="1">
        <v>8.0</v>
      </c>
      <c r="E166" s="1">
        <v>14199.0</v>
      </c>
      <c r="F166" s="1">
        <v>0.0</v>
      </c>
    </row>
    <row r="167">
      <c r="A167" s="1" t="s">
        <v>2</v>
      </c>
      <c r="B167" s="3">
        <v>43157.0</v>
      </c>
      <c r="C167" s="3">
        <v>43163.0</v>
      </c>
      <c r="D167" s="1">
        <v>9.0</v>
      </c>
      <c r="E167" s="1">
        <v>14001.0</v>
      </c>
      <c r="F167" s="1">
        <v>0.0</v>
      </c>
    </row>
    <row r="168">
      <c r="A168" s="1" t="s">
        <v>2</v>
      </c>
      <c r="B168" s="3">
        <v>43164.0</v>
      </c>
      <c r="C168" s="3">
        <v>43170.0</v>
      </c>
      <c r="D168" s="1">
        <v>10.0</v>
      </c>
      <c r="E168" s="1">
        <v>13552.0</v>
      </c>
      <c r="F168" s="1">
        <v>0.0</v>
      </c>
    </row>
    <row r="169">
      <c r="A169" s="1" t="s">
        <v>2</v>
      </c>
      <c r="B169" s="3">
        <v>43171.0</v>
      </c>
      <c r="C169" s="3">
        <v>43177.0</v>
      </c>
      <c r="D169" s="1">
        <v>11.0</v>
      </c>
      <c r="E169" s="1">
        <v>13497.0</v>
      </c>
      <c r="F169" s="1">
        <v>0.0</v>
      </c>
    </row>
    <row r="170">
      <c r="A170" s="1" t="s">
        <v>2</v>
      </c>
      <c r="B170" s="3">
        <v>43178.0</v>
      </c>
      <c r="C170" s="3">
        <v>43184.0</v>
      </c>
      <c r="D170" s="1">
        <v>12.0</v>
      </c>
      <c r="E170" s="1">
        <v>13254.0</v>
      </c>
      <c r="F170" s="1">
        <v>0.0</v>
      </c>
    </row>
    <row r="171">
      <c r="A171" s="1" t="s">
        <v>2</v>
      </c>
      <c r="B171" s="3">
        <v>43185.0</v>
      </c>
      <c r="C171" s="3">
        <v>43191.0</v>
      </c>
      <c r="D171" s="1">
        <v>13.0</v>
      </c>
      <c r="E171" s="1">
        <v>13191.0</v>
      </c>
      <c r="F171" s="1">
        <v>0.0</v>
      </c>
    </row>
    <row r="172">
      <c r="A172" s="1" t="s">
        <v>2</v>
      </c>
      <c r="B172" s="3">
        <v>43192.0</v>
      </c>
      <c r="C172" s="3">
        <v>43198.0</v>
      </c>
      <c r="D172" s="1">
        <v>14.0</v>
      </c>
      <c r="E172" s="1">
        <v>13577.0</v>
      </c>
      <c r="F172" s="1">
        <v>0.0</v>
      </c>
    </row>
    <row r="173">
      <c r="A173" s="1" t="s">
        <v>2</v>
      </c>
      <c r="B173" s="3">
        <v>43199.0</v>
      </c>
      <c r="C173" s="3">
        <v>43205.0</v>
      </c>
      <c r="D173" s="1">
        <v>15.0</v>
      </c>
      <c r="E173" s="1">
        <v>12888.0</v>
      </c>
      <c r="F173" s="1">
        <v>0.0</v>
      </c>
    </row>
    <row r="174">
      <c r="A174" s="1" t="s">
        <v>2</v>
      </c>
      <c r="B174" s="3">
        <v>43206.0</v>
      </c>
      <c r="C174" s="3">
        <v>43212.0</v>
      </c>
      <c r="D174" s="1">
        <v>16.0</v>
      </c>
      <c r="E174" s="1">
        <v>13080.0</v>
      </c>
      <c r="F174" s="1">
        <v>0.0</v>
      </c>
    </row>
    <row r="175">
      <c r="A175" s="1" t="s">
        <v>2</v>
      </c>
      <c r="B175" s="3">
        <v>43213.0</v>
      </c>
      <c r="C175" s="3">
        <v>43219.0</v>
      </c>
      <c r="D175" s="1">
        <v>17.0</v>
      </c>
      <c r="E175" s="1">
        <v>12657.0</v>
      </c>
      <c r="F175" s="1">
        <v>0.0</v>
      </c>
    </row>
    <row r="176">
      <c r="A176" s="1" t="s">
        <v>2</v>
      </c>
      <c r="B176" s="3">
        <v>43220.0</v>
      </c>
      <c r="C176" s="3">
        <v>43226.0</v>
      </c>
      <c r="D176" s="1">
        <v>18.0</v>
      </c>
      <c r="E176" s="1">
        <v>13040.0</v>
      </c>
      <c r="F176" s="1">
        <v>0.0</v>
      </c>
    </row>
    <row r="177">
      <c r="A177" s="1" t="s">
        <v>2</v>
      </c>
      <c r="B177" s="3">
        <v>43227.0</v>
      </c>
      <c r="C177" s="3">
        <v>43233.0</v>
      </c>
      <c r="D177" s="1">
        <v>19.0</v>
      </c>
      <c r="E177" s="1">
        <v>12784.0</v>
      </c>
      <c r="F177" s="1">
        <v>0.0</v>
      </c>
    </row>
    <row r="178">
      <c r="A178" s="1" t="s">
        <v>2</v>
      </c>
      <c r="B178" s="3">
        <v>43234.0</v>
      </c>
      <c r="C178" s="3">
        <v>43240.0</v>
      </c>
      <c r="D178" s="1">
        <v>20.0</v>
      </c>
      <c r="E178" s="1">
        <v>13172.0</v>
      </c>
      <c r="F178" s="1">
        <v>0.0</v>
      </c>
    </row>
    <row r="179">
      <c r="A179" s="1" t="s">
        <v>2</v>
      </c>
      <c r="B179" s="3">
        <v>43241.0</v>
      </c>
      <c r="C179" s="3">
        <v>43247.0</v>
      </c>
      <c r="D179" s="1">
        <v>21.0</v>
      </c>
      <c r="E179" s="1">
        <v>13125.0</v>
      </c>
      <c r="F179" s="1">
        <v>0.0</v>
      </c>
    </row>
    <row r="180">
      <c r="A180" s="1" t="s">
        <v>2</v>
      </c>
      <c r="B180" s="3">
        <v>43248.0</v>
      </c>
      <c r="C180" s="3">
        <v>43254.0</v>
      </c>
      <c r="D180" s="1">
        <v>22.0</v>
      </c>
      <c r="E180" s="1">
        <v>13567.0</v>
      </c>
      <c r="F180" s="1">
        <v>0.0</v>
      </c>
    </row>
    <row r="181">
      <c r="A181" s="1" t="s">
        <v>2</v>
      </c>
      <c r="B181" s="3">
        <v>43255.0</v>
      </c>
      <c r="C181" s="3">
        <v>43261.0</v>
      </c>
      <c r="D181" s="1">
        <v>23.0</v>
      </c>
      <c r="E181" s="1">
        <v>13025.0</v>
      </c>
      <c r="F181" s="1">
        <v>0.0</v>
      </c>
    </row>
    <row r="182">
      <c r="A182" s="1" t="s">
        <v>2</v>
      </c>
      <c r="B182" s="3">
        <v>43262.0</v>
      </c>
      <c r="C182" s="3">
        <v>43268.0</v>
      </c>
      <c r="D182" s="1">
        <v>24.0</v>
      </c>
      <c r="E182" s="1">
        <v>12451.0</v>
      </c>
      <c r="F182" s="1">
        <v>0.0</v>
      </c>
    </row>
    <row r="183">
      <c r="A183" s="1" t="s">
        <v>2</v>
      </c>
      <c r="B183" s="3">
        <v>43269.0</v>
      </c>
      <c r="C183" s="3">
        <v>43275.0</v>
      </c>
      <c r="D183" s="1">
        <v>25.0</v>
      </c>
      <c r="E183" s="1">
        <v>12932.0</v>
      </c>
      <c r="F183" s="1">
        <v>0.0</v>
      </c>
    </row>
    <row r="184">
      <c r="A184" s="1" t="s">
        <v>2</v>
      </c>
      <c r="B184" s="3">
        <v>43276.0</v>
      </c>
      <c r="C184" s="3">
        <v>43282.0</v>
      </c>
      <c r="D184" s="1">
        <v>26.0</v>
      </c>
      <c r="E184" s="1">
        <v>12610.0</v>
      </c>
      <c r="F184" s="1">
        <v>0.0</v>
      </c>
    </row>
    <row r="185">
      <c r="A185" s="1" t="s">
        <v>2</v>
      </c>
      <c r="B185" s="3">
        <v>43283.0</v>
      </c>
      <c r="C185" s="3">
        <v>43289.0</v>
      </c>
      <c r="D185" s="1">
        <v>27.0</v>
      </c>
      <c r="E185" s="1">
        <v>12845.0</v>
      </c>
      <c r="F185" s="1">
        <v>0.0</v>
      </c>
    </row>
    <row r="186">
      <c r="A186" s="1" t="s">
        <v>2</v>
      </c>
      <c r="B186" s="3">
        <v>43290.0</v>
      </c>
      <c r="C186" s="3">
        <v>43296.0</v>
      </c>
      <c r="D186" s="1">
        <v>28.0</v>
      </c>
      <c r="E186" s="1">
        <v>13114.0</v>
      </c>
      <c r="F186" s="1">
        <v>0.0</v>
      </c>
    </row>
    <row r="187">
      <c r="A187" s="1" t="s">
        <v>2</v>
      </c>
      <c r="B187" s="3">
        <v>43297.0</v>
      </c>
      <c r="C187" s="3">
        <v>43303.0</v>
      </c>
      <c r="D187" s="1">
        <v>29.0</v>
      </c>
      <c r="E187" s="1">
        <v>13334.0</v>
      </c>
      <c r="F187" s="1">
        <v>0.0</v>
      </c>
    </row>
    <row r="188">
      <c r="A188" s="1" t="s">
        <v>2</v>
      </c>
      <c r="B188" s="3">
        <v>43304.0</v>
      </c>
      <c r="C188" s="3">
        <v>43310.0</v>
      </c>
      <c r="D188" s="1">
        <v>30.0</v>
      </c>
      <c r="E188" s="1">
        <v>13455.0</v>
      </c>
      <c r="F188" s="1">
        <v>0.0</v>
      </c>
    </row>
    <row r="189">
      <c r="A189" s="1" t="s">
        <v>2</v>
      </c>
      <c r="B189" s="3">
        <v>43311.0</v>
      </c>
      <c r="C189" s="3">
        <v>43317.0</v>
      </c>
      <c r="D189" s="1">
        <v>31.0</v>
      </c>
      <c r="E189" s="1">
        <v>12997.0</v>
      </c>
      <c r="F189" s="1">
        <v>0.0</v>
      </c>
    </row>
    <row r="190">
      <c r="A190" s="1" t="s">
        <v>2</v>
      </c>
      <c r="B190" s="3">
        <v>43318.0</v>
      </c>
      <c r="C190" s="3">
        <v>43324.0</v>
      </c>
      <c r="D190" s="1">
        <v>32.0</v>
      </c>
      <c r="E190" s="1">
        <v>12602.0</v>
      </c>
      <c r="F190" s="1">
        <v>0.0</v>
      </c>
    </row>
    <row r="191">
      <c r="A191" s="1" t="s">
        <v>2</v>
      </c>
      <c r="B191" s="3">
        <v>43325.0</v>
      </c>
      <c r="C191" s="3">
        <v>43331.0</v>
      </c>
      <c r="D191" s="1">
        <v>33.0</v>
      </c>
      <c r="E191" s="1">
        <v>12767.0</v>
      </c>
      <c r="F191" s="1">
        <v>0.0</v>
      </c>
    </row>
    <row r="192">
      <c r="A192" s="1" t="s">
        <v>2</v>
      </c>
      <c r="B192" s="3">
        <v>43332.0</v>
      </c>
      <c r="C192" s="3">
        <v>43338.0</v>
      </c>
      <c r="D192" s="1">
        <v>34.0</v>
      </c>
      <c r="E192" s="1">
        <v>12503.0</v>
      </c>
      <c r="F192" s="1">
        <v>0.0</v>
      </c>
    </row>
    <row r="193">
      <c r="A193" s="1" t="s">
        <v>2</v>
      </c>
      <c r="B193" s="3">
        <v>43339.0</v>
      </c>
      <c r="C193" s="3">
        <v>43345.0</v>
      </c>
      <c r="D193" s="1">
        <v>35.0</v>
      </c>
      <c r="E193" s="1">
        <v>12811.0</v>
      </c>
      <c r="F193" s="1">
        <v>0.0</v>
      </c>
    </row>
    <row r="194">
      <c r="A194" s="1" t="s">
        <v>2</v>
      </c>
      <c r="B194" s="3">
        <v>43346.0</v>
      </c>
      <c r="C194" s="3">
        <v>43352.0</v>
      </c>
      <c r="D194" s="1">
        <v>36.0</v>
      </c>
      <c r="E194" s="1">
        <v>12556.0</v>
      </c>
      <c r="F194" s="1">
        <v>0.0</v>
      </c>
    </row>
    <row r="195">
      <c r="A195" s="1" t="s">
        <v>2</v>
      </c>
      <c r="B195" s="3">
        <v>43353.0</v>
      </c>
      <c r="C195" s="3">
        <v>43359.0</v>
      </c>
      <c r="D195" s="1">
        <v>37.0</v>
      </c>
      <c r="E195" s="1">
        <v>12780.0</v>
      </c>
      <c r="F195" s="1">
        <v>0.0</v>
      </c>
    </row>
    <row r="196">
      <c r="A196" s="1" t="s">
        <v>2</v>
      </c>
      <c r="B196" s="3">
        <v>43360.0</v>
      </c>
      <c r="C196" s="3">
        <v>43366.0</v>
      </c>
      <c r="D196" s="1">
        <v>38.0</v>
      </c>
      <c r="E196" s="1">
        <v>12994.0</v>
      </c>
      <c r="F196" s="1">
        <v>0.0</v>
      </c>
    </row>
    <row r="197">
      <c r="A197" s="1" t="s">
        <v>2</v>
      </c>
      <c r="B197" s="3">
        <v>43367.0</v>
      </c>
      <c r="C197" s="3">
        <v>43373.0</v>
      </c>
      <c r="D197" s="1">
        <v>39.0</v>
      </c>
      <c r="E197" s="1">
        <v>12807.0</v>
      </c>
      <c r="F197" s="1">
        <v>0.0</v>
      </c>
    </row>
    <row r="198">
      <c r="A198" s="1" t="s">
        <v>2</v>
      </c>
      <c r="B198" s="2">
        <v>43374.0</v>
      </c>
      <c r="C198" s="2">
        <v>43380.0</v>
      </c>
      <c r="D198" s="1">
        <v>40.0</v>
      </c>
      <c r="E198" s="1">
        <v>12931.0</v>
      </c>
      <c r="F198" s="1">
        <v>0.0</v>
      </c>
    </row>
    <row r="199">
      <c r="A199" s="1" t="s">
        <v>2</v>
      </c>
      <c r="B199" s="2">
        <v>43381.0</v>
      </c>
      <c r="C199" s="2">
        <v>43387.0</v>
      </c>
      <c r="D199" s="1">
        <v>41.0</v>
      </c>
      <c r="E199" s="1">
        <v>13232.0</v>
      </c>
      <c r="F199" s="1">
        <v>0.0</v>
      </c>
    </row>
    <row r="200">
      <c r="A200" s="1" t="s">
        <v>2</v>
      </c>
      <c r="B200" s="2">
        <v>43388.0</v>
      </c>
      <c r="C200" s="2">
        <v>43394.0</v>
      </c>
      <c r="D200" s="1">
        <v>42.0</v>
      </c>
      <c r="E200" s="1">
        <v>13115.0</v>
      </c>
      <c r="F200" s="1">
        <v>0.0</v>
      </c>
    </row>
    <row r="201">
      <c r="A201" s="1" t="s">
        <v>2</v>
      </c>
      <c r="B201" s="2">
        <v>43395.0</v>
      </c>
      <c r="C201" s="2">
        <v>43401.0</v>
      </c>
      <c r="D201" s="1">
        <v>43.0</v>
      </c>
      <c r="E201" s="1">
        <v>13435.0</v>
      </c>
      <c r="F201" s="1">
        <v>0.0</v>
      </c>
    </row>
    <row r="202">
      <c r="A202" s="1" t="s">
        <v>2</v>
      </c>
      <c r="B202" s="2">
        <v>43402.0</v>
      </c>
      <c r="C202" s="2">
        <v>43408.0</v>
      </c>
      <c r="D202" s="1">
        <v>44.0</v>
      </c>
      <c r="E202" s="1">
        <v>13772.0</v>
      </c>
      <c r="F202" s="1">
        <v>0.0</v>
      </c>
    </row>
    <row r="203">
      <c r="A203" s="1" t="s">
        <v>2</v>
      </c>
      <c r="B203" s="2">
        <v>43409.0</v>
      </c>
      <c r="C203" s="2">
        <v>43415.0</v>
      </c>
      <c r="D203" s="1">
        <v>45.0</v>
      </c>
      <c r="E203" s="1">
        <v>13897.0</v>
      </c>
      <c r="F203" s="1">
        <v>0.0</v>
      </c>
    </row>
    <row r="204">
      <c r="A204" s="1" t="s">
        <v>2</v>
      </c>
      <c r="B204" s="2">
        <v>43416.0</v>
      </c>
      <c r="C204" s="2">
        <v>43422.0</v>
      </c>
      <c r="D204" s="1">
        <v>46.0</v>
      </c>
      <c r="E204" s="1">
        <v>14612.0</v>
      </c>
      <c r="F204" s="1">
        <v>0.0</v>
      </c>
    </row>
    <row r="205">
      <c r="A205" s="1" t="s">
        <v>2</v>
      </c>
      <c r="B205" s="2">
        <v>43423.0</v>
      </c>
      <c r="C205" s="2">
        <v>43429.0</v>
      </c>
      <c r="D205" s="1">
        <v>47.0</v>
      </c>
      <c r="E205" s="1">
        <v>15202.0</v>
      </c>
      <c r="F205" s="1">
        <v>0.0</v>
      </c>
    </row>
    <row r="206">
      <c r="A206" s="1" t="s">
        <v>2</v>
      </c>
      <c r="B206" s="2">
        <v>43430.0</v>
      </c>
      <c r="C206" s="2">
        <v>43436.0</v>
      </c>
      <c r="D206" s="1">
        <v>48.0</v>
      </c>
      <c r="E206" s="1">
        <v>14647.0</v>
      </c>
      <c r="F206" s="1">
        <v>0.0</v>
      </c>
    </row>
    <row r="207">
      <c r="A207" s="1" t="s">
        <v>2</v>
      </c>
      <c r="B207" s="2">
        <v>43437.0</v>
      </c>
      <c r="C207" s="2">
        <v>43443.0</v>
      </c>
      <c r="D207" s="1">
        <v>49.0</v>
      </c>
      <c r="E207" s="1">
        <v>14833.0</v>
      </c>
      <c r="F207" s="1">
        <v>0.0</v>
      </c>
    </row>
    <row r="208">
      <c r="A208" s="1" t="s">
        <v>2</v>
      </c>
      <c r="B208" s="2">
        <v>43444.0</v>
      </c>
      <c r="C208" s="2">
        <v>43450.0</v>
      </c>
      <c r="D208" s="1">
        <v>50.0</v>
      </c>
      <c r="E208" s="1">
        <v>15216.0</v>
      </c>
      <c r="F208" s="1">
        <v>0.0</v>
      </c>
    </row>
    <row r="209">
      <c r="A209" s="1" t="s">
        <v>2</v>
      </c>
      <c r="B209" s="2">
        <v>43451.0</v>
      </c>
      <c r="C209" s="2">
        <v>43457.0</v>
      </c>
      <c r="D209" s="1">
        <v>51.0</v>
      </c>
      <c r="E209" s="1">
        <v>16440.0</v>
      </c>
      <c r="F209" s="1">
        <v>0.0</v>
      </c>
    </row>
    <row r="210">
      <c r="A210" s="1" t="s">
        <v>2</v>
      </c>
      <c r="B210" s="2">
        <v>43458.0</v>
      </c>
      <c r="C210" s="2">
        <v>43464.0</v>
      </c>
      <c r="D210" s="1">
        <v>52.0</v>
      </c>
      <c r="E210" s="1">
        <v>17373.0</v>
      </c>
      <c r="F210" s="1">
        <v>0.0</v>
      </c>
    </row>
    <row r="211">
      <c r="A211" s="1" t="s">
        <v>2</v>
      </c>
      <c r="B211" s="2">
        <v>43465.0</v>
      </c>
      <c r="C211" s="3">
        <v>43471.0</v>
      </c>
      <c r="D211" s="1">
        <v>1.0</v>
      </c>
      <c r="E211" s="1">
        <v>17723.0</v>
      </c>
      <c r="F211" s="1">
        <v>0.0</v>
      </c>
    </row>
    <row r="212">
      <c r="A212" s="1" t="s">
        <v>2</v>
      </c>
      <c r="B212" s="3">
        <v>43472.0</v>
      </c>
      <c r="C212" s="3">
        <v>43478.0</v>
      </c>
      <c r="D212" s="1">
        <v>2.0</v>
      </c>
      <c r="E212" s="1">
        <v>16602.0</v>
      </c>
      <c r="F212" s="1">
        <v>0.0</v>
      </c>
    </row>
    <row r="213">
      <c r="A213" s="1" t="s">
        <v>2</v>
      </c>
      <c r="B213" s="3">
        <v>43479.0</v>
      </c>
      <c r="C213" s="3">
        <v>43485.0</v>
      </c>
      <c r="D213" s="1">
        <v>3.0</v>
      </c>
      <c r="E213" s="1">
        <v>16252.0</v>
      </c>
      <c r="F213" s="1">
        <v>0.0</v>
      </c>
    </row>
    <row r="214">
      <c r="A214" s="1" t="s">
        <v>2</v>
      </c>
      <c r="B214" s="3">
        <v>43486.0</v>
      </c>
      <c r="C214" s="3">
        <v>43492.0</v>
      </c>
      <c r="D214" s="1">
        <v>4.0</v>
      </c>
      <c r="E214" s="1">
        <v>15864.0</v>
      </c>
      <c r="F214" s="1">
        <v>0.0</v>
      </c>
    </row>
    <row r="215">
      <c r="A215" s="1" t="s">
        <v>2</v>
      </c>
      <c r="B215" s="3">
        <v>43493.0</v>
      </c>
      <c r="C215" s="3">
        <v>43499.0</v>
      </c>
      <c r="D215" s="1">
        <v>5.0</v>
      </c>
      <c r="E215" s="1">
        <v>15862.0</v>
      </c>
      <c r="F215" s="1">
        <v>0.0</v>
      </c>
    </row>
    <row r="216">
      <c r="A216" s="1" t="s">
        <v>2</v>
      </c>
      <c r="B216" s="3">
        <v>43500.0</v>
      </c>
      <c r="C216" s="3">
        <v>43506.0</v>
      </c>
      <c r="D216" s="1">
        <v>6.0</v>
      </c>
      <c r="E216" s="1">
        <v>15689.0</v>
      </c>
      <c r="F216" s="1">
        <v>0.0</v>
      </c>
    </row>
    <row r="217">
      <c r="A217" s="1" t="s">
        <v>2</v>
      </c>
      <c r="B217" s="3">
        <v>43507.0</v>
      </c>
      <c r="C217" s="3">
        <v>43513.0</v>
      </c>
      <c r="D217" s="1">
        <v>7.0</v>
      </c>
      <c r="E217" s="1">
        <v>15445.0</v>
      </c>
      <c r="F217" s="1">
        <v>0.0</v>
      </c>
    </row>
    <row r="218">
      <c r="A218" s="1" t="s">
        <v>2</v>
      </c>
      <c r="B218" s="3">
        <v>43514.0</v>
      </c>
      <c r="C218" s="3">
        <v>43520.0</v>
      </c>
      <c r="D218" s="1">
        <v>8.0</v>
      </c>
      <c r="E218" s="1">
        <v>14755.0</v>
      </c>
      <c r="F218" s="1">
        <v>0.0</v>
      </c>
    </row>
    <row r="219">
      <c r="A219" s="1" t="s">
        <v>2</v>
      </c>
      <c r="B219" s="3">
        <v>43521.0</v>
      </c>
      <c r="C219" s="3">
        <v>43527.0</v>
      </c>
      <c r="D219" s="1">
        <v>9.0</v>
      </c>
      <c r="E219" s="1">
        <v>14639.0</v>
      </c>
      <c r="F219" s="1">
        <v>0.0</v>
      </c>
    </row>
    <row r="220">
      <c r="A220" s="1" t="s">
        <v>2</v>
      </c>
      <c r="B220" s="3">
        <v>43528.0</v>
      </c>
      <c r="C220" s="3">
        <v>43534.0</v>
      </c>
      <c r="D220" s="1">
        <v>10.0</v>
      </c>
      <c r="E220" s="1">
        <v>14391.0</v>
      </c>
      <c r="F220" s="1">
        <v>0.0</v>
      </c>
    </row>
    <row r="221">
      <c r="A221" s="1" t="s">
        <v>2</v>
      </c>
      <c r="B221" s="3">
        <v>43535.0</v>
      </c>
      <c r="C221" s="3">
        <v>43541.0</v>
      </c>
      <c r="D221" s="1">
        <v>11.0</v>
      </c>
      <c r="E221" s="1">
        <v>13749.0</v>
      </c>
      <c r="F221" s="1">
        <v>0.0</v>
      </c>
    </row>
    <row r="222">
      <c r="A222" s="1" t="s">
        <v>2</v>
      </c>
      <c r="B222" s="3">
        <v>43542.0</v>
      </c>
      <c r="C222" s="3">
        <v>43548.0</v>
      </c>
      <c r="D222" s="1">
        <v>12.0</v>
      </c>
      <c r="E222" s="1">
        <v>13660.0</v>
      </c>
      <c r="F222" s="1">
        <v>0.0</v>
      </c>
    </row>
    <row r="223">
      <c r="A223" s="1" t="s">
        <v>2</v>
      </c>
      <c r="B223" s="3">
        <v>43549.0</v>
      </c>
      <c r="C223" s="3">
        <v>43555.0</v>
      </c>
      <c r="D223" s="1">
        <v>13.0</v>
      </c>
      <c r="E223" s="1">
        <v>13903.0</v>
      </c>
      <c r="F223" s="1">
        <v>0.0</v>
      </c>
    </row>
    <row r="224">
      <c r="A224" s="1" t="s">
        <v>2</v>
      </c>
      <c r="B224" s="3">
        <v>43556.0</v>
      </c>
      <c r="C224" s="3">
        <v>43562.0</v>
      </c>
      <c r="D224" s="1">
        <v>14.0</v>
      </c>
      <c r="E224" s="1">
        <v>14049.0</v>
      </c>
      <c r="F224" s="1">
        <v>0.0</v>
      </c>
    </row>
    <row r="225">
      <c r="A225" s="1" t="s">
        <v>2</v>
      </c>
      <c r="B225" s="3">
        <v>43563.0</v>
      </c>
      <c r="C225" s="3">
        <v>43569.0</v>
      </c>
      <c r="D225" s="1">
        <v>15.0</v>
      </c>
      <c r="E225" s="1">
        <v>13718.0</v>
      </c>
      <c r="F225" s="1">
        <v>0.0</v>
      </c>
    </row>
    <row r="226">
      <c r="A226" s="1" t="s">
        <v>2</v>
      </c>
      <c r="B226" s="3">
        <v>43570.0</v>
      </c>
      <c r="C226" s="3">
        <v>43576.0</v>
      </c>
      <c r="D226" s="1">
        <v>16.0</v>
      </c>
      <c r="E226" s="1">
        <v>13743.0</v>
      </c>
      <c r="F226" s="1">
        <v>0.0</v>
      </c>
    </row>
    <row r="227">
      <c r="A227" s="1" t="s">
        <v>2</v>
      </c>
      <c r="B227" s="3">
        <v>43577.0</v>
      </c>
      <c r="C227" s="3">
        <v>43583.0</v>
      </c>
      <c r="D227" s="1">
        <v>17.0</v>
      </c>
      <c r="E227" s="1">
        <v>13718.0</v>
      </c>
      <c r="F227" s="1">
        <v>0.0</v>
      </c>
    </row>
    <row r="228">
      <c r="A228" s="1" t="s">
        <v>2</v>
      </c>
      <c r="B228" s="3">
        <v>43584.0</v>
      </c>
      <c r="C228" s="3">
        <v>43590.0</v>
      </c>
      <c r="D228" s="1">
        <v>18.0</v>
      </c>
      <c r="E228" s="1">
        <v>13698.0</v>
      </c>
      <c r="F228" s="1">
        <v>0.0</v>
      </c>
    </row>
    <row r="229">
      <c r="A229" s="1" t="s">
        <v>2</v>
      </c>
      <c r="B229" s="3">
        <v>43591.0</v>
      </c>
      <c r="C229" s="3">
        <v>43597.0</v>
      </c>
      <c r="D229" s="1">
        <v>19.0</v>
      </c>
      <c r="E229" s="1">
        <v>13792.0</v>
      </c>
      <c r="F229" s="1">
        <v>0.0</v>
      </c>
    </row>
    <row r="230">
      <c r="A230" s="1" t="s">
        <v>2</v>
      </c>
      <c r="B230" s="3">
        <v>43598.0</v>
      </c>
      <c r="C230" s="3">
        <v>43604.0</v>
      </c>
      <c r="D230" s="1">
        <v>20.0</v>
      </c>
      <c r="E230" s="1">
        <v>13590.0</v>
      </c>
      <c r="F230" s="1">
        <v>0.0</v>
      </c>
    </row>
    <row r="231">
      <c r="A231" s="1" t="s">
        <v>2</v>
      </c>
      <c r="B231" s="3">
        <v>43605.0</v>
      </c>
      <c r="C231" s="3">
        <v>43611.0</v>
      </c>
      <c r="D231" s="1">
        <v>21.0</v>
      </c>
      <c r="E231" s="1">
        <v>14160.0</v>
      </c>
      <c r="F231" s="1">
        <v>0.0</v>
      </c>
    </row>
    <row r="232">
      <c r="A232" s="1" t="s">
        <v>2</v>
      </c>
      <c r="B232" s="3">
        <v>43612.0</v>
      </c>
      <c r="C232" s="3">
        <v>43618.0</v>
      </c>
      <c r="D232" s="1">
        <v>22.0</v>
      </c>
      <c r="E232" s="1">
        <v>13438.0</v>
      </c>
      <c r="F232" s="1">
        <v>0.0</v>
      </c>
    </row>
    <row r="233">
      <c r="A233" s="1" t="s">
        <v>2</v>
      </c>
      <c r="B233" s="3">
        <v>43619.0</v>
      </c>
      <c r="C233" s="3">
        <v>43625.0</v>
      </c>
      <c r="D233" s="1">
        <v>23.0</v>
      </c>
      <c r="E233" s="1">
        <v>13382.0</v>
      </c>
      <c r="F233" s="1">
        <v>0.0</v>
      </c>
    </row>
    <row r="234">
      <c r="A234" s="1" t="s">
        <v>2</v>
      </c>
      <c r="B234" s="3">
        <v>43626.0</v>
      </c>
      <c r="C234" s="3">
        <v>43632.0</v>
      </c>
      <c r="D234" s="1">
        <v>24.0</v>
      </c>
      <c r="E234" s="1">
        <v>13398.0</v>
      </c>
      <c r="F234" s="1">
        <v>0.0</v>
      </c>
    </row>
    <row r="235">
      <c r="A235" s="1" t="s">
        <v>2</v>
      </c>
      <c r="B235" s="3">
        <v>43633.0</v>
      </c>
      <c r="C235" s="3">
        <v>43639.0</v>
      </c>
      <c r="D235" s="1">
        <v>25.0</v>
      </c>
      <c r="E235" s="1">
        <v>13562.0</v>
      </c>
      <c r="F235" s="1">
        <v>0.0</v>
      </c>
    </row>
    <row r="236">
      <c r="A236" s="1" t="s">
        <v>2</v>
      </c>
      <c r="B236" s="3">
        <v>43640.0</v>
      </c>
      <c r="C236" s="3">
        <v>43646.0</v>
      </c>
      <c r="D236" s="1">
        <v>26.0</v>
      </c>
      <c r="E236" s="1">
        <v>13111.0</v>
      </c>
      <c r="F236" s="1">
        <v>0.0</v>
      </c>
    </row>
    <row r="237">
      <c r="A237" s="1" t="s">
        <v>2</v>
      </c>
      <c r="B237" s="3">
        <v>43647.0</v>
      </c>
      <c r="C237" s="3">
        <v>43653.0</v>
      </c>
      <c r="D237" s="1">
        <v>27.0</v>
      </c>
      <c r="E237" s="1">
        <v>13496.0</v>
      </c>
      <c r="F237" s="1">
        <v>0.0</v>
      </c>
    </row>
    <row r="238">
      <c r="A238" s="1" t="s">
        <v>2</v>
      </c>
      <c r="B238" s="3">
        <v>43654.0</v>
      </c>
      <c r="C238" s="3">
        <v>43660.0</v>
      </c>
      <c r="D238" s="1">
        <v>28.0</v>
      </c>
      <c r="E238" s="1">
        <v>13146.0</v>
      </c>
      <c r="F238" s="1">
        <v>0.0</v>
      </c>
    </row>
    <row r="239">
      <c r="A239" s="1" t="s">
        <v>2</v>
      </c>
      <c r="B239" s="3">
        <v>43661.0</v>
      </c>
      <c r="C239" s="3">
        <v>43667.0</v>
      </c>
      <c r="D239" s="1">
        <v>29.0</v>
      </c>
      <c r="E239" s="1">
        <v>13276.0</v>
      </c>
      <c r="F239" s="1">
        <v>0.0</v>
      </c>
    </row>
    <row r="240">
      <c r="A240" s="1" t="s">
        <v>2</v>
      </c>
      <c r="B240" s="3">
        <v>43668.0</v>
      </c>
      <c r="C240" s="3">
        <v>43674.0</v>
      </c>
      <c r="D240" s="1">
        <v>30.0</v>
      </c>
      <c r="E240" s="1">
        <v>13256.0</v>
      </c>
      <c r="F240" s="1">
        <v>0.0</v>
      </c>
    </row>
    <row r="241">
      <c r="A241" s="1" t="s">
        <v>2</v>
      </c>
      <c r="B241" s="3">
        <v>43675.0</v>
      </c>
      <c r="C241" s="3">
        <v>43681.0</v>
      </c>
      <c r="D241" s="1">
        <v>31.0</v>
      </c>
      <c r="E241" s="1">
        <v>13596.0</v>
      </c>
      <c r="F241" s="1">
        <v>0.0</v>
      </c>
    </row>
    <row r="242">
      <c r="A242" s="1" t="s">
        <v>2</v>
      </c>
      <c r="B242" s="3">
        <v>43682.0</v>
      </c>
      <c r="C242" s="3">
        <v>43688.0</v>
      </c>
      <c r="D242" s="1">
        <v>32.0</v>
      </c>
      <c r="E242" s="1">
        <v>13242.0</v>
      </c>
      <c r="F242" s="1">
        <v>0.0</v>
      </c>
    </row>
    <row r="243">
      <c r="A243" s="1" t="s">
        <v>2</v>
      </c>
      <c r="B243" s="3">
        <v>43689.0</v>
      </c>
      <c r="C243" s="3">
        <v>43695.0</v>
      </c>
      <c r="D243" s="1">
        <v>33.0</v>
      </c>
      <c r="E243" s="1">
        <v>13610.0</v>
      </c>
      <c r="F243" s="1">
        <v>0.0</v>
      </c>
    </row>
    <row r="244">
      <c r="A244" s="1" t="s">
        <v>2</v>
      </c>
      <c r="B244" s="3">
        <v>43696.0</v>
      </c>
      <c r="C244" s="3">
        <v>43702.0</v>
      </c>
      <c r="D244" s="1">
        <v>34.0</v>
      </c>
      <c r="E244" s="1">
        <v>13293.0</v>
      </c>
      <c r="F244" s="1">
        <v>0.0</v>
      </c>
    </row>
    <row r="245">
      <c r="A245" s="1" t="s">
        <v>2</v>
      </c>
      <c r="B245" s="3">
        <v>43703.0</v>
      </c>
      <c r="C245" s="3">
        <v>43709.0</v>
      </c>
      <c r="D245" s="1">
        <v>35.0</v>
      </c>
      <c r="E245" s="1">
        <v>13023.0</v>
      </c>
      <c r="F245" s="1">
        <v>0.0</v>
      </c>
    </row>
    <row r="246">
      <c r="A246" s="1" t="s">
        <v>2</v>
      </c>
      <c r="B246" s="3">
        <v>43710.0</v>
      </c>
      <c r="C246" s="3">
        <v>43716.0</v>
      </c>
      <c r="D246" s="1">
        <v>36.0</v>
      </c>
      <c r="E246" s="1">
        <v>12986.0</v>
      </c>
      <c r="F246" s="1">
        <v>0.0</v>
      </c>
    </row>
    <row r="247">
      <c r="A247" s="1" t="s">
        <v>2</v>
      </c>
      <c r="B247" s="3">
        <v>43717.0</v>
      </c>
      <c r="C247" s="3">
        <v>43723.0</v>
      </c>
      <c r="D247" s="1">
        <v>37.0</v>
      </c>
      <c r="E247" s="1">
        <v>12943.0</v>
      </c>
      <c r="F247" s="1">
        <v>0.0</v>
      </c>
    </row>
    <row r="248">
      <c r="A248" s="1" t="s">
        <v>2</v>
      </c>
      <c r="B248" s="3">
        <v>43724.0</v>
      </c>
      <c r="C248" s="3">
        <v>43730.0</v>
      </c>
      <c r="D248" s="1">
        <v>38.0</v>
      </c>
      <c r="E248" s="1">
        <v>13838.0</v>
      </c>
      <c r="F248" s="1">
        <v>0.0</v>
      </c>
    </row>
    <row r="249">
      <c r="A249" s="1" t="s">
        <v>2</v>
      </c>
      <c r="B249" s="3">
        <v>43731.0</v>
      </c>
      <c r="C249" s="3">
        <v>43737.0</v>
      </c>
      <c r="D249" s="1">
        <v>39.0</v>
      </c>
      <c r="E249" s="1">
        <v>13521.0</v>
      </c>
      <c r="F249" s="1">
        <v>0.0</v>
      </c>
    </row>
    <row r="250">
      <c r="A250" s="1" t="s">
        <v>2</v>
      </c>
      <c r="B250" s="3">
        <v>43738.0</v>
      </c>
      <c r="C250" s="2">
        <v>43744.0</v>
      </c>
      <c r="D250" s="1">
        <v>40.0</v>
      </c>
      <c r="E250" s="1">
        <v>13433.0</v>
      </c>
      <c r="F250" s="1">
        <v>0.0</v>
      </c>
    </row>
    <row r="251">
      <c r="A251" s="1" t="s">
        <v>2</v>
      </c>
      <c r="B251" s="2">
        <v>43745.0</v>
      </c>
      <c r="C251" s="2">
        <v>43751.0</v>
      </c>
      <c r="D251" s="1">
        <v>41.0</v>
      </c>
      <c r="E251" s="1">
        <v>13438.0</v>
      </c>
      <c r="F251" s="1">
        <v>0.0</v>
      </c>
    </row>
    <row r="252">
      <c r="A252" s="1" t="s">
        <v>2</v>
      </c>
      <c r="B252" s="2">
        <v>43752.0</v>
      </c>
      <c r="C252" s="2">
        <v>43758.0</v>
      </c>
      <c r="D252" s="1">
        <v>42.0</v>
      </c>
      <c r="E252" s="1">
        <v>13736.0</v>
      </c>
      <c r="F252" s="1">
        <v>0.0</v>
      </c>
    </row>
    <row r="253">
      <c r="A253" s="1" t="s">
        <v>2</v>
      </c>
      <c r="B253" s="2">
        <v>43759.0</v>
      </c>
      <c r="C253" s="2">
        <v>43765.0</v>
      </c>
      <c r="D253" s="1">
        <v>43.0</v>
      </c>
      <c r="E253" s="1">
        <v>13611.0</v>
      </c>
      <c r="F253" s="1">
        <v>0.0</v>
      </c>
    </row>
    <row r="254">
      <c r="A254" s="1" t="s">
        <v>2</v>
      </c>
      <c r="B254" s="2">
        <v>43766.0</v>
      </c>
      <c r="C254" s="2">
        <v>43772.0</v>
      </c>
      <c r="D254" s="1">
        <v>44.0</v>
      </c>
      <c r="E254" s="1">
        <v>13959.0</v>
      </c>
      <c r="F254" s="1">
        <v>0.0</v>
      </c>
    </row>
    <row r="255">
      <c r="A255" s="1" t="s">
        <v>2</v>
      </c>
      <c r="B255" s="2">
        <v>43773.0</v>
      </c>
      <c r="C255" s="2">
        <v>43779.0</v>
      </c>
      <c r="D255" s="1">
        <v>45.0</v>
      </c>
      <c r="E255" s="1">
        <v>14035.0</v>
      </c>
      <c r="F255" s="1">
        <v>0.0</v>
      </c>
    </row>
    <row r="256">
      <c r="A256" s="1" t="s">
        <v>2</v>
      </c>
      <c r="B256" s="2">
        <v>43780.0</v>
      </c>
      <c r="C256" s="2">
        <v>43786.0</v>
      </c>
      <c r="D256" s="1">
        <v>46.0</v>
      </c>
      <c r="E256" s="1">
        <v>14238.0</v>
      </c>
      <c r="F256" s="1">
        <v>0.0</v>
      </c>
    </row>
    <row r="257">
      <c r="A257" s="1" t="s">
        <v>2</v>
      </c>
      <c r="B257" s="2">
        <v>43787.0</v>
      </c>
      <c r="C257" s="2">
        <v>43793.0</v>
      </c>
      <c r="D257" s="1">
        <v>47.0</v>
      </c>
      <c r="E257" s="1">
        <v>14855.0</v>
      </c>
      <c r="F257" s="1">
        <v>0.0</v>
      </c>
    </row>
    <row r="258">
      <c r="A258" s="1" t="s">
        <v>2</v>
      </c>
      <c r="B258" s="2">
        <v>43794.0</v>
      </c>
      <c r="C258" s="2">
        <v>43800.0</v>
      </c>
      <c r="D258" s="1">
        <v>48.0</v>
      </c>
      <c r="E258" s="1">
        <v>13793.0</v>
      </c>
      <c r="F258" s="1">
        <v>0.0</v>
      </c>
    </row>
    <row r="259">
      <c r="A259" s="1" t="s">
        <v>2</v>
      </c>
      <c r="B259" s="2">
        <v>43801.0</v>
      </c>
      <c r="C259" s="2">
        <v>43807.0</v>
      </c>
      <c r="D259" s="1">
        <v>49.0</v>
      </c>
      <c r="E259" s="1">
        <v>13894.0</v>
      </c>
      <c r="F259" s="1">
        <v>0.0</v>
      </c>
    </row>
    <row r="260">
      <c r="A260" s="1" t="s">
        <v>2</v>
      </c>
      <c r="B260" s="2">
        <v>43808.0</v>
      </c>
      <c r="C260" s="2">
        <v>43814.0</v>
      </c>
      <c r="D260" s="1">
        <v>50.0</v>
      </c>
      <c r="E260" s="1">
        <v>13926.0</v>
      </c>
      <c r="F260" s="1">
        <v>0.0</v>
      </c>
    </row>
    <row r="261">
      <c r="A261" s="1" t="s">
        <v>2</v>
      </c>
      <c r="B261" s="2">
        <v>43815.0</v>
      </c>
      <c r="C261" s="2">
        <v>43821.0</v>
      </c>
      <c r="D261" s="1">
        <v>51.0</v>
      </c>
      <c r="E261" s="1">
        <v>13545.0</v>
      </c>
      <c r="F261" s="1">
        <v>0.0</v>
      </c>
    </row>
    <row r="262">
      <c r="A262" s="1" t="s">
        <v>2</v>
      </c>
      <c r="B262" s="2">
        <v>43822.0</v>
      </c>
      <c r="C262" s="2">
        <v>43828.0</v>
      </c>
      <c r="D262" s="1">
        <v>52.0</v>
      </c>
      <c r="E262" s="1">
        <v>15621.0</v>
      </c>
      <c r="F262" s="1">
        <v>0.0</v>
      </c>
    </row>
    <row r="263">
      <c r="A263" s="1" t="s">
        <v>2</v>
      </c>
      <c r="B263" s="2">
        <v>43829.0</v>
      </c>
      <c r="C263" s="3">
        <v>43835.0</v>
      </c>
      <c r="D263" s="1">
        <v>1.0</v>
      </c>
      <c r="E263" s="1">
        <v>16518.0</v>
      </c>
      <c r="F263" s="1">
        <v>0.0</v>
      </c>
    </row>
    <row r="264">
      <c r="A264" s="1" t="s">
        <v>2</v>
      </c>
      <c r="B264" s="3">
        <v>43836.0</v>
      </c>
      <c r="C264" s="3">
        <v>43842.0</v>
      </c>
      <c r="D264" s="1">
        <v>2.0</v>
      </c>
      <c r="E264" s="1">
        <v>16736.0</v>
      </c>
      <c r="F264" s="1">
        <v>0.0</v>
      </c>
    </row>
    <row r="265">
      <c r="A265" s="1" t="s">
        <v>2</v>
      </c>
      <c r="B265" s="3">
        <v>43843.0</v>
      </c>
      <c r="C265" s="3">
        <v>43849.0</v>
      </c>
      <c r="D265" s="1">
        <v>3.0</v>
      </c>
      <c r="E265" s="1">
        <v>16195.0</v>
      </c>
      <c r="F265" s="1">
        <v>0.0</v>
      </c>
    </row>
    <row r="266">
      <c r="A266" s="1" t="s">
        <v>2</v>
      </c>
      <c r="B266" s="3">
        <v>43850.0</v>
      </c>
      <c r="C266" s="3">
        <v>43856.0</v>
      </c>
      <c r="D266" s="1">
        <v>4.0</v>
      </c>
      <c r="E266" s="1">
        <v>15601.0</v>
      </c>
      <c r="F266" s="1">
        <v>0.0</v>
      </c>
    </row>
    <row r="267">
      <c r="A267" s="1" t="s">
        <v>2</v>
      </c>
      <c r="B267" s="3">
        <v>43857.0</v>
      </c>
      <c r="C267" s="3">
        <v>43863.0</v>
      </c>
      <c r="D267" s="1">
        <v>5.0</v>
      </c>
      <c r="E267" s="1">
        <v>15217.0</v>
      </c>
      <c r="F267" s="1">
        <v>0.0</v>
      </c>
    </row>
    <row r="268">
      <c r="A268" s="1" t="s">
        <v>2</v>
      </c>
      <c r="B268" s="3">
        <v>43864.0</v>
      </c>
      <c r="C268" s="3">
        <v>43870.0</v>
      </c>
      <c r="D268" s="1">
        <v>6.0</v>
      </c>
      <c r="E268" s="1">
        <v>15711.0</v>
      </c>
      <c r="F268" s="1">
        <v>0.0</v>
      </c>
    </row>
    <row r="269">
      <c r="A269" s="1" t="s">
        <v>2</v>
      </c>
      <c r="B269" s="3">
        <v>43871.0</v>
      </c>
      <c r="C269" s="3">
        <v>43877.0</v>
      </c>
      <c r="D269" s="1">
        <v>7.0</v>
      </c>
      <c r="E269" s="1">
        <v>14875.0</v>
      </c>
      <c r="F269" s="1">
        <v>0.0</v>
      </c>
    </row>
    <row r="270">
      <c r="A270" s="1" t="s">
        <v>2</v>
      </c>
      <c r="B270" s="3">
        <v>43878.0</v>
      </c>
      <c r="C270" s="3">
        <v>43884.0</v>
      </c>
      <c r="D270" s="1">
        <v>8.0</v>
      </c>
      <c r="E270" s="1">
        <v>14501.0</v>
      </c>
      <c r="F270" s="1">
        <v>0.0</v>
      </c>
    </row>
    <row r="271">
      <c r="A271" s="1" t="s">
        <v>2</v>
      </c>
      <c r="B271" s="3">
        <v>43885.0</v>
      </c>
      <c r="C271" s="3">
        <v>43891.0</v>
      </c>
      <c r="D271" s="1">
        <v>9.0</v>
      </c>
      <c r="E271" s="1">
        <v>13916.0</v>
      </c>
      <c r="F271" s="1">
        <v>0.0</v>
      </c>
    </row>
    <row r="272">
      <c r="A272" s="1" t="s">
        <v>2</v>
      </c>
      <c r="B272" s="3">
        <v>43892.0</v>
      </c>
      <c r="C272" s="3">
        <v>43898.0</v>
      </c>
      <c r="D272" s="1">
        <v>10.0</v>
      </c>
      <c r="E272" s="1">
        <v>14017.0</v>
      </c>
      <c r="F272" s="1">
        <v>0.0</v>
      </c>
    </row>
    <row r="273">
      <c r="A273" s="8" t="s">
        <v>2</v>
      </c>
      <c r="B273" s="9">
        <v>43899.0</v>
      </c>
      <c r="C273" s="10">
        <v>43905.0</v>
      </c>
      <c r="D273" s="8">
        <v>11.0</v>
      </c>
      <c r="E273" s="8">
        <v>13857.0</v>
      </c>
      <c r="F273" s="8">
        <v>0.0</v>
      </c>
      <c r="G273" s="11"/>
      <c r="H273" s="11"/>
    </row>
    <row r="274">
      <c r="A274" s="8" t="s">
        <v>2</v>
      </c>
      <c r="B274" s="10">
        <v>43906.0</v>
      </c>
      <c r="C274" s="9">
        <v>43912.0</v>
      </c>
      <c r="D274" s="8">
        <v>12.0</v>
      </c>
      <c r="E274" s="8">
        <v>13187.0</v>
      </c>
      <c r="F274" s="8">
        <v>3.0</v>
      </c>
      <c r="G274" s="11"/>
      <c r="H274" s="11"/>
    </row>
    <row r="275">
      <c r="A275" s="1" t="s">
        <v>2</v>
      </c>
      <c r="B275" s="3">
        <v>43913.0</v>
      </c>
      <c r="C275" s="3">
        <v>43919.0</v>
      </c>
      <c r="D275" s="1">
        <v>13.0</v>
      </c>
      <c r="E275" s="1">
        <v>13698.0</v>
      </c>
      <c r="F275" s="1">
        <v>17.0</v>
      </c>
    </row>
    <row r="276">
      <c r="A276" s="1" t="s">
        <v>2</v>
      </c>
      <c r="B276" s="3">
        <v>43920.0</v>
      </c>
      <c r="C276" s="3">
        <v>43926.0</v>
      </c>
      <c r="D276" s="1">
        <v>14.0</v>
      </c>
      <c r="E276" s="1">
        <v>13533.0</v>
      </c>
      <c r="F276" s="1">
        <v>74.0</v>
      </c>
    </row>
    <row r="277">
      <c r="A277" s="1" t="s">
        <v>2</v>
      </c>
      <c r="B277" s="3">
        <v>43927.0</v>
      </c>
      <c r="C277" s="3">
        <v>43933.0</v>
      </c>
      <c r="D277" s="1">
        <v>15.0</v>
      </c>
      <c r="E277" s="1">
        <v>14030.0</v>
      </c>
      <c r="F277" s="1">
        <v>202.0</v>
      </c>
    </row>
    <row r="278">
      <c r="A278" s="1" t="s">
        <v>2</v>
      </c>
      <c r="B278" s="3">
        <v>43934.0</v>
      </c>
      <c r="C278" s="3">
        <v>43940.0</v>
      </c>
      <c r="D278" s="1">
        <v>16.0</v>
      </c>
      <c r="E278" s="1">
        <v>14993.0</v>
      </c>
      <c r="F278" s="1">
        <v>390.0</v>
      </c>
    </row>
    <row r="279">
      <c r="A279" s="1" t="s">
        <v>2</v>
      </c>
      <c r="B279" s="3">
        <v>43941.0</v>
      </c>
      <c r="C279" s="3">
        <v>43947.0</v>
      </c>
      <c r="D279" s="1">
        <v>17.0</v>
      </c>
      <c r="E279" s="1">
        <v>17068.0</v>
      </c>
      <c r="F279" s="1">
        <v>665.0</v>
      </c>
    </row>
    <row r="280">
      <c r="A280" s="1" t="s">
        <v>2</v>
      </c>
      <c r="B280" s="3">
        <v>43948.0</v>
      </c>
      <c r="C280" s="3">
        <v>43954.0</v>
      </c>
      <c r="D280" s="1">
        <v>18.0</v>
      </c>
      <c r="E280" s="1">
        <v>18811.0</v>
      </c>
      <c r="F280" s="1">
        <v>803.0</v>
      </c>
    </row>
    <row r="281">
      <c r="A281" s="1" t="s">
        <v>2</v>
      </c>
      <c r="B281" s="3">
        <v>43955.0</v>
      </c>
      <c r="C281" s="3">
        <v>43961.0</v>
      </c>
      <c r="D281" s="1">
        <v>19.0</v>
      </c>
      <c r="E281" s="1">
        <v>20622.0</v>
      </c>
      <c r="F281" s="1">
        <v>1311.0</v>
      </c>
    </row>
    <row r="282">
      <c r="A282" s="1" t="s">
        <v>2</v>
      </c>
      <c r="B282" s="3">
        <v>43962.0</v>
      </c>
      <c r="C282" s="3">
        <v>43968.0</v>
      </c>
      <c r="D282" s="1">
        <v>20.0</v>
      </c>
      <c r="E282" s="1">
        <v>22313.0</v>
      </c>
      <c r="F282" s="1">
        <v>1712.0</v>
      </c>
    </row>
    <row r="283">
      <c r="A283" s="1" t="s">
        <v>2</v>
      </c>
      <c r="B283" s="3">
        <v>43969.0</v>
      </c>
      <c r="C283" s="3">
        <v>43975.0</v>
      </c>
      <c r="D283" s="1">
        <v>21.0</v>
      </c>
      <c r="E283" s="1">
        <v>23231.0</v>
      </c>
      <c r="F283" s="1">
        <v>2217.0</v>
      </c>
    </row>
    <row r="284">
      <c r="A284" s="1" t="s">
        <v>2</v>
      </c>
      <c r="B284" s="3">
        <v>43976.0</v>
      </c>
      <c r="C284" s="3">
        <v>43982.0</v>
      </c>
      <c r="D284" s="1">
        <v>22.0</v>
      </c>
      <c r="E284" s="1">
        <v>23167.0</v>
      </c>
      <c r="F284" s="1">
        <v>2536.0</v>
      </c>
    </row>
    <row r="285">
      <c r="A285" s="1" t="s">
        <v>2</v>
      </c>
      <c r="B285" s="3">
        <v>43983.0</v>
      </c>
      <c r="C285" s="3">
        <v>43989.0</v>
      </c>
      <c r="D285" s="1">
        <v>23.0</v>
      </c>
      <c r="E285" s="1">
        <v>24121.0</v>
      </c>
      <c r="F285" s="1">
        <v>3769.0</v>
      </c>
    </row>
    <row r="286">
      <c r="A286" s="1" t="s">
        <v>2</v>
      </c>
      <c r="B286" s="3">
        <v>43990.0</v>
      </c>
      <c r="C286" s="3">
        <v>43996.0</v>
      </c>
      <c r="D286" s="1">
        <v>24.0</v>
      </c>
      <c r="E286" s="1">
        <v>24719.0</v>
      </c>
      <c r="F286" s="1">
        <v>3442.0</v>
      </c>
    </row>
    <row r="287">
      <c r="A287" s="1" t="s">
        <v>2</v>
      </c>
      <c r="B287" s="3">
        <v>43997.0</v>
      </c>
      <c r="C287" s="3">
        <v>44003.0</v>
      </c>
      <c r="D287" s="1">
        <v>25.0</v>
      </c>
      <c r="E287" s="1">
        <v>24945.0</v>
      </c>
      <c r="F287" s="1">
        <v>4684.0</v>
      </c>
    </row>
    <row r="288">
      <c r="A288" s="1" t="s">
        <v>2</v>
      </c>
      <c r="B288" s="3">
        <v>44004.0</v>
      </c>
      <c r="C288" s="3">
        <v>44010.0</v>
      </c>
      <c r="D288" s="1">
        <v>26.0</v>
      </c>
      <c r="E288" s="1">
        <v>24718.0</v>
      </c>
      <c r="F288" s="1">
        <v>4823.0</v>
      </c>
    </row>
    <row r="289">
      <c r="A289" s="1" t="s">
        <v>2</v>
      </c>
      <c r="B289" s="3">
        <v>44011.0</v>
      </c>
      <c r="C289" s="3">
        <v>44017.0</v>
      </c>
      <c r="D289" s="1">
        <v>27.0</v>
      </c>
      <c r="E289" s="1">
        <v>25495.0</v>
      </c>
      <c r="F289" s="1">
        <v>3991.0</v>
      </c>
    </row>
    <row r="290">
      <c r="A290" s="1" t="s">
        <v>2</v>
      </c>
      <c r="B290" s="3">
        <v>44018.0</v>
      </c>
      <c r="C290" s="3">
        <v>44024.0</v>
      </c>
      <c r="D290" s="1">
        <v>28.0</v>
      </c>
      <c r="E290" s="1">
        <v>26446.0</v>
      </c>
      <c r="F290" s="1">
        <v>4367.0</v>
      </c>
    </row>
    <row r="291">
      <c r="A291" s="1" t="s">
        <v>2</v>
      </c>
      <c r="B291" s="3">
        <v>44025.0</v>
      </c>
      <c r="C291" s="3">
        <v>44031.0</v>
      </c>
      <c r="D291" s="1">
        <v>29.0</v>
      </c>
      <c r="E291" s="1">
        <v>26446.0</v>
      </c>
      <c r="F291" s="1">
        <v>4178.0</v>
      </c>
    </row>
    <row r="292">
      <c r="A292" s="1" t="s">
        <v>2</v>
      </c>
      <c r="B292" s="3">
        <v>44032.0</v>
      </c>
      <c r="C292" s="3">
        <v>44038.0</v>
      </c>
      <c r="D292" s="1">
        <v>30.0</v>
      </c>
      <c r="E292" s="1">
        <v>25733.0</v>
      </c>
      <c r="F292" s="1">
        <v>4496.0</v>
      </c>
    </row>
    <row r="293">
      <c r="A293" s="1" t="s">
        <v>2</v>
      </c>
      <c r="B293" s="3">
        <v>44039.0</v>
      </c>
      <c r="C293" s="3">
        <v>44045.0</v>
      </c>
      <c r="D293" s="1">
        <v>31.0</v>
      </c>
      <c r="E293" s="1">
        <v>24795.0</v>
      </c>
      <c r="F293" s="1">
        <v>4066.0</v>
      </c>
    </row>
    <row r="294">
      <c r="A294" s="1" t="s">
        <v>2</v>
      </c>
      <c r="B294" s="3">
        <v>44046.0</v>
      </c>
      <c r="C294" s="3">
        <v>44052.0</v>
      </c>
      <c r="D294" s="1">
        <v>32.0</v>
      </c>
      <c r="E294" s="1">
        <v>23817.0</v>
      </c>
      <c r="F294" s="1">
        <v>4552.0</v>
      </c>
    </row>
    <row r="295">
      <c r="A295" s="1" t="s">
        <v>2</v>
      </c>
      <c r="B295" s="3">
        <v>44053.0</v>
      </c>
      <c r="C295" s="3">
        <v>44059.0</v>
      </c>
      <c r="D295" s="1">
        <v>33.0</v>
      </c>
      <c r="E295" s="1">
        <v>22666.0</v>
      </c>
      <c r="F295" s="1">
        <v>4459.0</v>
      </c>
    </row>
    <row r="296">
      <c r="A296" s="1" t="s">
        <v>2</v>
      </c>
      <c r="B296" s="3">
        <v>44060.0</v>
      </c>
      <c r="C296" s="3">
        <v>44066.0</v>
      </c>
      <c r="D296" s="1">
        <v>34.0</v>
      </c>
      <c r="E296" s="1">
        <v>21725.0</v>
      </c>
      <c r="F296" s="1">
        <v>3723.0</v>
      </c>
    </row>
    <row r="297">
      <c r="A297" s="1" t="s">
        <v>2</v>
      </c>
      <c r="B297" s="3">
        <v>44067.0</v>
      </c>
      <c r="C297" s="3">
        <v>44073.0</v>
      </c>
      <c r="D297" s="1">
        <v>35.0</v>
      </c>
      <c r="E297" s="1">
        <v>20837.0</v>
      </c>
      <c r="F297" s="1">
        <v>3678.0</v>
      </c>
    </row>
    <row r="298">
      <c r="A298" s="1" t="s">
        <v>2</v>
      </c>
      <c r="B298" s="3">
        <v>44074.0</v>
      </c>
      <c r="C298" s="3">
        <v>44080.0</v>
      </c>
      <c r="D298" s="1">
        <v>36.0</v>
      </c>
      <c r="E298" s="1">
        <v>20156.0</v>
      </c>
      <c r="F298" s="1">
        <v>3400.0</v>
      </c>
    </row>
    <row r="299">
      <c r="A299" s="1" t="s">
        <v>2</v>
      </c>
      <c r="B299" s="3">
        <v>44081.0</v>
      </c>
      <c r="C299" s="3">
        <v>44087.0</v>
      </c>
      <c r="D299" s="1">
        <v>37.0</v>
      </c>
      <c r="E299" s="1">
        <v>19490.0</v>
      </c>
      <c r="F299" s="1">
        <v>3263.0</v>
      </c>
    </row>
    <row r="300">
      <c r="A300" s="1" t="s">
        <v>2</v>
      </c>
      <c r="B300" s="3">
        <v>44088.0</v>
      </c>
      <c r="C300" s="3">
        <v>44094.0</v>
      </c>
      <c r="D300" s="1">
        <v>38.0</v>
      </c>
      <c r="E300" s="1">
        <v>18805.0</v>
      </c>
      <c r="F300" s="1">
        <v>2672.0</v>
      </c>
    </row>
    <row r="301">
      <c r="A301" s="1" t="s">
        <v>2</v>
      </c>
      <c r="B301" s="3">
        <v>44095.0</v>
      </c>
      <c r="C301" s="3">
        <v>44101.0</v>
      </c>
      <c r="D301" s="1">
        <v>39.0</v>
      </c>
      <c r="E301" s="1">
        <v>18933.0</v>
      </c>
      <c r="F301" s="1">
        <v>2937.0</v>
      </c>
    </row>
    <row r="302">
      <c r="A302" s="1" t="s">
        <v>2</v>
      </c>
      <c r="B302" s="3">
        <v>44102.0</v>
      </c>
      <c r="C302" s="2">
        <v>44108.0</v>
      </c>
      <c r="D302" s="1">
        <v>40.0</v>
      </c>
      <c r="E302" s="1">
        <v>18484.0</v>
      </c>
      <c r="F302" s="1">
        <v>2658.0</v>
      </c>
    </row>
    <row r="303">
      <c r="A303" s="1" t="s">
        <v>2</v>
      </c>
      <c r="B303" s="2">
        <v>44109.0</v>
      </c>
      <c r="C303" s="2">
        <v>44115.0</v>
      </c>
      <c r="D303" s="1">
        <v>41.0</v>
      </c>
      <c r="E303" s="1">
        <v>18834.0</v>
      </c>
      <c r="F303" s="1">
        <v>4693.0</v>
      </c>
    </row>
    <row r="304">
      <c r="A304" s="1" t="s">
        <v>2</v>
      </c>
      <c r="B304" s="2">
        <v>44116.0</v>
      </c>
      <c r="C304" s="2">
        <v>44122.0</v>
      </c>
      <c r="D304" s="1">
        <v>42.0</v>
      </c>
      <c r="E304" s="1">
        <v>18815.0</v>
      </c>
      <c r="F304" s="1">
        <v>2386.0</v>
      </c>
    </row>
    <row r="305">
      <c r="A305" s="1" t="s">
        <v>2</v>
      </c>
      <c r="B305" s="2">
        <v>44123.0</v>
      </c>
      <c r="C305" s="2">
        <v>44129.0</v>
      </c>
      <c r="D305" s="1">
        <v>43.0</v>
      </c>
      <c r="E305" s="1">
        <v>19567.0</v>
      </c>
      <c r="F305" s="1">
        <v>2757.0</v>
      </c>
    </row>
    <row r="306">
      <c r="A306" s="1" t="s">
        <v>2</v>
      </c>
      <c r="B306" s="2">
        <v>44130.0</v>
      </c>
      <c r="C306" s="2">
        <v>44136.0</v>
      </c>
      <c r="D306" s="1">
        <v>44.0</v>
      </c>
      <c r="E306" s="1">
        <v>20224.0</v>
      </c>
      <c r="F306" s="1">
        <v>2971.0</v>
      </c>
    </row>
    <row r="307">
      <c r="A307" s="1" t="s">
        <v>2</v>
      </c>
      <c r="B307" s="2">
        <v>44137.0</v>
      </c>
      <c r="C307" s="2">
        <v>44143.0</v>
      </c>
      <c r="D307" s="1">
        <v>45.0</v>
      </c>
      <c r="E307" s="1">
        <v>21326.0</v>
      </c>
      <c r="F307" s="1">
        <v>3132.0</v>
      </c>
    </row>
    <row r="308">
      <c r="A308" s="1" t="s">
        <v>2</v>
      </c>
      <c r="B308" s="2">
        <v>44144.0</v>
      </c>
      <c r="C308" s="2">
        <v>44150.0</v>
      </c>
      <c r="D308" s="1">
        <v>46.0</v>
      </c>
      <c r="E308" s="1">
        <v>21619.0</v>
      </c>
      <c r="F308" s="1">
        <v>3515.0</v>
      </c>
    </row>
    <row r="309">
      <c r="A309" s="1" t="s">
        <v>2</v>
      </c>
      <c r="B309" s="2">
        <v>44151.0</v>
      </c>
      <c r="C309" s="2">
        <v>44157.0</v>
      </c>
      <c r="D309" s="1">
        <v>47.0</v>
      </c>
      <c r="E309" s="1">
        <v>22294.0</v>
      </c>
      <c r="F309" s="1">
        <v>3134.0</v>
      </c>
    </row>
    <row r="310">
      <c r="A310" s="1" t="s">
        <v>2</v>
      </c>
      <c r="B310" s="2">
        <v>44158.0</v>
      </c>
      <c r="C310" s="2">
        <v>44164.0</v>
      </c>
      <c r="D310" s="1">
        <v>48.0</v>
      </c>
      <c r="E310" s="1">
        <v>22534.0</v>
      </c>
      <c r="F310" s="1">
        <v>3979.0</v>
      </c>
    </row>
    <row r="311">
      <c r="A311" s="1" t="s">
        <v>2</v>
      </c>
      <c r="B311" s="2">
        <v>44165.0</v>
      </c>
      <c r="C311" s="2">
        <v>44171.0</v>
      </c>
      <c r="D311" s="1">
        <v>49.0</v>
      </c>
      <c r="E311" s="1">
        <v>23495.0</v>
      </c>
      <c r="F311" s="1">
        <v>4062.0</v>
      </c>
    </row>
    <row r="312">
      <c r="A312" s="1" t="s">
        <v>2</v>
      </c>
      <c r="B312" s="2">
        <v>44172.0</v>
      </c>
      <c r="C312" s="2">
        <v>44178.0</v>
      </c>
      <c r="D312" s="1">
        <v>50.0</v>
      </c>
      <c r="E312" s="1">
        <v>25342.0</v>
      </c>
      <c r="F312" s="1">
        <v>4236.0</v>
      </c>
    </row>
    <row r="313">
      <c r="A313" s="1" t="s">
        <v>2</v>
      </c>
      <c r="B313" s="2">
        <v>44179.0</v>
      </c>
      <c r="C313" s="2">
        <v>44185.0</v>
      </c>
      <c r="D313" s="1">
        <v>51.0</v>
      </c>
      <c r="E313" s="1">
        <v>26560.0</v>
      </c>
      <c r="F313" s="1">
        <v>4249.0</v>
      </c>
    </row>
    <row r="314">
      <c r="A314" s="1" t="s">
        <v>2</v>
      </c>
      <c r="B314" s="2">
        <v>44186.0</v>
      </c>
      <c r="C314" s="2">
        <v>44192.0</v>
      </c>
      <c r="D314" s="1">
        <v>52.0</v>
      </c>
      <c r="E314" s="1">
        <v>29609.0</v>
      </c>
      <c r="F314" s="1">
        <v>4224.0</v>
      </c>
    </row>
    <row r="315">
      <c r="A315" s="4" t="s">
        <v>2</v>
      </c>
      <c r="B315" s="5">
        <v>44193.0</v>
      </c>
      <c r="C315" s="6">
        <v>44199.0</v>
      </c>
      <c r="D315" s="4">
        <v>53.0</v>
      </c>
      <c r="E315" s="4">
        <v>32637.0</v>
      </c>
      <c r="F315" s="4">
        <v>4787.0</v>
      </c>
      <c r="G315" s="7"/>
      <c r="H315" s="7"/>
    </row>
    <row r="316">
      <c r="A316" s="1" t="s">
        <v>2</v>
      </c>
      <c r="B316" s="3">
        <v>44200.0</v>
      </c>
      <c r="C316" s="3">
        <v>44206.0</v>
      </c>
      <c r="D316" s="1">
        <v>1.0</v>
      </c>
      <c r="E316" s="1">
        <v>36287.0</v>
      </c>
      <c r="F316" s="1">
        <v>6493.0</v>
      </c>
    </row>
    <row r="317">
      <c r="A317" s="1" t="s">
        <v>2</v>
      </c>
      <c r="B317" s="3">
        <v>44207.0</v>
      </c>
      <c r="C317" s="3">
        <v>44213.0</v>
      </c>
      <c r="D317" s="1">
        <v>2.0</v>
      </c>
      <c r="E317" s="1">
        <v>43427.0</v>
      </c>
      <c r="F317" s="1">
        <v>6998.0</v>
      </c>
    </row>
    <row r="318">
      <c r="A318" s="1" t="s">
        <v>2</v>
      </c>
      <c r="B318" s="3">
        <v>44214.0</v>
      </c>
      <c r="C318" s="3">
        <v>44220.0</v>
      </c>
      <c r="D318" s="1">
        <v>3.0</v>
      </c>
      <c r="E318" s="1">
        <v>44667.0</v>
      </c>
      <c r="F318" s="1">
        <v>8910.0</v>
      </c>
    </row>
    <row r="319">
      <c r="A319" s="1" t="s">
        <v>2</v>
      </c>
      <c r="B319" s="3">
        <v>44221.0</v>
      </c>
      <c r="C319" s="3">
        <v>44227.0</v>
      </c>
      <c r="D319" s="1">
        <v>4.0</v>
      </c>
      <c r="E319" s="1">
        <v>36617.0</v>
      </c>
      <c r="F319" s="1">
        <v>8922.0</v>
      </c>
    </row>
    <row r="320">
      <c r="A320" s="1" t="s">
        <v>2</v>
      </c>
      <c r="B320" s="3">
        <v>44228.0</v>
      </c>
      <c r="C320" s="3">
        <v>44234.0</v>
      </c>
      <c r="D320" s="1">
        <v>5.0</v>
      </c>
      <c r="E320" s="1">
        <v>31825.0</v>
      </c>
      <c r="F320" s="1">
        <v>7664.0</v>
      </c>
    </row>
    <row r="321">
      <c r="A321" s="1" t="s">
        <v>2</v>
      </c>
      <c r="B321" s="3">
        <v>44235.0</v>
      </c>
      <c r="C321" s="3">
        <v>44241.0</v>
      </c>
      <c r="D321" s="1">
        <v>6.0</v>
      </c>
      <c r="E321" s="1">
        <v>26858.0</v>
      </c>
      <c r="F321" s="1">
        <v>8007.0</v>
      </c>
    </row>
    <row r="322">
      <c r="A322" s="1" t="s">
        <v>2</v>
      </c>
      <c r="B322" s="3">
        <v>44242.0</v>
      </c>
      <c r="C322" s="3">
        <v>44248.0</v>
      </c>
      <c r="D322" s="1">
        <v>7.0</v>
      </c>
      <c r="E322" s="1">
        <v>25330.0</v>
      </c>
      <c r="F322" s="1">
        <v>5900.0</v>
      </c>
    </row>
    <row r="323">
      <c r="A323" s="1" t="s">
        <v>2</v>
      </c>
      <c r="B323" s="3">
        <v>44249.0</v>
      </c>
      <c r="C323" s="3">
        <v>44255.0</v>
      </c>
      <c r="D323" s="1">
        <v>8.0</v>
      </c>
      <c r="E323" s="1">
        <v>24010.0</v>
      </c>
      <c r="F323" s="1">
        <v>5608.0</v>
      </c>
    </row>
    <row r="324">
      <c r="A324" s="1" t="s">
        <v>2</v>
      </c>
      <c r="B324" s="3">
        <v>44256.0</v>
      </c>
      <c r="C324" s="3">
        <v>44262.0</v>
      </c>
      <c r="D324" s="1">
        <v>9.0</v>
      </c>
      <c r="E324" s="1">
        <v>20488.0</v>
      </c>
      <c r="F324" s="1">
        <v>4889.0</v>
      </c>
    </row>
    <row r="325">
      <c r="A325" s="1" t="s">
        <v>2</v>
      </c>
      <c r="B325" s="3">
        <v>44263.0</v>
      </c>
      <c r="C325" s="3">
        <v>44269.0</v>
      </c>
      <c r="D325" s="1">
        <v>10.0</v>
      </c>
      <c r="E325" s="1">
        <v>19752.0</v>
      </c>
      <c r="F325" s="1">
        <v>4106.0</v>
      </c>
    </row>
    <row r="326">
      <c r="A326" s="1" t="s">
        <v>2</v>
      </c>
      <c r="B326" s="3">
        <v>44270.0</v>
      </c>
      <c r="C326" s="3">
        <v>44276.0</v>
      </c>
      <c r="D326" s="1">
        <v>11.0</v>
      </c>
      <c r="E326" s="1">
        <v>18508.0</v>
      </c>
      <c r="F326" s="1">
        <v>3326.0</v>
      </c>
    </row>
    <row r="327">
      <c r="A327" s="1" t="s">
        <v>2</v>
      </c>
      <c r="B327" s="3">
        <v>44277.0</v>
      </c>
      <c r="C327" s="3">
        <v>44283.0</v>
      </c>
      <c r="D327" s="1">
        <v>12.0</v>
      </c>
      <c r="E327" s="1">
        <v>17801.0</v>
      </c>
      <c r="F327" s="1">
        <v>3587.0</v>
      </c>
    </row>
    <row r="328">
      <c r="A328" s="1" t="s">
        <v>2</v>
      </c>
      <c r="B328" s="3">
        <v>44284.0</v>
      </c>
      <c r="C328" s="3">
        <v>44290.0</v>
      </c>
      <c r="D328" s="1">
        <v>13.0</v>
      </c>
      <c r="E328" s="1">
        <v>16992.0</v>
      </c>
      <c r="F328" s="1">
        <v>2524.0</v>
      </c>
    </row>
    <row r="329">
      <c r="A329" s="1" t="s">
        <v>2</v>
      </c>
      <c r="B329" s="3">
        <v>44291.0</v>
      </c>
      <c r="C329" s="3">
        <v>44297.0</v>
      </c>
      <c r="D329" s="1">
        <v>14.0</v>
      </c>
      <c r="E329" s="1">
        <v>17364.0</v>
      </c>
      <c r="F329" s="1">
        <v>5191.0</v>
      </c>
    </row>
    <row r="330">
      <c r="A330" s="1" t="s">
        <v>2</v>
      </c>
      <c r="B330" s="3">
        <v>44298.0</v>
      </c>
      <c r="C330" s="3">
        <v>44304.0</v>
      </c>
      <c r="D330" s="1">
        <v>15.0</v>
      </c>
      <c r="E330" s="1">
        <v>16927.0</v>
      </c>
      <c r="F330" s="1">
        <v>3001.0</v>
      </c>
    </row>
    <row r="331">
      <c r="A331" s="1" t="s">
        <v>2</v>
      </c>
      <c r="B331" s="3">
        <v>44305.0</v>
      </c>
      <c r="C331" s="3">
        <v>44311.0</v>
      </c>
      <c r="D331" s="1">
        <v>16.0</v>
      </c>
      <c r="E331" s="1">
        <v>16037.0</v>
      </c>
      <c r="F331" s="1">
        <v>2608.0</v>
      </c>
    </row>
    <row r="332">
      <c r="A332" s="1" t="s">
        <v>2</v>
      </c>
      <c r="B332" s="3">
        <v>44312.0</v>
      </c>
      <c r="C332" s="3">
        <v>44318.0</v>
      </c>
      <c r="D332" s="1">
        <v>17.0</v>
      </c>
      <c r="E332" s="1">
        <v>15511.0</v>
      </c>
      <c r="F332" s="1">
        <v>2286.0</v>
      </c>
    </row>
    <row r="333">
      <c r="A333" s="1" t="s">
        <v>2</v>
      </c>
      <c r="B333" s="3">
        <v>44319.0</v>
      </c>
      <c r="C333" s="3">
        <v>44325.0</v>
      </c>
      <c r="D333" s="1">
        <v>18.0</v>
      </c>
      <c r="E333" s="1">
        <v>15125.0</v>
      </c>
      <c r="F333" s="1">
        <v>1752.0</v>
      </c>
    </row>
    <row r="334">
      <c r="A334" s="1" t="s">
        <v>2</v>
      </c>
      <c r="B334" s="3">
        <v>44326.0</v>
      </c>
      <c r="C334" s="3">
        <v>44332.0</v>
      </c>
      <c r="D334" s="1">
        <v>19.0</v>
      </c>
      <c r="E334" s="1">
        <v>14734.0</v>
      </c>
      <c r="F334" s="1">
        <v>1452.0</v>
      </c>
    </row>
    <row r="335">
      <c r="A335" s="1" t="s">
        <v>2</v>
      </c>
      <c r="B335" s="3">
        <v>44333.0</v>
      </c>
      <c r="C335" s="3">
        <v>44339.0</v>
      </c>
      <c r="D335" s="1">
        <v>20.0</v>
      </c>
      <c r="E335" s="1">
        <v>14264.0</v>
      </c>
      <c r="F335" s="1">
        <v>1210.0</v>
      </c>
    </row>
    <row r="336">
      <c r="A336" s="1" t="s">
        <v>2</v>
      </c>
      <c r="B336" s="3">
        <v>44340.0</v>
      </c>
      <c r="C336" s="3">
        <v>44346.0</v>
      </c>
      <c r="D336" s="1">
        <v>21.0</v>
      </c>
      <c r="E336" s="1">
        <v>14358.0</v>
      </c>
      <c r="F336" s="1">
        <v>1860.0</v>
      </c>
    </row>
    <row r="337">
      <c r="A337" s="1" t="s">
        <v>2</v>
      </c>
      <c r="B337" s="3">
        <v>44347.0</v>
      </c>
      <c r="C337" s="3">
        <v>44353.0</v>
      </c>
      <c r="D337" s="1">
        <v>22.0</v>
      </c>
      <c r="E337" s="1">
        <v>13943.0</v>
      </c>
      <c r="F337" s="1">
        <v>1025.0</v>
      </c>
    </row>
    <row r="338">
      <c r="A338" s="1" t="s">
        <v>2</v>
      </c>
      <c r="B338" s="3">
        <v>44354.0</v>
      </c>
      <c r="C338" s="3">
        <v>44360.0</v>
      </c>
      <c r="D338" s="1">
        <v>23.0</v>
      </c>
      <c r="E338" s="1">
        <v>14140.0</v>
      </c>
      <c r="F338" s="1">
        <v>1346.0</v>
      </c>
    </row>
    <row r="339">
      <c r="A339" s="1" t="s">
        <v>2</v>
      </c>
      <c r="B339" s="3">
        <v>44361.0</v>
      </c>
      <c r="C339" s="3">
        <v>44367.0</v>
      </c>
      <c r="D339" s="1">
        <v>24.0</v>
      </c>
      <c r="E339" s="1">
        <v>14261.0</v>
      </c>
      <c r="F339" s="1">
        <v>1037.0</v>
      </c>
    </row>
    <row r="340">
      <c r="A340" s="1" t="s">
        <v>2</v>
      </c>
      <c r="B340" s="3">
        <v>44368.0</v>
      </c>
      <c r="C340" s="3">
        <v>44374.0</v>
      </c>
      <c r="D340" s="1">
        <v>25.0</v>
      </c>
      <c r="E340" s="1">
        <v>14323.0</v>
      </c>
      <c r="F340" s="1">
        <v>1377.0</v>
      </c>
    </row>
    <row r="341">
      <c r="A341" s="1" t="s">
        <v>2</v>
      </c>
      <c r="B341" s="3">
        <v>44375.0</v>
      </c>
      <c r="C341" s="3">
        <v>44381.0</v>
      </c>
      <c r="D341" s="1">
        <v>26.0</v>
      </c>
      <c r="E341" s="1">
        <v>14582.0</v>
      </c>
      <c r="F341" s="1">
        <v>1058.0</v>
      </c>
    </row>
    <row r="342">
      <c r="A342" s="1" t="s">
        <v>2</v>
      </c>
      <c r="B342" s="3">
        <v>44382.0</v>
      </c>
      <c r="C342" s="3">
        <v>44388.0</v>
      </c>
      <c r="D342" s="1">
        <v>27.0</v>
      </c>
      <c r="E342" s="1">
        <v>15444.0</v>
      </c>
      <c r="F342" s="1">
        <v>1347.0</v>
      </c>
    </row>
    <row r="343">
      <c r="A343" s="1" t="s">
        <v>2</v>
      </c>
      <c r="B343" s="3">
        <v>44389.0</v>
      </c>
      <c r="C343" s="3">
        <v>44395.0</v>
      </c>
      <c r="D343" s="1">
        <v>28.0</v>
      </c>
      <c r="E343" s="1">
        <v>16410.0</v>
      </c>
      <c r="F343" s="1">
        <v>1362.0</v>
      </c>
    </row>
    <row r="344">
      <c r="A344" s="1" t="s">
        <v>2</v>
      </c>
      <c r="B344" s="3">
        <v>44396.0</v>
      </c>
      <c r="C344" s="3">
        <v>44402.0</v>
      </c>
      <c r="D344" s="1">
        <v>29.0</v>
      </c>
      <c r="E344" s="1">
        <v>18342.0</v>
      </c>
      <c r="F344" s="1">
        <v>2093.0</v>
      </c>
    </row>
    <row r="345">
      <c r="A345" s="1" t="s">
        <v>2</v>
      </c>
      <c r="B345" s="3">
        <v>44403.0</v>
      </c>
      <c r="C345" s="3">
        <v>44409.0</v>
      </c>
      <c r="D345" s="1">
        <v>30.0</v>
      </c>
      <c r="E345" s="1">
        <v>20721.0</v>
      </c>
      <c r="F345" s="1">
        <v>2610.0</v>
      </c>
    </row>
    <row r="346">
      <c r="A346" s="1" t="s">
        <v>2</v>
      </c>
      <c r="B346" s="3">
        <v>44410.0</v>
      </c>
      <c r="C346" s="3">
        <v>44416.0</v>
      </c>
      <c r="D346" s="1">
        <v>31.0</v>
      </c>
      <c r="E346" s="1">
        <v>23457.0</v>
      </c>
      <c r="F346" s="1">
        <v>3386.0</v>
      </c>
    </row>
    <row r="347">
      <c r="A347" s="1" t="s">
        <v>2</v>
      </c>
      <c r="B347" s="3">
        <v>44417.0</v>
      </c>
      <c r="C347" s="3">
        <v>44423.0</v>
      </c>
      <c r="D347" s="1">
        <v>32.0</v>
      </c>
      <c r="E347" s="1">
        <v>25423.0</v>
      </c>
      <c r="F347" s="1">
        <v>3747.0</v>
      </c>
    </row>
    <row r="348">
      <c r="A348" s="1" t="s">
        <v>2</v>
      </c>
      <c r="B348" s="3">
        <v>44424.0</v>
      </c>
      <c r="C348" s="3">
        <v>44430.0</v>
      </c>
      <c r="D348" s="1">
        <v>33.0</v>
      </c>
      <c r="E348" s="1">
        <v>26786.0</v>
      </c>
      <c r="F348" s="1">
        <v>4988.0</v>
      </c>
    </row>
    <row r="349">
      <c r="A349" s="1" t="s">
        <v>2</v>
      </c>
      <c r="B349" s="3">
        <v>44431.0</v>
      </c>
      <c r="C349" s="3">
        <v>44437.0</v>
      </c>
      <c r="D349" s="1">
        <v>34.0</v>
      </c>
      <c r="E349" s="1">
        <v>25778.0</v>
      </c>
      <c r="F349" s="1">
        <v>5010.0</v>
      </c>
    </row>
    <row r="350">
      <c r="A350" s="1" t="s">
        <v>2</v>
      </c>
      <c r="B350" s="3">
        <v>44438.0</v>
      </c>
      <c r="C350" s="3">
        <v>44444.0</v>
      </c>
      <c r="D350" s="1">
        <v>35.0</v>
      </c>
      <c r="E350" s="1">
        <v>25052.0</v>
      </c>
      <c r="F350" s="1">
        <v>4975.0</v>
      </c>
    </row>
    <row r="351">
      <c r="A351" s="1" t="s">
        <v>2</v>
      </c>
      <c r="B351" s="3">
        <v>44445.0</v>
      </c>
      <c r="C351" s="3">
        <v>44451.0</v>
      </c>
      <c r="D351" s="1">
        <v>36.0</v>
      </c>
      <c r="E351" s="1">
        <v>23022.0</v>
      </c>
      <c r="F351" s="1">
        <v>4608.0</v>
      </c>
    </row>
    <row r="352">
      <c r="A352" s="1" t="s">
        <v>2</v>
      </c>
      <c r="B352" s="3">
        <v>44452.0</v>
      </c>
      <c r="C352" s="3">
        <v>44458.0</v>
      </c>
      <c r="D352" s="1">
        <v>37.0</v>
      </c>
      <c r="E352" s="1">
        <v>21506.0</v>
      </c>
      <c r="F352" s="1">
        <v>3755.0</v>
      </c>
    </row>
    <row r="353">
      <c r="A353" s="1" t="s">
        <v>2</v>
      </c>
      <c r="B353" s="3">
        <v>44459.0</v>
      </c>
      <c r="C353" s="3">
        <v>44465.0</v>
      </c>
      <c r="D353" s="1">
        <v>38.0</v>
      </c>
      <c r="E353" s="1">
        <v>19587.0</v>
      </c>
      <c r="F353" s="1">
        <v>3947.0</v>
      </c>
    </row>
    <row r="354">
      <c r="A354" s="1" t="s">
        <v>2</v>
      </c>
      <c r="B354" s="3">
        <v>44466.0</v>
      </c>
      <c r="C354" s="2">
        <v>44472.0</v>
      </c>
      <c r="D354" s="1">
        <v>39.0</v>
      </c>
      <c r="E354" s="1">
        <v>17718.0</v>
      </c>
      <c r="F354" s="1">
        <v>3142.0</v>
      </c>
    </row>
    <row r="355">
      <c r="A355" s="1" t="s">
        <v>2</v>
      </c>
      <c r="B355" s="2">
        <v>44473.0</v>
      </c>
      <c r="C355" s="2">
        <v>44479.0</v>
      </c>
      <c r="D355" s="1">
        <v>40.0</v>
      </c>
      <c r="E355" s="1">
        <v>15572.0</v>
      </c>
      <c r="F355" s="1">
        <v>3494.0</v>
      </c>
    </row>
    <row r="356">
      <c r="A356" s="1" t="s">
        <v>3</v>
      </c>
      <c r="B356" s="3">
        <v>42737.0</v>
      </c>
      <c r="C356" s="3">
        <v>42743.0</v>
      </c>
      <c r="D356" s="1">
        <v>1.0</v>
      </c>
      <c r="E356" s="1">
        <v>1586.0</v>
      </c>
      <c r="F356" s="1">
        <v>0.0</v>
      </c>
    </row>
    <row r="357">
      <c r="A357" s="1" t="s">
        <v>3</v>
      </c>
      <c r="B357" s="3">
        <v>42744.0</v>
      </c>
      <c r="C357" s="3">
        <v>42750.0</v>
      </c>
      <c r="D357" s="1">
        <v>2.0</v>
      </c>
      <c r="E357" s="1">
        <v>1672.0</v>
      </c>
      <c r="F357" s="1">
        <v>0.0</v>
      </c>
    </row>
    <row r="358">
      <c r="A358" s="1" t="s">
        <v>3</v>
      </c>
      <c r="B358" s="3">
        <v>42751.0</v>
      </c>
      <c r="C358" s="3">
        <v>42757.0</v>
      </c>
      <c r="D358" s="1">
        <v>3.0</v>
      </c>
      <c r="E358" s="1">
        <v>1740.0</v>
      </c>
      <c r="F358" s="1">
        <v>0.0</v>
      </c>
    </row>
    <row r="359">
      <c r="A359" s="1" t="s">
        <v>3</v>
      </c>
      <c r="B359" s="3">
        <v>42758.0</v>
      </c>
      <c r="C359" s="3">
        <v>42764.0</v>
      </c>
      <c r="D359" s="1">
        <v>4.0</v>
      </c>
      <c r="E359" s="1">
        <v>1760.0</v>
      </c>
      <c r="F359" s="1">
        <v>0.0</v>
      </c>
    </row>
    <row r="360">
      <c r="A360" s="1" t="s">
        <v>3</v>
      </c>
      <c r="B360" s="3">
        <v>42765.0</v>
      </c>
      <c r="C360" s="3">
        <v>42771.0</v>
      </c>
      <c r="D360" s="1">
        <v>5.0</v>
      </c>
      <c r="E360" s="1">
        <v>1881.0</v>
      </c>
      <c r="F360" s="1">
        <v>0.0</v>
      </c>
    </row>
    <row r="361">
      <c r="A361" s="1" t="s">
        <v>3</v>
      </c>
      <c r="B361" s="3">
        <v>42772.0</v>
      </c>
      <c r="C361" s="3">
        <v>42778.0</v>
      </c>
      <c r="D361" s="1">
        <v>6.0</v>
      </c>
      <c r="E361" s="1">
        <v>1682.0</v>
      </c>
      <c r="F361" s="1">
        <v>0.0</v>
      </c>
    </row>
    <row r="362">
      <c r="A362" s="1" t="s">
        <v>3</v>
      </c>
      <c r="B362" s="3">
        <v>42779.0</v>
      </c>
      <c r="C362" s="3">
        <v>42785.0</v>
      </c>
      <c r="D362" s="1">
        <v>7.0</v>
      </c>
      <c r="E362" s="1">
        <v>1715.0</v>
      </c>
      <c r="F362" s="1">
        <v>0.0</v>
      </c>
    </row>
    <row r="363">
      <c r="A363" s="1" t="s">
        <v>3</v>
      </c>
      <c r="B363" s="3">
        <v>42786.0</v>
      </c>
      <c r="C363" s="3">
        <v>42792.0</v>
      </c>
      <c r="D363" s="1">
        <v>8.0</v>
      </c>
      <c r="E363" s="1">
        <v>1933.0</v>
      </c>
      <c r="F363" s="1">
        <v>0.0</v>
      </c>
    </row>
    <row r="364">
      <c r="A364" s="1" t="s">
        <v>3</v>
      </c>
      <c r="B364" s="3">
        <v>42793.0</v>
      </c>
      <c r="C364" s="3">
        <v>42799.0</v>
      </c>
      <c r="D364" s="1">
        <v>9.0</v>
      </c>
      <c r="E364" s="1">
        <v>2052.0</v>
      </c>
      <c r="F364" s="1">
        <v>0.0</v>
      </c>
    </row>
    <row r="365">
      <c r="A365" s="1" t="s">
        <v>3</v>
      </c>
      <c r="B365" s="3">
        <v>42800.0</v>
      </c>
      <c r="C365" s="3">
        <v>42806.0</v>
      </c>
      <c r="D365" s="1">
        <v>10.0</v>
      </c>
      <c r="E365" s="1">
        <v>1839.0</v>
      </c>
      <c r="F365" s="1">
        <v>0.0</v>
      </c>
    </row>
    <row r="366">
      <c r="A366" s="1" t="s">
        <v>3</v>
      </c>
      <c r="B366" s="3">
        <v>42807.0</v>
      </c>
      <c r="C366" s="3">
        <v>42813.0</v>
      </c>
      <c r="D366" s="1">
        <v>11.0</v>
      </c>
      <c r="E366" s="1">
        <v>1931.0</v>
      </c>
      <c r="F366" s="1">
        <v>0.0</v>
      </c>
    </row>
    <row r="367">
      <c r="A367" s="1" t="s">
        <v>3</v>
      </c>
      <c r="B367" s="3">
        <v>42814.0</v>
      </c>
      <c r="C367" s="3">
        <v>42820.0</v>
      </c>
      <c r="D367" s="1">
        <v>12.0</v>
      </c>
      <c r="E367" s="1">
        <v>1911.0</v>
      </c>
      <c r="F367" s="1">
        <v>0.0</v>
      </c>
    </row>
    <row r="368">
      <c r="A368" s="1" t="s">
        <v>3</v>
      </c>
      <c r="B368" s="3">
        <v>42821.0</v>
      </c>
      <c r="C368" s="3">
        <v>42827.0</v>
      </c>
      <c r="D368" s="1">
        <v>13.0</v>
      </c>
      <c r="E368" s="1">
        <v>1786.0</v>
      </c>
      <c r="F368" s="1">
        <v>0.0</v>
      </c>
    </row>
    <row r="369">
      <c r="A369" s="1" t="s">
        <v>3</v>
      </c>
      <c r="B369" s="3">
        <v>42828.0</v>
      </c>
      <c r="C369" s="3">
        <v>42834.0</v>
      </c>
      <c r="D369" s="1">
        <v>14.0</v>
      </c>
      <c r="E369" s="1">
        <v>1765.0</v>
      </c>
      <c r="F369" s="1">
        <v>0.0</v>
      </c>
    </row>
    <row r="370">
      <c r="A370" s="1" t="s">
        <v>3</v>
      </c>
      <c r="B370" s="3">
        <v>42835.0</v>
      </c>
      <c r="C370" s="3">
        <v>42841.0</v>
      </c>
      <c r="D370" s="1">
        <v>15.0</v>
      </c>
      <c r="E370" s="1">
        <v>1758.0</v>
      </c>
      <c r="F370" s="1">
        <v>0.0</v>
      </c>
    </row>
    <row r="371">
      <c r="A371" s="1" t="s">
        <v>3</v>
      </c>
      <c r="B371" s="3">
        <v>42842.0</v>
      </c>
      <c r="C371" s="3">
        <v>42848.0</v>
      </c>
      <c r="D371" s="1">
        <v>16.0</v>
      </c>
      <c r="E371" s="1">
        <v>1804.0</v>
      </c>
      <c r="F371" s="1">
        <v>0.0</v>
      </c>
    </row>
    <row r="372">
      <c r="A372" s="1" t="s">
        <v>3</v>
      </c>
      <c r="B372" s="3">
        <v>42849.0</v>
      </c>
      <c r="C372" s="3">
        <v>42855.0</v>
      </c>
      <c r="D372" s="1">
        <v>17.0</v>
      </c>
      <c r="E372" s="1">
        <v>1685.0</v>
      </c>
      <c r="F372" s="1">
        <v>0.0</v>
      </c>
    </row>
    <row r="373">
      <c r="A373" s="1" t="s">
        <v>3</v>
      </c>
      <c r="B373" s="3">
        <v>42856.0</v>
      </c>
      <c r="C373" s="3">
        <v>42862.0</v>
      </c>
      <c r="D373" s="1">
        <v>18.0</v>
      </c>
      <c r="E373" s="1">
        <v>1780.0</v>
      </c>
      <c r="F373" s="1">
        <v>0.0</v>
      </c>
    </row>
    <row r="374">
      <c r="A374" s="1" t="s">
        <v>3</v>
      </c>
      <c r="B374" s="3">
        <v>42863.0</v>
      </c>
      <c r="C374" s="3">
        <v>42869.0</v>
      </c>
      <c r="D374" s="1">
        <v>19.0</v>
      </c>
      <c r="E374" s="1">
        <v>1751.0</v>
      </c>
      <c r="F374" s="1">
        <v>0.0</v>
      </c>
    </row>
    <row r="375">
      <c r="A375" s="1" t="s">
        <v>3</v>
      </c>
      <c r="B375" s="3">
        <v>42870.0</v>
      </c>
      <c r="C375" s="3">
        <v>42876.0</v>
      </c>
      <c r="D375" s="1">
        <v>20.0</v>
      </c>
      <c r="E375" s="1">
        <v>1813.0</v>
      </c>
      <c r="F375" s="1">
        <v>0.0</v>
      </c>
    </row>
    <row r="376">
      <c r="A376" s="1" t="s">
        <v>3</v>
      </c>
      <c r="B376" s="3">
        <v>42877.0</v>
      </c>
      <c r="C376" s="3">
        <v>42883.0</v>
      </c>
      <c r="D376" s="1">
        <v>21.0</v>
      </c>
      <c r="E376" s="1">
        <v>1813.0</v>
      </c>
      <c r="F376" s="1">
        <v>0.0</v>
      </c>
    </row>
    <row r="377">
      <c r="A377" s="1" t="s">
        <v>3</v>
      </c>
      <c r="B377" s="3">
        <v>42884.0</v>
      </c>
      <c r="C377" s="3">
        <v>42890.0</v>
      </c>
      <c r="D377" s="1">
        <v>22.0</v>
      </c>
      <c r="E377" s="1">
        <v>1782.0</v>
      </c>
      <c r="F377" s="1">
        <v>0.0</v>
      </c>
    </row>
    <row r="378">
      <c r="A378" s="1" t="s">
        <v>3</v>
      </c>
      <c r="B378" s="3">
        <v>42891.0</v>
      </c>
      <c r="C378" s="3">
        <v>42897.0</v>
      </c>
      <c r="D378" s="1">
        <v>23.0</v>
      </c>
      <c r="E378" s="1">
        <v>1934.0</v>
      </c>
      <c r="F378" s="1">
        <v>0.0</v>
      </c>
    </row>
    <row r="379">
      <c r="A379" s="1" t="s">
        <v>3</v>
      </c>
      <c r="B379" s="3">
        <v>42898.0</v>
      </c>
      <c r="C379" s="3">
        <v>42904.0</v>
      </c>
      <c r="D379" s="1">
        <v>24.0</v>
      </c>
      <c r="E379" s="1">
        <v>1839.0</v>
      </c>
      <c r="F379" s="1">
        <v>0.0</v>
      </c>
    </row>
    <row r="380">
      <c r="A380" s="1" t="s">
        <v>3</v>
      </c>
      <c r="B380" s="3">
        <v>42905.0</v>
      </c>
      <c r="C380" s="3">
        <v>42911.0</v>
      </c>
      <c r="D380" s="1">
        <v>25.0</v>
      </c>
      <c r="E380" s="1">
        <v>1917.0</v>
      </c>
      <c r="F380" s="1">
        <v>0.0</v>
      </c>
    </row>
    <row r="381">
      <c r="A381" s="1" t="s">
        <v>3</v>
      </c>
      <c r="B381" s="3">
        <v>42912.0</v>
      </c>
      <c r="C381" s="3">
        <v>42918.0</v>
      </c>
      <c r="D381" s="1">
        <v>26.0</v>
      </c>
      <c r="E381" s="1">
        <v>1965.0</v>
      </c>
      <c r="F381" s="1">
        <v>0.0</v>
      </c>
    </row>
    <row r="382">
      <c r="A382" s="1" t="s">
        <v>3</v>
      </c>
      <c r="B382" s="3">
        <v>42919.0</v>
      </c>
      <c r="C382" s="3">
        <v>42925.0</v>
      </c>
      <c r="D382" s="1">
        <v>27.0</v>
      </c>
      <c r="E382" s="1">
        <v>2009.0</v>
      </c>
      <c r="F382" s="1">
        <v>0.0</v>
      </c>
    </row>
    <row r="383">
      <c r="A383" s="1" t="s">
        <v>3</v>
      </c>
      <c r="B383" s="3">
        <v>42926.0</v>
      </c>
      <c r="C383" s="3">
        <v>42932.0</v>
      </c>
      <c r="D383" s="1">
        <v>28.0</v>
      </c>
      <c r="E383" s="1">
        <v>1923.0</v>
      </c>
      <c r="F383" s="1">
        <v>0.0</v>
      </c>
    </row>
    <row r="384">
      <c r="A384" s="1" t="s">
        <v>3</v>
      </c>
      <c r="B384" s="3">
        <v>42933.0</v>
      </c>
      <c r="C384" s="3">
        <v>42939.0</v>
      </c>
      <c r="D384" s="1">
        <v>29.0</v>
      </c>
      <c r="E384" s="1">
        <v>1955.0</v>
      </c>
      <c r="F384" s="1">
        <v>0.0</v>
      </c>
    </row>
    <row r="385">
      <c r="A385" s="1" t="s">
        <v>3</v>
      </c>
      <c r="B385" s="3">
        <v>42940.0</v>
      </c>
      <c r="C385" s="3">
        <v>42946.0</v>
      </c>
      <c r="D385" s="1">
        <v>30.0</v>
      </c>
      <c r="E385" s="1">
        <v>2004.0</v>
      </c>
      <c r="F385" s="1">
        <v>0.0</v>
      </c>
    </row>
    <row r="386">
      <c r="A386" s="1" t="s">
        <v>3</v>
      </c>
      <c r="B386" s="3">
        <v>42947.0</v>
      </c>
      <c r="C386" s="3">
        <v>42953.0</v>
      </c>
      <c r="D386" s="1">
        <v>31.0</v>
      </c>
      <c r="E386" s="1">
        <v>1929.0</v>
      </c>
      <c r="F386" s="1">
        <v>0.0</v>
      </c>
    </row>
    <row r="387">
      <c r="A387" s="1" t="s">
        <v>3</v>
      </c>
      <c r="B387" s="3">
        <v>42954.0</v>
      </c>
      <c r="C387" s="3">
        <v>42960.0</v>
      </c>
      <c r="D387" s="1">
        <v>32.0</v>
      </c>
      <c r="E387" s="1">
        <v>1962.0</v>
      </c>
      <c r="F387" s="1">
        <v>0.0</v>
      </c>
    </row>
    <row r="388">
      <c r="A388" s="1" t="s">
        <v>3</v>
      </c>
      <c r="B388" s="3">
        <v>42961.0</v>
      </c>
      <c r="C388" s="3">
        <v>42967.0</v>
      </c>
      <c r="D388" s="1">
        <v>33.0</v>
      </c>
      <c r="E388" s="1">
        <v>1913.0</v>
      </c>
      <c r="F388" s="1">
        <v>0.0</v>
      </c>
    </row>
    <row r="389">
      <c r="A389" s="1" t="s">
        <v>3</v>
      </c>
      <c r="B389" s="3">
        <v>42968.0</v>
      </c>
      <c r="C389" s="3">
        <v>42974.0</v>
      </c>
      <c r="D389" s="1">
        <v>34.0</v>
      </c>
      <c r="E389" s="1">
        <v>1969.0</v>
      </c>
      <c r="F389" s="1">
        <v>0.0</v>
      </c>
    </row>
    <row r="390">
      <c r="A390" s="1" t="s">
        <v>3</v>
      </c>
      <c r="B390" s="3">
        <v>42975.0</v>
      </c>
      <c r="C390" s="3">
        <v>42981.0</v>
      </c>
      <c r="D390" s="1">
        <v>35.0</v>
      </c>
      <c r="E390" s="1">
        <v>1972.0</v>
      </c>
      <c r="F390" s="1">
        <v>0.0</v>
      </c>
    </row>
    <row r="391">
      <c r="A391" s="1" t="s">
        <v>3</v>
      </c>
      <c r="B391" s="3">
        <v>42982.0</v>
      </c>
      <c r="C391" s="3">
        <v>42988.0</v>
      </c>
      <c r="D391" s="1">
        <v>36.0</v>
      </c>
      <c r="E391" s="1">
        <v>2027.0</v>
      </c>
      <c r="F391" s="1">
        <v>0.0</v>
      </c>
    </row>
    <row r="392">
      <c r="A392" s="1" t="s">
        <v>3</v>
      </c>
      <c r="B392" s="3">
        <v>42989.0</v>
      </c>
      <c r="C392" s="3">
        <v>42995.0</v>
      </c>
      <c r="D392" s="1">
        <v>37.0</v>
      </c>
      <c r="E392" s="1">
        <v>2058.0</v>
      </c>
      <c r="F392" s="1">
        <v>0.0</v>
      </c>
    </row>
    <row r="393">
      <c r="A393" s="1" t="s">
        <v>3</v>
      </c>
      <c r="B393" s="3">
        <v>42996.0</v>
      </c>
      <c r="C393" s="3">
        <v>43002.0</v>
      </c>
      <c r="D393" s="1">
        <v>38.0</v>
      </c>
      <c r="E393" s="1">
        <v>2014.0</v>
      </c>
      <c r="F393" s="1">
        <v>0.0</v>
      </c>
    </row>
    <row r="394">
      <c r="A394" s="1" t="s">
        <v>3</v>
      </c>
      <c r="B394" s="3">
        <v>43003.0</v>
      </c>
      <c r="C394" s="2">
        <v>43009.0</v>
      </c>
      <c r="D394" s="1">
        <v>39.0</v>
      </c>
      <c r="E394" s="1">
        <v>2081.0</v>
      </c>
      <c r="F394" s="1">
        <v>0.0</v>
      </c>
    </row>
    <row r="395">
      <c r="A395" s="1" t="s">
        <v>3</v>
      </c>
      <c r="B395" s="2">
        <v>43010.0</v>
      </c>
      <c r="C395" s="2">
        <v>43016.0</v>
      </c>
      <c r="D395" s="1">
        <v>40.0</v>
      </c>
      <c r="E395" s="1">
        <v>1969.0</v>
      </c>
      <c r="F395" s="1">
        <v>0.0</v>
      </c>
    </row>
    <row r="396">
      <c r="A396" s="1" t="s">
        <v>3</v>
      </c>
      <c r="B396" s="2">
        <v>43017.0</v>
      </c>
      <c r="C396" s="2">
        <v>43023.0</v>
      </c>
      <c r="D396" s="1">
        <v>41.0</v>
      </c>
      <c r="E396" s="1">
        <v>2077.0</v>
      </c>
      <c r="F396" s="1">
        <v>0.0</v>
      </c>
    </row>
    <row r="397">
      <c r="A397" s="1" t="s">
        <v>3</v>
      </c>
      <c r="B397" s="2">
        <v>43024.0</v>
      </c>
      <c r="C397" s="2">
        <v>43030.0</v>
      </c>
      <c r="D397" s="1">
        <v>42.0</v>
      </c>
      <c r="E397" s="1">
        <v>2070.0</v>
      </c>
      <c r="F397" s="1">
        <v>0.0</v>
      </c>
    </row>
    <row r="398">
      <c r="A398" s="1" t="s">
        <v>3</v>
      </c>
      <c r="B398" s="2">
        <v>43031.0</v>
      </c>
      <c r="C398" s="2">
        <v>43037.0</v>
      </c>
      <c r="D398" s="1">
        <v>43.0</v>
      </c>
      <c r="E398" s="1">
        <v>2041.0</v>
      </c>
      <c r="F398" s="1">
        <v>0.0</v>
      </c>
    </row>
    <row r="399">
      <c r="A399" s="1" t="s">
        <v>3</v>
      </c>
      <c r="B399" s="2">
        <v>43038.0</v>
      </c>
      <c r="C399" s="2">
        <v>43044.0</v>
      </c>
      <c r="D399" s="1">
        <v>44.0</v>
      </c>
      <c r="E399" s="1">
        <v>2029.0</v>
      </c>
      <c r="F399" s="1">
        <v>0.0</v>
      </c>
    </row>
    <row r="400">
      <c r="A400" s="1" t="s">
        <v>3</v>
      </c>
      <c r="B400" s="2">
        <v>43045.0</v>
      </c>
      <c r="C400" s="2">
        <v>43051.0</v>
      </c>
      <c r="D400" s="1">
        <v>45.0</v>
      </c>
      <c r="E400" s="1">
        <v>1997.0</v>
      </c>
      <c r="F400" s="1">
        <v>0.0</v>
      </c>
    </row>
    <row r="401">
      <c r="A401" s="1" t="s">
        <v>3</v>
      </c>
      <c r="B401" s="2">
        <v>43052.0</v>
      </c>
      <c r="C401" s="2">
        <v>43058.0</v>
      </c>
      <c r="D401" s="1">
        <v>46.0</v>
      </c>
      <c r="E401" s="1">
        <v>1892.0</v>
      </c>
      <c r="F401" s="1">
        <v>0.0</v>
      </c>
    </row>
    <row r="402">
      <c r="A402" s="1" t="s">
        <v>3</v>
      </c>
      <c r="B402" s="2">
        <v>43059.0</v>
      </c>
      <c r="C402" s="2">
        <v>43065.0</v>
      </c>
      <c r="D402" s="1">
        <v>47.0</v>
      </c>
      <c r="E402" s="1">
        <v>2035.0</v>
      </c>
      <c r="F402" s="1">
        <v>0.0</v>
      </c>
    </row>
    <row r="403">
      <c r="A403" s="1" t="s">
        <v>3</v>
      </c>
      <c r="B403" s="2">
        <v>43066.0</v>
      </c>
      <c r="C403" s="2">
        <v>43072.0</v>
      </c>
      <c r="D403" s="1">
        <v>48.0</v>
      </c>
      <c r="E403" s="1">
        <v>1951.0</v>
      </c>
      <c r="F403" s="1">
        <v>0.0</v>
      </c>
    </row>
    <row r="404">
      <c r="A404" s="1" t="s">
        <v>3</v>
      </c>
      <c r="B404" s="2">
        <v>43073.0</v>
      </c>
      <c r="C404" s="2">
        <v>43079.0</v>
      </c>
      <c r="D404" s="1">
        <v>49.0</v>
      </c>
      <c r="E404" s="1">
        <v>1868.0</v>
      </c>
      <c r="F404" s="1">
        <v>0.0</v>
      </c>
    </row>
    <row r="405">
      <c r="A405" s="1" t="s">
        <v>3</v>
      </c>
      <c r="B405" s="2">
        <v>43080.0</v>
      </c>
      <c r="C405" s="2">
        <v>43086.0</v>
      </c>
      <c r="D405" s="1">
        <v>50.0</v>
      </c>
      <c r="E405" s="1">
        <v>1968.0</v>
      </c>
      <c r="F405" s="1">
        <v>0.0</v>
      </c>
    </row>
    <row r="406">
      <c r="A406" s="1" t="s">
        <v>3</v>
      </c>
      <c r="B406" s="2">
        <v>43087.0</v>
      </c>
      <c r="C406" s="2">
        <v>43093.0</v>
      </c>
      <c r="D406" s="1">
        <v>51.0</v>
      </c>
      <c r="E406" s="1">
        <v>1949.0</v>
      </c>
      <c r="F406" s="1">
        <v>0.0</v>
      </c>
    </row>
    <row r="407">
      <c r="A407" s="1" t="s">
        <v>3</v>
      </c>
      <c r="B407" s="2">
        <v>43094.0</v>
      </c>
      <c r="C407" s="2">
        <v>43100.0</v>
      </c>
      <c r="D407" s="1">
        <v>52.0</v>
      </c>
      <c r="E407" s="1">
        <v>1948.0</v>
      </c>
      <c r="F407" s="1">
        <v>0.0</v>
      </c>
    </row>
    <row r="408">
      <c r="A408" s="1" t="s">
        <v>3</v>
      </c>
      <c r="B408" s="3">
        <v>43101.0</v>
      </c>
      <c r="C408" s="3">
        <v>43107.0</v>
      </c>
      <c r="D408" s="1">
        <v>1.0</v>
      </c>
      <c r="E408" s="1">
        <v>1987.0</v>
      </c>
      <c r="F408" s="1">
        <v>0.0</v>
      </c>
    </row>
    <row r="409">
      <c r="A409" s="1" t="s">
        <v>3</v>
      </c>
      <c r="B409" s="3">
        <v>43108.0</v>
      </c>
      <c r="C409" s="3">
        <v>43114.0</v>
      </c>
      <c r="D409" s="1">
        <v>2.0</v>
      </c>
      <c r="E409" s="1">
        <v>1980.0</v>
      </c>
      <c r="F409" s="1">
        <v>0.0</v>
      </c>
    </row>
    <row r="410">
      <c r="A410" s="1" t="s">
        <v>3</v>
      </c>
      <c r="B410" s="3">
        <v>43115.0</v>
      </c>
      <c r="C410" s="3">
        <v>43121.0</v>
      </c>
      <c r="D410" s="1">
        <v>3.0</v>
      </c>
      <c r="E410" s="1">
        <v>1922.0</v>
      </c>
      <c r="F410" s="1">
        <v>0.0</v>
      </c>
    </row>
    <row r="411">
      <c r="A411" s="1" t="s">
        <v>3</v>
      </c>
      <c r="B411" s="3">
        <v>43122.0</v>
      </c>
      <c r="C411" s="3">
        <v>43128.0</v>
      </c>
      <c r="D411" s="1">
        <v>4.0</v>
      </c>
      <c r="E411" s="1">
        <v>1953.0</v>
      </c>
      <c r="F411" s="1">
        <v>0.0</v>
      </c>
    </row>
    <row r="412">
      <c r="A412" s="1" t="s">
        <v>3</v>
      </c>
      <c r="B412" s="3">
        <v>43129.0</v>
      </c>
      <c r="C412" s="3">
        <v>43135.0</v>
      </c>
      <c r="D412" s="1">
        <v>5.0</v>
      </c>
      <c r="E412" s="1">
        <v>1888.0</v>
      </c>
      <c r="F412" s="1">
        <v>0.0</v>
      </c>
    </row>
    <row r="413">
      <c r="A413" s="1" t="s">
        <v>3</v>
      </c>
      <c r="B413" s="3">
        <v>43136.0</v>
      </c>
      <c r="C413" s="3">
        <v>43142.0</v>
      </c>
      <c r="D413" s="1">
        <v>6.0</v>
      </c>
      <c r="E413" s="1">
        <v>1914.0</v>
      </c>
      <c r="F413" s="1">
        <v>0.0</v>
      </c>
    </row>
    <row r="414">
      <c r="A414" s="1" t="s">
        <v>3</v>
      </c>
      <c r="B414" s="3">
        <v>43143.0</v>
      </c>
      <c r="C414" s="3">
        <v>43149.0</v>
      </c>
      <c r="D414" s="1">
        <v>7.0</v>
      </c>
      <c r="E414" s="1">
        <v>2024.0</v>
      </c>
      <c r="F414" s="1">
        <v>0.0</v>
      </c>
    </row>
    <row r="415">
      <c r="A415" s="1" t="s">
        <v>3</v>
      </c>
      <c r="B415" s="3">
        <v>43150.0</v>
      </c>
      <c r="C415" s="3">
        <v>43156.0</v>
      </c>
      <c r="D415" s="1">
        <v>8.0</v>
      </c>
      <c r="E415" s="1">
        <v>1948.0</v>
      </c>
      <c r="F415" s="1">
        <v>0.0</v>
      </c>
    </row>
    <row r="416">
      <c r="A416" s="1" t="s">
        <v>3</v>
      </c>
      <c r="B416" s="3">
        <v>43157.0</v>
      </c>
      <c r="C416" s="3">
        <v>43163.0</v>
      </c>
      <c r="D416" s="1">
        <v>9.0</v>
      </c>
      <c r="E416" s="1">
        <v>1947.0</v>
      </c>
      <c r="F416" s="1">
        <v>0.0</v>
      </c>
    </row>
    <row r="417">
      <c r="A417" s="1" t="s">
        <v>3</v>
      </c>
      <c r="B417" s="3">
        <v>43164.0</v>
      </c>
      <c r="C417" s="3">
        <v>43170.0</v>
      </c>
      <c r="D417" s="1">
        <v>10.0</v>
      </c>
      <c r="E417" s="1">
        <v>1893.0</v>
      </c>
      <c r="F417" s="1">
        <v>0.0</v>
      </c>
    </row>
    <row r="418">
      <c r="A418" s="1" t="s">
        <v>3</v>
      </c>
      <c r="B418" s="3">
        <v>43171.0</v>
      </c>
      <c r="C418" s="3">
        <v>43177.0</v>
      </c>
      <c r="D418" s="1">
        <v>11.0</v>
      </c>
      <c r="E418" s="1">
        <v>1972.0</v>
      </c>
      <c r="F418" s="1">
        <v>0.0</v>
      </c>
    </row>
    <row r="419">
      <c r="A419" s="1" t="s">
        <v>3</v>
      </c>
      <c r="B419" s="3">
        <v>43178.0</v>
      </c>
      <c r="C419" s="3">
        <v>43184.0</v>
      </c>
      <c r="D419" s="1">
        <v>12.0</v>
      </c>
      <c r="E419" s="1">
        <v>1970.0</v>
      </c>
      <c r="F419" s="1">
        <v>0.0</v>
      </c>
    </row>
    <row r="420">
      <c r="A420" s="1" t="s">
        <v>3</v>
      </c>
      <c r="B420" s="3">
        <v>43185.0</v>
      </c>
      <c r="C420" s="3">
        <v>43191.0</v>
      </c>
      <c r="D420" s="1">
        <v>13.0</v>
      </c>
      <c r="E420" s="1">
        <v>1984.0</v>
      </c>
      <c r="F420" s="1">
        <v>0.0</v>
      </c>
    </row>
    <row r="421">
      <c r="A421" s="1" t="s">
        <v>3</v>
      </c>
      <c r="B421" s="3">
        <v>43192.0</v>
      </c>
      <c r="C421" s="3">
        <v>43198.0</v>
      </c>
      <c r="D421" s="1">
        <v>14.0</v>
      </c>
      <c r="E421" s="1">
        <v>2100.0</v>
      </c>
      <c r="F421" s="1">
        <v>0.0</v>
      </c>
    </row>
    <row r="422">
      <c r="A422" s="1" t="s">
        <v>3</v>
      </c>
      <c r="B422" s="3">
        <v>43199.0</v>
      </c>
      <c r="C422" s="3">
        <v>43205.0</v>
      </c>
      <c r="D422" s="1">
        <v>15.0</v>
      </c>
      <c r="E422" s="1">
        <v>1835.0</v>
      </c>
      <c r="F422" s="1">
        <v>0.0</v>
      </c>
    </row>
    <row r="423">
      <c r="A423" s="1" t="s">
        <v>3</v>
      </c>
      <c r="B423" s="3">
        <v>43206.0</v>
      </c>
      <c r="C423" s="3">
        <v>43212.0</v>
      </c>
      <c r="D423" s="1">
        <v>16.0</v>
      </c>
      <c r="E423" s="1">
        <v>1985.0</v>
      </c>
      <c r="F423" s="1">
        <v>0.0</v>
      </c>
    </row>
    <row r="424">
      <c r="A424" s="1" t="s">
        <v>3</v>
      </c>
      <c r="B424" s="3">
        <v>43213.0</v>
      </c>
      <c r="C424" s="3">
        <v>43219.0</v>
      </c>
      <c r="D424" s="1">
        <v>17.0</v>
      </c>
      <c r="E424" s="1">
        <v>1991.0</v>
      </c>
      <c r="F424" s="1">
        <v>0.0</v>
      </c>
    </row>
    <row r="425">
      <c r="A425" s="1" t="s">
        <v>3</v>
      </c>
      <c r="B425" s="3">
        <v>43220.0</v>
      </c>
      <c r="C425" s="3">
        <v>43226.0</v>
      </c>
      <c r="D425" s="1">
        <v>18.0</v>
      </c>
      <c r="E425" s="1">
        <v>2129.0</v>
      </c>
      <c r="F425" s="1">
        <v>0.0</v>
      </c>
    </row>
    <row r="426">
      <c r="A426" s="1" t="s">
        <v>3</v>
      </c>
      <c r="B426" s="3">
        <v>43227.0</v>
      </c>
      <c r="C426" s="3">
        <v>43233.0</v>
      </c>
      <c r="D426" s="1">
        <v>19.0</v>
      </c>
      <c r="E426" s="1">
        <v>2001.0</v>
      </c>
      <c r="F426" s="1">
        <v>0.0</v>
      </c>
    </row>
    <row r="427">
      <c r="A427" s="1" t="s">
        <v>3</v>
      </c>
      <c r="B427" s="3">
        <v>43234.0</v>
      </c>
      <c r="C427" s="3">
        <v>43240.0</v>
      </c>
      <c r="D427" s="1">
        <v>20.0</v>
      </c>
      <c r="E427" s="1">
        <v>2118.0</v>
      </c>
      <c r="F427" s="1">
        <v>0.0</v>
      </c>
    </row>
    <row r="428">
      <c r="A428" s="1" t="s">
        <v>3</v>
      </c>
      <c r="B428" s="3">
        <v>43241.0</v>
      </c>
      <c r="C428" s="3">
        <v>43247.0</v>
      </c>
      <c r="D428" s="1">
        <v>21.0</v>
      </c>
      <c r="E428" s="1">
        <v>2294.0</v>
      </c>
      <c r="F428" s="1">
        <v>0.0</v>
      </c>
    </row>
    <row r="429">
      <c r="A429" s="1" t="s">
        <v>3</v>
      </c>
      <c r="B429" s="3">
        <v>43248.0</v>
      </c>
      <c r="C429" s="3">
        <v>43254.0</v>
      </c>
      <c r="D429" s="1">
        <v>22.0</v>
      </c>
      <c r="E429" s="1">
        <v>2288.0</v>
      </c>
      <c r="F429" s="1">
        <v>0.0</v>
      </c>
    </row>
    <row r="430">
      <c r="A430" s="1" t="s">
        <v>3</v>
      </c>
      <c r="B430" s="3">
        <v>43255.0</v>
      </c>
      <c r="C430" s="3">
        <v>43261.0</v>
      </c>
      <c r="D430" s="1">
        <v>23.0</v>
      </c>
      <c r="E430" s="1">
        <v>2347.0</v>
      </c>
      <c r="F430" s="1">
        <v>0.0</v>
      </c>
    </row>
    <row r="431">
      <c r="A431" s="1" t="s">
        <v>3</v>
      </c>
      <c r="B431" s="3">
        <v>43262.0</v>
      </c>
      <c r="C431" s="3">
        <v>43268.0</v>
      </c>
      <c r="D431" s="1">
        <v>24.0</v>
      </c>
      <c r="E431" s="1">
        <v>2442.0</v>
      </c>
      <c r="F431" s="1">
        <v>0.0</v>
      </c>
    </row>
    <row r="432">
      <c r="A432" s="1" t="s">
        <v>3</v>
      </c>
      <c r="B432" s="3">
        <v>43269.0</v>
      </c>
      <c r="C432" s="3">
        <v>43275.0</v>
      </c>
      <c r="D432" s="1">
        <v>25.0</v>
      </c>
      <c r="E432" s="1">
        <v>2496.0</v>
      </c>
      <c r="F432" s="1">
        <v>0.0</v>
      </c>
    </row>
    <row r="433">
      <c r="A433" s="1" t="s">
        <v>3</v>
      </c>
      <c r="B433" s="3">
        <v>43276.0</v>
      </c>
      <c r="C433" s="3">
        <v>43282.0</v>
      </c>
      <c r="D433" s="1">
        <v>26.0</v>
      </c>
      <c r="E433" s="1">
        <v>2454.0</v>
      </c>
      <c r="F433" s="1">
        <v>0.0</v>
      </c>
    </row>
    <row r="434">
      <c r="A434" s="1" t="s">
        <v>3</v>
      </c>
      <c r="B434" s="3">
        <v>43283.0</v>
      </c>
      <c r="C434" s="3">
        <v>43289.0</v>
      </c>
      <c r="D434" s="1">
        <v>27.0</v>
      </c>
      <c r="E434" s="1">
        <v>2477.0</v>
      </c>
      <c r="F434" s="1">
        <v>0.0</v>
      </c>
    </row>
    <row r="435">
      <c r="A435" s="1" t="s">
        <v>3</v>
      </c>
      <c r="B435" s="3">
        <v>43290.0</v>
      </c>
      <c r="C435" s="3">
        <v>43296.0</v>
      </c>
      <c r="D435" s="1">
        <v>28.0</v>
      </c>
      <c r="E435" s="1">
        <v>2320.0</v>
      </c>
      <c r="F435" s="1">
        <v>0.0</v>
      </c>
    </row>
    <row r="436">
      <c r="A436" s="1" t="s">
        <v>3</v>
      </c>
      <c r="B436" s="3">
        <v>43297.0</v>
      </c>
      <c r="C436" s="3">
        <v>43303.0</v>
      </c>
      <c r="D436" s="1">
        <v>29.0</v>
      </c>
      <c r="E436" s="1">
        <v>2389.0</v>
      </c>
      <c r="F436" s="1">
        <v>0.0</v>
      </c>
    </row>
    <row r="437">
      <c r="A437" s="1" t="s">
        <v>3</v>
      </c>
      <c r="B437" s="3">
        <v>43304.0</v>
      </c>
      <c r="C437" s="3">
        <v>43310.0</v>
      </c>
      <c r="D437" s="1">
        <v>30.0</v>
      </c>
      <c r="E437" s="1">
        <v>2377.0</v>
      </c>
      <c r="F437" s="1">
        <v>0.0</v>
      </c>
    </row>
    <row r="438">
      <c r="A438" s="1" t="s">
        <v>3</v>
      </c>
      <c r="B438" s="3">
        <v>43311.0</v>
      </c>
      <c r="C438" s="3">
        <v>43317.0</v>
      </c>
      <c r="D438" s="1">
        <v>31.0</v>
      </c>
      <c r="E438" s="1">
        <v>2388.0</v>
      </c>
      <c r="F438" s="1">
        <v>0.0</v>
      </c>
    </row>
    <row r="439">
      <c r="A439" s="1" t="s">
        <v>3</v>
      </c>
      <c r="B439" s="3">
        <v>43318.0</v>
      </c>
      <c r="C439" s="3">
        <v>43324.0</v>
      </c>
      <c r="D439" s="1">
        <v>32.0</v>
      </c>
      <c r="E439" s="1">
        <v>2373.0</v>
      </c>
      <c r="F439" s="1">
        <v>0.0</v>
      </c>
    </row>
    <row r="440">
      <c r="A440" s="1" t="s">
        <v>3</v>
      </c>
      <c r="B440" s="3">
        <v>43325.0</v>
      </c>
      <c r="C440" s="3">
        <v>43331.0</v>
      </c>
      <c r="D440" s="1">
        <v>33.0</v>
      </c>
      <c r="E440" s="1">
        <v>2286.0</v>
      </c>
      <c r="F440" s="1">
        <v>0.0</v>
      </c>
    </row>
    <row r="441">
      <c r="A441" s="1" t="s">
        <v>3</v>
      </c>
      <c r="B441" s="3">
        <v>43332.0</v>
      </c>
      <c r="C441" s="3">
        <v>43338.0</v>
      </c>
      <c r="D441" s="1">
        <v>34.0</v>
      </c>
      <c r="E441" s="1">
        <v>2217.0</v>
      </c>
      <c r="F441" s="1">
        <v>0.0</v>
      </c>
    </row>
    <row r="442">
      <c r="A442" s="1" t="s">
        <v>3</v>
      </c>
      <c r="B442" s="3">
        <v>43339.0</v>
      </c>
      <c r="C442" s="3">
        <v>43345.0</v>
      </c>
      <c r="D442" s="1">
        <v>35.0</v>
      </c>
      <c r="E442" s="1">
        <v>2312.0</v>
      </c>
      <c r="F442" s="1">
        <v>0.0</v>
      </c>
    </row>
    <row r="443">
      <c r="A443" s="1" t="s">
        <v>3</v>
      </c>
      <c r="B443" s="3">
        <v>43346.0</v>
      </c>
      <c r="C443" s="3">
        <v>43352.0</v>
      </c>
      <c r="D443" s="1">
        <v>36.0</v>
      </c>
      <c r="E443" s="1">
        <v>2288.0</v>
      </c>
      <c r="F443" s="1">
        <v>0.0</v>
      </c>
    </row>
    <row r="444">
      <c r="A444" s="1" t="s">
        <v>3</v>
      </c>
      <c r="B444" s="3">
        <v>43353.0</v>
      </c>
      <c r="C444" s="3">
        <v>43359.0</v>
      </c>
      <c r="D444" s="1">
        <v>37.0</v>
      </c>
      <c r="E444" s="1">
        <v>2224.0</v>
      </c>
      <c r="F444" s="1">
        <v>0.0</v>
      </c>
    </row>
    <row r="445">
      <c r="A445" s="1" t="s">
        <v>3</v>
      </c>
      <c r="B445" s="3">
        <v>43360.0</v>
      </c>
      <c r="C445" s="3">
        <v>43366.0</v>
      </c>
      <c r="D445" s="1">
        <v>38.0</v>
      </c>
      <c r="E445" s="1">
        <v>2259.0</v>
      </c>
      <c r="F445" s="1">
        <v>0.0</v>
      </c>
    </row>
    <row r="446">
      <c r="A446" s="1" t="s">
        <v>3</v>
      </c>
      <c r="B446" s="3">
        <v>43367.0</v>
      </c>
      <c r="C446" s="3">
        <v>43373.0</v>
      </c>
      <c r="D446" s="1">
        <v>39.0</v>
      </c>
      <c r="E446" s="1">
        <v>2328.0</v>
      </c>
      <c r="F446" s="1">
        <v>0.0</v>
      </c>
    </row>
    <row r="447">
      <c r="A447" s="1" t="s">
        <v>3</v>
      </c>
      <c r="B447" s="2">
        <v>43374.0</v>
      </c>
      <c r="C447" s="2">
        <v>43380.0</v>
      </c>
      <c r="D447" s="1">
        <v>40.0</v>
      </c>
      <c r="E447" s="1">
        <v>2244.0</v>
      </c>
      <c r="F447" s="1">
        <v>0.0</v>
      </c>
    </row>
    <row r="448">
      <c r="A448" s="1" t="s">
        <v>3</v>
      </c>
      <c r="B448" s="2">
        <v>43381.0</v>
      </c>
      <c r="C448" s="2">
        <v>43387.0</v>
      </c>
      <c r="D448" s="1">
        <v>41.0</v>
      </c>
      <c r="E448" s="1">
        <v>2286.0</v>
      </c>
      <c r="F448" s="1">
        <v>0.0</v>
      </c>
    </row>
    <row r="449">
      <c r="A449" s="1" t="s">
        <v>3</v>
      </c>
      <c r="B449" s="2">
        <v>43388.0</v>
      </c>
      <c r="C449" s="2">
        <v>43394.0</v>
      </c>
      <c r="D449" s="1">
        <v>42.0</v>
      </c>
      <c r="E449" s="1">
        <v>2296.0</v>
      </c>
      <c r="F449" s="1">
        <v>0.0</v>
      </c>
    </row>
    <row r="450">
      <c r="A450" s="1" t="s">
        <v>3</v>
      </c>
      <c r="B450" s="2">
        <v>43395.0</v>
      </c>
      <c r="C450" s="2">
        <v>43401.0</v>
      </c>
      <c r="D450" s="1">
        <v>43.0</v>
      </c>
      <c r="E450" s="1">
        <v>2296.0</v>
      </c>
      <c r="F450" s="1">
        <v>0.0</v>
      </c>
    </row>
    <row r="451">
      <c r="A451" s="1" t="s">
        <v>3</v>
      </c>
      <c r="B451" s="2">
        <v>43402.0</v>
      </c>
      <c r="C451" s="2">
        <v>43408.0</v>
      </c>
      <c r="D451" s="1">
        <v>44.0</v>
      </c>
      <c r="E451" s="1">
        <v>2243.0</v>
      </c>
      <c r="F451" s="1">
        <v>0.0</v>
      </c>
    </row>
    <row r="452">
      <c r="A452" s="1" t="s">
        <v>3</v>
      </c>
      <c r="B452" s="2">
        <v>43409.0</v>
      </c>
      <c r="C452" s="2">
        <v>43415.0</v>
      </c>
      <c r="D452" s="1">
        <v>45.0</v>
      </c>
      <c r="E452" s="1">
        <v>2244.0</v>
      </c>
      <c r="F452" s="1">
        <v>0.0</v>
      </c>
    </row>
    <row r="453">
      <c r="A453" s="1" t="s">
        <v>3</v>
      </c>
      <c r="B453" s="2">
        <v>43416.0</v>
      </c>
      <c r="C453" s="2">
        <v>43422.0</v>
      </c>
      <c r="D453" s="1">
        <v>46.0</v>
      </c>
      <c r="E453" s="1">
        <v>2059.0</v>
      </c>
      <c r="F453" s="1">
        <v>0.0</v>
      </c>
    </row>
    <row r="454">
      <c r="A454" s="1" t="s">
        <v>3</v>
      </c>
      <c r="B454" s="2">
        <v>43423.0</v>
      </c>
      <c r="C454" s="2">
        <v>43429.0</v>
      </c>
      <c r="D454" s="1">
        <v>47.0</v>
      </c>
      <c r="E454" s="1">
        <v>2015.0</v>
      </c>
      <c r="F454" s="1">
        <v>0.0</v>
      </c>
    </row>
    <row r="455">
      <c r="A455" s="1" t="s">
        <v>3</v>
      </c>
      <c r="B455" s="2">
        <v>43430.0</v>
      </c>
      <c r="C455" s="2">
        <v>43436.0</v>
      </c>
      <c r="D455" s="1">
        <v>48.0</v>
      </c>
      <c r="E455" s="1">
        <v>2029.0</v>
      </c>
      <c r="F455" s="1">
        <v>0.0</v>
      </c>
    </row>
    <row r="456">
      <c r="A456" s="1" t="s">
        <v>3</v>
      </c>
      <c r="B456" s="2">
        <v>43437.0</v>
      </c>
      <c r="C456" s="2">
        <v>43443.0</v>
      </c>
      <c r="D456" s="1">
        <v>49.0</v>
      </c>
      <c r="E456" s="1">
        <v>2147.0</v>
      </c>
      <c r="F456" s="1">
        <v>0.0</v>
      </c>
    </row>
    <row r="457">
      <c r="A457" s="1" t="s">
        <v>3</v>
      </c>
      <c r="B457" s="2">
        <v>43444.0</v>
      </c>
      <c r="C457" s="2">
        <v>43450.0</v>
      </c>
      <c r="D457" s="1">
        <v>50.0</v>
      </c>
      <c r="E457" s="1">
        <v>2169.0</v>
      </c>
      <c r="F457" s="1">
        <v>0.0</v>
      </c>
    </row>
    <row r="458">
      <c r="A458" s="1" t="s">
        <v>3</v>
      </c>
      <c r="B458" s="2">
        <v>43451.0</v>
      </c>
      <c r="C458" s="2">
        <v>43457.0</v>
      </c>
      <c r="D458" s="1">
        <v>51.0</v>
      </c>
      <c r="E458" s="1">
        <v>2181.0</v>
      </c>
      <c r="F458" s="1">
        <v>0.0</v>
      </c>
    </row>
    <row r="459">
      <c r="A459" s="1" t="s">
        <v>3</v>
      </c>
      <c r="B459" s="2">
        <v>43458.0</v>
      </c>
      <c r="C459" s="2">
        <v>43464.0</v>
      </c>
      <c r="D459" s="1">
        <v>52.0</v>
      </c>
      <c r="E459" s="1">
        <v>2204.0</v>
      </c>
      <c r="F459" s="1">
        <v>0.0</v>
      </c>
    </row>
    <row r="460">
      <c r="A460" s="1" t="s">
        <v>3</v>
      </c>
      <c r="B460" s="2">
        <v>43465.0</v>
      </c>
      <c r="C460" s="3">
        <v>43471.0</v>
      </c>
      <c r="D460" s="1">
        <v>1.0</v>
      </c>
      <c r="E460" s="1">
        <v>2238.0</v>
      </c>
      <c r="F460" s="1">
        <v>0.0</v>
      </c>
    </row>
    <row r="461">
      <c r="A461" s="1" t="s">
        <v>3</v>
      </c>
      <c r="B461" s="3">
        <v>43472.0</v>
      </c>
      <c r="C461" s="3">
        <v>43478.0</v>
      </c>
      <c r="D461" s="1">
        <v>2.0</v>
      </c>
      <c r="E461" s="1">
        <v>2126.0</v>
      </c>
      <c r="F461" s="1">
        <v>0.0</v>
      </c>
    </row>
    <row r="462">
      <c r="A462" s="1" t="s">
        <v>3</v>
      </c>
      <c r="B462" s="3">
        <v>43479.0</v>
      </c>
      <c r="C462" s="3">
        <v>43485.0</v>
      </c>
      <c r="D462" s="1">
        <v>3.0</v>
      </c>
      <c r="E462" s="1">
        <v>2132.0</v>
      </c>
      <c r="F462" s="1">
        <v>0.0</v>
      </c>
    </row>
    <row r="463">
      <c r="A463" s="1" t="s">
        <v>3</v>
      </c>
      <c r="B463" s="3">
        <v>43486.0</v>
      </c>
      <c r="C463" s="3">
        <v>43492.0</v>
      </c>
      <c r="D463" s="1">
        <v>4.0</v>
      </c>
      <c r="E463" s="1">
        <v>2126.0</v>
      </c>
      <c r="F463" s="1">
        <v>0.0</v>
      </c>
    </row>
    <row r="464">
      <c r="A464" s="1" t="s">
        <v>3</v>
      </c>
      <c r="B464" s="3">
        <v>43493.0</v>
      </c>
      <c r="C464" s="3">
        <v>43499.0</v>
      </c>
      <c r="D464" s="1">
        <v>5.0</v>
      </c>
      <c r="E464" s="1">
        <v>2345.0</v>
      </c>
      <c r="F464" s="1">
        <v>0.0</v>
      </c>
    </row>
    <row r="465">
      <c r="A465" s="1" t="s">
        <v>3</v>
      </c>
      <c r="B465" s="3">
        <v>43500.0</v>
      </c>
      <c r="C465" s="3">
        <v>43506.0</v>
      </c>
      <c r="D465" s="1">
        <v>6.0</v>
      </c>
      <c r="E465" s="1">
        <v>2307.0</v>
      </c>
      <c r="F465" s="1">
        <v>0.0</v>
      </c>
    </row>
    <row r="466">
      <c r="A466" s="1" t="s">
        <v>3</v>
      </c>
      <c r="B466" s="3">
        <v>43507.0</v>
      </c>
      <c r="C466" s="3">
        <v>43513.0</v>
      </c>
      <c r="D466" s="1">
        <v>7.0</v>
      </c>
      <c r="E466" s="1">
        <v>2251.0</v>
      </c>
      <c r="F466" s="1">
        <v>0.0</v>
      </c>
    </row>
    <row r="467">
      <c r="A467" s="1" t="s">
        <v>3</v>
      </c>
      <c r="B467" s="3">
        <v>43514.0</v>
      </c>
      <c r="C467" s="3">
        <v>43520.0</v>
      </c>
      <c r="D467" s="1">
        <v>8.0</v>
      </c>
      <c r="E467" s="1">
        <v>2317.0</v>
      </c>
      <c r="F467" s="1">
        <v>0.0</v>
      </c>
    </row>
    <row r="468">
      <c r="A468" s="1" t="s">
        <v>3</v>
      </c>
      <c r="B468" s="3">
        <v>43521.0</v>
      </c>
      <c r="C468" s="3">
        <v>43527.0</v>
      </c>
      <c r="D468" s="1">
        <v>9.0</v>
      </c>
      <c r="E468" s="1">
        <v>2372.0</v>
      </c>
      <c r="F468" s="1">
        <v>0.0</v>
      </c>
    </row>
    <row r="469">
      <c r="A469" s="1" t="s">
        <v>3</v>
      </c>
      <c r="B469" s="3">
        <v>43528.0</v>
      </c>
      <c r="C469" s="3">
        <v>43534.0</v>
      </c>
      <c r="D469" s="1">
        <v>10.0</v>
      </c>
      <c r="E469" s="1">
        <v>2293.0</v>
      </c>
      <c r="F469" s="1">
        <v>0.0</v>
      </c>
    </row>
    <row r="470">
      <c r="A470" s="1" t="s">
        <v>3</v>
      </c>
      <c r="B470" s="3">
        <v>43535.0</v>
      </c>
      <c r="C470" s="3">
        <v>43541.0</v>
      </c>
      <c r="D470" s="1">
        <v>11.0</v>
      </c>
      <c r="E470" s="1">
        <v>2252.0</v>
      </c>
      <c r="F470" s="1">
        <v>0.0</v>
      </c>
    </row>
    <row r="471">
      <c r="A471" s="1" t="s">
        <v>3</v>
      </c>
      <c r="B471" s="3">
        <v>43542.0</v>
      </c>
      <c r="C471" s="3">
        <v>43548.0</v>
      </c>
      <c r="D471" s="1">
        <v>12.0</v>
      </c>
      <c r="E471" s="1">
        <v>2107.0</v>
      </c>
      <c r="F471" s="1">
        <v>0.0</v>
      </c>
    </row>
    <row r="472">
      <c r="A472" s="1" t="s">
        <v>3</v>
      </c>
      <c r="B472" s="3">
        <v>43549.0</v>
      </c>
      <c r="C472" s="3">
        <v>43555.0</v>
      </c>
      <c r="D472" s="1">
        <v>13.0</v>
      </c>
      <c r="E472" s="1">
        <v>2110.0</v>
      </c>
      <c r="F472" s="1">
        <v>0.0</v>
      </c>
    </row>
    <row r="473">
      <c r="A473" s="1" t="s">
        <v>3</v>
      </c>
      <c r="B473" s="3">
        <v>43556.0</v>
      </c>
      <c r="C473" s="3">
        <v>43562.0</v>
      </c>
      <c r="D473" s="1">
        <v>14.0</v>
      </c>
      <c r="E473" s="1">
        <v>2039.0</v>
      </c>
      <c r="F473" s="1">
        <v>0.0</v>
      </c>
    </row>
    <row r="474">
      <c r="A474" s="1" t="s">
        <v>3</v>
      </c>
      <c r="B474" s="3">
        <v>43563.0</v>
      </c>
      <c r="C474" s="3">
        <v>43569.0</v>
      </c>
      <c r="D474" s="1">
        <v>15.0</v>
      </c>
      <c r="E474" s="1">
        <v>2096.0</v>
      </c>
      <c r="F474" s="1">
        <v>0.0</v>
      </c>
    </row>
    <row r="475">
      <c r="A475" s="1" t="s">
        <v>3</v>
      </c>
      <c r="B475" s="3">
        <v>43570.0</v>
      </c>
      <c r="C475" s="3">
        <v>43576.0</v>
      </c>
      <c r="D475" s="1">
        <v>16.0</v>
      </c>
      <c r="E475" s="1">
        <v>2139.0</v>
      </c>
      <c r="F475" s="1">
        <v>0.0</v>
      </c>
    </row>
    <row r="476">
      <c r="A476" s="1" t="s">
        <v>3</v>
      </c>
      <c r="B476" s="3">
        <v>43577.0</v>
      </c>
      <c r="C476" s="3">
        <v>43583.0</v>
      </c>
      <c r="D476" s="1">
        <v>17.0</v>
      </c>
      <c r="E476" s="1">
        <v>2023.0</v>
      </c>
      <c r="F476" s="1">
        <v>0.0</v>
      </c>
    </row>
    <row r="477">
      <c r="A477" s="1" t="s">
        <v>3</v>
      </c>
      <c r="B477" s="3">
        <v>43584.0</v>
      </c>
      <c r="C477" s="3">
        <v>43590.0</v>
      </c>
      <c r="D477" s="1">
        <v>18.0</v>
      </c>
      <c r="E477" s="1">
        <v>2042.0</v>
      </c>
      <c r="F477" s="1">
        <v>0.0</v>
      </c>
    </row>
    <row r="478">
      <c r="A478" s="1" t="s">
        <v>3</v>
      </c>
      <c r="B478" s="3">
        <v>43591.0</v>
      </c>
      <c r="C478" s="3">
        <v>43597.0</v>
      </c>
      <c r="D478" s="1">
        <v>19.0</v>
      </c>
      <c r="E478" s="1">
        <v>1981.0</v>
      </c>
      <c r="F478" s="1">
        <v>0.0</v>
      </c>
    </row>
    <row r="479">
      <c r="A479" s="1" t="s">
        <v>3</v>
      </c>
      <c r="B479" s="3">
        <v>43598.0</v>
      </c>
      <c r="C479" s="3">
        <v>43604.0</v>
      </c>
      <c r="D479" s="1">
        <v>20.0</v>
      </c>
      <c r="E479" s="1">
        <v>2021.0</v>
      </c>
      <c r="F479" s="1">
        <v>0.0</v>
      </c>
    </row>
    <row r="480">
      <c r="A480" s="1" t="s">
        <v>3</v>
      </c>
      <c r="B480" s="3">
        <v>43605.0</v>
      </c>
      <c r="C480" s="3">
        <v>43611.0</v>
      </c>
      <c r="D480" s="1">
        <v>21.0</v>
      </c>
      <c r="E480" s="1">
        <v>1995.0</v>
      </c>
      <c r="F480" s="1">
        <v>0.0</v>
      </c>
    </row>
    <row r="481">
      <c r="A481" s="1" t="s">
        <v>3</v>
      </c>
      <c r="B481" s="3">
        <v>43612.0</v>
      </c>
      <c r="C481" s="3">
        <v>43618.0</v>
      </c>
      <c r="D481" s="1">
        <v>22.0</v>
      </c>
      <c r="E481" s="1">
        <v>2080.0</v>
      </c>
      <c r="F481" s="1">
        <v>0.0</v>
      </c>
    </row>
    <row r="482">
      <c r="A482" s="1" t="s">
        <v>3</v>
      </c>
      <c r="B482" s="3">
        <v>43619.0</v>
      </c>
      <c r="C482" s="3">
        <v>43625.0</v>
      </c>
      <c r="D482" s="1">
        <v>23.0</v>
      </c>
      <c r="E482" s="1">
        <v>2124.0</v>
      </c>
      <c r="F482" s="1">
        <v>0.0</v>
      </c>
    </row>
    <row r="483">
      <c r="A483" s="1" t="s">
        <v>3</v>
      </c>
      <c r="B483" s="3">
        <v>43626.0</v>
      </c>
      <c r="C483" s="3">
        <v>43632.0</v>
      </c>
      <c r="D483" s="1">
        <v>24.0</v>
      </c>
      <c r="E483" s="1">
        <v>2169.0</v>
      </c>
      <c r="F483" s="1">
        <v>0.0</v>
      </c>
    </row>
    <row r="484">
      <c r="A484" s="1" t="s">
        <v>3</v>
      </c>
      <c r="B484" s="3">
        <v>43633.0</v>
      </c>
      <c r="C484" s="3">
        <v>43639.0</v>
      </c>
      <c r="D484" s="1">
        <v>25.0</v>
      </c>
      <c r="E484" s="1">
        <v>2257.0</v>
      </c>
      <c r="F484" s="1">
        <v>0.0</v>
      </c>
    </row>
    <row r="485">
      <c r="A485" s="1" t="s">
        <v>3</v>
      </c>
      <c r="B485" s="3">
        <v>43640.0</v>
      </c>
      <c r="C485" s="3">
        <v>43646.0</v>
      </c>
      <c r="D485" s="1">
        <v>26.0</v>
      </c>
      <c r="E485" s="1">
        <v>2182.0</v>
      </c>
      <c r="F485" s="1">
        <v>0.0</v>
      </c>
    </row>
    <row r="486">
      <c r="A486" s="1" t="s">
        <v>3</v>
      </c>
      <c r="B486" s="3">
        <v>43647.0</v>
      </c>
      <c r="C486" s="3">
        <v>43653.0</v>
      </c>
      <c r="D486" s="1">
        <v>27.0</v>
      </c>
      <c r="E486" s="1">
        <v>2234.0</v>
      </c>
      <c r="F486" s="1">
        <v>0.0</v>
      </c>
    </row>
    <row r="487">
      <c r="A487" s="1" t="s">
        <v>3</v>
      </c>
      <c r="B487" s="3">
        <v>43654.0</v>
      </c>
      <c r="C487" s="3">
        <v>43660.0</v>
      </c>
      <c r="D487" s="1">
        <v>28.0</v>
      </c>
      <c r="E487" s="1">
        <v>2182.0</v>
      </c>
      <c r="F487" s="1">
        <v>0.0</v>
      </c>
    </row>
    <row r="488">
      <c r="A488" s="1" t="s">
        <v>3</v>
      </c>
      <c r="B488" s="3">
        <v>43661.0</v>
      </c>
      <c r="C488" s="3">
        <v>43667.0</v>
      </c>
      <c r="D488" s="1">
        <v>29.0</v>
      </c>
      <c r="E488" s="1">
        <v>2255.0</v>
      </c>
      <c r="F488" s="1">
        <v>0.0</v>
      </c>
    </row>
    <row r="489">
      <c r="A489" s="1" t="s">
        <v>3</v>
      </c>
      <c r="B489" s="3">
        <v>43668.0</v>
      </c>
      <c r="C489" s="3">
        <v>43674.0</v>
      </c>
      <c r="D489" s="1">
        <v>30.0</v>
      </c>
      <c r="E489" s="1">
        <v>2265.0</v>
      </c>
      <c r="F489" s="1">
        <v>0.0</v>
      </c>
    </row>
    <row r="490">
      <c r="A490" s="1" t="s">
        <v>3</v>
      </c>
      <c r="B490" s="3">
        <v>43675.0</v>
      </c>
      <c r="C490" s="3">
        <v>43681.0</v>
      </c>
      <c r="D490" s="1">
        <v>31.0</v>
      </c>
      <c r="E490" s="1">
        <v>2231.0</v>
      </c>
      <c r="F490" s="1">
        <v>0.0</v>
      </c>
    </row>
    <row r="491">
      <c r="A491" s="1" t="s">
        <v>3</v>
      </c>
      <c r="B491" s="3">
        <v>43682.0</v>
      </c>
      <c r="C491" s="3">
        <v>43688.0</v>
      </c>
      <c r="D491" s="1">
        <v>32.0</v>
      </c>
      <c r="E491" s="1">
        <v>2356.0</v>
      </c>
      <c r="F491" s="1">
        <v>0.0</v>
      </c>
    </row>
    <row r="492">
      <c r="A492" s="1" t="s">
        <v>3</v>
      </c>
      <c r="B492" s="3">
        <v>43689.0</v>
      </c>
      <c r="C492" s="3">
        <v>43695.0</v>
      </c>
      <c r="D492" s="1">
        <v>33.0</v>
      </c>
      <c r="E492" s="1">
        <v>2206.0</v>
      </c>
      <c r="F492" s="1">
        <v>0.0</v>
      </c>
    </row>
    <row r="493">
      <c r="A493" s="1" t="s">
        <v>3</v>
      </c>
      <c r="B493" s="3">
        <v>43696.0</v>
      </c>
      <c r="C493" s="3">
        <v>43702.0</v>
      </c>
      <c r="D493" s="1">
        <v>34.0</v>
      </c>
      <c r="E493" s="1">
        <v>2183.0</v>
      </c>
      <c r="F493" s="1">
        <v>0.0</v>
      </c>
    </row>
    <row r="494">
      <c r="A494" s="1" t="s">
        <v>3</v>
      </c>
      <c r="B494" s="3">
        <v>43703.0</v>
      </c>
      <c r="C494" s="3">
        <v>43709.0</v>
      </c>
      <c r="D494" s="1">
        <v>35.0</v>
      </c>
      <c r="E494" s="1">
        <v>2296.0</v>
      </c>
      <c r="F494" s="1">
        <v>0.0</v>
      </c>
    </row>
    <row r="495">
      <c r="A495" s="1" t="s">
        <v>3</v>
      </c>
      <c r="B495" s="3">
        <v>43710.0</v>
      </c>
      <c r="C495" s="3">
        <v>43716.0</v>
      </c>
      <c r="D495" s="1">
        <v>36.0</v>
      </c>
      <c r="E495" s="1">
        <v>2189.0</v>
      </c>
      <c r="F495" s="1">
        <v>0.0</v>
      </c>
    </row>
    <row r="496">
      <c r="A496" s="1" t="s">
        <v>3</v>
      </c>
      <c r="B496" s="3">
        <v>43717.0</v>
      </c>
      <c r="C496" s="3">
        <v>43723.0</v>
      </c>
      <c r="D496" s="1">
        <v>37.0</v>
      </c>
      <c r="E496" s="1">
        <v>2243.0</v>
      </c>
      <c r="F496" s="1">
        <v>0.0</v>
      </c>
    </row>
    <row r="497">
      <c r="A497" s="1" t="s">
        <v>3</v>
      </c>
      <c r="B497" s="3">
        <v>43724.0</v>
      </c>
      <c r="C497" s="3">
        <v>43730.0</v>
      </c>
      <c r="D497" s="1">
        <v>38.0</v>
      </c>
      <c r="E497" s="1">
        <v>2367.0</v>
      </c>
      <c r="F497" s="1">
        <v>0.0</v>
      </c>
    </row>
    <row r="498">
      <c r="A498" s="1" t="s">
        <v>3</v>
      </c>
      <c r="B498" s="3">
        <v>43731.0</v>
      </c>
      <c r="C498" s="3">
        <v>43737.0</v>
      </c>
      <c r="D498" s="1">
        <v>39.0</v>
      </c>
      <c r="E498" s="1">
        <v>2243.0</v>
      </c>
      <c r="F498" s="1">
        <v>0.0</v>
      </c>
    </row>
    <row r="499">
      <c r="A499" s="1" t="s">
        <v>3</v>
      </c>
      <c r="B499" s="3">
        <v>43738.0</v>
      </c>
      <c r="C499" s="2">
        <v>43744.0</v>
      </c>
      <c r="D499" s="1">
        <v>40.0</v>
      </c>
      <c r="E499" s="1">
        <v>2242.0</v>
      </c>
      <c r="F499" s="1">
        <v>0.0</v>
      </c>
    </row>
    <row r="500">
      <c r="A500" s="1" t="s">
        <v>3</v>
      </c>
      <c r="B500" s="2">
        <v>43745.0</v>
      </c>
      <c r="C500" s="2">
        <v>43751.0</v>
      </c>
      <c r="D500" s="1">
        <v>41.0</v>
      </c>
      <c r="E500" s="1">
        <v>2212.0</v>
      </c>
      <c r="F500" s="1">
        <v>0.0</v>
      </c>
    </row>
    <row r="501">
      <c r="A501" s="1" t="s">
        <v>3</v>
      </c>
      <c r="B501" s="2">
        <v>43752.0</v>
      </c>
      <c r="C501" s="2">
        <v>43758.0</v>
      </c>
      <c r="D501" s="1">
        <v>42.0</v>
      </c>
      <c r="E501" s="1">
        <v>2333.0</v>
      </c>
      <c r="F501" s="1">
        <v>0.0</v>
      </c>
    </row>
    <row r="502">
      <c r="A502" s="1" t="s">
        <v>3</v>
      </c>
      <c r="B502" s="2">
        <v>43759.0</v>
      </c>
      <c r="C502" s="2">
        <v>43765.0</v>
      </c>
      <c r="D502" s="1">
        <v>43.0</v>
      </c>
      <c r="E502" s="1">
        <v>2220.0</v>
      </c>
      <c r="F502" s="1">
        <v>0.0</v>
      </c>
    </row>
    <row r="503">
      <c r="A503" s="1" t="s">
        <v>3</v>
      </c>
      <c r="B503" s="2">
        <v>43766.0</v>
      </c>
      <c r="C503" s="2">
        <v>43772.0</v>
      </c>
      <c r="D503" s="1">
        <v>44.0</v>
      </c>
      <c r="E503" s="1">
        <v>2343.0</v>
      </c>
      <c r="F503" s="1">
        <v>0.0</v>
      </c>
    </row>
    <row r="504">
      <c r="A504" s="1" t="s">
        <v>3</v>
      </c>
      <c r="B504" s="2">
        <v>43773.0</v>
      </c>
      <c r="C504" s="2">
        <v>43779.0</v>
      </c>
      <c r="D504" s="1">
        <v>45.0</v>
      </c>
      <c r="E504" s="1">
        <v>2263.0</v>
      </c>
      <c r="F504" s="1">
        <v>0.0</v>
      </c>
    </row>
    <row r="505">
      <c r="A505" s="1" t="s">
        <v>3</v>
      </c>
      <c r="B505" s="2">
        <v>43780.0</v>
      </c>
      <c r="C505" s="2">
        <v>43786.0</v>
      </c>
      <c r="D505" s="1">
        <v>46.0</v>
      </c>
      <c r="E505" s="1">
        <v>2222.0</v>
      </c>
      <c r="F505" s="1">
        <v>0.0</v>
      </c>
    </row>
    <row r="506">
      <c r="A506" s="1" t="s">
        <v>3</v>
      </c>
      <c r="B506" s="2">
        <v>43787.0</v>
      </c>
      <c r="C506" s="2">
        <v>43793.0</v>
      </c>
      <c r="D506" s="1">
        <v>47.0</v>
      </c>
      <c r="E506" s="1">
        <v>2198.0</v>
      </c>
      <c r="F506" s="1">
        <v>0.0</v>
      </c>
    </row>
    <row r="507">
      <c r="A507" s="1" t="s">
        <v>3</v>
      </c>
      <c r="B507" s="2">
        <v>43794.0</v>
      </c>
      <c r="C507" s="2">
        <v>43800.0</v>
      </c>
      <c r="D507" s="1">
        <v>48.0</v>
      </c>
      <c r="E507" s="1">
        <v>2197.0</v>
      </c>
      <c r="F507" s="1">
        <v>0.0</v>
      </c>
    </row>
    <row r="508">
      <c r="A508" s="1" t="s">
        <v>3</v>
      </c>
      <c r="B508" s="2">
        <v>43801.0</v>
      </c>
      <c r="C508" s="2">
        <v>43807.0</v>
      </c>
      <c r="D508" s="1">
        <v>49.0</v>
      </c>
      <c r="E508" s="1">
        <v>2251.0</v>
      </c>
      <c r="F508" s="1">
        <v>0.0</v>
      </c>
    </row>
    <row r="509">
      <c r="A509" s="1" t="s">
        <v>3</v>
      </c>
      <c r="B509" s="2">
        <v>43808.0</v>
      </c>
      <c r="C509" s="2">
        <v>43814.0</v>
      </c>
      <c r="D509" s="1">
        <v>50.0</v>
      </c>
      <c r="E509" s="1">
        <v>2207.0</v>
      </c>
      <c r="F509" s="1">
        <v>0.0</v>
      </c>
    </row>
    <row r="510">
      <c r="A510" s="1" t="s">
        <v>3</v>
      </c>
      <c r="B510" s="2">
        <v>43815.0</v>
      </c>
      <c r="C510" s="2">
        <v>43821.0</v>
      </c>
      <c r="D510" s="1">
        <v>51.0</v>
      </c>
      <c r="E510" s="1">
        <v>2172.0</v>
      </c>
      <c r="F510" s="1">
        <v>0.0</v>
      </c>
    </row>
    <row r="511">
      <c r="A511" s="1" t="s">
        <v>3</v>
      </c>
      <c r="B511" s="2">
        <v>43822.0</v>
      </c>
      <c r="C511" s="2">
        <v>43828.0</v>
      </c>
      <c r="D511" s="1">
        <v>52.0</v>
      </c>
      <c r="E511" s="1">
        <v>2325.0</v>
      </c>
      <c r="F511" s="1">
        <v>0.0</v>
      </c>
    </row>
    <row r="512">
      <c r="A512" s="1" t="s">
        <v>3</v>
      </c>
      <c r="B512" s="2">
        <v>43829.0</v>
      </c>
      <c r="C512" s="3">
        <v>43835.0</v>
      </c>
      <c r="D512" s="1">
        <v>1.0</v>
      </c>
      <c r="E512" s="1">
        <v>2407.0</v>
      </c>
      <c r="F512" s="1">
        <v>0.0</v>
      </c>
    </row>
    <row r="513">
      <c r="A513" s="1" t="s">
        <v>3</v>
      </c>
      <c r="B513" s="3">
        <v>43836.0</v>
      </c>
      <c r="C513" s="3">
        <v>43842.0</v>
      </c>
      <c r="D513" s="1">
        <v>2.0</v>
      </c>
      <c r="E513" s="1">
        <v>2428.0</v>
      </c>
      <c r="F513" s="1">
        <v>0.0</v>
      </c>
    </row>
    <row r="514">
      <c r="A514" s="1" t="s">
        <v>3</v>
      </c>
      <c r="B514" s="3">
        <v>43843.0</v>
      </c>
      <c r="C514" s="3">
        <v>43849.0</v>
      </c>
      <c r="D514" s="1">
        <v>3.0</v>
      </c>
      <c r="E514" s="1">
        <v>2329.0</v>
      </c>
      <c r="F514" s="1">
        <v>0.0</v>
      </c>
    </row>
    <row r="515">
      <c r="A515" s="1" t="s">
        <v>3</v>
      </c>
      <c r="B515" s="3">
        <v>43850.0</v>
      </c>
      <c r="C515" s="3">
        <v>43856.0</v>
      </c>
      <c r="D515" s="1">
        <v>4.0</v>
      </c>
      <c r="E515" s="1">
        <v>2358.0</v>
      </c>
      <c r="F515" s="1">
        <v>0.0</v>
      </c>
    </row>
    <row r="516">
      <c r="A516" s="1" t="s">
        <v>3</v>
      </c>
      <c r="B516" s="3">
        <v>43857.0</v>
      </c>
      <c r="C516" s="3">
        <v>43863.0</v>
      </c>
      <c r="D516" s="1">
        <v>5.0</v>
      </c>
      <c r="E516" s="1">
        <v>2255.0</v>
      </c>
      <c r="F516" s="1">
        <v>0.0</v>
      </c>
    </row>
    <row r="517">
      <c r="A517" s="1" t="s">
        <v>3</v>
      </c>
      <c r="B517" s="3">
        <v>43864.0</v>
      </c>
      <c r="C517" s="3">
        <v>43870.0</v>
      </c>
      <c r="D517" s="1">
        <v>6.0</v>
      </c>
      <c r="E517" s="1">
        <v>2330.0</v>
      </c>
      <c r="F517" s="1">
        <v>0.0</v>
      </c>
    </row>
    <row r="518">
      <c r="A518" s="1" t="s">
        <v>3</v>
      </c>
      <c r="B518" s="3">
        <v>43871.0</v>
      </c>
      <c r="C518" s="3">
        <v>43877.0</v>
      </c>
      <c r="D518" s="1">
        <v>7.0</v>
      </c>
      <c r="E518" s="1">
        <v>2354.0</v>
      </c>
      <c r="F518" s="1">
        <v>0.0</v>
      </c>
    </row>
    <row r="519">
      <c r="A519" s="1" t="s">
        <v>3</v>
      </c>
      <c r="B519" s="3">
        <v>43878.0</v>
      </c>
      <c r="C519" s="3">
        <v>43884.0</v>
      </c>
      <c r="D519" s="1">
        <v>8.0</v>
      </c>
      <c r="E519" s="1">
        <v>2346.0</v>
      </c>
      <c r="F519" s="1">
        <v>0.0</v>
      </c>
    </row>
    <row r="520">
      <c r="A520" s="12" t="s">
        <v>3</v>
      </c>
      <c r="B520" s="13">
        <v>43885.0</v>
      </c>
      <c r="C520" s="14">
        <v>43891.0</v>
      </c>
      <c r="D520" s="12">
        <v>9.0</v>
      </c>
      <c r="E520" s="12">
        <v>2417.0</v>
      </c>
      <c r="F520" s="12">
        <v>0.0</v>
      </c>
      <c r="G520" s="15"/>
      <c r="H520" s="15"/>
    </row>
    <row r="521">
      <c r="A521" s="12" t="s">
        <v>3</v>
      </c>
      <c r="B521" s="14">
        <v>43892.0</v>
      </c>
      <c r="C521" s="13">
        <v>43898.0</v>
      </c>
      <c r="D521" s="12">
        <v>10.0</v>
      </c>
      <c r="E521" s="12">
        <v>2409.0</v>
      </c>
      <c r="F521" s="12">
        <v>2.0</v>
      </c>
      <c r="G521" s="15"/>
      <c r="H521" s="15"/>
    </row>
    <row r="522">
      <c r="A522" s="1" t="s">
        <v>3</v>
      </c>
      <c r="B522" s="3">
        <v>43899.0</v>
      </c>
      <c r="C522" s="3">
        <v>43905.0</v>
      </c>
      <c r="D522" s="1">
        <v>11.0</v>
      </c>
      <c r="E522" s="1">
        <v>2469.0</v>
      </c>
      <c r="F522" s="1">
        <v>3.0</v>
      </c>
    </row>
    <row r="523">
      <c r="A523" s="1" t="s">
        <v>3</v>
      </c>
      <c r="B523" s="3">
        <v>43906.0</v>
      </c>
      <c r="C523" s="3">
        <v>43912.0</v>
      </c>
      <c r="D523" s="1">
        <v>12.0</v>
      </c>
      <c r="E523" s="1">
        <v>2185.0</v>
      </c>
      <c r="F523" s="1">
        <v>29.0</v>
      </c>
    </row>
    <row r="524">
      <c r="A524" s="1" t="s">
        <v>3</v>
      </c>
      <c r="B524" s="3">
        <v>43913.0</v>
      </c>
      <c r="C524" s="3">
        <v>43919.0</v>
      </c>
      <c r="D524" s="1">
        <v>13.0</v>
      </c>
      <c r="E524" s="1">
        <v>2150.0</v>
      </c>
      <c r="F524" s="1">
        <v>61.0</v>
      </c>
    </row>
    <row r="525">
      <c r="A525" s="1" t="s">
        <v>3</v>
      </c>
      <c r="B525" s="3">
        <v>43920.0</v>
      </c>
      <c r="C525" s="3">
        <v>43926.0</v>
      </c>
      <c r="D525" s="1">
        <v>14.0</v>
      </c>
      <c r="E525" s="1">
        <v>2390.0</v>
      </c>
      <c r="F525" s="1">
        <v>222.0</v>
      </c>
    </row>
    <row r="526">
      <c r="A526" s="1" t="s">
        <v>3</v>
      </c>
      <c r="B526" s="3">
        <v>43927.0</v>
      </c>
      <c r="C526" s="3">
        <v>43933.0</v>
      </c>
      <c r="D526" s="1">
        <v>15.0</v>
      </c>
      <c r="E526" s="1">
        <v>2514.0</v>
      </c>
      <c r="F526" s="1">
        <v>529.0</v>
      </c>
    </row>
    <row r="527">
      <c r="A527" s="1" t="s">
        <v>3</v>
      </c>
      <c r="B527" s="3">
        <v>43934.0</v>
      </c>
      <c r="C527" s="3">
        <v>43940.0</v>
      </c>
      <c r="D527" s="1">
        <v>16.0</v>
      </c>
      <c r="E527" s="1">
        <v>3096.0</v>
      </c>
      <c r="F527" s="1">
        <v>940.0</v>
      </c>
    </row>
    <row r="528">
      <c r="A528" s="1" t="s">
        <v>3</v>
      </c>
      <c r="B528" s="3">
        <v>43941.0</v>
      </c>
      <c r="C528" s="3">
        <v>43947.0</v>
      </c>
      <c r="D528" s="1">
        <v>17.0</v>
      </c>
      <c r="E528" s="1">
        <v>3881.0</v>
      </c>
      <c r="F528" s="1">
        <v>1702.0</v>
      </c>
    </row>
    <row r="529">
      <c r="A529" s="1" t="s">
        <v>3</v>
      </c>
      <c r="B529" s="3">
        <v>43948.0</v>
      </c>
      <c r="C529" s="3">
        <v>43954.0</v>
      </c>
      <c r="D529" s="1">
        <v>18.0</v>
      </c>
      <c r="E529" s="1">
        <v>4752.0</v>
      </c>
      <c r="F529" s="1">
        <v>2516.0</v>
      </c>
    </row>
    <row r="530">
      <c r="A530" s="1" t="s">
        <v>3</v>
      </c>
      <c r="B530" s="3">
        <v>43955.0</v>
      </c>
      <c r="C530" s="3">
        <v>43961.0</v>
      </c>
      <c r="D530" s="1">
        <v>19.0</v>
      </c>
      <c r="E530" s="1">
        <v>5451.0</v>
      </c>
      <c r="F530" s="1">
        <v>3254.0</v>
      </c>
    </row>
    <row r="531">
      <c r="A531" s="1" t="s">
        <v>3</v>
      </c>
      <c r="B531" s="3">
        <v>43962.0</v>
      </c>
      <c r="C531" s="3">
        <v>43968.0</v>
      </c>
      <c r="D531" s="1">
        <v>20.0</v>
      </c>
      <c r="E531" s="1">
        <v>5967.0</v>
      </c>
      <c r="F531" s="1">
        <v>3577.0</v>
      </c>
    </row>
    <row r="532">
      <c r="A532" s="1" t="s">
        <v>3</v>
      </c>
      <c r="B532" s="3">
        <v>43969.0</v>
      </c>
      <c r="C532" s="3">
        <v>43975.0</v>
      </c>
      <c r="D532" s="1">
        <v>21.0</v>
      </c>
      <c r="E532" s="1">
        <v>6347.0</v>
      </c>
      <c r="F532" s="1">
        <v>3809.0</v>
      </c>
    </row>
    <row r="533">
      <c r="A533" s="1" t="s">
        <v>3</v>
      </c>
      <c r="B533" s="3">
        <v>43976.0</v>
      </c>
      <c r="C533" s="3">
        <v>43982.0</v>
      </c>
      <c r="D533" s="1">
        <v>22.0</v>
      </c>
      <c r="E533" s="1">
        <v>6554.0</v>
      </c>
      <c r="F533" s="1">
        <v>4066.0</v>
      </c>
    </row>
    <row r="534">
      <c r="A534" s="1" t="s">
        <v>3</v>
      </c>
      <c r="B534" s="3">
        <v>43983.0</v>
      </c>
      <c r="C534" s="3">
        <v>43989.0</v>
      </c>
      <c r="D534" s="1">
        <v>23.0</v>
      </c>
      <c r="E534" s="1">
        <v>6647.0</v>
      </c>
      <c r="F534" s="1">
        <v>4124.0</v>
      </c>
    </row>
    <row r="535">
      <c r="A535" s="1" t="s">
        <v>3</v>
      </c>
      <c r="B535" s="3">
        <v>43990.0</v>
      </c>
      <c r="C535" s="3">
        <v>43996.0</v>
      </c>
      <c r="D535" s="1">
        <v>24.0</v>
      </c>
      <c r="E535" s="1">
        <v>6725.0</v>
      </c>
      <c r="F535" s="1">
        <v>4176.0</v>
      </c>
    </row>
    <row r="536">
      <c r="A536" s="1" t="s">
        <v>3</v>
      </c>
      <c r="B536" s="3">
        <v>43997.0</v>
      </c>
      <c r="C536" s="3">
        <v>44003.0</v>
      </c>
      <c r="D536" s="1">
        <v>25.0</v>
      </c>
      <c r="E536" s="1">
        <v>6593.0</v>
      </c>
      <c r="F536" s="1">
        <v>4330.0</v>
      </c>
    </row>
    <row r="537">
      <c r="A537" s="1" t="s">
        <v>3</v>
      </c>
      <c r="B537" s="3">
        <v>44004.0</v>
      </c>
      <c r="C537" s="3">
        <v>44010.0</v>
      </c>
      <c r="D537" s="1">
        <v>26.0</v>
      </c>
      <c r="E537" s="1">
        <v>6159.0</v>
      </c>
      <c r="F537" s="1">
        <v>3530.0</v>
      </c>
    </row>
    <row r="538">
      <c r="A538" s="1" t="s">
        <v>3</v>
      </c>
      <c r="B538" s="3">
        <v>44011.0</v>
      </c>
      <c r="C538" s="3">
        <v>44017.0</v>
      </c>
      <c r="D538" s="1">
        <v>27.0</v>
      </c>
      <c r="E538" s="1">
        <v>6237.0</v>
      </c>
      <c r="F538" s="1">
        <v>3755.0</v>
      </c>
    </row>
    <row r="539">
      <c r="A539" s="1" t="s">
        <v>3</v>
      </c>
      <c r="B539" s="3">
        <v>44018.0</v>
      </c>
      <c r="C539" s="3">
        <v>44024.0</v>
      </c>
      <c r="D539" s="1">
        <v>28.0</v>
      </c>
      <c r="E539" s="1">
        <v>6493.0</v>
      </c>
      <c r="F539" s="1">
        <v>3903.0</v>
      </c>
    </row>
    <row r="540">
      <c r="A540" s="1" t="s">
        <v>3</v>
      </c>
      <c r="B540" s="3">
        <v>44025.0</v>
      </c>
      <c r="C540" s="3">
        <v>44031.0</v>
      </c>
      <c r="D540" s="1">
        <v>29.0</v>
      </c>
      <c r="E540" s="1">
        <v>6763.0</v>
      </c>
      <c r="F540" s="1">
        <v>4901.0</v>
      </c>
    </row>
    <row r="541">
      <c r="A541" s="1" t="s">
        <v>3</v>
      </c>
      <c r="B541" s="3">
        <v>44032.0</v>
      </c>
      <c r="C541" s="3">
        <v>44038.0</v>
      </c>
      <c r="D541" s="1">
        <v>30.0</v>
      </c>
      <c r="E541" s="1">
        <v>6778.0</v>
      </c>
      <c r="F541" s="1">
        <v>3480.0</v>
      </c>
    </row>
    <row r="542">
      <c r="A542" s="1" t="s">
        <v>3</v>
      </c>
      <c r="B542" s="3">
        <v>44039.0</v>
      </c>
      <c r="C542" s="3">
        <v>44045.0</v>
      </c>
      <c r="D542" s="1">
        <v>31.0</v>
      </c>
      <c r="E542" s="1">
        <v>6918.0</v>
      </c>
      <c r="F542" s="1">
        <v>4376.0</v>
      </c>
    </row>
    <row r="543">
      <c r="A543" s="1" t="s">
        <v>3</v>
      </c>
      <c r="B543" s="3">
        <v>44046.0</v>
      </c>
      <c r="C543" s="3">
        <v>44052.0</v>
      </c>
      <c r="D543" s="1">
        <v>32.0</v>
      </c>
      <c r="E543" s="1">
        <v>7120.0</v>
      </c>
      <c r="F543" s="1">
        <v>4433.0</v>
      </c>
    </row>
    <row r="544">
      <c r="A544" s="1" t="s">
        <v>3</v>
      </c>
      <c r="B544" s="3">
        <v>44053.0</v>
      </c>
      <c r="C544" s="3">
        <v>44059.0</v>
      </c>
      <c r="D544" s="1">
        <v>33.0</v>
      </c>
      <c r="E544" s="1">
        <v>6717.0</v>
      </c>
      <c r="F544" s="1">
        <v>4322.0</v>
      </c>
    </row>
    <row r="545">
      <c r="A545" s="1" t="s">
        <v>3</v>
      </c>
      <c r="B545" s="3">
        <v>44060.0</v>
      </c>
      <c r="C545" s="3">
        <v>44066.0</v>
      </c>
      <c r="D545" s="1">
        <v>34.0</v>
      </c>
      <c r="E545" s="1">
        <v>6128.0</v>
      </c>
      <c r="F545" s="1">
        <v>3786.0</v>
      </c>
    </row>
    <row r="546">
      <c r="A546" s="1" t="s">
        <v>3</v>
      </c>
      <c r="B546" s="3">
        <v>44067.0</v>
      </c>
      <c r="C546" s="3">
        <v>44073.0</v>
      </c>
      <c r="D546" s="1">
        <v>35.0</v>
      </c>
      <c r="E546" s="1">
        <v>5578.0</v>
      </c>
      <c r="F546" s="1">
        <v>3401.0</v>
      </c>
    </row>
    <row r="547">
      <c r="A547" s="1" t="s">
        <v>3</v>
      </c>
      <c r="B547" s="3">
        <v>44074.0</v>
      </c>
      <c r="C547" s="3">
        <v>44080.0</v>
      </c>
      <c r="D547" s="1">
        <v>36.0</v>
      </c>
      <c r="E547" s="1">
        <v>4730.0</v>
      </c>
      <c r="F547" s="1">
        <v>2674.0</v>
      </c>
    </row>
    <row r="548">
      <c r="A548" s="1" t="s">
        <v>3</v>
      </c>
      <c r="B548" s="3">
        <v>44081.0</v>
      </c>
      <c r="C548" s="3">
        <v>44087.0</v>
      </c>
      <c r="D548" s="1">
        <v>37.0</v>
      </c>
      <c r="E548" s="1">
        <v>4275.0</v>
      </c>
      <c r="F548" s="1">
        <v>2214.0</v>
      </c>
    </row>
    <row r="549">
      <c r="A549" s="1" t="s">
        <v>3</v>
      </c>
      <c r="B549" s="3">
        <v>44088.0</v>
      </c>
      <c r="C549" s="3">
        <v>44094.0</v>
      </c>
      <c r="D549" s="1">
        <v>38.0</v>
      </c>
      <c r="E549" s="1">
        <v>3885.0</v>
      </c>
      <c r="F549" s="1">
        <v>1889.0</v>
      </c>
    </row>
    <row r="550">
      <c r="A550" s="1" t="s">
        <v>3</v>
      </c>
      <c r="B550" s="3">
        <v>44095.0</v>
      </c>
      <c r="C550" s="3">
        <v>44101.0</v>
      </c>
      <c r="D550" s="1">
        <v>39.0</v>
      </c>
      <c r="E550" s="1">
        <v>3483.0</v>
      </c>
      <c r="F550" s="1">
        <v>1591.0</v>
      </c>
    </row>
    <row r="551">
      <c r="A551" s="1" t="s">
        <v>3</v>
      </c>
      <c r="B551" s="3">
        <v>44102.0</v>
      </c>
      <c r="C551" s="2">
        <v>44108.0</v>
      </c>
      <c r="D551" s="1">
        <v>40.0</v>
      </c>
      <c r="E551" s="1">
        <v>3235.0</v>
      </c>
      <c r="F551" s="1">
        <v>1213.0</v>
      </c>
    </row>
    <row r="552">
      <c r="A552" s="1" t="s">
        <v>3</v>
      </c>
      <c r="B552" s="2">
        <v>44109.0</v>
      </c>
      <c r="C552" s="2">
        <v>44115.0</v>
      </c>
      <c r="D552" s="1">
        <v>41.0</v>
      </c>
      <c r="E552" s="1">
        <v>3147.0</v>
      </c>
      <c r="F552" s="1">
        <v>1170.0</v>
      </c>
    </row>
    <row r="553">
      <c r="A553" s="1" t="s">
        <v>3</v>
      </c>
      <c r="B553" s="2">
        <v>44116.0</v>
      </c>
      <c r="C553" s="2">
        <v>44122.0</v>
      </c>
      <c r="D553" s="1">
        <v>42.0</v>
      </c>
      <c r="E553" s="1">
        <v>3001.0</v>
      </c>
      <c r="F553" s="1">
        <v>978.0</v>
      </c>
    </row>
    <row r="554">
      <c r="A554" s="1" t="s">
        <v>3</v>
      </c>
      <c r="B554" s="2">
        <v>44123.0</v>
      </c>
      <c r="C554" s="2">
        <v>44129.0</v>
      </c>
      <c r="D554" s="1">
        <v>43.0</v>
      </c>
      <c r="E554" s="1">
        <v>2961.0</v>
      </c>
      <c r="F554" s="1">
        <v>860.0</v>
      </c>
    </row>
    <row r="555">
      <c r="A555" s="1" t="s">
        <v>3</v>
      </c>
      <c r="B555" s="2">
        <v>44130.0</v>
      </c>
      <c r="C555" s="2">
        <v>44136.0</v>
      </c>
      <c r="D555" s="1">
        <v>44.0</v>
      </c>
      <c r="E555" s="1">
        <v>2794.0</v>
      </c>
      <c r="F555" s="1">
        <v>772.0</v>
      </c>
    </row>
    <row r="556">
      <c r="A556" s="1" t="s">
        <v>3</v>
      </c>
      <c r="B556" s="2">
        <v>44137.0</v>
      </c>
      <c r="C556" s="2">
        <v>44143.0</v>
      </c>
      <c r="D556" s="1">
        <v>45.0</v>
      </c>
      <c r="E556" s="1">
        <v>2861.0</v>
      </c>
      <c r="F556" s="1">
        <v>739.0</v>
      </c>
    </row>
    <row r="557">
      <c r="A557" s="1" t="s">
        <v>3</v>
      </c>
      <c r="B557" s="2">
        <v>44144.0</v>
      </c>
      <c r="C557" s="2">
        <v>44150.0</v>
      </c>
      <c r="D557" s="1">
        <v>46.0</v>
      </c>
      <c r="E557" s="1">
        <v>2850.0</v>
      </c>
      <c r="F557" s="1">
        <v>730.0</v>
      </c>
    </row>
    <row r="558">
      <c r="A558" s="1" t="s">
        <v>3</v>
      </c>
      <c r="B558" s="2">
        <v>44151.0</v>
      </c>
      <c r="C558" s="2">
        <v>44157.0</v>
      </c>
      <c r="D558" s="1">
        <v>47.0</v>
      </c>
      <c r="E558" s="1">
        <v>2755.0</v>
      </c>
      <c r="F558" s="1">
        <v>646.0</v>
      </c>
    </row>
    <row r="559">
      <c r="A559" s="1" t="s">
        <v>3</v>
      </c>
      <c r="B559" s="2">
        <v>44158.0</v>
      </c>
      <c r="C559" s="2">
        <v>44164.0</v>
      </c>
      <c r="D559" s="1">
        <v>48.0</v>
      </c>
      <c r="E559" s="1">
        <v>2635.0</v>
      </c>
      <c r="F559" s="1">
        <v>661.0</v>
      </c>
    </row>
    <row r="560">
      <c r="A560" s="1" t="s">
        <v>3</v>
      </c>
      <c r="B560" s="2">
        <v>44165.0</v>
      </c>
      <c r="C560" s="2">
        <v>44171.0</v>
      </c>
      <c r="D560" s="1">
        <v>49.0</v>
      </c>
      <c r="E560" s="1">
        <v>2800.0</v>
      </c>
      <c r="F560" s="1">
        <v>686.0</v>
      </c>
    </row>
    <row r="561">
      <c r="A561" s="1" t="s">
        <v>3</v>
      </c>
      <c r="B561" s="2">
        <v>44172.0</v>
      </c>
      <c r="C561" s="2">
        <v>44178.0</v>
      </c>
      <c r="D561" s="1">
        <v>50.0</v>
      </c>
      <c r="E561" s="1">
        <v>2964.0</v>
      </c>
      <c r="F561" s="1">
        <v>747.0</v>
      </c>
    </row>
    <row r="562">
      <c r="A562" s="1" t="s">
        <v>3</v>
      </c>
      <c r="B562" s="2">
        <v>44179.0</v>
      </c>
      <c r="C562" s="2">
        <v>44185.0</v>
      </c>
      <c r="D562" s="1">
        <v>51.0</v>
      </c>
      <c r="E562" s="1">
        <v>3151.0</v>
      </c>
      <c r="F562" s="1">
        <v>816.0</v>
      </c>
    </row>
    <row r="563">
      <c r="A563" s="1" t="s">
        <v>3</v>
      </c>
      <c r="B563" s="2">
        <v>44186.0</v>
      </c>
      <c r="C563" s="2">
        <v>44192.0</v>
      </c>
      <c r="D563" s="1">
        <v>52.0</v>
      </c>
      <c r="E563" s="1">
        <v>3253.0</v>
      </c>
      <c r="F563" s="1">
        <v>880.0</v>
      </c>
    </row>
    <row r="564">
      <c r="A564" s="16" t="s">
        <v>3</v>
      </c>
      <c r="B564" s="17">
        <v>44193.0</v>
      </c>
      <c r="C564" s="18">
        <v>44199.0</v>
      </c>
      <c r="D564" s="16">
        <v>53.0</v>
      </c>
      <c r="E564" s="16">
        <v>3502.0</v>
      </c>
      <c r="F564" s="16">
        <v>1082.0</v>
      </c>
      <c r="G564" s="19"/>
      <c r="H564" s="19"/>
    </row>
    <row r="565">
      <c r="A565" s="1" t="s">
        <v>3</v>
      </c>
      <c r="B565" s="3">
        <v>44200.0</v>
      </c>
      <c r="C565" s="3">
        <v>44206.0</v>
      </c>
      <c r="D565" s="1">
        <v>1.0</v>
      </c>
      <c r="E565" s="1">
        <v>3985.0</v>
      </c>
      <c r="F565" s="1">
        <v>1401.0</v>
      </c>
    </row>
    <row r="566">
      <c r="A566" s="1" t="s">
        <v>3</v>
      </c>
      <c r="B566" s="3">
        <v>44207.0</v>
      </c>
      <c r="C566" s="3">
        <v>44213.0</v>
      </c>
      <c r="D566" s="1">
        <v>2.0</v>
      </c>
      <c r="E566" s="1">
        <v>4638.0</v>
      </c>
      <c r="F566" s="1">
        <v>2027.0</v>
      </c>
    </row>
    <row r="567">
      <c r="A567" s="1" t="s">
        <v>3</v>
      </c>
      <c r="B567" s="3">
        <v>44214.0</v>
      </c>
      <c r="C567" s="3">
        <v>44220.0</v>
      </c>
      <c r="D567" s="1">
        <v>3.0</v>
      </c>
      <c r="E567" s="1">
        <v>5704.0</v>
      </c>
      <c r="F567" s="1">
        <v>2907.0</v>
      </c>
    </row>
    <row r="568">
      <c r="A568" s="1" t="s">
        <v>3</v>
      </c>
      <c r="B568" s="3">
        <v>44221.0</v>
      </c>
      <c r="C568" s="3">
        <v>44227.0</v>
      </c>
      <c r="D568" s="1">
        <v>4.0</v>
      </c>
      <c r="E568" s="1">
        <v>6707.0</v>
      </c>
      <c r="F568" s="1">
        <v>3900.0</v>
      </c>
    </row>
    <row r="569">
      <c r="A569" s="1" t="s">
        <v>3</v>
      </c>
      <c r="B569" s="3">
        <v>44228.0</v>
      </c>
      <c r="C569" s="3">
        <v>44234.0</v>
      </c>
      <c r="D569" s="1">
        <v>5.0</v>
      </c>
      <c r="E569" s="1">
        <v>7021.0</v>
      </c>
      <c r="F569" s="1">
        <v>4052.0</v>
      </c>
    </row>
    <row r="570">
      <c r="A570" s="1" t="s">
        <v>3</v>
      </c>
      <c r="B570" s="3">
        <v>44235.0</v>
      </c>
      <c r="C570" s="3">
        <v>44241.0</v>
      </c>
      <c r="D570" s="1">
        <v>6.0</v>
      </c>
      <c r="E570" s="1">
        <v>7687.0</v>
      </c>
      <c r="F570" s="1">
        <v>4761.0</v>
      </c>
    </row>
    <row r="571">
      <c r="A571" s="1" t="s">
        <v>3</v>
      </c>
      <c r="B571" s="3">
        <v>44242.0</v>
      </c>
      <c r="C571" s="3">
        <v>44248.0</v>
      </c>
      <c r="D571" s="1">
        <v>7.0</v>
      </c>
      <c r="E571" s="1">
        <v>7711.0</v>
      </c>
      <c r="F571" s="1">
        <v>5122.0</v>
      </c>
    </row>
    <row r="572">
      <c r="A572" s="1" t="s">
        <v>3</v>
      </c>
      <c r="B572" s="3">
        <v>44249.0</v>
      </c>
      <c r="C572" s="3">
        <v>44255.0</v>
      </c>
      <c r="D572" s="1">
        <v>8.0</v>
      </c>
      <c r="E572" s="1">
        <v>7393.0</v>
      </c>
      <c r="F572" s="1">
        <v>4757.0</v>
      </c>
    </row>
    <row r="573">
      <c r="A573" s="1" t="s">
        <v>3</v>
      </c>
      <c r="B573" s="3">
        <v>44256.0</v>
      </c>
      <c r="C573" s="3">
        <v>44262.0</v>
      </c>
      <c r="D573" s="1">
        <v>9.0</v>
      </c>
      <c r="E573" s="1">
        <v>7500.0</v>
      </c>
      <c r="F573" s="1">
        <v>4737.0</v>
      </c>
    </row>
    <row r="574">
      <c r="A574" s="1" t="s">
        <v>3</v>
      </c>
      <c r="B574" s="3">
        <v>44263.0</v>
      </c>
      <c r="C574" s="3">
        <v>44269.0</v>
      </c>
      <c r="D574" s="1">
        <v>10.0</v>
      </c>
      <c r="E574" s="1">
        <v>7379.0</v>
      </c>
      <c r="F574" s="1">
        <v>4296.0</v>
      </c>
    </row>
    <row r="575">
      <c r="A575" s="1" t="s">
        <v>3</v>
      </c>
      <c r="B575" s="3">
        <v>44270.0</v>
      </c>
      <c r="C575" s="3">
        <v>44276.0</v>
      </c>
      <c r="D575" s="1">
        <v>11.0</v>
      </c>
      <c r="E575" s="1">
        <v>7427.0</v>
      </c>
      <c r="F575" s="1">
        <v>4741.0</v>
      </c>
    </row>
    <row r="576">
      <c r="A576" s="1" t="s">
        <v>3</v>
      </c>
      <c r="B576" s="3">
        <v>44277.0</v>
      </c>
      <c r="C576" s="3">
        <v>44283.0</v>
      </c>
      <c r="D576" s="1">
        <v>12.0</v>
      </c>
      <c r="E576" s="1">
        <v>7570.0</v>
      </c>
      <c r="F576" s="1">
        <v>4994.0</v>
      </c>
    </row>
    <row r="577">
      <c r="A577" s="1" t="s">
        <v>3</v>
      </c>
      <c r="B577" s="3">
        <v>44284.0</v>
      </c>
      <c r="C577" s="3">
        <v>44290.0</v>
      </c>
      <c r="D577" s="1">
        <v>13.0</v>
      </c>
      <c r="E577" s="1">
        <v>7900.0</v>
      </c>
      <c r="F577" s="1">
        <v>5157.0</v>
      </c>
    </row>
    <row r="578">
      <c r="A578" s="1" t="s">
        <v>3</v>
      </c>
      <c r="B578" s="3">
        <v>44291.0</v>
      </c>
      <c r="C578" s="3">
        <v>44297.0</v>
      </c>
      <c r="D578" s="1">
        <v>14.0</v>
      </c>
      <c r="E578" s="1">
        <v>8468.0</v>
      </c>
      <c r="F578" s="1">
        <v>5460.0</v>
      </c>
    </row>
    <row r="579">
      <c r="A579" s="1" t="s">
        <v>3</v>
      </c>
      <c r="B579" s="3">
        <v>44298.0</v>
      </c>
      <c r="C579" s="3">
        <v>44304.0</v>
      </c>
      <c r="D579" s="1">
        <v>15.0</v>
      </c>
      <c r="E579" s="1">
        <v>8426.0</v>
      </c>
      <c r="F579" s="1">
        <v>5356.0</v>
      </c>
    </row>
    <row r="580">
      <c r="A580" s="1" t="s">
        <v>3</v>
      </c>
      <c r="B580" s="3">
        <v>44305.0</v>
      </c>
      <c r="C580" s="3">
        <v>44311.0</v>
      </c>
      <c r="D580" s="1">
        <v>16.0</v>
      </c>
      <c r="E580" s="1">
        <v>8246.0</v>
      </c>
      <c r="F580" s="1">
        <v>5963.0</v>
      </c>
    </row>
    <row r="581">
      <c r="A581" s="1" t="s">
        <v>3</v>
      </c>
      <c r="B581" s="3">
        <v>44312.0</v>
      </c>
      <c r="C581" s="3">
        <v>44318.0</v>
      </c>
      <c r="D581" s="1">
        <v>17.0</v>
      </c>
      <c r="E581" s="1">
        <v>7695.0</v>
      </c>
      <c r="F581" s="1">
        <v>4914.0</v>
      </c>
    </row>
    <row r="582">
      <c r="A582" s="1" t="s">
        <v>3</v>
      </c>
      <c r="B582" s="3">
        <v>44319.0</v>
      </c>
      <c r="C582" s="3">
        <v>44325.0</v>
      </c>
      <c r="D582" s="1">
        <v>18.0</v>
      </c>
      <c r="E582" s="1">
        <v>7171.0</v>
      </c>
      <c r="F582" s="1">
        <v>4983.0</v>
      </c>
    </row>
    <row r="583">
      <c r="A583" s="1" t="s">
        <v>3</v>
      </c>
      <c r="B583" s="3">
        <v>44326.0</v>
      </c>
      <c r="C583" s="3">
        <v>44332.0</v>
      </c>
      <c r="D583" s="1">
        <v>19.0</v>
      </c>
      <c r="E583" s="1">
        <v>6533.0</v>
      </c>
      <c r="F583" s="1">
        <v>4093.0</v>
      </c>
    </row>
    <row r="584">
      <c r="A584" s="1" t="s">
        <v>3</v>
      </c>
      <c r="B584" s="3">
        <v>44333.0</v>
      </c>
      <c r="C584" s="3">
        <v>44339.0</v>
      </c>
      <c r="D584" s="1">
        <v>20.0</v>
      </c>
      <c r="E584" s="1">
        <v>6053.0</v>
      </c>
      <c r="F584" s="1">
        <v>3409.0</v>
      </c>
    </row>
    <row r="585">
      <c r="A585" s="1" t="s">
        <v>3</v>
      </c>
      <c r="B585" s="3">
        <v>44340.0</v>
      </c>
      <c r="C585" s="3">
        <v>44346.0</v>
      </c>
      <c r="D585" s="1">
        <v>21.0</v>
      </c>
      <c r="E585" s="1">
        <v>5629.0</v>
      </c>
      <c r="F585" s="1">
        <v>2786.0</v>
      </c>
    </row>
    <row r="586">
      <c r="A586" s="1" t="s">
        <v>3</v>
      </c>
      <c r="B586" s="3">
        <v>44347.0</v>
      </c>
      <c r="C586" s="3">
        <v>44353.0</v>
      </c>
      <c r="D586" s="1">
        <v>22.0</v>
      </c>
      <c r="E586" s="1">
        <v>5291.0</v>
      </c>
      <c r="F586" s="1">
        <v>2682.0</v>
      </c>
    </row>
    <row r="587">
      <c r="A587" s="1" t="s">
        <v>3</v>
      </c>
      <c r="B587" s="3">
        <v>44354.0</v>
      </c>
      <c r="C587" s="3">
        <v>44360.0</v>
      </c>
      <c r="D587" s="1">
        <v>23.0</v>
      </c>
      <c r="E587" s="1">
        <v>4726.0</v>
      </c>
      <c r="F587" s="1">
        <v>2635.0</v>
      </c>
    </row>
    <row r="588">
      <c r="A588" s="1" t="s">
        <v>3</v>
      </c>
      <c r="B588" s="3">
        <v>44361.0</v>
      </c>
      <c r="C588" s="3">
        <v>44367.0</v>
      </c>
      <c r="D588" s="1">
        <v>24.0</v>
      </c>
      <c r="E588" s="1">
        <v>4333.0</v>
      </c>
      <c r="F588" s="1">
        <v>1494.0</v>
      </c>
    </row>
    <row r="589">
      <c r="A589" s="1" t="s">
        <v>3</v>
      </c>
      <c r="B589" s="3">
        <v>44368.0</v>
      </c>
      <c r="C589" s="3">
        <v>44374.0</v>
      </c>
      <c r="D589" s="1">
        <v>25.0</v>
      </c>
      <c r="E589" s="1">
        <v>4024.0</v>
      </c>
      <c r="F589" s="1">
        <v>1382.0</v>
      </c>
    </row>
    <row r="590">
      <c r="A590" s="1" t="s">
        <v>3</v>
      </c>
      <c r="B590" s="3">
        <v>44375.0</v>
      </c>
      <c r="C590" s="3">
        <v>44381.0</v>
      </c>
      <c r="D590" s="1">
        <v>26.0</v>
      </c>
      <c r="E590" s="1">
        <v>3816.0</v>
      </c>
      <c r="F590" s="1">
        <v>1646.0</v>
      </c>
    </row>
    <row r="591">
      <c r="A591" s="1" t="s">
        <v>3</v>
      </c>
      <c r="B591" s="3">
        <v>44382.0</v>
      </c>
      <c r="C591" s="3">
        <v>44388.0</v>
      </c>
      <c r="D591" s="1">
        <v>27.0</v>
      </c>
      <c r="E591" s="1">
        <v>3599.0</v>
      </c>
      <c r="F591" s="1">
        <v>1157.0</v>
      </c>
    </row>
    <row r="592">
      <c r="A592" s="1" t="s">
        <v>3</v>
      </c>
      <c r="B592" s="3">
        <v>44389.0</v>
      </c>
      <c r="C592" s="3">
        <v>44395.0</v>
      </c>
      <c r="D592" s="1">
        <v>28.0</v>
      </c>
      <c r="E592" s="1">
        <v>3333.0</v>
      </c>
      <c r="F592" s="1">
        <v>759.0</v>
      </c>
    </row>
    <row r="593">
      <c r="A593" s="1" t="s">
        <v>3</v>
      </c>
      <c r="B593" s="3">
        <v>44396.0</v>
      </c>
      <c r="C593" s="3">
        <v>44402.0</v>
      </c>
      <c r="D593" s="1">
        <v>29.0</v>
      </c>
      <c r="E593" s="1">
        <v>3250.0</v>
      </c>
      <c r="F593" s="1">
        <v>744.0</v>
      </c>
    </row>
    <row r="594">
      <c r="A594" s="1" t="s">
        <v>3</v>
      </c>
      <c r="B594" s="3">
        <v>44403.0</v>
      </c>
      <c r="C594" s="3">
        <v>44409.0</v>
      </c>
      <c r="D594" s="1">
        <v>30.0</v>
      </c>
      <c r="E594" s="1">
        <v>3164.0</v>
      </c>
      <c r="F594" s="1">
        <v>548.0</v>
      </c>
    </row>
    <row r="595">
      <c r="A595" s="1" t="s">
        <v>3</v>
      </c>
      <c r="B595" s="3">
        <v>44410.0</v>
      </c>
      <c r="C595" s="3">
        <v>44416.0</v>
      </c>
      <c r="D595" s="1">
        <v>31.0</v>
      </c>
      <c r="E595" s="1">
        <v>3062.0</v>
      </c>
      <c r="F595" s="1">
        <v>512.0</v>
      </c>
    </row>
    <row r="596">
      <c r="A596" s="1" t="s">
        <v>3</v>
      </c>
      <c r="B596" s="3">
        <v>44417.0</v>
      </c>
      <c r="C596" s="3">
        <v>44423.0</v>
      </c>
      <c r="D596" s="1">
        <v>32.0</v>
      </c>
      <c r="E596" s="1">
        <v>3112.0</v>
      </c>
      <c r="F596" s="1">
        <v>443.0</v>
      </c>
    </row>
    <row r="597">
      <c r="A597" s="1" t="s">
        <v>3</v>
      </c>
      <c r="B597" s="3">
        <v>44424.0</v>
      </c>
      <c r="C597" s="3">
        <v>44430.0</v>
      </c>
      <c r="D597" s="1">
        <v>33.0</v>
      </c>
      <c r="E597" s="1">
        <v>2936.0</v>
      </c>
      <c r="F597" s="1">
        <v>486.0</v>
      </c>
    </row>
    <row r="598">
      <c r="A598" s="1" t="s">
        <v>3</v>
      </c>
      <c r="B598" s="3">
        <v>44431.0</v>
      </c>
      <c r="C598" s="3">
        <v>44437.0</v>
      </c>
      <c r="D598" s="1">
        <v>34.0</v>
      </c>
      <c r="E598" s="1">
        <v>3107.0</v>
      </c>
      <c r="F598" s="1">
        <v>236.0</v>
      </c>
    </row>
    <row r="599">
      <c r="A599" s="1" t="s">
        <v>3</v>
      </c>
      <c r="B599" s="3">
        <v>44438.0</v>
      </c>
      <c r="C599" s="3">
        <v>44444.0</v>
      </c>
      <c r="D599" s="1">
        <v>35.0</v>
      </c>
      <c r="E599" s="1">
        <v>2983.0</v>
      </c>
      <c r="F599" s="1">
        <v>373.0</v>
      </c>
    </row>
    <row r="600">
      <c r="A600" s="1" t="s">
        <v>3</v>
      </c>
      <c r="B600" s="3">
        <v>44445.0</v>
      </c>
      <c r="C600" s="3">
        <v>44451.0</v>
      </c>
      <c r="D600" s="1">
        <v>36.0</v>
      </c>
      <c r="E600" s="1">
        <v>2887.0</v>
      </c>
      <c r="F600" s="1">
        <v>276.0</v>
      </c>
    </row>
    <row r="601">
      <c r="A601" s="1" t="s">
        <v>3</v>
      </c>
      <c r="B601" s="3">
        <v>44452.0</v>
      </c>
      <c r="C601" s="3">
        <v>44458.0</v>
      </c>
      <c r="D601" s="1">
        <v>37.0</v>
      </c>
      <c r="E601" s="1">
        <v>2890.0</v>
      </c>
      <c r="F601" s="1">
        <v>302.0</v>
      </c>
    </row>
    <row r="602">
      <c r="A602" s="1" t="s">
        <v>3</v>
      </c>
      <c r="B602" s="3">
        <v>44459.0</v>
      </c>
      <c r="C602" s="3">
        <v>44465.0</v>
      </c>
      <c r="D602" s="1">
        <v>38.0</v>
      </c>
      <c r="E602" s="1">
        <v>2945.0</v>
      </c>
      <c r="F602" s="1">
        <v>226.0</v>
      </c>
    </row>
    <row r="603">
      <c r="A603" s="1" t="s">
        <v>3</v>
      </c>
      <c r="B603" s="3">
        <v>44466.0</v>
      </c>
      <c r="C603" s="2">
        <v>44472.0</v>
      </c>
      <c r="D603" s="1">
        <v>39.0</v>
      </c>
      <c r="E603" s="1">
        <v>2875.0</v>
      </c>
      <c r="F603" s="1">
        <v>193.0</v>
      </c>
    </row>
    <row r="604">
      <c r="A604" s="1" t="s">
        <v>3</v>
      </c>
      <c r="B604" s="2">
        <v>44473.0</v>
      </c>
      <c r="C604" s="2">
        <v>44479.0</v>
      </c>
      <c r="D604" s="1">
        <v>40.0</v>
      </c>
      <c r="E604" s="1">
        <v>2951.0</v>
      </c>
      <c r="F604" s="1">
        <v>190.0</v>
      </c>
    </row>
    <row r="605">
      <c r="A605" s="1" t="s">
        <v>3</v>
      </c>
      <c r="B605" s="2">
        <v>44480.0</v>
      </c>
      <c r="C605" s="2">
        <v>44486.0</v>
      </c>
      <c r="D605" s="1">
        <v>41.0</v>
      </c>
      <c r="E605" s="1">
        <v>2855.0</v>
      </c>
      <c r="F605" s="1">
        <v>168.0</v>
      </c>
    </row>
    <row r="606">
      <c r="A606" s="1" t="s">
        <v>3</v>
      </c>
      <c r="B606" s="2">
        <v>44487.0</v>
      </c>
      <c r="C606" s="2">
        <v>44493.0</v>
      </c>
      <c r="D606" s="1">
        <v>42.0</v>
      </c>
      <c r="E606" s="1">
        <v>2831.0</v>
      </c>
      <c r="F606" s="1">
        <v>209.0</v>
      </c>
    </row>
    <row r="607">
      <c r="A607" s="1" t="s">
        <v>3</v>
      </c>
      <c r="B607" s="2">
        <v>44494.0</v>
      </c>
      <c r="C607" s="2">
        <v>44500.0</v>
      </c>
      <c r="D607" s="1">
        <v>43.0</v>
      </c>
      <c r="E607" s="1">
        <v>2754.0</v>
      </c>
      <c r="F607" s="1">
        <v>194.0</v>
      </c>
    </row>
    <row r="608">
      <c r="A608" s="1" t="s">
        <v>3</v>
      </c>
      <c r="B608" s="2">
        <v>44501.0</v>
      </c>
      <c r="C608" s="2">
        <v>44507.0</v>
      </c>
      <c r="D608" s="1">
        <v>44.0</v>
      </c>
      <c r="E608" s="1">
        <v>2834.0</v>
      </c>
      <c r="F608" s="1">
        <v>184.0</v>
      </c>
    </row>
    <row r="609">
      <c r="A609" s="1" t="s">
        <v>4</v>
      </c>
      <c r="B609" s="3">
        <v>42373.0</v>
      </c>
      <c r="C609" s="3">
        <v>42379.0</v>
      </c>
      <c r="D609" s="1">
        <v>1.0</v>
      </c>
      <c r="E609" s="1">
        <v>1884.0</v>
      </c>
      <c r="F609" s="1">
        <v>0.0</v>
      </c>
    </row>
    <row r="610">
      <c r="A610" s="1" t="s">
        <v>4</v>
      </c>
      <c r="B610" s="3">
        <v>42380.0</v>
      </c>
      <c r="C610" s="3">
        <v>42386.0</v>
      </c>
      <c r="D610" s="1">
        <v>2.0</v>
      </c>
      <c r="E610" s="1">
        <v>1885.0</v>
      </c>
      <c r="F610" s="1">
        <v>0.0</v>
      </c>
    </row>
    <row r="611">
      <c r="A611" s="1" t="s">
        <v>4</v>
      </c>
      <c r="B611" s="3">
        <v>42387.0</v>
      </c>
      <c r="C611" s="3">
        <v>42393.0</v>
      </c>
      <c r="D611" s="1">
        <v>3.0</v>
      </c>
      <c r="E611" s="1">
        <v>1916.0</v>
      </c>
      <c r="F611" s="1">
        <v>0.0</v>
      </c>
    </row>
    <row r="612">
      <c r="A612" s="1" t="s">
        <v>4</v>
      </c>
      <c r="B612" s="3">
        <v>42394.0</v>
      </c>
      <c r="C612" s="3">
        <v>42400.0</v>
      </c>
      <c r="D612" s="1">
        <v>4.0</v>
      </c>
      <c r="E612" s="1">
        <v>1837.0</v>
      </c>
      <c r="F612" s="1">
        <v>0.0</v>
      </c>
    </row>
    <row r="613">
      <c r="A613" s="1" t="s">
        <v>4</v>
      </c>
      <c r="B613" s="3">
        <v>42401.0</v>
      </c>
      <c r="C613" s="3">
        <v>42407.0</v>
      </c>
      <c r="D613" s="1">
        <v>5.0</v>
      </c>
      <c r="E613" s="1">
        <v>1912.0</v>
      </c>
      <c r="F613" s="1">
        <v>0.0</v>
      </c>
    </row>
    <row r="614">
      <c r="A614" s="1" t="s">
        <v>4</v>
      </c>
      <c r="B614" s="3">
        <v>42408.0</v>
      </c>
      <c r="C614" s="3">
        <v>42414.0</v>
      </c>
      <c r="D614" s="1">
        <v>6.0</v>
      </c>
      <c r="E614" s="1">
        <v>1718.0</v>
      </c>
      <c r="F614" s="1">
        <v>0.0</v>
      </c>
    </row>
    <row r="615">
      <c r="A615" s="1" t="s">
        <v>4</v>
      </c>
      <c r="B615" s="3">
        <v>42415.0</v>
      </c>
      <c r="C615" s="3">
        <v>42421.0</v>
      </c>
      <c r="D615" s="1">
        <v>7.0</v>
      </c>
      <c r="E615" s="1">
        <v>1760.0</v>
      </c>
      <c r="F615" s="1">
        <v>0.0</v>
      </c>
    </row>
    <row r="616">
      <c r="A616" s="1" t="s">
        <v>4</v>
      </c>
      <c r="B616" s="3">
        <v>42422.0</v>
      </c>
      <c r="C616" s="3">
        <v>42428.0</v>
      </c>
      <c r="D616" s="1">
        <v>8.0</v>
      </c>
      <c r="E616" s="1">
        <v>1813.0</v>
      </c>
      <c r="F616" s="1">
        <v>0.0</v>
      </c>
    </row>
    <row r="617">
      <c r="A617" s="1" t="s">
        <v>4</v>
      </c>
      <c r="B617" s="3">
        <v>42429.0</v>
      </c>
      <c r="C617" s="3">
        <v>42435.0</v>
      </c>
      <c r="D617" s="1">
        <v>9.0</v>
      </c>
      <c r="E617" s="1">
        <v>1756.0</v>
      </c>
      <c r="F617" s="1">
        <v>0.0</v>
      </c>
    </row>
    <row r="618">
      <c r="A618" s="1" t="s">
        <v>4</v>
      </c>
      <c r="B618" s="3">
        <v>42436.0</v>
      </c>
      <c r="C618" s="3">
        <v>42442.0</v>
      </c>
      <c r="D618" s="1">
        <v>10.0</v>
      </c>
      <c r="E618" s="1">
        <v>1753.0</v>
      </c>
      <c r="F618" s="1">
        <v>0.0</v>
      </c>
    </row>
    <row r="619">
      <c r="A619" s="1" t="s">
        <v>4</v>
      </c>
      <c r="B619" s="3">
        <v>42443.0</v>
      </c>
      <c r="C619" s="3">
        <v>42449.0</v>
      </c>
      <c r="D619" s="1">
        <v>11.0</v>
      </c>
      <c r="E619" s="1">
        <v>1771.0</v>
      </c>
      <c r="F619" s="1">
        <v>0.0</v>
      </c>
    </row>
    <row r="620">
      <c r="A620" s="1" t="s">
        <v>4</v>
      </c>
      <c r="B620" s="3">
        <v>42450.0</v>
      </c>
      <c r="C620" s="3">
        <v>42456.0</v>
      </c>
      <c r="D620" s="1">
        <v>12.0</v>
      </c>
      <c r="E620" s="1">
        <v>1758.0</v>
      </c>
      <c r="F620" s="1">
        <v>0.0</v>
      </c>
    </row>
    <row r="621">
      <c r="A621" s="1" t="s">
        <v>4</v>
      </c>
      <c r="B621" s="3">
        <v>42457.0</v>
      </c>
      <c r="C621" s="3">
        <v>42463.0</v>
      </c>
      <c r="D621" s="1">
        <v>13.0</v>
      </c>
      <c r="E621" s="1">
        <v>1757.0</v>
      </c>
      <c r="F621" s="1">
        <v>0.0</v>
      </c>
    </row>
    <row r="622">
      <c r="A622" s="1" t="s">
        <v>4</v>
      </c>
      <c r="B622" s="3">
        <v>42464.0</v>
      </c>
      <c r="C622" s="3">
        <v>42470.0</v>
      </c>
      <c r="D622" s="1">
        <v>14.0</v>
      </c>
      <c r="E622" s="1">
        <v>1789.0</v>
      </c>
      <c r="F622" s="1">
        <v>0.0</v>
      </c>
    </row>
    <row r="623">
      <c r="A623" s="1" t="s">
        <v>4</v>
      </c>
      <c r="B623" s="3">
        <v>42471.0</v>
      </c>
      <c r="C623" s="3">
        <v>42477.0</v>
      </c>
      <c r="D623" s="1">
        <v>15.0</v>
      </c>
      <c r="E623" s="1">
        <v>1945.0</v>
      </c>
      <c r="F623" s="1">
        <v>0.0</v>
      </c>
    </row>
    <row r="624">
      <c r="A624" s="1" t="s">
        <v>4</v>
      </c>
      <c r="B624" s="3">
        <v>42478.0</v>
      </c>
      <c r="C624" s="3">
        <v>42484.0</v>
      </c>
      <c r="D624" s="1">
        <v>16.0</v>
      </c>
      <c r="E624" s="1">
        <v>1889.0</v>
      </c>
      <c r="F624" s="1">
        <v>0.0</v>
      </c>
    </row>
    <row r="625">
      <c r="A625" s="1" t="s">
        <v>4</v>
      </c>
      <c r="B625" s="3">
        <v>42485.0</v>
      </c>
      <c r="C625" s="3">
        <v>42491.0</v>
      </c>
      <c r="D625" s="1">
        <v>17.0</v>
      </c>
      <c r="E625" s="1">
        <v>2018.0</v>
      </c>
      <c r="F625" s="1">
        <v>0.0</v>
      </c>
    </row>
    <row r="626">
      <c r="A626" s="1" t="s">
        <v>4</v>
      </c>
      <c r="B626" s="3">
        <v>42492.0</v>
      </c>
      <c r="C626" s="3">
        <v>42498.0</v>
      </c>
      <c r="D626" s="1">
        <v>18.0</v>
      </c>
      <c r="E626" s="1">
        <v>1882.0</v>
      </c>
      <c r="F626" s="1">
        <v>0.0</v>
      </c>
    </row>
    <row r="627">
      <c r="A627" s="1" t="s">
        <v>4</v>
      </c>
      <c r="B627" s="3">
        <v>42499.0</v>
      </c>
      <c r="C627" s="3">
        <v>42505.0</v>
      </c>
      <c r="D627" s="1">
        <v>19.0</v>
      </c>
      <c r="E627" s="1">
        <v>1965.0</v>
      </c>
      <c r="F627" s="1">
        <v>0.0</v>
      </c>
    </row>
    <row r="628">
      <c r="A628" s="1" t="s">
        <v>4</v>
      </c>
      <c r="B628" s="3">
        <v>42506.0</v>
      </c>
      <c r="C628" s="3">
        <v>42512.0</v>
      </c>
      <c r="D628" s="1">
        <v>20.0</v>
      </c>
      <c r="E628" s="1">
        <v>1953.0</v>
      </c>
      <c r="F628" s="1">
        <v>0.0</v>
      </c>
    </row>
    <row r="629">
      <c r="A629" s="1" t="s">
        <v>4</v>
      </c>
      <c r="B629" s="3">
        <v>42513.0</v>
      </c>
      <c r="C629" s="3">
        <v>42519.0</v>
      </c>
      <c r="D629" s="1">
        <v>21.0</v>
      </c>
      <c r="E629" s="1">
        <v>2044.0</v>
      </c>
      <c r="F629" s="1">
        <v>0.0</v>
      </c>
    </row>
    <row r="630">
      <c r="A630" s="1" t="s">
        <v>4</v>
      </c>
      <c r="B630" s="3">
        <v>42520.0</v>
      </c>
      <c r="C630" s="3">
        <v>42526.0</v>
      </c>
      <c r="D630" s="1">
        <v>22.0</v>
      </c>
      <c r="E630" s="1">
        <v>2021.0</v>
      </c>
      <c r="F630" s="1">
        <v>0.0</v>
      </c>
    </row>
    <row r="631">
      <c r="A631" s="1" t="s">
        <v>4</v>
      </c>
      <c r="B631" s="3">
        <v>42527.0</v>
      </c>
      <c r="C631" s="3">
        <v>42533.0</v>
      </c>
      <c r="D631" s="1">
        <v>23.0</v>
      </c>
      <c r="E631" s="1">
        <v>2175.0</v>
      </c>
      <c r="F631" s="1">
        <v>0.0</v>
      </c>
    </row>
    <row r="632">
      <c r="A632" s="1" t="s">
        <v>4</v>
      </c>
      <c r="B632" s="3">
        <v>42534.0</v>
      </c>
      <c r="C632" s="3">
        <v>42540.0</v>
      </c>
      <c r="D632" s="1">
        <v>24.0</v>
      </c>
      <c r="E632" s="1">
        <v>2161.0</v>
      </c>
      <c r="F632" s="1">
        <v>0.0</v>
      </c>
    </row>
    <row r="633">
      <c r="A633" s="1" t="s">
        <v>4</v>
      </c>
      <c r="B633" s="3">
        <v>42541.0</v>
      </c>
      <c r="C633" s="3">
        <v>42547.0</v>
      </c>
      <c r="D633" s="1">
        <v>25.0</v>
      </c>
      <c r="E633" s="1">
        <v>2339.0</v>
      </c>
      <c r="F633" s="1">
        <v>0.0</v>
      </c>
    </row>
    <row r="634">
      <c r="A634" s="1" t="s">
        <v>4</v>
      </c>
      <c r="B634" s="3">
        <v>42548.0</v>
      </c>
      <c r="C634" s="3">
        <v>42554.0</v>
      </c>
      <c r="D634" s="1">
        <v>26.0</v>
      </c>
      <c r="E634" s="1">
        <v>2375.0</v>
      </c>
      <c r="F634" s="1">
        <v>0.0</v>
      </c>
    </row>
    <row r="635">
      <c r="A635" s="1" t="s">
        <v>4</v>
      </c>
      <c r="B635" s="3">
        <v>42555.0</v>
      </c>
      <c r="C635" s="3">
        <v>42561.0</v>
      </c>
      <c r="D635" s="1">
        <v>27.0</v>
      </c>
      <c r="E635" s="1">
        <v>2381.0</v>
      </c>
      <c r="F635" s="1">
        <v>0.0</v>
      </c>
    </row>
    <row r="636">
      <c r="A636" s="1" t="s">
        <v>4</v>
      </c>
      <c r="B636" s="3">
        <v>42562.0</v>
      </c>
      <c r="C636" s="3">
        <v>42568.0</v>
      </c>
      <c r="D636" s="1">
        <v>28.0</v>
      </c>
      <c r="E636" s="1">
        <v>2483.0</v>
      </c>
      <c r="F636" s="1">
        <v>0.0</v>
      </c>
    </row>
    <row r="637">
      <c r="A637" s="1" t="s">
        <v>4</v>
      </c>
      <c r="B637" s="3">
        <v>42569.0</v>
      </c>
      <c r="C637" s="3">
        <v>42575.0</v>
      </c>
      <c r="D637" s="1">
        <v>29.0</v>
      </c>
      <c r="E637" s="1">
        <v>2526.0</v>
      </c>
      <c r="F637" s="1">
        <v>0.0</v>
      </c>
    </row>
    <row r="638">
      <c r="A638" s="1" t="s">
        <v>4</v>
      </c>
      <c r="B638" s="3">
        <v>42576.0</v>
      </c>
      <c r="C638" s="3">
        <v>42582.0</v>
      </c>
      <c r="D638" s="1">
        <v>30.0</v>
      </c>
      <c r="E638" s="1">
        <v>2301.0</v>
      </c>
      <c r="F638" s="1">
        <v>0.0</v>
      </c>
    </row>
    <row r="639">
      <c r="A639" s="1" t="s">
        <v>4</v>
      </c>
      <c r="B639" s="3">
        <v>42583.0</v>
      </c>
      <c r="C639" s="3">
        <v>42589.0</v>
      </c>
      <c r="D639" s="1">
        <v>31.0</v>
      </c>
      <c r="E639" s="1">
        <v>2232.0</v>
      </c>
      <c r="F639" s="1">
        <v>0.0</v>
      </c>
    </row>
    <row r="640">
      <c r="A640" s="1" t="s">
        <v>4</v>
      </c>
      <c r="B640" s="3">
        <v>42590.0</v>
      </c>
      <c r="C640" s="3">
        <v>42596.0</v>
      </c>
      <c r="D640" s="1">
        <v>32.0</v>
      </c>
      <c r="E640" s="1">
        <v>2201.0</v>
      </c>
      <c r="F640" s="1">
        <v>0.0</v>
      </c>
    </row>
    <row r="641">
      <c r="A641" s="1" t="s">
        <v>4</v>
      </c>
      <c r="B641" s="3">
        <v>42597.0</v>
      </c>
      <c r="C641" s="3">
        <v>42603.0</v>
      </c>
      <c r="D641" s="1">
        <v>33.0</v>
      </c>
      <c r="E641" s="1">
        <v>2203.0</v>
      </c>
      <c r="F641" s="1">
        <v>0.0</v>
      </c>
    </row>
    <row r="642">
      <c r="A642" s="1" t="s">
        <v>4</v>
      </c>
      <c r="B642" s="3">
        <v>42604.0</v>
      </c>
      <c r="C642" s="3">
        <v>42610.0</v>
      </c>
      <c r="D642" s="1">
        <v>34.0</v>
      </c>
      <c r="E642" s="1">
        <v>2144.0</v>
      </c>
      <c r="F642" s="1">
        <v>0.0</v>
      </c>
    </row>
    <row r="643">
      <c r="A643" s="1" t="s">
        <v>4</v>
      </c>
      <c r="B643" s="3">
        <v>42611.0</v>
      </c>
      <c r="C643" s="3">
        <v>42617.0</v>
      </c>
      <c r="D643" s="1">
        <v>35.0</v>
      </c>
      <c r="E643" s="1">
        <v>2115.0</v>
      </c>
      <c r="F643" s="1">
        <v>0.0</v>
      </c>
    </row>
    <row r="644">
      <c r="A644" s="1" t="s">
        <v>4</v>
      </c>
      <c r="B644" s="3">
        <v>42618.0</v>
      </c>
      <c r="C644" s="3">
        <v>42624.0</v>
      </c>
      <c r="D644" s="1">
        <v>36.0</v>
      </c>
      <c r="E644" s="1">
        <v>2328.0</v>
      </c>
      <c r="F644" s="1">
        <v>0.0</v>
      </c>
    </row>
    <row r="645">
      <c r="A645" s="1" t="s">
        <v>4</v>
      </c>
      <c r="B645" s="3">
        <v>42625.0</v>
      </c>
      <c r="C645" s="3">
        <v>42631.0</v>
      </c>
      <c r="D645" s="1">
        <v>37.0</v>
      </c>
      <c r="E645" s="1">
        <v>2086.0</v>
      </c>
      <c r="F645" s="1">
        <v>0.0</v>
      </c>
    </row>
    <row r="646">
      <c r="A646" s="1" t="s">
        <v>4</v>
      </c>
      <c r="B646" s="3">
        <v>42632.0</v>
      </c>
      <c r="C646" s="3">
        <v>42638.0</v>
      </c>
      <c r="D646" s="1">
        <v>38.0</v>
      </c>
      <c r="E646" s="1">
        <v>2156.0</v>
      </c>
      <c r="F646" s="1">
        <v>0.0</v>
      </c>
    </row>
    <row r="647">
      <c r="A647" s="1" t="s">
        <v>4</v>
      </c>
      <c r="B647" s="3">
        <v>42639.0</v>
      </c>
      <c r="C647" s="2">
        <v>42645.0</v>
      </c>
      <c r="D647" s="1">
        <v>39.0</v>
      </c>
      <c r="E647" s="1">
        <v>2072.0</v>
      </c>
      <c r="F647" s="1">
        <v>0.0</v>
      </c>
    </row>
    <row r="648">
      <c r="A648" s="1" t="s">
        <v>4</v>
      </c>
      <c r="B648" s="2">
        <v>42646.0</v>
      </c>
      <c r="C648" s="2">
        <v>42652.0</v>
      </c>
      <c r="D648" s="1">
        <v>40.0</v>
      </c>
      <c r="E648" s="1">
        <v>1968.0</v>
      </c>
      <c r="F648" s="1">
        <v>0.0</v>
      </c>
    </row>
    <row r="649">
      <c r="A649" s="1" t="s">
        <v>4</v>
      </c>
      <c r="B649" s="2">
        <v>42653.0</v>
      </c>
      <c r="C649" s="2">
        <v>42659.0</v>
      </c>
      <c r="D649" s="1">
        <v>41.0</v>
      </c>
      <c r="E649" s="1">
        <v>1926.0</v>
      </c>
      <c r="F649" s="1">
        <v>0.0</v>
      </c>
    </row>
    <row r="650">
      <c r="A650" s="1" t="s">
        <v>4</v>
      </c>
      <c r="B650" s="2">
        <v>42660.0</v>
      </c>
      <c r="C650" s="2">
        <v>42666.0</v>
      </c>
      <c r="D650" s="1">
        <v>42.0</v>
      </c>
      <c r="E650" s="1">
        <v>1891.0</v>
      </c>
      <c r="F650" s="1">
        <v>0.0</v>
      </c>
    </row>
    <row r="651">
      <c r="A651" s="1" t="s">
        <v>4</v>
      </c>
      <c r="B651" s="2">
        <v>42667.0</v>
      </c>
      <c r="C651" s="2">
        <v>42673.0</v>
      </c>
      <c r="D651" s="1">
        <v>43.0</v>
      </c>
      <c r="E651" s="1">
        <v>1906.0</v>
      </c>
      <c r="F651" s="1">
        <v>0.0</v>
      </c>
    </row>
    <row r="652">
      <c r="A652" s="1" t="s">
        <v>4</v>
      </c>
      <c r="B652" s="2">
        <v>42674.0</v>
      </c>
      <c r="C652" s="2">
        <v>42680.0</v>
      </c>
      <c r="D652" s="1">
        <v>44.0</v>
      </c>
      <c r="E652" s="1">
        <v>1954.0</v>
      </c>
      <c r="F652" s="1">
        <v>0.0</v>
      </c>
    </row>
    <row r="653">
      <c r="A653" s="1" t="s">
        <v>4</v>
      </c>
      <c r="B653" s="2">
        <v>42681.0</v>
      </c>
      <c r="C653" s="2">
        <v>42687.0</v>
      </c>
      <c r="D653" s="1">
        <v>45.0</v>
      </c>
      <c r="E653" s="1">
        <v>1810.0</v>
      </c>
      <c r="F653" s="1">
        <v>0.0</v>
      </c>
    </row>
    <row r="654">
      <c r="A654" s="1" t="s">
        <v>4</v>
      </c>
      <c r="B654" s="2">
        <v>42688.0</v>
      </c>
      <c r="C654" s="2">
        <v>42694.0</v>
      </c>
      <c r="D654" s="1">
        <v>46.0</v>
      </c>
      <c r="E654" s="1">
        <v>1808.0</v>
      </c>
      <c r="F654" s="1">
        <v>0.0</v>
      </c>
    </row>
    <row r="655">
      <c r="A655" s="1" t="s">
        <v>4</v>
      </c>
      <c r="B655" s="2">
        <v>42695.0</v>
      </c>
      <c r="C655" s="2">
        <v>42701.0</v>
      </c>
      <c r="D655" s="1">
        <v>47.0</v>
      </c>
      <c r="E655" s="1">
        <v>1838.0</v>
      </c>
      <c r="F655" s="1">
        <v>0.0</v>
      </c>
    </row>
    <row r="656">
      <c r="A656" s="1" t="s">
        <v>4</v>
      </c>
      <c r="B656" s="2">
        <v>42702.0</v>
      </c>
      <c r="C656" s="2">
        <v>42708.0</v>
      </c>
      <c r="D656" s="1">
        <v>48.0</v>
      </c>
      <c r="E656" s="1">
        <v>1829.0</v>
      </c>
      <c r="F656" s="1">
        <v>0.0</v>
      </c>
    </row>
    <row r="657">
      <c r="A657" s="1" t="s">
        <v>4</v>
      </c>
      <c r="B657" s="2">
        <v>42709.0</v>
      </c>
      <c r="C657" s="2">
        <v>42715.0</v>
      </c>
      <c r="D657" s="1">
        <v>49.0</v>
      </c>
      <c r="E657" s="1">
        <v>1809.0</v>
      </c>
      <c r="F657" s="1">
        <v>0.0</v>
      </c>
    </row>
    <row r="658">
      <c r="A658" s="1" t="s">
        <v>4</v>
      </c>
      <c r="B658" s="2">
        <v>42716.0</v>
      </c>
      <c r="C658" s="2">
        <v>42722.0</v>
      </c>
      <c r="D658" s="1">
        <v>50.0</v>
      </c>
      <c r="E658" s="1">
        <v>1863.0</v>
      </c>
      <c r="F658" s="1">
        <v>0.0</v>
      </c>
    </row>
    <row r="659">
      <c r="A659" s="1" t="s">
        <v>4</v>
      </c>
      <c r="B659" s="2">
        <v>42723.0</v>
      </c>
      <c r="C659" s="2">
        <v>42729.0</v>
      </c>
      <c r="D659" s="1">
        <v>51.0</v>
      </c>
      <c r="E659" s="1">
        <v>1827.0</v>
      </c>
      <c r="F659" s="1">
        <v>0.0</v>
      </c>
    </row>
    <row r="660">
      <c r="A660" s="1" t="s">
        <v>4</v>
      </c>
      <c r="B660" s="2">
        <v>42730.0</v>
      </c>
      <c r="C660" s="3">
        <v>42736.0</v>
      </c>
      <c r="D660" s="1">
        <v>52.0</v>
      </c>
      <c r="E660" s="1">
        <v>1642.0</v>
      </c>
      <c r="F660" s="1">
        <v>0.0</v>
      </c>
    </row>
    <row r="661">
      <c r="A661" s="1" t="s">
        <v>4</v>
      </c>
      <c r="B661" s="3">
        <v>42737.0</v>
      </c>
      <c r="C661" s="3">
        <v>42743.0</v>
      </c>
      <c r="D661" s="1">
        <v>1.0</v>
      </c>
      <c r="E661" s="1">
        <v>1878.0</v>
      </c>
      <c r="F661" s="1">
        <v>0.0</v>
      </c>
    </row>
    <row r="662">
      <c r="A662" s="1" t="s">
        <v>4</v>
      </c>
      <c r="B662" s="3">
        <v>42744.0</v>
      </c>
      <c r="C662" s="3">
        <v>42750.0</v>
      </c>
      <c r="D662" s="1">
        <v>2.0</v>
      </c>
      <c r="E662" s="1">
        <v>1868.0</v>
      </c>
      <c r="F662" s="1">
        <v>0.0</v>
      </c>
    </row>
    <row r="663">
      <c r="A663" s="1" t="s">
        <v>4</v>
      </c>
      <c r="B663" s="3">
        <v>42751.0</v>
      </c>
      <c r="C663" s="3">
        <v>42757.0</v>
      </c>
      <c r="D663" s="1">
        <v>3.0</v>
      </c>
      <c r="E663" s="1">
        <v>2034.0</v>
      </c>
      <c r="F663" s="1">
        <v>0.0</v>
      </c>
    </row>
    <row r="664">
      <c r="A664" s="1" t="s">
        <v>4</v>
      </c>
      <c r="B664" s="3">
        <v>42758.0</v>
      </c>
      <c r="C664" s="3">
        <v>42764.0</v>
      </c>
      <c r="D664" s="1">
        <v>4.0</v>
      </c>
      <c r="E664" s="1">
        <v>2082.0</v>
      </c>
      <c r="F664" s="1">
        <v>0.0</v>
      </c>
    </row>
    <row r="665">
      <c r="A665" s="1" t="s">
        <v>4</v>
      </c>
      <c r="B665" s="3">
        <v>42765.0</v>
      </c>
      <c r="C665" s="3">
        <v>42771.0</v>
      </c>
      <c r="D665" s="1">
        <v>5.0</v>
      </c>
      <c r="E665" s="1">
        <v>1891.0</v>
      </c>
      <c r="F665" s="1">
        <v>0.0</v>
      </c>
    </row>
    <row r="666">
      <c r="A666" s="1" t="s">
        <v>4</v>
      </c>
      <c r="B666" s="3">
        <v>42772.0</v>
      </c>
      <c r="C666" s="3">
        <v>42778.0</v>
      </c>
      <c r="D666" s="1">
        <v>6.0</v>
      </c>
      <c r="E666" s="1">
        <v>1788.0</v>
      </c>
      <c r="F666" s="1">
        <v>0.0</v>
      </c>
    </row>
    <row r="667">
      <c r="A667" s="1" t="s">
        <v>4</v>
      </c>
      <c r="B667" s="3">
        <v>42779.0</v>
      </c>
      <c r="C667" s="3">
        <v>42785.0</v>
      </c>
      <c r="D667" s="1">
        <v>7.0</v>
      </c>
      <c r="E667" s="1">
        <v>1813.0</v>
      </c>
      <c r="F667" s="1">
        <v>0.0</v>
      </c>
    </row>
    <row r="668">
      <c r="A668" s="1" t="s">
        <v>4</v>
      </c>
      <c r="B668" s="3">
        <v>42786.0</v>
      </c>
      <c r="C668" s="3">
        <v>42792.0</v>
      </c>
      <c r="D668" s="1">
        <v>8.0</v>
      </c>
      <c r="E668" s="1">
        <v>1969.0</v>
      </c>
      <c r="F668" s="1">
        <v>0.0</v>
      </c>
    </row>
    <row r="669">
      <c r="A669" s="1" t="s">
        <v>4</v>
      </c>
      <c r="B669" s="3">
        <v>42793.0</v>
      </c>
      <c r="C669" s="3">
        <v>42799.0</v>
      </c>
      <c r="D669" s="1">
        <v>9.0</v>
      </c>
      <c r="E669" s="1">
        <v>1730.0</v>
      </c>
      <c r="F669" s="1">
        <v>0.0</v>
      </c>
    </row>
    <row r="670">
      <c r="A670" s="1" t="s">
        <v>4</v>
      </c>
      <c r="B670" s="3">
        <v>42800.0</v>
      </c>
      <c r="C670" s="3">
        <v>42806.0</v>
      </c>
      <c r="D670" s="1">
        <v>10.0</v>
      </c>
      <c r="E670" s="1">
        <v>1739.0</v>
      </c>
      <c r="F670" s="1">
        <v>0.0</v>
      </c>
    </row>
    <row r="671">
      <c r="A671" s="1" t="s">
        <v>4</v>
      </c>
      <c r="B671" s="3">
        <v>42807.0</v>
      </c>
      <c r="C671" s="3">
        <v>42813.0</v>
      </c>
      <c r="D671" s="1">
        <v>11.0</v>
      </c>
      <c r="E671" s="1">
        <v>1754.0</v>
      </c>
      <c r="F671" s="1">
        <v>0.0</v>
      </c>
    </row>
    <row r="672">
      <c r="A672" s="1" t="s">
        <v>4</v>
      </c>
      <c r="B672" s="3">
        <v>42814.0</v>
      </c>
      <c r="C672" s="3">
        <v>42820.0</v>
      </c>
      <c r="D672" s="1">
        <v>12.0</v>
      </c>
      <c r="E672" s="1">
        <v>1770.0</v>
      </c>
      <c r="F672" s="1">
        <v>0.0</v>
      </c>
    </row>
    <row r="673">
      <c r="A673" s="1" t="s">
        <v>4</v>
      </c>
      <c r="B673" s="3">
        <v>42821.0</v>
      </c>
      <c r="C673" s="3">
        <v>42827.0</v>
      </c>
      <c r="D673" s="1">
        <v>13.0</v>
      </c>
      <c r="E673" s="1">
        <v>1800.0</v>
      </c>
      <c r="F673" s="1">
        <v>0.0</v>
      </c>
    </row>
    <row r="674">
      <c r="A674" s="1" t="s">
        <v>4</v>
      </c>
      <c r="B674" s="3">
        <v>42828.0</v>
      </c>
      <c r="C674" s="3">
        <v>42834.0</v>
      </c>
      <c r="D674" s="1">
        <v>14.0</v>
      </c>
      <c r="E674" s="1">
        <v>1895.0</v>
      </c>
      <c r="F674" s="1">
        <v>0.0</v>
      </c>
    </row>
    <row r="675">
      <c r="A675" s="1" t="s">
        <v>4</v>
      </c>
      <c r="B675" s="3">
        <v>42835.0</v>
      </c>
      <c r="C675" s="3">
        <v>42841.0</v>
      </c>
      <c r="D675" s="1">
        <v>15.0</v>
      </c>
      <c r="E675" s="1">
        <v>1949.0</v>
      </c>
      <c r="F675" s="1">
        <v>0.0</v>
      </c>
    </row>
    <row r="676">
      <c r="A676" s="1" t="s">
        <v>4</v>
      </c>
      <c r="B676" s="3">
        <v>42842.0</v>
      </c>
      <c r="C676" s="3">
        <v>42848.0</v>
      </c>
      <c r="D676" s="1">
        <v>16.0</v>
      </c>
      <c r="E676" s="1">
        <v>1847.0</v>
      </c>
      <c r="F676" s="1">
        <v>0.0</v>
      </c>
    </row>
    <row r="677">
      <c r="A677" s="1" t="s">
        <v>4</v>
      </c>
      <c r="B677" s="3">
        <v>42849.0</v>
      </c>
      <c r="C677" s="3">
        <v>42855.0</v>
      </c>
      <c r="D677" s="1">
        <v>17.0</v>
      </c>
      <c r="E677" s="1">
        <v>1970.0</v>
      </c>
      <c r="F677" s="1">
        <v>0.0</v>
      </c>
    </row>
    <row r="678">
      <c r="A678" s="1" t="s">
        <v>4</v>
      </c>
      <c r="B678" s="3">
        <v>42856.0</v>
      </c>
      <c r="C678" s="3">
        <v>42862.0</v>
      </c>
      <c r="D678" s="1">
        <v>18.0</v>
      </c>
      <c r="E678" s="1">
        <v>1964.0</v>
      </c>
      <c r="F678" s="1">
        <v>0.0</v>
      </c>
    </row>
    <row r="679">
      <c r="A679" s="1" t="s">
        <v>4</v>
      </c>
      <c r="B679" s="3">
        <v>42863.0</v>
      </c>
      <c r="C679" s="3">
        <v>42869.0</v>
      </c>
      <c r="D679" s="1">
        <v>19.0</v>
      </c>
      <c r="E679" s="1">
        <v>1921.0</v>
      </c>
      <c r="F679" s="1">
        <v>0.0</v>
      </c>
    </row>
    <row r="680">
      <c r="A680" s="1" t="s">
        <v>4</v>
      </c>
      <c r="B680" s="3">
        <v>42870.0</v>
      </c>
      <c r="C680" s="3">
        <v>42876.0</v>
      </c>
      <c r="D680" s="1">
        <v>20.0</v>
      </c>
      <c r="E680" s="1">
        <v>2025.0</v>
      </c>
      <c r="F680" s="1">
        <v>0.0</v>
      </c>
    </row>
    <row r="681">
      <c r="A681" s="1" t="s">
        <v>4</v>
      </c>
      <c r="B681" s="3">
        <v>42877.0</v>
      </c>
      <c r="C681" s="3">
        <v>42883.0</v>
      </c>
      <c r="D681" s="1">
        <v>21.0</v>
      </c>
      <c r="E681" s="1">
        <v>2210.0</v>
      </c>
      <c r="F681" s="1">
        <v>0.0</v>
      </c>
    </row>
    <row r="682">
      <c r="A682" s="1" t="s">
        <v>4</v>
      </c>
      <c r="B682" s="3">
        <v>42884.0</v>
      </c>
      <c r="C682" s="3">
        <v>42890.0</v>
      </c>
      <c r="D682" s="1">
        <v>22.0</v>
      </c>
      <c r="E682" s="1">
        <v>2334.0</v>
      </c>
      <c r="F682" s="1">
        <v>0.0</v>
      </c>
    </row>
    <row r="683">
      <c r="A683" s="1" t="s">
        <v>4</v>
      </c>
      <c r="B683" s="3">
        <v>42891.0</v>
      </c>
      <c r="C683" s="3">
        <v>42897.0</v>
      </c>
      <c r="D683" s="1">
        <v>23.0</v>
      </c>
      <c r="E683" s="1">
        <v>2376.0</v>
      </c>
      <c r="F683" s="1">
        <v>0.0</v>
      </c>
    </row>
    <row r="684">
      <c r="A684" s="1" t="s">
        <v>4</v>
      </c>
      <c r="B684" s="3">
        <v>42898.0</v>
      </c>
      <c r="C684" s="3">
        <v>42904.0</v>
      </c>
      <c r="D684" s="1">
        <v>24.0</v>
      </c>
      <c r="E684" s="1">
        <v>2640.0</v>
      </c>
      <c r="F684" s="1">
        <v>0.0</v>
      </c>
    </row>
    <row r="685">
      <c r="A685" s="1" t="s">
        <v>4</v>
      </c>
      <c r="B685" s="3">
        <v>42905.0</v>
      </c>
      <c r="C685" s="3">
        <v>42911.0</v>
      </c>
      <c r="D685" s="1">
        <v>25.0</v>
      </c>
      <c r="E685" s="1">
        <v>2639.0</v>
      </c>
      <c r="F685" s="1">
        <v>0.0</v>
      </c>
    </row>
    <row r="686">
      <c r="A686" s="1" t="s">
        <v>4</v>
      </c>
      <c r="B686" s="3">
        <v>42912.0</v>
      </c>
      <c r="C686" s="3">
        <v>42918.0</v>
      </c>
      <c r="D686" s="1">
        <v>26.0</v>
      </c>
      <c r="E686" s="1">
        <v>2525.0</v>
      </c>
      <c r="F686" s="1">
        <v>0.0</v>
      </c>
    </row>
    <row r="687">
      <c r="A687" s="1" t="s">
        <v>4</v>
      </c>
      <c r="B687" s="3">
        <v>42919.0</v>
      </c>
      <c r="C687" s="3">
        <v>42925.0</v>
      </c>
      <c r="D687" s="1">
        <v>27.0</v>
      </c>
      <c r="E687" s="1">
        <v>2387.0</v>
      </c>
      <c r="F687" s="1">
        <v>0.0</v>
      </c>
    </row>
    <row r="688">
      <c r="A688" s="1" t="s">
        <v>4</v>
      </c>
      <c r="B688" s="3">
        <v>42926.0</v>
      </c>
      <c r="C688" s="3">
        <v>42932.0</v>
      </c>
      <c r="D688" s="1">
        <v>28.0</v>
      </c>
      <c r="E688" s="1">
        <v>2308.0</v>
      </c>
      <c r="F688" s="1">
        <v>0.0</v>
      </c>
    </row>
    <row r="689">
      <c r="A689" s="1" t="s">
        <v>4</v>
      </c>
      <c r="B689" s="3">
        <v>42933.0</v>
      </c>
      <c r="C689" s="3">
        <v>42939.0</v>
      </c>
      <c r="D689" s="1">
        <v>29.0</v>
      </c>
      <c r="E689" s="1">
        <v>2419.0</v>
      </c>
      <c r="F689" s="1">
        <v>0.0</v>
      </c>
    </row>
    <row r="690">
      <c r="A690" s="1" t="s">
        <v>4</v>
      </c>
      <c r="B690" s="3">
        <v>42940.0</v>
      </c>
      <c r="C690" s="3">
        <v>42946.0</v>
      </c>
      <c r="D690" s="1">
        <v>30.0</v>
      </c>
      <c r="E690" s="1">
        <v>2339.0</v>
      </c>
      <c r="F690" s="1">
        <v>0.0</v>
      </c>
    </row>
    <row r="691">
      <c r="A691" s="1" t="s">
        <v>4</v>
      </c>
      <c r="B691" s="3">
        <v>42947.0</v>
      </c>
      <c r="C691" s="3">
        <v>42953.0</v>
      </c>
      <c r="D691" s="1">
        <v>31.0</v>
      </c>
      <c r="E691" s="1">
        <v>2289.0</v>
      </c>
      <c r="F691" s="1">
        <v>0.0</v>
      </c>
    </row>
    <row r="692">
      <c r="A692" s="1" t="s">
        <v>4</v>
      </c>
      <c r="B692" s="3">
        <v>42954.0</v>
      </c>
      <c r="C692" s="3">
        <v>42960.0</v>
      </c>
      <c r="D692" s="1">
        <v>32.0</v>
      </c>
      <c r="E692" s="1">
        <v>2197.0</v>
      </c>
      <c r="F692" s="1">
        <v>0.0</v>
      </c>
    </row>
    <row r="693">
      <c r="A693" s="1" t="s">
        <v>4</v>
      </c>
      <c r="B693" s="3">
        <v>42961.0</v>
      </c>
      <c r="C693" s="3">
        <v>42967.0</v>
      </c>
      <c r="D693" s="1">
        <v>33.0</v>
      </c>
      <c r="E693" s="1">
        <v>2175.0</v>
      </c>
      <c r="F693" s="1">
        <v>0.0</v>
      </c>
    </row>
    <row r="694">
      <c r="A694" s="1" t="s">
        <v>4</v>
      </c>
      <c r="B694" s="3">
        <v>42968.0</v>
      </c>
      <c r="C694" s="3">
        <v>42974.0</v>
      </c>
      <c r="D694" s="1">
        <v>34.0</v>
      </c>
      <c r="E694" s="1">
        <v>2121.0</v>
      </c>
      <c r="F694" s="1">
        <v>0.0</v>
      </c>
    </row>
    <row r="695">
      <c r="A695" s="1" t="s">
        <v>4</v>
      </c>
      <c r="B695" s="3">
        <v>42975.0</v>
      </c>
      <c r="C695" s="3">
        <v>42981.0</v>
      </c>
      <c r="D695" s="1">
        <v>35.0</v>
      </c>
      <c r="E695" s="1">
        <v>2146.0</v>
      </c>
      <c r="F695" s="1">
        <v>0.0</v>
      </c>
    </row>
    <row r="696">
      <c r="A696" s="1" t="s">
        <v>4</v>
      </c>
      <c r="B696" s="3">
        <v>42982.0</v>
      </c>
      <c r="C696" s="3">
        <v>42988.0</v>
      </c>
      <c r="D696" s="1">
        <v>36.0</v>
      </c>
      <c r="E696" s="1">
        <v>2106.0</v>
      </c>
      <c r="F696" s="1">
        <v>0.0</v>
      </c>
    </row>
    <row r="697">
      <c r="A697" s="1" t="s">
        <v>4</v>
      </c>
      <c r="B697" s="3">
        <v>42989.0</v>
      </c>
      <c r="C697" s="3">
        <v>42995.0</v>
      </c>
      <c r="D697" s="1">
        <v>37.0</v>
      </c>
      <c r="E697" s="1">
        <v>2181.0</v>
      </c>
      <c r="F697" s="1">
        <v>0.0</v>
      </c>
    </row>
    <row r="698">
      <c r="A698" s="1" t="s">
        <v>4</v>
      </c>
      <c r="B698" s="3">
        <v>42996.0</v>
      </c>
      <c r="C698" s="3">
        <v>43002.0</v>
      </c>
      <c r="D698" s="1">
        <v>38.0</v>
      </c>
      <c r="E698" s="1">
        <v>2258.0</v>
      </c>
      <c r="F698" s="1">
        <v>0.0</v>
      </c>
    </row>
    <row r="699">
      <c r="A699" s="1" t="s">
        <v>4</v>
      </c>
      <c r="B699" s="3">
        <v>43003.0</v>
      </c>
      <c r="C699" s="2">
        <v>43009.0</v>
      </c>
      <c r="D699" s="1">
        <v>39.0</v>
      </c>
      <c r="E699" s="1">
        <v>2102.0</v>
      </c>
      <c r="F699" s="1">
        <v>0.0</v>
      </c>
    </row>
    <row r="700">
      <c r="A700" s="1" t="s">
        <v>4</v>
      </c>
      <c r="B700" s="2">
        <v>43010.0</v>
      </c>
      <c r="C700" s="2">
        <v>43016.0</v>
      </c>
      <c r="D700" s="1">
        <v>40.0</v>
      </c>
      <c r="E700" s="1">
        <v>2088.0</v>
      </c>
      <c r="F700" s="1">
        <v>0.0</v>
      </c>
    </row>
    <row r="701">
      <c r="A701" s="1" t="s">
        <v>4</v>
      </c>
      <c r="B701" s="2">
        <v>43017.0</v>
      </c>
      <c r="C701" s="2">
        <v>43023.0</v>
      </c>
      <c r="D701" s="1">
        <v>41.0</v>
      </c>
      <c r="E701" s="1">
        <v>1987.0</v>
      </c>
      <c r="F701" s="1">
        <v>0.0</v>
      </c>
    </row>
    <row r="702">
      <c r="A702" s="1" t="s">
        <v>4</v>
      </c>
      <c r="B702" s="2">
        <v>43024.0</v>
      </c>
      <c r="C702" s="2">
        <v>43030.0</v>
      </c>
      <c r="D702" s="1">
        <v>42.0</v>
      </c>
      <c r="E702" s="1">
        <v>1965.0</v>
      </c>
      <c r="F702" s="1">
        <v>0.0</v>
      </c>
    </row>
    <row r="703">
      <c r="A703" s="1" t="s">
        <v>4</v>
      </c>
      <c r="B703" s="2">
        <v>43031.0</v>
      </c>
      <c r="C703" s="2">
        <v>43037.0</v>
      </c>
      <c r="D703" s="1">
        <v>43.0</v>
      </c>
      <c r="E703" s="1">
        <v>1871.0</v>
      </c>
      <c r="F703" s="1">
        <v>0.0</v>
      </c>
    </row>
    <row r="704">
      <c r="A704" s="1" t="s">
        <v>4</v>
      </c>
      <c r="B704" s="2">
        <v>43038.0</v>
      </c>
      <c r="C704" s="2">
        <v>43044.0</v>
      </c>
      <c r="D704" s="1">
        <v>44.0</v>
      </c>
      <c r="E704" s="1">
        <v>1836.0</v>
      </c>
      <c r="F704" s="1">
        <v>0.0</v>
      </c>
    </row>
    <row r="705">
      <c r="A705" s="1" t="s">
        <v>4</v>
      </c>
      <c r="B705" s="2">
        <v>43045.0</v>
      </c>
      <c r="C705" s="2">
        <v>43051.0</v>
      </c>
      <c r="D705" s="1">
        <v>45.0</v>
      </c>
      <c r="E705" s="1">
        <v>1977.0</v>
      </c>
      <c r="F705" s="1">
        <v>0.0</v>
      </c>
    </row>
    <row r="706">
      <c r="A706" s="1" t="s">
        <v>4</v>
      </c>
      <c r="B706" s="2">
        <v>43052.0</v>
      </c>
      <c r="C706" s="2">
        <v>43058.0</v>
      </c>
      <c r="D706" s="1">
        <v>46.0</v>
      </c>
      <c r="E706" s="1">
        <v>1826.0</v>
      </c>
      <c r="F706" s="1">
        <v>0.0</v>
      </c>
    </row>
    <row r="707">
      <c r="A707" s="1" t="s">
        <v>4</v>
      </c>
      <c r="B707" s="2">
        <v>43059.0</v>
      </c>
      <c r="C707" s="2">
        <v>43065.0</v>
      </c>
      <c r="D707" s="1">
        <v>47.0</v>
      </c>
      <c r="E707" s="1">
        <v>1936.0</v>
      </c>
      <c r="F707" s="1">
        <v>0.0</v>
      </c>
    </row>
    <row r="708">
      <c r="A708" s="1" t="s">
        <v>4</v>
      </c>
      <c r="B708" s="2">
        <v>43066.0</v>
      </c>
      <c r="C708" s="2">
        <v>43072.0</v>
      </c>
      <c r="D708" s="1">
        <v>48.0</v>
      </c>
      <c r="E708" s="1">
        <v>1852.0</v>
      </c>
      <c r="F708" s="1">
        <v>0.0</v>
      </c>
    </row>
    <row r="709">
      <c r="A709" s="1" t="s">
        <v>4</v>
      </c>
      <c r="B709" s="2">
        <v>43073.0</v>
      </c>
      <c r="C709" s="2">
        <v>43079.0</v>
      </c>
      <c r="D709" s="1">
        <v>49.0</v>
      </c>
      <c r="E709" s="1">
        <v>1862.0</v>
      </c>
      <c r="F709" s="1">
        <v>0.0</v>
      </c>
    </row>
    <row r="710">
      <c r="A710" s="1" t="s">
        <v>4</v>
      </c>
      <c r="B710" s="2">
        <v>43080.0</v>
      </c>
      <c r="C710" s="2">
        <v>43086.0</v>
      </c>
      <c r="D710" s="1">
        <v>50.0</v>
      </c>
      <c r="E710" s="1">
        <v>1895.0</v>
      </c>
      <c r="F710" s="1">
        <v>0.0</v>
      </c>
    </row>
    <row r="711">
      <c r="A711" s="1" t="s">
        <v>4</v>
      </c>
      <c r="B711" s="2">
        <v>43087.0</v>
      </c>
      <c r="C711" s="2">
        <v>43093.0</v>
      </c>
      <c r="D711" s="1">
        <v>51.0</v>
      </c>
      <c r="E711" s="1">
        <v>1804.0</v>
      </c>
      <c r="F711" s="1">
        <v>0.0</v>
      </c>
    </row>
    <row r="712">
      <c r="A712" s="1" t="s">
        <v>4</v>
      </c>
      <c r="B712" s="2">
        <v>43094.0</v>
      </c>
      <c r="C712" s="2">
        <v>43100.0</v>
      </c>
      <c r="D712" s="1">
        <v>52.0</v>
      </c>
      <c r="E712" s="1">
        <v>1707.0</v>
      </c>
      <c r="F712" s="1">
        <v>0.0</v>
      </c>
    </row>
    <row r="713">
      <c r="A713" s="1" t="s">
        <v>4</v>
      </c>
      <c r="B713" s="3">
        <v>43101.0</v>
      </c>
      <c r="C713" s="3">
        <v>43107.0</v>
      </c>
      <c r="D713" s="1">
        <v>1.0</v>
      </c>
      <c r="E713" s="1">
        <v>1946.0</v>
      </c>
      <c r="F713" s="1">
        <v>0.0</v>
      </c>
    </row>
    <row r="714">
      <c r="A714" s="1" t="s">
        <v>4</v>
      </c>
      <c r="B714" s="3">
        <v>43108.0</v>
      </c>
      <c r="C714" s="3">
        <v>43114.0</v>
      </c>
      <c r="D714" s="1">
        <v>2.0</v>
      </c>
      <c r="E714" s="1">
        <v>1804.0</v>
      </c>
      <c r="F714" s="1">
        <v>0.0</v>
      </c>
    </row>
    <row r="715">
      <c r="A715" s="1" t="s">
        <v>4</v>
      </c>
      <c r="B715" s="3">
        <v>43115.0</v>
      </c>
      <c r="C715" s="3">
        <v>43121.0</v>
      </c>
      <c r="D715" s="1">
        <v>3.0</v>
      </c>
      <c r="E715" s="1">
        <v>1804.0</v>
      </c>
      <c r="F715" s="1">
        <v>0.0</v>
      </c>
    </row>
    <row r="716">
      <c r="A716" s="1" t="s">
        <v>4</v>
      </c>
      <c r="B716" s="3">
        <v>43122.0</v>
      </c>
      <c r="C716" s="3">
        <v>43128.0</v>
      </c>
      <c r="D716" s="1">
        <v>4.0</v>
      </c>
      <c r="E716" s="1">
        <v>1776.0</v>
      </c>
      <c r="F716" s="1">
        <v>0.0</v>
      </c>
    </row>
    <row r="717">
      <c r="A717" s="1" t="s">
        <v>4</v>
      </c>
      <c r="B717" s="3">
        <v>43129.0</v>
      </c>
      <c r="C717" s="3">
        <v>43135.0</v>
      </c>
      <c r="D717" s="1">
        <v>5.0</v>
      </c>
      <c r="E717" s="1">
        <v>1895.0</v>
      </c>
      <c r="F717" s="1">
        <v>0.0</v>
      </c>
    </row>
    <row r="718">
      <c r="A718" s="1" t="s">
        <v>4</v>
      </c>
      <c r="B718" s="3">
        <v>43136.0</v>
      </c>
      <c r="C718" s="3">
        <v>43142.0</v>
      </c>
      <c r="D718" s="1">
        <v>6.0</v>
      </c>
      <c r="E718" s="1">
        <v>1817.0</v>
      </c>
      <c r="F718" s="1">
        <v>0.0</v>
      </c>
    </row>
    <row r="719">
      <c r="A719" s="1" t="s">
        <v>4</v>
      </c>
      <c r="B719" s="3">
        <v>43143.0</v>
      </c>
      <c r="C719" s="3">
        <v>43149.0</v>
      </c>
      <c r="D719" s="1">
        <v>7.0</v>
      </c>
      <c r="E719" s="1">
        <v>1885.0</v>
      </c>
      <c r="F719" s="1">
        <v>0.0</v>
      </c>
    </row>
    <row r="720">
      <c r="A720" s="1" t="s">
        <v>4</v>
      </c>
      <c r="B720" s="3">
        <v>43150.0</v>
      </c>
      <c r="C720" s="3">
        <v>43156.0</v>
      </c>
      <c r="D720" s="1">
        <v>8.0</v>
      </c>
      <c r="E720" s="1">
        <v>1809.0</v>
      </c>
      <c r="F720" s="1">
        <v>0.0</v>
      </c>
    </row>
    <row r="721">
      <c r="A721" s="1" t="s">
        <v>4</v>
      </c>
      <c r="B721" s="3">
        <v>43157.0</v>
      </c>
      <c r="C721" s="3">
        <v>43163.0</v>
      </c>
      <c r="D721" s="1">
        <v>9.0</v>
      </c>
      <c r="E721" s="1">
        <v>1782.0</v>
      </c>
      <c r="F721" s="1">
        <v>0.0</v>
      </c>
    </row>
    <row r="722">
      <c r="A722" s="1" t="s">
        <v>4</v>
      </c>
      <c r="B722" s="3">
        <v>43164.0</v>
      </c>
      <c r="C722" s="3">
        <v>43170.0</v>
      </c>
      <c r="D722" s="1">
        <v>10.0</v>
      </c>
      <c r="E722" s="1">
        <v>1870.0</v>
      </c>
      <c r="F722" s="1">
        <v>0.0</v>
      </c>
    </row>
    <row r="723">
      <c r="A723" s="1" t="s">
        <v>4</v>
      </c>
      <c r="B723" s="3">
        <v>43171.0</v>
      </c>
      <c r="C723" s="3">
        <v>43177.0</v>
      </c>
      <c r="D723" s="1">
        <v>11.0</v>
      </c>
      <c r="E723" s="1">
        <v>1789.0</v>
      </c>
      <c r="F723" s="1">
        <v>0.0</v>
      </c>
    </row>
    <row r="724">
      <c r="A724" s="1" t="s">
        <v>4</v>
      </c>
      <c r="B724" s="3">
        <v>43178.0</v>
      </c>
      <c r="C724" s="3">
        <v>43184.0</v>
      </c>
      <c r="D724" s="1">
        <v>12.0</v>
      </c>
      <c r="E724" s="1">
        <v>1819.0</v>
      </c>
      <c r="F724" s="1">
        <v>0.0</v>
      </c>
    </row>
    <row r="725">
      <c r="A725" s="1" t="s">
        <v>4</v>
      </c>
      <c r="B725" s="3">
        <v>43185.0</v>
      </c>
      <c r="C725" s="3">
        <v>43191.0</v>
      </c>
      <c r="D725" s="1">
        <v>13.0</v>
      </c>
      <c r="E725" s="1">
        <v>1961.0</v>
      </c>
      <c r="F725" s="1">
        <v>0.0</v>
      </c>
    </row>
    <row r="726">
      <c r="A726" s="1" t="s">
        <v>4</v>
      </c>
      <c r="B726" s="3">
        <v>43192.0</v>
      </c>
      <c r="C726" s="3">
        <v>43198.0</v>
      </c>
      <c r="D726" s="1">
        <v>14.0</v>
      </c>
      <c r="E726" s="1">
        <v>1903.0</v>
      </c>
      <c r="F726" s="1">
        <v>0.0</v>
      </c>
    </row>
    <row r="727">
      <c r="A727" s="1" t="s">
        <v>4</v>
      </c>
      <c r="B727" s="3">
        <v>43199.0</v>
      </c>
      <c r="C727" s="3">
        <v>43205.0</v>
      </c>
      <c r="D727" s="1">
        <v>15.0</v>
      </c>
      <c r="E727" s="1">
        <v>1939.0</v>
      </c>
      <c r="F727" s="1">
        <v>0.0</v>
      </c>
    </row>
    <row r="728">
      <c r="A728" s="1" t="s">
        <v>4</v>
      </c>
      <c r="B728" s="3">
        <v>43206.0</v>
      </c>
      <c r="C728" s="3">
        <v>43212.0</v>
      </c>
      <c r="D728" s="1">
        <v>16.0</v>
      </c>
      <c r="E728" s="1">
        <v>1920.0</v>
      </c>
      <c r="F728" s="1">
        <v>0.0</v>
      </c>
    </row>
    <row r="729">
      <c r="A729" s="1" t="s">
        <v>4</v>
      </c>
      <c r="B729" s="3">
        <v>43213.0</v>
      </c>
      <c r="C729" s="3">
        <v>43219.0</v>
      </c>
      <c r="D729" s="1">
        <v>17.0</v>
      </c>
      <c r="E729" s="1">
        <v>1917.0</v>
      </c>
      <c r="F729" s="1">
        <v>0.0</v>
      </c>
    </row>
    <row r="730">
      <c r="A730" s="1" t="s">
        <v>4</v>
      </c>
      <c r="B730" s="3">
        <v>43220.0</v>
      </c>
      <c r="C730" s="3">
        <v>43226.0</v>
      </c>
      <c r="D730" s="1">
        <v>18.0</v>
      </c>
      <c r="E730" s="1">
        <v>1976.0</v>
      </c>
      <c r="F730" s="1">
        <v>0.0</v>
      </c>
    </row>
    <row r="731">
      <c r="A731" s="1" t="s">
        <v>4</v>
      </c>
      <c r="B731" s="3">
        <v>43227.0</v>
      </c>
      <c r="C731" s="3">
        <v>43233.0</v>
      </c>
      <c r="D731" s="1">
        <v>19.0</v>
      </c>
      <c r="E731" s="1">
        <v>1864.0</v>
      </c>
      <c r="F731" s="1">
        <v>0.0</v>
      </c>
    </row>
    <row r="732">
      <c r="A732" s="1" t="s">
        <v>4</v>
      </c>
      <c r="B732" s="3">
        <v>43234.0</v>
      </c>
      <c r="C732" s="3">
        <v>43240.0</v>
      </c>
      <c r="D732" s="1">
        <v>20.0</v>
      </c>
      <c r="E732" s="1">
        <v>2024.0</v>
      </c>
      <c r="F732" s="1">
        <v>0.0</v>
      </c>
    </row>
    <row r="733">
      <c r="A733" s="1" t="s">
        <v>4</v>
      </c>
      <c r="B733" s="3">
        <v>43241.0</v>
      </c>
      <c r="C733" s="3">
        <v>43247.0</v>
      </c>
      <c r="D733" s="1">
        <v>21.0</v>
      </c>
      <c r="E733" s="1">
        <v>2088.0</v>
      </c>
      <c r="F733" s="1">
        <v>0.0</v>
      </c>
    </row>
    <row r="734">
      <c r="A734" s="1" t="s">
        <v>4</v>
      </c>
      <c r="B734" s="3">
        <v>43248.0</v>
      </c>
      <c r="C734" s="3">
        <v>43254.0</v>
      </c>
      <c r="D734" s="1">
        <v>22.0</v>
      </c>
      <c r="E734" s="1">
        <v>2123.0</v>
      </c>
      <c r="F734" s="1">
        <v>0.0</v>
      </c>
    </row>
    <row r="735">
      <c r="A735" s="1" t="s">
        <v>4</v>
      </c>
      <c r="B735" s="3">
        <v>43255.0</v>
      </c>
      <c r="C735" s="3">
        <v>43261.0</v>
      </c>
      <c r="D735" s="1">
        <v>23.0</v>
      </c>
      <c r="E735" s="1">
        <v>2368.0</v>
      </c>
      <c r="F735" s="1">
        <v>0.0</v>
      </c>
    </row>
    <row r="736">
      <c r="A736" s="1" t="s">
        <v>4</v>
      </c>
      <c r="B736" s="3">
        <v>43262.0</v>
      </c>
      <c r="C736" s="3">
        <v>43268.0</v>
      </c>
      <c r="D736" s="1">
        <v>24.0</v>
      </c>
      <c r="E736" s="1">
        <v>2431.0</v>
      </c>
      <c r="F736" s="1">
        <v>0.0</v>
      </c>
    </row>
    <row r="737">
      <c r="A737" s="1" t="s">
        <v>4</v>
      </c>
      <c r="B737" s="3">
        <v>43269.0</v>
      </c>
      <c r="C737" s="3">
        <v>43275.0</v>
      </c>
      <c r="D737" s="1">
        <v>25.0</v>
      </c>
      <c r="E737" s="1">
        <v>2247.0</v>
      </c>
      <c r="F737" s="1">
        <v>0.0</v>
      </c>
    </row>
    <row r="738">
      <c r="A738" s="1" t="s">
        <v>4</v>
      </c>
      <c r="B738" s="3">
        <v>43276.0</v>
      </c>
      <c r="C738" s="3">
        <v>43282.0</v>
      </c>
      <c r="D738" s="1">
        <v>26.0</v>
      </c>
      <c r="E738" s="1">
        <v>2359.0</v>
      </c>
      <c r="F738" s="1">
        <v>0.0</v>
      </c>
    </row>
    <row r="739">
      <c r="A739" s="1" t="s">
        <v>4</v>
      </c>
      <c r="B739" s="3">
        <v>43283.0</v>
      </c>
      <c r="C739" s="3">
        <v>43289.0</v>
      </c>
      <c r="D739" s="1">
        <v>27.0</v>
      </c>
      <c r="E739" s="1">
        <v>2334.0</v>
      </c>
      <c r="F739" s="1">
        <v>0.0</v>
      </c>
    </row>
    <row r="740">
      <c r="A740" s="1" t="s">
        <v>4</v>
      </c>
      <c r="B740" s="3">
        <v>43290.0</v>
      </c>
      <c r="C740" s="3">
        <v>43296.0</v>
      </c>
      <c r="D740" s="1">
        <v>28.0</v>
      </c>
      <c r="E740" s="1">
        <v>2276.0</v>
      </c>
      <c r="F740" s="1">
        <v>0.0</v>
      </c>
    </row>
    <row r="741">
      <c r="A741" s="1" t="s">
        <v>4</v>
      </c>
      <c r="B741" s="3">
        <v>43297.0</v>
      </c>
      <c r="C741" s="3">
        <v>43303.0</v>
      </c>
      <c r="D741" s="1">
        <v>29.0</v>
      </c>
      <c r="E741" s="1">
        <v>2334.0</v>
      </c>
      <c r="F741" s="1">
        <v>0.0</v>
      </c>
    </row>
    <row r="742">
      <c r="A742" s="1" t="s">
        <v>4</v>
      </c>
      <c r="B742" s="3">
        <v>43304.0</v>
      </c>
      <c r="C742" s="3">
        <v>43310.0</v>
      </c>
      <c r="D742" s="1">
        <v>30.0</v>
      </c>
      <c r="E742" s="1">
        <v>2496.0</v>
      </c>
      <c r="F742" s="1">
        <v>0.0</v>
      </c>
    </row>
    <row r="743">
      <c r="A743" s="1" t="s">
        <v>4</v>
      </c>
      <c r="B743" s="3">
        <v>43311.0</v>
      </c>
      <c r="C743" s="3">
        <v>43317.0</v>
      </c>
      <c r="D743" s="1">
        <v>31.0</v>
      </c>
      <c r="E743" s="1">
        <v>2514.0</v>
      </c>
      <c r="F743" s="1">
        <v>0.0</v>
      </c>
    </row>
    <row r="744">
      <c r="A744" s="1" t="s">
        <v>4</v>
      </c>
      <c r="B744" s="3">
        <v>43318.0</v>
      </c>
      <c r="C744" s="3">
        <v>43324.0</v>
      </c>
      <c r="D744" s="1">
        <v>32.0</v>
      </c>
      <c r="E744" s="1">
        <v>2448.0</v>
      </c>
      <c r="F744" s="1">
        <v>0.0</v>
      </c>
    </row>
    <row r="745">
      <c r="A745" s="1" t="s">
        <v>4</v>
      </c>
      <c r="B745" s="3">
        <v>43325.0</v>
      </c>
      <c r="C745" s="3">
        <v>43331.0</v>
      </c>
      <c r="D745" s="1">
        <v>33.0</v>
      </c>
      <c r="E745" s="1">
        <v>2306.0</v>
      </c>
      <c r="F745" s="1">
        <v>0.0</v>
      </c>
    </row>
    <row r="746">
      <c r="A746" s="1" t="s">
        <v>4</v>
      </c>
      <c r="B746" s="3">
        <v>43332.0</v>
      </c>
      <c r="C746" s="3">
        <v>43338.0</v>
      </c>
      <c r="D746" s="1">
        <v>34.0</v>
      </c>
      <c r="E746" s="1">
        <v>2388.0</v>
      </c>
      <c r="F746" s="1">
        <v>0.0</v>
      </c>
    </row>
    <row r="747">
      <c r="A747" s="1" t="s">
        <v>4</v>
      </c>
      <c r="B747" s="3">
        <v>43339.0</v>
      </c>
      <c r="C747" s="3">
        <v>43345.0</v>
      </c>
      <c r="D747" s="1">
        <v>35.0</v>
      </c>
      <c r="E747" s="1">
        <v>2178.0</v>
      </c>
      <c r="F747" s="1">
        <v>0.0</v>
      </c>
    </row>
    <row r="748">
      <c r="A748" s="1" t="s">
        <v>4</v>
      </c>
      <c r="B748" s="3">
        <v>43346.0</v>
      </c>
      <c r="C748" s="3">
        <v>43352.0</v>
      </c>
      <c r="D748" s="1">
        <v>36.0</v>
      </c>
      <c r="E748" s="1">
        <v>2238.0</v>
      </c>
      <c r="F748" s="1">
        <v>0.0</v>
      </c>
    </row>
    <row r="749">
      <c r="A749" s="1" t="s">
        <v>4</v>
      </c>
      <c r="B749" s="3">
        <v>43353.0</v>
      </c>
      <c r="C749" s="3">
        <v>43359.0</v>
      </c>
      <c r="D749" s="1">
        <v>37.0</v>
      </c>
      <c r="E749" s="1">
        <v>2140.0</v>
      </c>
      <c r="F749" s="1">
        <v>0.0</v>
      </c>
    </row>
    <row r="750">
      <c r="A750" s="1" t="s">
        <v>4</v>
      </c>
      <c r="B750" s="3">
        <v>43360.0</v>
      </c>
      <c r="C750" s="3">
        <v>43366.0</v>
      </c>
      <c r="D750" s="1">
        <v>38.0</v>
      </c>
      <c r="E750" s="1">
        <v>2217.0</v>
      </c>
      <c r="F750" s="1">
        <v>0.0</v>
      </c>
    </row>
    <row r="751">
      <c r="A751" s="1" t="s">
        <v>4</v>
      </c>
      <c r="B751" s="3">
        <v>43367.0</v>
      </c>
      <c r="C751" s="3">
        <v>43373.0</v>
      </c>
      <c r="D751" s="1">
        <v>39.0</v>
      </c>
      <c r="E751" s="1">
        <v>2046.0</v>
      </c>
      <c r="F751" s="1">
        <v>0.0</v>
      </c>
    </row>
    <row r="752">
      <c r="A752" s="1" t="s">
        <v>4</v>
      </c>
      <c r="B752" s="2">
        <v>43374.0</v>
      </c>
      <c r="C752" s="2">
        <v>43380.0</v>
      </c>
      <c r="D752" s="1">
        <v>40.0</v>
      </c>
      <c r="E752" s="1">
        <v>2058.0</v>
      </c>
      <c r="F752" s="1">
        <v>0.0</v>
      </c>
    </row>
    <row r="753">
      <c r="A753" s="1" t="s">
        <v>4</v>
      </c>
      <c r="B753" s="2">
        <v>43381.0</v>
      </c>
      <c r="C753" s="2">
        <v>43387.0</v>
      </c>
      <c r="D753" s="1">
        <v>41.0</v>
      </c>
      <c r="E753" s="1">
        <v>1986.0</v>
      </c>
      <c r="F753" s="1">
        <v>0.0</v>
      </c>
    </row>
    <row r="754">
      <c r="A754" s="1" t="s">
        <v>4</v>
      </c>
      <c r="B754" s="2">
        <v>43388.0</v>
      </c>
      <c r="C754" s="2">
        <v>43394.0</v>
      </c>
      <c r="D754" s="1">
        <v>42.0</v>
      </c>
      <c r="E754" s="1">
        <v>2002.0</v>
      </c>
      <c r="F754" s="1">
        <v>0.0</v>
      </c>
    </row>
    <row r="755">
      <c r="A755" s="1" t="s">
        <v>4</v>
      </c>
      <c r="B755" s="2">
        <v>43395.0</v>
      </c>
      <c r="C755" s="2">
        <v>43401.0</v>
      </c>
      <c r="D755" s="1">
        <v>43.0</v>
      </c>
      <c r="E755" s="1">
        <v>2030.0</v>
      </c>
      <c r="F755" s="1">
        <v>0.0</v>
      </c>
    </row>
    <row r="756">
      <c r="A756" s="1" t="s">
        <v>4</v>
      </c>
      <c r="B756" s="2">
        <v>43402.0</v>
      </c>
      <c r="C756" s="2">
        <v>43408.0</v>
      </c>
      <c r="D756" s="1">
        <v>44.0</v>
      </c>
      <c r="E756" s="1">
        <v>1940.0</v>
      </c>
      <c r="F756" s="1">
        <v>0.0</v>
      </c>
    </row>
    <row r="757">
      <c r="A757" s="1" t="s">
        <v>4</v>
      </c>
      <c r="B757" s="2">
        <v>43409.0</v>
      </c>
      <c r="C757" s="2">
        <v>43415.0</v>
      </c>
      <c r="D757" s="1">
        <v>45.0</v>
      </c>
      <c r="E757" s="1">
        <v>1960.0</v>
      </c>
      <c r="F757" s="1">
        <v>0.0</v>
      </c>
    </row>
    <row r="758">
      <c r="A758" s="1" t="s">
        <v>4</v>
      </c>
      <c r="B758" s="2">
        <v>43416.0</v>
      </c>
      <c r="C758" s="2">
        <v>43422.0</v>
      </c>
      <c r="D758" s="1">
        <v>46.0</v>
      </c>
      <c r="E758" s="1">
        <v>1945.0</v>
      </c>
      <c r="F758" s="1">
        <v>0.0</v>
      </c>
    </row>
    <row r="759">
      <c r="A759" s="1" t="s">
        <v>4</v>
      </c>
      <c r="B759" s="2">
        <v>43423.0</v>
      </c>
      <c r="C759" s="2">
        <v>43429.0</v>
      </c>
      <c r="D759" s="1">
        <v>47.0</v>
      </c>
      <c r="E759" s="1">
        <v>1992.0</v>
      </c>
      <c r="F759" s="1">
        <v>0.0</v>
      </c>
    </row>
    <row r="760">
      <c r="A760" s="1" t="s">
        <v>4</v>
      </c>
      <c r="B760" s="2">
        <v>43430.0</v>
      </c>
      <c r="C760" s="2">
        <v>43436.0</v>
      </c>
      <c r="D760" s="1">
        <v>48.0</v>
      </c>
      <c r="E760" s="1">
        <v>1924.0</v>
      </c>
      <c r="F760" s="1">
        <v>0.0</v>
      </c>
    </row>
    <row r="761">
      <c r="A761" s="1" t="s">
        <v>4</v>
      </c>
      <c r="B761" s="2">
        <v>43437.0</v>
      </c>
      <c r="C761" s="2">
        <v>43443.0</v>
      </c>
      <c r="D761" s="1">
        <v>49.0</v>
      </c>
      <c r="E761" s="1">
        <v>1852.0</v>
      </c>
      <c r="F761" s="1">
        <v>0.0</v>
      </c>
    </row>
    <row r="762">
      <c r="A762" s="1" t="s">
        <v>4</v>
      </c>
      <c r="B762" s="2">
        <v>43444.0</v>
      </c>
      <c r="C762" s="2">
        <v>43450.0</v>
      </c>
      <c r="D762" s="1">
        <v>50.0</v>
      </c>
      <c r="E762" s="1">
        <v>1910.0</v>
      </c>
      <c r="F762" s="1">
        <v>0.0</v>
      </c>
    </row>
    <row r="763">
      <c r="A763" s="1" t="s">
        <v>4</v>
      </c>
      <c r="B763" s="2">
        <v>43451.0</v>
      </c>
      <c r="C763" s="2">
        <v>43457.0</v>
      </c>
      <c r="D763" s="1">
        <v>51.0</v>
      </c>
      <c r="E763" s="1">
        <v>1941.0</v>
      </c>
      <c r="F763" s="1">
        <v>0.0</v>
      </c>
    </row>
    <row r="764">
      <c r="A764" s="1" t="s">
        <v>4</v>
      </c>
      <c r="B764" s="2">
        <v>43458.0</v>
      </c>
      <c r="C764" s="2">
        <v>43464.0</v>
      </c>
      <c r="D764" s="1">
        <v>52.0</v>
      </c>
      <c r="E764" s="1">
        <v>1887.0</v>
      </c>
      <c r="F764" s="1">
        <v>0.0</v>
      </c>
    </row>
    <row r="765">
      <c r="A765" s="1" t="s">
        <v>4</v>
      </c>
      <c r="B765" s="2">
        <v>43465.0</v>
      </c>
      <c r="C765" s="3">
        <v>43471.0</v>
      </c>
      <c r="D765" s="1">
        <v>1.0</v>
      </c>
      <c r="E765" s="1">
        <v>2020.0</v>
      </c>
      <c r="F765" s="1">
        <v>0.0</v>
      </c>
    </row>
    <row r="766">
      <c r="A766" s="1" t="s">
        <v>4</v>
      </c>
      <c r="B766" s="3">
        <v>43472.0</v>
      </c>
      <c r="C766" s="3">
        <v>43478.0</v>
      </c>
      <c r="D766" s="1">
        <v>2.0</v>
      </c>
      <c r="E766" s="1">
        <v>1818.0</v>
      </c>
      <c r="F766" s="1">
        <v>0.0</v>
      </c>
    </row>
    <row r="767">
      <c r="A767" s="1" t="s">
        <v>4</v>
      </c>
      <c r="B767" s="3">
        <v>43479.0</v>
      </c>
      <c r="C767" s="3">
        <v>43485.0</v>
      </c>
      <c r="D767" s="1">
        <v>3.0</v>
      </c>
      <c r="E767" s="1">
        <v>1819.0</v>
      </c>
      <c r="F767" s="1">
        <v>0.0</v>
      </c>
    </row>
    <row r="768">
      <c r="A768" s="1" t="s">
        <v>4</v>
      </c>
      <c r="B768" s="3">
        <v>43486.0</v>
      </c>
      <c r="C768" s="3">
        <v>43492.0</v>
      </c>
      <c r="D768" s="1">
        <v>4.0</v>
      </c>
      <c r="E768" s="1">
        <v>1945.0</v>
      </c>
      <c r="F768" s="1">
        <v>0.0</v>
      </c>
    </row>
    <row r="769">
      <c r="A769" s="1" t="s">
        <v>4</v>
      </c>
      <c r="B769" s="3">
        <v>43493.0</v>
      </c>
      <c r="C769" s="3">
        <v>43499.0</v>
      </c>
      <c r="D769" s="1">
        <v>5.0</v>
      </c>
      <c r="E769" s="1">
        <v>1961.0</v>
      </c>
      <c r="F769" s="1">
        <v>0.0</v>
      </c>
    </row>
    <row r="770">
      <c r="A770" s="1" t="s">
        <v>4</v>
      </c>
      <c r="B770" s="3">
        <v>43500.0</v>
      </c>
      <c r="C770" s="3">
        <v>43506.0</v>
      </c>
      <c r="D770" s="1">
        <v>6.0</v>
      </c>
      <c r="E770" s="1">
        <v>2023.0</v>
      </c>
      <c r="F770" s="1">
        <v>0.0</v>
      </c>
    </row>
    <row r="771">
      <c r="A771" s="1" t="s">
        <v>4</v>
      </c>
      <c r="B771" s="3">
        <v>43507.0</v>
      </c>
      <c r="C771" s="3">
        <v>43513.0</v>
      </c>
      <c r="D771" s="1">
        <v>7.0</v>
      </c>
      <c r="E771" s="1">
        <v>1875.0</v>
      </c>
      <c r="F771" s="1">
        <v>0.0</v>
      </c>
    </row>
    <row r="772">
      <c r="A772" s="1" t="s">
        <v>4</v>
      </c>
      <c r="B772" s="3">
        <v>43514.0</v>
      </c>
      <c r="C772" s="3">
        <v>43520.0</v>
      </c>
      <c r="D772" s="1">
        <v>8.0</v>
      </c>
      <c r="E772" s="1">
        <v>1931.0</v>
      </c>
      <c r="F772" s="1">
        <v>0.0</v>
      </c>
    </row>
    <row r="773">
      <c r="A773" s="1" t="s">
        <v>4</v>
      </c>
      <c r="B773" s="3">
        <v>43521.0</v>
      </c>
      <c r="C773" s="3">
        <v>43527.0</v>
      </c>
      <c r="D773" s="1">
        <v>9.0</v>
      </c>
      <c r="E773" s="1">
        <v>1862.0</v>
      </c>
      <c r="F773" s="1">
        <v>0.0</v>
      </c>
    </row>
    <row r="774">
      <c r="A774" s="1" t="s">
        <v>4</v>
      </c>
      <c r="B774" s="3">
        <v>43528.0</v>
      </c>
      <c r="C774" s="3">
        <v>43534.0</v>
      </c>
      <c r="D774" s="1">
        <v>10.0</v>
      </c>
      <c r="E774" s="1">
        <v>1795.0</v>
      </c>
      <c r="F774" s="1">
        <v>0.0</v>
      </c>
    </row>
    <row r="775">
      <c r="A775" s="1" t="s">
        <v>4</v>
      </c>
      <c r="B775" s="3">
        <v>43535.0</v>
      </c>
      <c r="C775" s="3">
        <v>43541.0</v>
      </c>
      <c r="D775" s="1">
        <v>11.0</v>
      </c>
      <c r="E775" s="1">
        <v>1867.0</v>
      </c>
      <c r="F775" s="1">
        <v>0.0</v>
      </c>
    </row>
    <row r="776">
      <c r="A776" s="1" t="s">
        <v>4</v>
      </c>
      <c r="B776" s="3">
        <v>43542.0</v>
      </c>
      <c r="C776" s="3">
        <v>43548.0</v>
      </c>
      <c r="D776" s="1">
        <v>12.0</v>
      </c>
      <c r="E776" s="1">
        <v>1877.0</v>
      </c>
      <c r="F776" s="1">
        <v>0.0</v>
      </c>
    </row>
    <row r="777">
      <c r="A777" s="1" t="s">
        <v>4</v>
      </c>
      <c r="B777" s="3">
        <v>43549.0</v>
      </c>
      <c r="C777" s="3">
        <v>43555.0</v>
      </c>
      <c r="D777" s="1">
        <v>13.0</v>
      </c>
      <c r="E777" s="1">
        <v>1848.0</v>
      </c>
      <c r="F777" s="1">
        <v>0.0</v>
      </c>
    </row>
    <row r="778">
      <c r="A778" s="1" t="s">
        <v>4</v>
      </c>
      <c r="B778" s="3">
        <v>43556.0</v>
      </c>
      <c r="C778" s="3">
        <v>43562.0</v>
      </c>
      <c r="D778" s="1">
        <v>14.0</v>
      </c>
      <c r="E778" s="1">
        <v>1959.0</v>
      </c>
      <c r="F778" s="1">
        <v>0.0</v>
      </c>
    </row>
    <row r="779">
      <c r="A779" s="1" t="s">
        <v>4</v>
      </c>
      <c r="B779" s="3">
        <v>43563.0</v>
      </c>
      <c r="C779" s="3">
        <v>43569.0</v>
      </c>
      <c r="D779" s="1">
        <v>15.0</v>
      </c>
      <c r="E779" s="1">
        <v>1973.0</v>
      </c>
      <c r="F779" s="1">
        <v>0.0</v>
      </c>
    </row>
    <row r="780">
      <c r="A780" s="1" t="s">
        <v>4</v>
      </c>
      <c r="B780" s="3">
        <v>43570.0</v>
      </c>
      <c r="C780" s="3">
        <v>43576.0</v>
      </c>
      <c r="D780" s="1">
        <v>16.0</v>
      </c>
      <c r="E780" s="1">
        <v>1980.0</v>
      </c>
      <c r="F780" s="1">
        <v>0.0</v>
      </c>
    </row>
    <row r="781">
      <c r="A781" s="1" t="s">
        <v>4</v>
      </c>
      <c r="B781" s="3">
        <v>43577.0</v>
      </c>
      <c r="C781" s="3">
        <v>43583.0</v>
      </c>
      <c r="D781" s="1">
        <v>17.0</v>
      </c>
      <c r="E781" s="1">
        <v>2033.0</v>
      </c>
      <c r="F781" s="1">
        <v>0.0</v>
      </c>
    </row>
    <row r="782">
      <c r="A782" s="1" t="s">
        <v>4</v>
      </c>
      <c r="B782" s="3">
        <v>43584.0</v>
      </c>
      <c r="C782" s="3">
        <v>43590.0</v>
      </c>
      <c r="D782" s="1">
        <v>18.0</v>
      </c>
      <c r="E782" s="1">
        <v>2095.0</v>
      </c>
      <c r="F782" s="1">
        <v>0.0</v>
      </c>
    </row>
    <row r="783">
      <c r="A783" s="1" t="s">
        <v>4</v>
      </c>
      <c r="B783" s="3">
        <v>43591.0</v>
      </c>
      <c r="C783" s="3">
        <v>43597.0</v>
      </c>
      <c r="D783" s="1">
        <v>19.0</v>
      </c>
      <c r="E783" s="1">
        <v>2072.0</v>
      </c>
      <c r="F783" s="1">
        <v>0.0</v>
      </c>
    </row>
    <row r="784">
      <c r="A784" s="1" t="s">
        <v>4</v>
      </c>
      <c r="B784" s="3">
        <v>43598.0</v>
      </c>
      <c r="C784" s="3">
        <v>43604.0</v>
      </c>
      <c r="D784" s="1">
        <v>20.0</v>
      </c>
      <c r="E784" s="1">
        <v>2147.0</v>
      </c>
      <c r="F784" s="1">
        <v>0.0</v>
      </c>
    </row>
    <row r="785">
      <c r="A785" s="1" t="s">
        <v>4</v>
      </c>
      <c r="B785" s="3">
        <v>43605.0</v>
      </c>
      <c r="C785" s="3">
        <v>43611.0</v>
      </c>
      <c r="D785" s="1">
        <v>21.0</v>
      </c>
      <c r="E785" s="1">
        <v>2364.0</v>
      </c>
      <c r="F785" s="1">
        <v>0.0</v>
      </c>
    </row>
    <row r="786">
      <c r="A786" s="1" t="s">
        <v>4</v>
      </c>
      <c r="B786" s="3">
        <v>43612.0</v>
      </c>
      <c r="C786" s="3">
        <v>43618.0</v>
      </c>
      <c r="D786" s="1">
        <v>22.0</v>
      </c>
      <c r="E786" s="1">
        <v>2354.0</v>
      </c>
      <c r="F786" s="1">
        <v>0.0</v>
      </c>
    </row>
    <row r="787">
      <c r="A787" s="1" t="s">
        <v>4</v>
      </c>
      <c r="B787" s="3">
        <v>43619.0</v>
      </c>
      <c r="C787" s="3">
        <v>43625.0</v>
      </c>
      <c r="D787" s="1">
        <v>23.0</v>
      </c>
      <c r="E787" s="1">
        <v>2324.0</v>
      </c>
      <c r="F787" s="1">
        <v>0.0</v>
      </c>
    </row>
    <row r="788">
      <c r="A788" s="1" t="s">
        <v>4</v>
      </c>
      <c r="B788" s="3">
        <v>43626.0</v>
      </c>
      <c r="C788" s="3">
        <v>43632.0</v>
      </c>
      <c r="D788" s="1">
        <v>24.0</v>
      </c>
      <c r="E788" s="1">
        <v>2429.0</v>
      </c>
      <c r="F788" s="1">
        <v>0.0</v>
      </c>
    </row>
    <row r="789">
      <c r="A789" s="1" t="s">
        <v>4</v>
      </c>
      <c r="B789" s="3">
        <v>43633.0</v>
      </c>
      <c r="C789" s="3">
        <v>43639.0</v>
      </c>
      <c r="D789" s="1">
        <v>25.0</v>
      </c>
      <c r="E789" s="1">
        <v>2477.0</v>
      </c>
      <c r="F789" s="1">
        <v>0.0</v>
      </c>
    </row>
    <row r="790">
      <c r="A790" s="1" t="s">
        <v>4</v>
      </c>
      <c r="B790" s="3">
        <v>43640.0</v>
      </c>
      <c r="C790" s="3">
        <v>43646.0</v>
      </c>
      <c r="D790" s="1">
        <v>26.0</v>
      </c>
      <c r="E790" s="1">
        <v>2504.0</v>
      </c>
      <c r="F790" s="1">
        <v>0.0</v>
      </c>
    </row>
    <row r="791">
      <c r="A791" s="1" t="s">
        <v>4</v>
      </c>
      <c r="B791" s="3">
        <v>43647.0</v>
      </c>
      <c r="C791" s="3">
        <v>43653.0</v>
      </c>
      <c r="D791" s="1">
        <v>27.0</v>
      </c>
      <c r="E791" s="1">
        <v>2458.0</v>
      </c>
      <c r="F791" s="1">
        <v>0.0</v>
      </c>
    </row>
    <row r="792">
      <c r="A792" s="1" t="s">
        <v>4</v>
      </c>
      <c r="B792" s="3">
        <v>43654.0</v>
      </c>
      <c r="C792" s="3">
        <v>43660.0</v>
      </c>
      <c r="D792" s="1">
        <v>28.0</v>
      </c>
      <c r="E792" s="1">
        <v>2376.0</v>
      </c>
      <c r="F792" s="1">
        <v>0.0</v>
      </c>
    </row>
    <row r="793">
      <c r="A793" s="1" t="s">
        <v>4</v>
      </c>
      <c r="B793" s="3">
        <v>43661.0</v>
      </c>
      <c r="C793" s="3">
        <v>43667.0</v>
      </c>
      <c r="D793" s="1">
        <v>29.0</v>
      </c>
      <c r="E793" s="1">
        <v>2420.0</v>
      </c>
      <c r="F793" s="1">
        <v>0.0</v>
      </c>
    </row>
    <row r="794">
      <c r="A794" s="1" t="s">
        <v>4</v>
      </c>
      <c r="B794" s="3">
        <v>43668.0</v>
      </c>
      <c r="C794" s="3">
        <v>43674.0</v>
      </c>
      <c r="D794" s="1">
        <v>30.0</v>
      </c>
      <c r="E794" s="1">
        <v>2343.0</v>
      </c>
      <c r="F794" s="1">
        <v>0.0</v>
      </c>
    </row>
    <row r="795">
      <c r="A795" s="1" t="s">
        <v>4</v>
      </c>
      <c r="B795" s="3">
        <v>43675.0</v>
      </c>
      <c r="C795" s="3">
        <v>43681.0</v>
      </c>
      <c r="D795" s="1">
        <v>31.0</v>
      </c>
      <c r="E795" s="1">
        <v>2341.0</v>
      </c>
      <c r="F795" s="1">
        <v>0.0</v>
      </c>
    </row>
    <row r="796">
      <c r="A796" s="1" t="s">
        <v>4</v>
      </c>
      <c r="B796" s="3">
        <v>43682.0</v>
      </c>
      <c r="C796" s="3">
        <v>43688.0</v>
      </c>
      <c r="D796" s="1">
        <v>32.0</v>
      </c>
      <c r="E796" s="1">
        <v>2265.0</v>
      </c>
      <c r="F796" s="1">
        <v>0.0</v>
      </c>
    </row>
    <row r="797">
      <c r="A797" s="1" t="s">
        <v>4</v>
      </c>
      <c r="B797" s="3">
        <v>43689.0</v>
      </c>
      <c r="C797" s="3">
        <v>43695.0</v>
      </c>
      <c r="D797" s="1">
        <v>33.0</v>
      </c>
      <c r="E797" s="1">
        <v>2296.0</v>
      </c>
      <c r="F797" s="1">
        <v>0.0</v>
      </c>
    </row>
    <row r="798">
      <c r="A798" s="1" t="s">
        <v>4</v>
      </c>
      <c r="B798" s="3">
        <v>43696.0</v>
      </c>
      <c r="C798" s="3">
        <v>43702.0</v>
      </c>
      <c r="D798" s="1">
        <v>34.0</v>
      </c>
      <c r="E798" s="1">
        <v>2239.0</v>
      </c>
      <c r="F798" s="1">
        <v>0.0</v>
      </c>
    </row>
    <row r="799">
      <c r="A799" s="1" t="s">
        <v>4</v>
      </c>
      <c r="B799" s="3">
        <v>43703.0</v>
      </c>
      <c r="C799" s="3">
        <v>43709.0</v>
      </c>
      <c r="D799" s="1">
        <v>35.0</v>
      </c>
      <c r="E799" s="1">
        <v>2181.0</v>
      </c>
      <c r="F799" s="1">
        <v>0.0</v>
      </c>
    </row>
    <row r="800">
      <c r="A800" s="1" t="s">
        <v>4</v>
      </c>
      <c r="B800" s="3">
        <v>43710.0</v>
      </c>
      <c r="C800" s="3">
        <v>43716.0</v>
      </c>
      <c r="D800" s="1">
        <v>36.0</v>
      </c>
      <c r="E800" s="1">
        <v>2181.0</v>
      </c>
      <c r="F800" s="1">
        <v>0.0</v>
      </c>
    </row>
    <row r="801">
      <c r="A801" s="1" t="s">
        <v>4</v>
      </c>
      <c r="B801" s="3">
        <v>43717.0</v>
      </c>
      <c r="C801" s="3">
        <v>43723.0</v>
      </c>
      <c r="D801" s="1">
        <v>37.0</v>
      </c>
      <c r="E801" s="1">
        <v>2210.0</v>
      </c>
      <c r="F801" s="1">
        <v>0.0</v>
      </c>
    </row>
    <row r="802">
      <c r="A802" s="1" t="s">
        <v>4</v>
      </c>
      <c r="B802" s="3">
        <v>43724.0</v>
      </c>
      <c r="C802" s="3">
        <v>43730.0</v>
      </c>
      <c r="D802" s="1">
        <v>38.0</v>
      </c>
      <c r="E802" s="1">
        <v>2224.0</v>
      </c>
      <c r="F802" s="1">
        <v>0.0</v>
      </c>
    </row>
    <row r="803">
      <c r="A803" s="1" t="s">
        <v>4</v>
      </c>
      <c r="B803" s="3">
        <v>43731.0</v>
      </c>
      <c r="C803" s="3">
        <v>43737.0</v>
      </c>
      <c r="D803" s="1">
        <v>39.0</v>
      </c>
      <c r="E803" s="1">
        <v>2270.0</v>
      </c>
      <c r="F803" s="1">
        <v>0.0</v>
      </c>
    </row>
    <row r="804">
      <c r="A804" s="1" t="s">
        <v>4</v>
      </c>
      <c r="B804" s="3">
        <v>43738.0</v>
      </c>
      <c r="C804" s="2">
        <v>43744.0</v>
      </c>
      <c r="D804" s="1">
        <v>40.0</v>
      </c>
      <c r="E804" s="1">
        <v>2163.0</v>
      </c>
      <c r="F804" s="1">
        <v>0.0</v>
      </c>
    </row>
    <row r="805">
      <c r="A805" s="1" t="s">
        <v>4</v>
      </c>
      <c r="B805" s="2">
        <v>43745.0</v>
      </c>
      <c r="C805" s="2">
        <v>43751.0</v>
      </c>
      <c r="D805" s="1">
        <v>41.0</v>
      </c>
      <c r="E805" s="1">
        <v>2123.0</v>
      </c>
      <c r="F805" s="1">
        <v>0.0</v>
      </c>
    </row>
    <row r="806">
      <c r="A806" s="1" t="s">
        <v>4</v>
      </c>
      <c r="B806" s="2">
        <v>43752.0</v>
      </c>
      <c r="C806" s="2">
        <v>43758.0</v>
      </c>
      <c r="D806" s="1">
        <v>42.0</v>
      </c>
      <c r="E806" s="1">
        <v>2067.0</v>
      </c>
      <c r="F806" s="1">
        <v>0.0</v>
      </c>
    </row>
    <row r="807">
      <c r="A807" s="1" t="s">
        <v>4</v>
      </c>
      <c r="B807" s="2">
        <v>43759.0</v>
      </c>
      <c r="C807" s="2">
        <v>43765.0</v>
      </c>
      <c r="D807" s="1">
        <v>43.0</v>
      </c>
      <c r="E807" s="1">
        <v>2025.0</v>
      </c>
      <c r="F807" s="1">
        <v>0.0</v>
      </c>
    </row>
    <row r="808">
      <c r="A808" s="1" t="s">
        <v>4</v>
      </c>
      <c r="B808" s="2">
        <v>43766.0</v>
      </c>
      <c r="C808" s="2">
        <v>43772.0</v>
      </c>
      <c r="D808" s="1">
        <v>44.0</v>
      </c>
      <c r="E808" s="1">
        <v>2038.0</v>
      </c>
      <c r="F808" s="1">
        <v>0.0</v>
      </c>
    </row>
    <row r="809">
      <c r="A809" s="1" t="s">
        <v>4</v>
      </c>
      <c r="B809" s="2">
        <v>43773.0</v>
      </c>
      <c r="C809" s="2">
        <v>43779.0</v>
      </c>
      <c r="D809" s="1">
        <v>45.0</v>
      </c>
      <c r="E809" s="1">
        <v>2039.0</v>
      </c>
      <c r="F809" s="1">
        <v>0.0</v>
      </c>
    </row>
    <row r="810">
      <c r="A810" s="1" t="s">
        <v>4</v>
      </c>
      <c r="B810" s="2">
        <v>43780.0</v>
      </c>
      <c r="C810" s="2">
        <v>43786.0</v>
      </c>
      <c r="D810" s="1">
        <v>46.0</v>
      </c>
      <c r="E810" s="1">
        <v>2013.0</v>
      </c>
      <c r="F810" s="1">
        <v>0.0</v>
      </c>
    </row>
    <row r="811">
      <c r="A811" s="1" t="s">
        <v>4</v>
      </c>
      <c r="B811" s="2">
        <v>43787.0</v>
      </c>
      <c r="C811" s="2">
        <v>43793.0</v>
      </c>
      <c r="D811" s="1">
        <v>47.0</v>
      </c>
      <c r="E811" s="1">
        <v>2003.0</v>
      </c>
      <c r="F811" s="1">
        <v>0.0</v>
      </c>
    </row>
    <row r="812">
      <c r="A812" s="1" t="s">
        <v>4</v>
      </c>
      <c r="B812" s="2">
        <v>43794.0</v>
      </c>
      <c r="C812" s="2">
        <v>43800.0</v>
      </c>
      <c r="D812" s="1">
        <v>48.0</v>
      </c>
      <c r="E812" s="1">
        <v>1978.0</v>
      </c>
      <c r="F812" s="1">
        <v>0.0</v>
      </c>
    </row>
    <row r="813">
      <c r="A813" s="1" t="s">
        <v>4</v>
      </c>
      <c r="B813" s="2">
        <v>43801.0</v>
      </c>
      <c r="C813" s="2">
        <v>43807.0</v>
      </c>
      <c r="D813" s="1">
        <v>49.0</v>
      </c>
      <c r="E813" s="1">
        <v>1878.0</v>
      </c>
      <c r="F813" s="1">
        <v>0.0</v>
      </c>
    </row>
    <row r="814">
      <c r="A814" s="1" t="s">
        <v>4</v>
      </c>
      <c r="B814" s="2">
        <v>43808.0</v>
      </c>
      <c r="C814" s="2">
        <v>43814.0</v>
      </c>
      <c r="D814" s="1">
        <v>50.0</v>
      </c>
      <c r="E814" s="1">
        <v>1892.0</v>
      </c>
      <c r="F814" s="1">
        <v>0.0</v>
      </c>
    </row>
    <row r="815">
      <c r="A815" s="1" t="s">
        <v>4</v>
      </c>
      <c r="B815" s="2">
        <v>43815.0</v>
      </c>
      <c r="C815" s="2">
        <v>43821.0</v>
      </c>
      <c r="D815" s="1">
        <v>51.0</v>
      </c>
      <c r="E815" s="1">
        <v>1963.0</v>
      </c>
      <c r="F815" s="1">
        <v>0.0</v>
      </c>
    </row>
    <row r="816">
      <c r="A816" s="1" t="s">
        <v>4</v>
      </c>
      <c r="B816" s="2">
        <v>43822.0</v>
      </c>
      <c r="C816" s="2">
        <v>43828.0</v>
      </c>
      <c r="D816" s="1">
        <v>52.0</v>
      </c>
      <c r="E816" s="1">
        <v>2010.0</v>
      </c>
      <c r="F816" s="1">
        <v>0.0</v>
      </c>
    </row>
    <row r="817">
      <c r="A817" s="1" t="s">
        <v>4</v>
      </c>
      <c r="B817" s="2">
        <v>43829.0</v>
      </c>
      <c r="C817" s="3">
        <v>43835.0</v>
      </c>
      <c r="D817" s="1">
        <v>1.0</v>
      </c>
      <c r="E817" s="1">
        <v>2108.0</v>
      </c>
      <c r="F817" s="1">
        <v>0.0</v>
      </c>
    </row>
    <row r="818">
      <c r="A818" s="1" t="s">
        <v>4</v>
      </c>
      <c r="B818" s="3">
        <v>43836.0</v>
      </c>
      <c r="C818" s="3">
        <v>43842.0</v>
      </c>
      <c r="D818" s="1">
        <v>2.0</v>
      </c>
      <c r="E818" s="1">
        <v>2053.0</v>
      </c>
      <c r="F818" s="1">
        <v>0.0</v>
      </c>
    </row>
    <row r="819">
      <c r="A819" s="1" t="s">
        <v>4</v>
      </c>
      <c r="B819" s="3">
        <v>43843.0</v>
      </c>
      <c r="C819" s="3">
        <v>43849.0</v>
      </c>
      <c r="D819" s="1">
        <v>3.0</v>
      </c>
      <c r="E819" s="1">
        <v>2057.0</v>
      </c>
      <c r="F819" s="1">
        <v>0.0</v>
      </c>
    </row>
    <row r="820">
      <c r="A820" s="1" t="s">
        <v>4</v>
      </c>
      <c r="B820" s="3">
        <v>43850.0</v>
      </c>
      <c r="C820" s="3">
        <v>43856.0</v>
      </c>
      <c r="D820" s="1">
        <v>4.0</v>
      </c>
      <c r="E820" s="1">
        <v>1964.0</v>
      </c>
      <c r="F820" s="1">
        <v>0.0</v>
      </c>
    </row>
    <row r="821">
      <c r="A821" s="1" t="s">
        <v>4</v>
      </c>
      <c r="B821" s="3">
        <v>43857.0</v>
      </c>
      <c r="C821" s="3">
        <v>43863.0</v>
      </c>
      <c r="D821" s="1">
        <v>5.0</v>
      </c>
      <c r="E821" s="1">
        <v>1970.0</v>
      </c>
      <c r="F821" s="1">
        <v>0.0</v>
      </c>
    </row>
    <row r="822">
      <c r="A822" s="1" t="s">
        <v>4</v>
      </c>
      <c r="B822" s="3">
        <v>43864.0</v>
      </c>
      <c r="C822" s="3">
        <v>43870.0</v>
      </c>
      <c r="D822" s="1">
        <v>6.0</v>
      </c>
      <c r="E822" s="1">
        <v>1994.0</v>
      </c>
      <c r="F822" s="1">
        <v>0.0</v>
      </c>
    </row>
    <row r="823">
      <c r="A823" s="1" t="s">
        <v>4</v>
      </c>
      <c r="B823" s="3">
        <v>43871.0</v>
      </c>
      <c r="C823" s="3">
        <v>43877.0</v>
      </c>
      <c r="D823" s="1">
        <v>7.0</v>
      </c>
      <c r="E823" s="1">
        <v>1909.0</v>
      </c>
      <c r="F823" s="1">
        <v>0.0</v>
      </c>
    </row>
    <row r="824">
      <c r="A824" s="1" t="s">
        <v>4</v>
      </c>
      <c r="B824" s="3">
        <v>43878.0</v>
      </c>
      <c r="C824" s="3">
        <v>43884.0</v>
      </c>
      <c r="D824" s="1">
        <v>8.0</v>
      </c>
      <c r="E824" s="1">
        <v>1899.0</v>
      </c>
      <c r="F824" s="1">
        <v>0.0</v>
      </c>
    </row>
    <row r="825">
      <c r="A825" s="1" t="s">
        <v>4</v>
      </c>
      <c r="B825" s="3">
        <v>43885.0</v>
      </c>
      <c r="C825" s="3">
        <v>43891.0</v>
      </c>
      <c r="D825" s="1">
        <v>9.0</v>
      </c>
      <c r="E825" s="1">
        <v>1884.0</v>
      </c>
      <c r="F825" s="1">
        <v>0.0</v>
      </c>
    </row>
    <row r="826">
      <c r="A826" s="1" t="s">
        <v>4</v>
      </c>
      <c r="B826" s="3">
        <v>43892.0</v>
      </c>
      <c r="C826" s="3">
        <v>43898.0</v>
      </c>
      <c r="D826" s="1">
        <v>10.0</v>
      </c>
      <c r="E826" s="1">
        <v>1885.0</v>
      </c>
      <c r="F826" s="1">
        <v>0.0</v>
      </c>
    </row>
    <row r="827">
      <c r="A827" s="20" t="s">
        <v>4</v>
      </c>
      <c r="B827" s="21">
        <v>43899.0</v>
      </c>
      <c r="C827" s="22">
        <v>43905.0</v>
      </c>
      <c r="D827" s="20">
        <v>11.0</v>
      </c>
      <c r="E827" s="20">
        <v>1928.0</v>
      </c>
      <c r="F827" s="20">
        <v>0.0</v>
      </c>
      <c r="G827" s="23"/>
      <c r="H827" s="23"/>
    </row>
    <row r="828">
      <c r="A828" s="20" t="s">
        <v>4</v>
      </c>
      <c r="B828" s="22">
        <v>43906.0</v>
      </c>
      <c r="C828" s="21">
        <v>43912.0</v>
      </c>
      <c r="D828" s="20">
        <v>12.0</v>
      </c>
      <c r="E828" s="20">
        <v>2008.0</v>
      </c>
      <c r="F828" s="20">
        <v>1.0</v>
      </c>
      <c r="G828" s="23"/>
      <c r="H828" s="23"/>
    </row>
    <row r="829">
      <c r="A829" s="1" t="s">
        <v>4</v>
      </c>
      <c r="B829" s="3">
        <v>43913.0</v>
      </c>
      <c r="C829" s="3">
        <v>43919.0</v>
      </c>
      <c r="D829" s="1">
        <v>13.0</v>
      </c>
      <c r="E829" s="1">
        <v>2006.0</v>
      </c>
      <c r="F829" s="1">
        <v>6.0</v>
      </c>
    </row>
    <row r="830">
      <c r="A830" s="1" t="s">
        <v>4</v>
      </c>
      <c r="B830" s="3">
        <v>43920.0</v>
      </c>
      <c r="C830" s="3">
        <v>43926.0</v>
      </c>
      <c r="D830" s="1">
        <v>14.0</v>
      </c>
      <c r="E830" s="1">
        <v>2081.0</v>
      </c>
      <c r="F830" s="1">
        <v>27.0</v>
      </c>
    </row>
    <row r="831">
      <c r="A831" s="1" t="s">
        <v>4</v>
      </c>
      <c r="B831" s="3">
        <v>43927.0</v>
      </c>
      <c r="C831" s="3">
        <v>43933.0</v>
      </c>
      <c r="D831" s="1">
        <v>15.0</v>
      </c>
      <c r="E831" s="1">
        <v>2010.0</v>
      </c>
      <c r="F831" s="1">
        <v>46.0</v>
      </c>
    </row>
    <row r="832">
      <c r="A832" s="1" t="s">
        <v>4</v>
      </c>
      <c r="B832" s="3">
        <v>43934.0</v>
      </c>
      <c r="C832" s="3">
        <v>43940.0</v>
      </c>
      <c r="D832" s="1">
        <v>16.0</v>
      </c>
      <c r="E832" s="1">
        <v>2087.0</v>
      </c>
      <c r="F832" s="1">
        <v>53.0</v>
      </c>
    </row>
    <row r="833">
      <c r="A833" s="1" t="s">
        <v>4</v>
      </c>
      <c r="B833" s="3">
        <v>43941.0</v>
      </c>
      <c r="C833" s="3">
        <v>43947.0</v>
      </c>
      <c r="D833" s="1">
        <v>17.0</v>
      </c>
      <c r="E833" s="1">
        <v>2095.0</v>
      </c>
      <c r="F833" s="1">
        <v>56.0</v>
      </c>
    </row>
    <row r="834">
      <c r="A834" s="1" t="s">
        <v>4</v>
      </c>
      <c r="B834" s="3">
        <v>43948.0</v>
      </c>
      <c r="C834" s="3">
        <v>43954.0</v>
      </c>
      <c r="D834" s="1">
        <v>18.0</v>
      </c>
      <c r="E834" s="1">
        <v>2083.0</v>
      </c>
      <c r="F834" s="1">
        <v>71.0</v>
      </c>
    </row>
    <row r="835">
      <c r="A835" s="1" t="s">
        <v>4</v>
      </c>
      <c r="B835" s="3">
        <v>43955.0</v>
      </c>
      <c r="C835" s="3">
        <v>43961.0</v>
      </c>
      <c r="D835" s="1">
        <v>19.0</v>
      </c>
      <c r="E835" s="1">
        <v>2342.0</v>
      </c>
      <c r="F835" s="1">
        <v>52.0</v>
      </c>
    </row>
    <row r="836">
      <c r="A836" s="1" t="s">
        <v>4</v>
      </c>
      <c r="B836" s="3">
        <v>43962.0</v>
      </c>
      <c r="C836" s="3">
        <v>43968.0</v>
      </c>
      <c r="D836" s="1">
        <v>20.0</v>
      </c>
      <c r="E836" s="1">
        <v>2438.0</v>
      </c>
      <c r="F836" s="1">
        <v>138.0</v>
      </c>
    </row>
    <row r="837">
      <c r="A837" s="1" t="s">
        <v>4</v>
      </c>
      <c r="B837" s="3">
        <v>43969.0</v>
      </c>
      <c r="C837" s="3">
        <v>43975.0</v>
      </c>
      <c r="D837" s="1">
        <v>21.0</v>
      </c>
      <c r="E837" s="1">
        <v>2933.0</v>
      </c>
      <c r="F837" s="1">
        <v>268.0</v>
      </c>
    </row>
    <row r="838">
      <c r="A838" s="1" t="s">
        <v>4</v>
      </c>
      <c r="B838" s="3">
        <v>43976.0</v>
      </c>
      <c r="C838" s="3">
        <v>43982.0</v>
      </c>
      <c r="D838" s="1">
        <v>22.0</v>
      </c>
      <c r="E838" s="1">
        <v>3394.0</v>
      </c>
      <c r="F838" s="1">
        <v>336.0</v>
      </c>
    </row>
    <row r="839">
      <c r="A839" s="1" t="s">
        <v>4</v>
      </c>
      <c r="B839" s="3">
        <v>43983.0</v>
      </c>
      <c r="C839" s="3">
        <v>43989.0</v>
      </c>
      <c r="D839" s="1">
        <v>23.0</v>
      </c>
      <c r="E839" s="1">
        <v>3899.0</v>
      </c>
      <c r="F839" s="1">
        <v>583.0</v>
      </c>
    </row>
    <row r="840">
      <c r="A840" s="1" t="s">
        <v>4</v>
      </c>
      <c r="B840" s="3">
        <v>43990.0</v>
      </c>
      <c r="C840" s="3">
        <v>43996.0</v>
      </c>
      <c r="D840" s="1">
        <v>24.0</v>
      </c>
      <c r="E840" s="1">
        <v>3983.0</v>
      </c>
      <c r="F840" s="1">
        <v>1686.0</v>
      </c>
    </row>
    <row r="841">
      <c r="A841" s="1" t="s">
        <v>4</v>
      </c>
      <c r="B841" s="3">
        <v>43997.0</v>
      </c>
      <c r="C841" s="3">
        <v>44003.0</v>
      </c>
      <c r="D841" s="1">
        <v>25.0</v>
      </c>
      <c r="E841" s="1">
        <v>3732.0</v>
      </c>
      <c r="F841" s="1">
        <v>1156.0</v>
      </c>
    </row>
    <row r="842">
      <c r="A842" s="1" t="s">
        <v>4</v>
      </c>
      <c r="B842" s="3">
        <v>44004.0</v>
      </c>
      <c r="C842" s="3">
        <v>44010.0</v>
      </c>
      <c r="D842" s="1">
        <v>26.0</v>
      </c>
      <c r="E842" s="1">
        <v>3519.0</v>
      </c>
      <c r="F842" s="1">
        <v>1030.0</v>
      </c>
    </row>
    <row r="843">
      <c r="A843" s="1" t="s">
        <v>4</v>
      </c>
      <c r="B843" s="3">
        <v>44011.0</v>
      </c>
      <c r="C843" s="3">
        <v>44017.0</v>
      </c>
      <c r="D843" s="1">
        <v>27.0</v>
      </c>
      <c r="E843" s="1">
        <v>3070.0</v>
      </c>
      <c r="F843" s="1">
        <v>799.0</v>
      </c>
    </row>
    <row r="844">
      <c r="A844" s="1" t="s">
        <v>4</v>
      </c>
      <c r="B844" s="3">
        <v>44018.0</v>
      </c>
      <c r="C844" s="3">
        <v>44024.0</v>
      </c>
      <c r="D844" s="1">
        <v>28.0</v>
      </c>
      <c r="E844" s="1">
        <v>2967.0</v>
      </c>
      <c r="F844" s="1">
        <v>671.0</v>
      </c>
    </row>
    <row r="845">
      <c r="A845" s="1" t="s">
        <v>4</v>
      </c>
      <c r="B845" s="3">
        <v>44025.0</v>
      </c>
      <c r="C845" s="3">
        <v>44031.0</v>
      </c>
      <c r="D845" s="1">
        <v>29.0</v>
      </c>
      <c r="E845" s="1">
        <v>2814.0</v>
      </c>
      <c r="F845" s="1">
        <v>1524.0</v>
      </c>
    </row>
    <row r="846">
      <c r="A846" s="1" t="s">
        <v>4</v>
      </c>
      <c r="B846" s="3">
        <v>44032.0</v>
      </c>
      <c r="C846" s="3">
        <v>44038.0</v>
      </c>
      <c r="D846" s="1">
        <v>30.0</v>
      </c>
      <c r="E846" s="1">
        <v>2698.0</v>
      </c>
      <c r="F846" s="1">
        <v>609.0</v>
      </c>
    </row>
    <row r="847">
      <c r="A847" s="1" t="s">
        <v>4</v>
      </c>
      <c r="B847" s="3">
        <v>44039.0</v>
      </c>
      <c r="C847" s="3">
        <v>44045.0</v>
      </c>
      <c r="D847" s="1">
        <v>31.0</v>
      </c>
      <c r="E847" s="1">
        <v>2653.0</v>
      </c>
      <c r="F847" s="1">
        <v>496.0</v>
      </c>
    </row>
    <row r="848">
      <c r="A848" s="1" t="s">
        <v>4</v>
      </c>
      <c r="B848" s="3">
        <v>44046.0</v>
      </c>
      <c r="C848" s="3">
        <v>44052.0</v>
      </c>
      <c r="D848" s="1">
        <v>32.0</v>
      </c>
      <c r="E848" s="1">
        <v>2516.0</v>
      </c>
      <c r="F848" s="1">
        <v>469.0</v>
      </c>
    </row>
    <row r="849">
      <c r="A849" s="1" t="s">
        <v>4</v>
      </c>
      <c r="B849" s="3">
        <v>44053.0</v>
      </c>
      <c r="C849" s="3">
        <v>44059.0</v>
      </c>
      <c r="D849" s="1">
        <v>33.0</v>
      </c>
      <c r="E849" s="1">
        <v>2431.0</v>
      </c>
      <c r="F849" s="1">
        <v>375.0</v>
      </c>
    </row>
    <row r="850">
      <c r="A850" s="1" t="s">
        <v>4</v>
      </c>
      <c r="B850" s="3">
        <v>44060.0</v>
      </c>
      <c r="C850" s="3">
        <v>44066.0</v>
      </c>
      <c r="D850" s="1">
        <v>34.0</v>
      </c>
      <c r="E850" s="1">
        <v>2596.0</v>
      </c>
      <c r="F850" s="1">
        <v>400.0</v>
      </c>
    </row>
    <row r="851">
      <c r="A851" s="1" t="s">
        <v>4</v>
      </c>
      <c r="B851" s="3">
        <v>44067.0</v>
      </c>
      <c r="C851" s="3">
        <v>44073.0</v>
      </c>
      <c r="D851" s="1">
        <v>35.0</v>
      </c>
      <c r="E851" s="1">
        <v>2479.0</v>
      </c>
      <c r="F851" s="1">
        <v>392.0</v>
      </c>
    </row>
    <row r="852">
      <c r="A852" s="1" t="s">
        <v>4</v>
      </c>
      <c r="B852" s="3">
        <v>44074.0</v>
      </c>
      <c r="C852" s="3">
        <v>44080.0</v>
      </c>
      <c r="D852" s="1">
        <v>36.0</v>
      </c>
      <c r="E852" s="1">
        <v>2395.0</v>
      </c>
      <c r="F852" s="1">
        <v>348.0</v>
      </c>
    </row>
    <row r="853">
      <c r="A853" s="1" t="s">
        <v>4</v>
      </c>
      <c r="B853" s="3">
        <v>44081.0</v>
      </c>
      <c r="C853" s="3">
        <v>44087.0</v>
      </c>
      <c r="D853" s="1">
        <v>37.0</v>
      </c>
      <c r="E853" s="1">
        <v>2405.0</v>
      </c>
      <c r="F853" s="1">
        <v>357.0</v>
      </c>
    </row>
    <row r="854">
      <c r="A854" s="1" t="s">
        <v>4</v>
      </c>
      <c r="B854" s="3">
        <v>44088.0</v>
      </c>
      <c r="C854" s="3">
        <v>44094.0</v>
      </c>
      <c r="D854" s="1">
        <v>38.0</v>
      </c>
      <c r="E854" s="1">
        <v>2401.0</v>
      </c>
      <c r="F854" s="1">
        <v>337.0</v>
      </c>
    </row>
    <row r="855">
      <c r="A855" s="1" t="s">
        <v>4</v>
      </c>
      <c r="B855" s="3">
        <v>44095.0</v>
      </c>
      <c r="C855" s="3">
        <v>44101.0</v>
      </c>
      <c r="D855" s="1">
        <v>39.0</v>
      </c>
      <c r="E855" s="1">
        <v>2364.0</v>
      </c>
      <c r="F855" s="1">
        <v>355.0</v>
      </c>
    </row>
    <row r="856">
      <c r="A856" s="1" t="s">
        <v>4</v>
      </c>
      <c r="B856" s="3">
        <v>44102.0</v>
      </c>
      <c r="C856" s="2">
        <v>44108.0</v>
      </c>
      <c r="D856" s="1">
        <v>40.0</v>
      </c>
      <c r="E856" s="1">
        <v>2340.0</v>
      </c>
      <c r="F856" s="1">
        <v>338.0</v>
      </c>
    </row>
    <row r="857">
      <c r="A857" s="1" t="s">
        <v>4</v>
      </c>
      <c r="B857" s="2">
        <v>44109.0</v>
      </c>
      <c r="C857" s="2">
        <v>44115.0</v>
      </c>
      <c r="D857" s="1">
        <v>41.0</v>
      </c>
      <c r="E857" s="1">
        <v>2396.0</v>
      </c>
      <c r="F857" s="1">
        <v>339.0</v>
      </c>
    </row>
    <row r="858">
      <c r="A858" s="1" t="s">
        <v>4</v>
      </c>
      <c r="B858" s="2">
        <v>44116.0</v>
      </c>
      <c r="C858" s="2">
        <v>44122.0</v>
      </c>
      <c r="D858" s="1">
        <v>42.0</v>
      </c>
      <c r="E858" s="1">
        <v>2307.0</v>
      </c>
      <c r="F858" s="1">
        <v>317.0</v>
      </c>
    </row>
    <row r="859">
      <c r="A859" s="1" t="s">
        <v>4</v>
      </c>
      <c r="B859" s="2">
        <v>44123.0</v>
      </c>
      <c r="C859" s="2">
        <v>44129.0</v>
      </c>
      <c r="D859" s="1">
        <v>43.0</v>
      </c>
      <c r="E859" s="1">
        <v>2304.0</v>
      </c>
      <c r="F859" s="1">
        <v>309.0</v>
      </c>
    </row>
    <row r="860">
      <c r="A860" s="1" t="s">
        <v>4</v>
      </c>
      <c r="B860" s="2">
        <v>44130.0</v>
      </c>
      <c r="C860" s="2">
        <v>44136.0</v>
      </c>
      <c r="D860" s="1">
        <v>44.0</v>
      </c>
      <c r="E860" s="1">
        <v>2268.0</v>
      </c>
      <c r="F860" s="1">
        <v>303.0</v>
      </c>
    </row>
    <row r="861">
      <c r="A861" s="1" t="s">
        <v>4</v>
      </c>
      <c r="B861" s="2">
        <v>44137.0</v>
      </c>
      <c r="C861" s="2">
        <v>44143.0</v>
      </c>
      <c r="D861" s="1">
        <v>45.0</v>
      </c>
      <c r="E861" s="1">
        <v>2239.0</v>
      </c>
      <c r="F861" s="1">
        <v>296.0</v>
      </c>
    </row>
    <row r="862">
      <c r="A862" s="1" t="s">
        <v>4</v>
      </c>
      <c r="B862" s="2">
        <v>44144.0</v>
      </c>
      <c r="C862" s="2">
        <v>44150.0</v>
      </c>
      <c r="D862" s="1">
        <v>46.0</v>
      </c>
      <c r="E862" s="1">
        <v>2121.0</v>
      </c>
      <c r="F862" s="1">
        <v>276.0</v>
      </c>
    </row>
    <row r="863">
      <c r="A863" s="1" t="s">
        <v>4</v>
      </c>
      <c r="B863" s="2">
        <v>44151.0</v>
      </c>
      <c r="C863" s="2">
        <v>44157.0</v>
      </c>
      <c r="D863" s="1">
        <v>47.0</v>
      </c>
      <c r="E863" s="1">
        <v>2184.0</v>
      </c>
      <c r="F863" s="1">
        <v>250.0</v>
      </c>
    </row>
    <row r="864">
      <c r="A864" s="1" t="s">
        <v>4</v>
      </c>
      <c r="B864" s="2">
        <v>44158.0</v>
      </c>
      <c r="C864" s="2">
        <v>44164.0</v>
      </c>
      <c r="D864" s="1">
        <v>48.0</v>
      </c>
      <c r="E864" s="1">
        <v>2203.0</v>
      </c>
      <c r="F864" s="1">
        <v>287.0</v>
      </c>
    </row>
    <row r="865">
      <c r="A865" s="1" t="s">
        <v>4</v>
      </c>
      <c r="B865" s="2">
        <v>44165.0</v>
      </c>
      <c r="C865" s="2">
        <v>44171.0</v>
      </c>
      <c r="D865" s="1">
        <v>49.0</v>
      </c>
      <c r="E865" s="1">
        <v>2174.0</v>
      </c>
      <c r="F865" s="1">
        <v>272.0</v>
      </c>
    </row>
    <row r="866">
      <c r="A866" s="1" t="s">
        <v>4</v>
      </c>
      <c r="B866" s="2">
        <v>44172.0</v>
      </c>
      <c r="C866" s="2">
        <v>44178.0</v>
      </c>
      <c r="D866" s="1">
        <v>50.0</v>
      </c>
      <c r="E866" s="1">
        <v>2187.0</v>
      </c>
      <c r="F866" s="1">
        <v>258.0</v>
      </c>
    </row>
    <row r="867">
      <c r="A867" s="1" t="s">
        <v>4</v>
      </c>
      <c r="B867" s="2">
        <v>44179.0</v>
      </c>
      <c r="C867" s="2">
        <v>44185.0</v>
      </c>
      <c r="D867" s="1">
        <v>51.0</v>
      </c>
      <c r="E867" s="1">
        <v>2155.0</v>
      </c>
      <c r="F867" s="1">
        <v>268.0</v>
      </c>
    </row>
    <row r="868">
      <c r="A868" s="1" t="s">
        <v>4</v>
      </c>
      <c r="B868" s="2">
        <v>44186.0</v>
      </c>
      <c r="C868" s="2">
        <v>44192.0</v>
      </c>
      <c r="D868" s="1">
        <v>52.0</v>
      </c>
      <c r="E868" s="1">
        <v>2291.0</v>
      </c>
      <c r="F868" s="1">
        <v>289.0</v>
      </c>
    </row>
    <row r="869">
      <c r="A869" s="16" t="s">
        <v>4</v>
      </c>
      <c r="B869" s="17">
        <v>44193.0</v>
      </c>
      <c r="C869" s="18">
        <v>44199.0</v>
      </c>
      <c r="D869" s="16">
        <v>53.0</v>
      </c>
      <c r="E869" s="16">
        <v>2236.0</v>
      </c>
      <c r="F869" s="16">
        <v>324.0</v>
      </c>
      <c r="G869" s="19"/>
      <c r="H869" s="19"/>
    </row>
    <row r="870">
      <c r="A870" s="1" t="s">
        <v>4</v>
      </c>
      <c r="B870" s="3">
        <v>44200.0</v>
      </c>
      <c r="C870" s="3">
        <v>44206.0</v>
      </c>
      <c r="D870" s="1">
        <v>1.0</v>
      </c>
      <c r="E870" s="1">
        <v>2445.0</v>
      </c>
      <c r="F870" s="1">
        <v>329.0</v>
      </c>
    </row>
    <row r="871">
      <c r="A871" s="1" t="s">
        <v>4</v>
      </c>
      <c r="B871" s="3">
        <v>44207.0</v>
      </c>
      <c r="C871" s="3">
        <v>44213.0</v>
      </c>
      <c r="D871" s="1">
        <v>2.0</v>
      </c>
      <c r="E871" s="1">
        <v>2438.0</v>
      </c>
      <c r="F871" s="1">
        <v>381.0</v>
      </c>
    </row>
    <row r="872">
      <c r="A872" s="1" t="s">
        <v>4</v>
      </c>
      <c r="B872" s="3">
        <v>44214.0</v>
      </c>
      <c r="C872" s="3">
        <v>44220.0</v>
      </c>
      <c r="D872" s="1">
        <v>3.0</v>
      </c>
      <c r="E872" s="1">
        <v>2701.0</v>
      </c>
      <c r="F872" s="1">
        <v>456.0</v>
      </c>
    </row>
    <row r="873">
      <c r="A873" s="1" t="s">
        <v>4</v>
      </c>
      <c r="B873" s="3">
        <v>44221.0</v>
      </c>
      <c r="C873" s="3">
        <v>44227.0</v>
      </c>
      <c r="D873" s="1">
        <v>4.0</v>
      </c>
      <c r="E873" s="1">
        <v>2557.0</v>
      </c>
      <c r="F873" s="1">
        <v>519.0</v>
      </c>
    </row>
    <row r="874">
      <c r="A874" s="1" t="s">
        <v>4</v>
      </c>
      <c r="B874" s="3">
        <v>44228.0</v>
      </c>
      <c r="C874" s="3">
        <v>44234.0</v>
      </c>
      <c r="D874" s="1">
        <v>5.0</v>
      </c>
      <c r="E874" s="1">
        <v>2633.0</v>
      </c>
      <c r="F874" s="1">
        <v>522.0</v>
      </c>
    </row>
    <row r="875">
      <c r="A875" s="1" t="s">
        <v>4</v>
      </c>
      <c r="B875" s="3">
        <v>44235.0</v>
      </c>
      <c r="C875" s="3">
        <v>44241.0</v>
      </c>
      <c r="D875" s="1">
        <v>6.0</v>
      </c>
      <c r="E875" s="1">
        <v>2506.0</v>
      </c>
      <c r="F875" s="1">
        <v>567.0</v>
      </c>
    </row>
    <row r="876">
      <c r="A876" s="1" t="s">
        <v>4</v>
      </c>
      <c r="B876" s="3">
        <v>44242.0</v>
      </c>
      <c r="C876" s="3">
        <v>44248.0</v>
      </c>
      <c r="D876" s="1">
        <v>7.0</v>
      </c>
      <c r="E876" s="1">
        <v>2502.0</v>
      </c>
      <c r="F876" s="1">
        <v>501.0</v>
      </c>
    </row>
    <row r="877">
      <c r="A877" s="1" t="s">
        <v>4</v>
      </c>
      <c r="B877" s="3">
        <v>44249.0</v>
      </c>
      <c r="C877" s="3">
        <v>44255.0</v>
      </c>
      <c r="D877" s="1">
        <v>8.0</v>
      </c>
      <c r="E877" s="1">
        <v>2606.0</v>
      </c>
      <c r="F877" s="1">
        <v>530.0</v>
      </c>
    </row>
    <row r="878">
      <c r="A878" s="1" t="s">
        <v>4</v>
      </c>
      <c r="B878" s="3">
        <v>44256.0</v>
      </c>
      <c r="C878" s="3">
        <v>44262.0</v>
      </c>
      <c r="D878" s="1">
        <v>9.0</v>
      </c>
      <c r="E878" s="1">
        <v>2661.0</v>
      </c>
      <c r="F878" s="1">
        <v>505.0</v>
      </c>
    </row>
    <row r="879">
      <c r="A879" s="1" t="s">
        <v>4</v>
      </c>
      <c r="B879" s="3">
        <v>44263.0</v>
      </c>
      <c r="C879" s="3">
        <v>44269.0</v>
      </c>
      <c r="D879" s="1">
        <v>10.0</v>
      </c>
      <c r="E879" s="1">
        <v>2656.0</v>
      </c>
      <c r="F879" s="1">
        <v>597.0</v>
      </c>
    </row>
    <row r="880">
      <c r="A880" s="1" t="s">
        <v>4</v>
      </c>
      <c r="B880" s="3">
        <v>44270.0</v>
      </c>
      <c r="C880" s="3">
        <v>44276.0</v>
      </c>
      <c r="D880" s="1">
        <v>11.0</v>
      </c>
      <c r="E880" s="1">
        <v>2550.0</v>
      </c>
      <c r="F880" s="1">
        <v>605.0</v>
      </c>
    </row>
    <row r="881">
      <c r="A881" s="1" t="s">
        <v>4</v>
      </c>
      <c r="B881" s="3">
        <v>44277.0</v>
      </c>
      <c r="C881" s="3">
        <v>44283.0</v>
      </c>
      <c r="D881" s="1">
        <v>12.0</v>
      </c>
      <c r="E881" s="1">
        <v>2741.0</v>
      </c>
      <c r="F881" s="1">
        <v>475.0</v>
      </c>
    </row>
    <row r="882">
      <c r="A882" s="1" t="s">
        <v>4</v>
      </c>
      <c r="B882" s="3">
        <v>44284.0</v>
      </c>
      <c r="C882" s="3">
        <v>44290.0</v>
      </c>
      <c r="D882" s="1">
        <v>13.0</v>
      </c>
      <c r="E882" s="1">
        <v>2833.0</v>
      </c>
      <c r="F882" s="1">
        <v>890.0</v>
      </c>
    </row>
    <row r="883">
      <c r="A883" s="1" t="s">
        <v>4</v>
      </c>
      <c r="B883" s="3">
        <v>44291.0</v>
      </c>
      <c r="C883" s="3">
        <v>44297.0</v>
      </c>
      <c r="D883" s="1">
        <v>14.0</v>
      </c>
      <c r="E883" s="1">
        <v>2849.0</v>
      </c>
      <c r="F883" s="1">
        <v>702.0</v>
      </c>
    </row>
    <row r="884">
      <c r="A884" s="1" t="s">
        <v>4</v>
      </c>
      <c r="B884" s="3">
        <v>44298.0</v>
      </c>
      <c r="C884" s="3">
        <v>44304.0</v>
      </c>
      <c r="D884" s="1">
        <v>15.0</v>
      </c>
      <c r="E884" s="1">
        <v>2897.0</v>
      </c>
      <c r="F884" s="1">
        <v>831.0</v>
      </c>
    </row>
    <row r="885">
      <c r="A885" s="1" t="s">
        <v>4</v>
      </c>
      <c r="B885" s="3">
        <v>44305.0</v>
      </c>
      <c r="C885" s="3">
        <v>44311.0</v>
      </c>
      <c r="D885" s="1">
        <v>16.0</v>
      </c>
      <c r="E885" s="1">
        <v>2664.0</v>
      </c>
      <c r="F885" s="1">
        <v>679.0</v>
      </c>
    </row>
    <row r="886">
      <c r="A886" s="1" t="s">
        <v>4</v>
      </c>
      <c r="B886" s="3">
        <v>44312.0</v>
      </c>
      <c r="C886" s="3">
        <v>44318.0</v>
      </c>
      <c r="D886" s="1">
        <v>17.0</v>
      </c>
      <c r="E886" s="1">
        <v>2786.0</v>
      </c>
      <c r="F886" s="1">
        <v>705.0</v>
      </c>
    </row>
    <row r="887">
      <c r="A887" s="1" t="s">
        <v>4</v>
      </c>
      <c r="B887" s="3">
        <v>44319.0</v>
      </c>
      <c r="C887" s="3">
        <v>44325.0</v>
      </c>
      <c r="D887" s="1">
        <v>18.0</v>
      </c>
      <c r="E887" s="1">
        <v>2731.0</v>
      </c>
      <c r="F887" s="1">
        <v>657.0</v>
      </c>
    </row>
    <row r="888">
      <c r="A888" s="1" t="s">
        <v>4</v>
      </c>
      <c r="B888" s="3">
        <v>44326.0</v>
      </c>
      <c r="C888" s="3">
        <v>44332.0</v>
      </c>
      <c r="D888" s="1">
        <v>19.0</v>
      </c>
      <c r="E888" s="1">
        <v>2766.0</v>
      </c>
      <c r="F888" s="1">
        <v>614.0</v>
      </c>
    </row>
    <row r="889">
      <c r="A889" s="1" t="s">
        <v>4</v>
      </c>
      <c r="B889" s="3">
        <v>44333.0</v>
      </c>
      <c r="C889" s="3">
        <v>44339.0</v>
      </c>
      <c r="D889" s="1">
        <v>20.0</v>
      </c>
      <c r="E889" s="1">
        <v>2936.0</v>
      </c>
      <c r="F889" s="1">
        <v>686.0</v>
      </c>
    </row>
    <row r="890">
      <c r="A890" s="1" t="s">
        <v>4</v>
      </c>
      <c r="B890" s="3">
        <v>44340.0</v>
      </c>
      <c r="C890" s="3">
        <v>44346.0</v>
      </c>
      <c r="D890" s="1">
        <v>21.0</v>
      </c>
      <c r="E890" s="1">
        <v>3081.0</v>
      </c>
      <c r="F890" s="1">
        <v>650.0</v>
      </c>
    </row>
    <row r="891">
      <c r="A891" s="1" t="s">
        <v>4</v>
      </c>
      <c r="B891" s="3">
        <v>44347.0</v>
      </c>
      <c r="C891" s="3">
        <v>44353.0</v>
      </c>
      <c r="D891" s="1">
        <v>22.0</v>
      </c>
      <c r="E891" s="1">
        <v>3014.0</v>
      </c>
      <c r="F891" s="1">
        <v>769.0</v>
      </c>
    </row>
    <row r="892">
      <c r="A892" s="1" t="s">
        <v>4</v>
      </c>
      <c r="B892" s="3">
        <v>44354.0</v>
      </c>
      <c r="C892" s="3">
        <v>44360.0</v>
      </c>
      <c r="D892" s="1">
        <v>23.0</v>
      </c>
      <c r="E892" s="1">
        <v>3132.0</v>
      </c>
      <c r="F892" s="1">
        <v>770.0</v>
      </c>
    </row>
    <row r="893">
      <c r="A893" s="1" t="s">
        <v>4</v>
      </c>
      <c r="B893" s="3">
        <v>44361.0</v>
      </c>
      <c r="C893" s="3">
        <v>44367.0</v>
      </c>
      <c r="D893" s="1">
        <v>24.0</v>
      </c>
      <c r="E893" s="1">
        <v>3180.0</v>
      </c>
      <c r="F893" s="1">
        <v>806.0</v>
      </c>
    </row>
    <row r="894">
      <c r="A894" s="1" t="s">
        <v>4</v>
      </c>
      <c r="B894" s="3">
        <v>44368.0</v>
      </c>
      <c r="C894" s="3">
        <v>44374.0</v>
      </c>
      <c r="D894" s="1">
        <v>25.0</v>
      </c>
      <c r="E894" s="1">
        <v>3194.0</v>
      </c>
      <c r="F894" s="1">
        <v>785.0</v>
      </c>
    </row>
    <row r="895">
      <c r="A895" s="1" t="s">
        <v>4</v>
      </c>
      <c r="B895" s="3">
        <v>44375.0</v>
      </c>
      <c r="C895" s="3">
        <v>44381.0</v>
      </c>
      <c r="D895" s="1">
        <v>26.0</v>
      </c>
      <c r="E895" s="1">
        <v>3326.0</v>
      </c>
      <c r="F895" s="1">
        <v>805.0</v>
      </c>
    </row>
    <row r="896">
      <c r="A896" s="1" t="s">
        <v>4</v>
      </c>
      <c r="B896" s="3">
        <v>44382.0</v>
      </c>
      <c r="C896" s="3">
        <v>44388.0</v>
      </c>
      <c r="D896" s="1">
        <v>27.0</v>
      </c>
      <c r="E896" s="1">
        <v>3119.0</v>
      </c>
      <c r="F896" s="1">
        <v>774.0</v>
      </c>
    </row>
    <row r="897">
      <c r="A897" s="1" t="s">
        <v>4</v>
      </c>
      <c r="B897" s="3">
        <v>44389.0</v>
      </c>
      <c r="C897" s="3">
        <v>44395.0</v>
      </c>
      <c r="D897" s="1">
        <v>28.0</v>
      </c>
      <c r="E897" s="1">
        <v>3042.0</v>
      </c>
      <c r="F897" s="1">
        <v>637.0</v>
      </c>
    </row>
    <row r="898">
      <c r="A898" s="1" t="s">
        <v>4</v>
      </c>
      <c r="B898" s="3">
        <v>44396.0</v>
      </c>
      <c r="C898" s="3">
        <v>44402.0</v>
      </c>
      <c r="D898" s="1">
        <v>29.0</v>
      </c>
      <c r="E898" s="1">
        <v>2866.0</v>
      </c>
      <c r="F898" s="1">
        <v>512.0</v>
      </c>
    </row>
    <row r="899">
      <c r="A899" s="1" t="s">
        <v>4</v>
      </c>
      <c r="B899" s="3">
        <v>44403.0</v>
      </c>
      <c r="C899" s="3">
        <v>44409.0</v>
      </c>
      <c r="D899" s="1">
        <v>30.0</v>
      </c>
      <c r="E899" s="1">
        <v>2745.0</v>
      </c>
      <c r="F899" s="1">
        <v>502.0</v>
      </c>
    </row>
    <row r="900">
      <c r="A900" s="1" t="s">
        <v>4</v>
      </c>
      <c r="B900" s="3">
        <v>44410.0</v>
      </c>
      <c r="C900" s="3">
        <v>44416.0</v>
      </c>
      <c r="D900" s="1">
        <v>31.0</v>
      </c>
      <c r="E900" s="1">
        <v>2639.0</v>
      </c>
      <c r="F900" s="1">
        <v>488.0</v>
      </c>
    </row>
    <row r="901">
      <c r="A901" s="1" t="s">
        <v>4</v>
      </c>
      <c r="B901" s="3">
        <v>44417.0</v>
      </c>
      <c r="C901" s="3">
        <v>44423.0</v>
      </c>
      <c r="D901" s="1">
        <v>32.0</v>
      </c>
      <c r="E901" s="1">
        <v>2625.0</v>
      </c>
      <c r="F901" s="1">
        <v>364.0</v>
      </c>
    </row>
    <row r="902">
      <c r="A902" s="1" t="s">
        <v>4</v>
      </c>
      <c r="B902" s="3">
        <v>44424.0</v>
      </c>
      <c r="C902" s="3">
        <v>44430.0</v>
      </c>
      <c r="D902" s="1">
        <v>33.0</v>
      </c>
      <c r="E902" s="1">
        <v>2608.0</v>
      </c>
      <c r="F902" s="1">
        <v>270.0</v>
      </c>
    </row>
    <row r="903">
      <c r="A903" s="1" t="s">
        <v>4</v>
      </c>
      <c r="B903" s="3">
        <v>44431.0</v>
      </c>
      <c r="C903" s="3">
        <v>44437.0</v>
      </c>
      <c r="D903" s="1">
        <v>34.0</v>
      </c>
      <c r="E903" s="1">
        <v>2357.0</v>
      </c>
      <c r="F903" s="1">
        <v>235.0</v>
      </c>
    </row>
    <row r="904">
      <c r="A904" s="1" t="s">
        <v>4</v>
      </c>
      <c r="B904" s="3">
        <v>44438.0</v>
      </c>
      <c r="C904" s="3">
        <v>44444.0</v>
      </c>
      <c r="D904" s="1">
        <v>35.0</v>
      </c>
      <c r="E904" s="1">
        <v>2332.0</v>
      </c>
      <c r="F904" s="1">
        <v>205.0</v>
      </c>
    </row>
    <row r="905">
      <c r="A905" s="1" t="s">
        <v>4</v>
      </c>
      <c r="B905" s="3">
        <v>44445.0</v>
      </c>
      <c r="C905" s="3">
        <v>44451.0</v>
      </c>
      <c r="D905" s="1">
        <v>36.0</v>
      </c>
      <c r="E905" s="1">
        <v>2394.0</v>
      </c>
      <c r="F905" s="1">
        <v>142.0</v>
      </c>
    </row>
    <row r="906">
      <c r="A906" s="1" t="s">
        <v>4</v>
      </c>
      <c r="B906" s="3">
        <v>44452.0</v>
      </c>
      <c r="C906" s="3">
        <v>44458.0</v>
      </c>
      <c r="D906" s="1">
        <v>37.0</v>
      </c>
      <c r="E906" s="1">
        <v>2383.0</v>
      </c>
      <c r="F906" s="1">
        <v>127.0</v>
      </c>
    </row>
    <row r="907">
      <c r="A907" s="1" t="s">
        <v>4</v>
      </c>
      <c r="B907" s="3">
        <v>44459.0</v>
      </c>
      <c r="C907" s="3">
        <v>44465.0</v>
      </c>
      <c r="D907" s="1">
        <v>38.0</v>
      </c>
      <c r="E907" s="1">
        <v>2354.0</v>
      </c>
      <c r="F907" s="1">
        <v>81.0</v>
      </c>
    </row>
    <row r="908">
      <c r="A908" s="1" t="s">
        <v>4</v>
      </c>
      <c r="B908" s="3">
        <v>44466.0</v>
      </c>
      <c r="C908" s="2">
        <v>44472.0</v>
      </c>
      <c r="D908" s="1">
        <v>39.0</v>
      </c>
      <c r="E908" s="1">
        <v>2244.0</v>
      </c>
      <c r="F908" s="1">
        <v>54.0</v>
      </c>
    </row>
    <row r="909">
      <c r="A909" s="1" t="s">
        <v>4</v>
      </c>
      <c r="B909" s="2">
        <v>44473.0</v>
      </c>
      <c r="C909" s="2">
        <v>44479.0</v>
      </c>
      <c r="D909" s="1">
        <v>40.0</v>
      </c>
      <c r="E909" s="1">
        <v>2316.0</v>
      </c>
      <c r="F909" s="1">
        <v>70.0</v>
      </c>
    </row>
    <row r="910">
      <c r="A910" s="1" t="s">
        <v>4</v>
      </c>
      <c r="B910" s="2">
        <v>44480.0</v>
      </c>
      <c r="C910" s="2">
        <v>44486.0</v>
      </c>
      <c r="D910" s="1">
        <v>41.0</v>
      </c>
      <c r="E910" s="1">
        <v>2325.0</v>
      </c>
      <c r="F910" s="1">
        <v>45.0</v>
      </c>
    </row>
    <row r="911">
      <c r="A911" s="1" t="s">
        <v>4</v>
      </c>
      <c r="B911" s="2">
        <v>44487.0</v>
      </c>
      <c r="C911" s="2">
        <v>44493.0</v>
      </c>
      <c r="D911" s="1">
        <v>42.0</v>
      </c>
      <c r="E911" s="1">
        <v>2112.0</v>
      </c>
      <c r="F911" s="1">
        <v>60.0</v>
      </c>
    </row>
    <row r="912">
      <c r="A912" s="1" t="s">
        <v>5</v>
      </c>
      <c r="B912" s="2">
        <v>42002.0</v>
      </c>
      <c r="C912" s="3">
        <v>42008.0</v>
      </c>
      <c r="D912" s="1">
        <v>1.0</v>
      </c>
      <c r="E912" s="1">
        <v>4746.0</v>
      </c>
      <c r="F912" s="1">
        <v>0.0</v>
      </c>
    </row>
    <row r="913">
      <c r="A913" s="1" t="s">
        <v>5</v>
      </c>
      <c r="B913" s="3">
        <v>42009.0</v>
      </c>
      <c r="C913" s="3">
        <v>42015.0</v>
      </c>
      <c r="D913" s="1">
        <v>2.0</v>
      </c>
      <c r="E913" s="1">
        <v>4588.0</v>
      </c>
      <c r="F913" s="1">
        <v>0.0</v>
      </c>
    </row>
    <row r="914">
      <c r="A914" s="1" t="s">
        <v>5</v>
      </c>
      <c r="B914" s="3">
        <v>42016.0</v>
      </c>
      <c r="C914" s="3">
        <v>42022.0</v>
      </c>
      <c r="D914" s="1">
        <v>3.0</v>
      </c>
      <c r="E914" s="1">
        <v>4525.0</v>
      </c>
      <c r="F914" s="1">
        <v>0.0</v>
      </c>
    </row>
    <row r="915">
      <c r="A915" s="1" t="s">
        <v>5</v>
      </c>
      <c r="B915" s="3">
        <v>42023.0</v>
      </c>
      <c r="C915" s="3">
        <v>42029.0</v>
      </c>
      <c r="D915" s="1">
        <v>4.0</v>
      </c>
      <c r="E915" s="1">
        <v>4280.0</v>
      </c>
      <c r="F915" s="1">
        <v>0.0</v>
      </c>
    </row>
    <row r="916">
      <c r="A916" s="1" t="s">
        <v>5</v>
      </c>
      <c r="B916" s="3">
        <v>42030.0</v>
      </c>
      <c r="C916" s="3">
        <v>42036.0</v>
      </c>
      <c r="D916" s="1">
        <v>5.0</v>
      </c>
      <c r="E916" s="1">
        <v>4185.0</v>
      </c>
      <c r="F916" s="1">
        <v>0.0</v>
      </c>
    </row>
    <row r="917">
      <c r="A917" s="1" t="s">
        <v>5</v>
      </c>
      <c r="B917" s="3">
        <v>42037.0</v>
      </c>
      <c r="C917" s="3">
        <v>42043.0</v>
      </c>
      <c r="D917" s="1">
        <v>6.0</v>
      </c>
      <c r="E917" s="1">
        <v>4090.0</v>
      </c>
      <c r="F917" s="1">
        <v>0.0</v>
      </c>
    </row>
    <row r="918">
      <c r="A918" s="1" t="s">
        <v>5</v>
      </c>
      <c r="B918" s="3">
        <v>42044.0</v>
      </c>
      <c r="C918" s="3">
        <v>42050.0</v>
      </c>
      <c r="D918" s="1">
        <v>7.0</v>
      </c>
      <c r="E918" s="1">
        <v>4070.0</v>
      </c>
      <c r="F918" s="1">
        <v>0.0</v>
      </c>
    </row>
    <row r="919">
      <c r="A919" s="1" t="s">
        <v>5</v>
      </c>
      <c r="B919" s="3">
        <v>42051.0</v>
      </c>
      <c r="C919" s="3">
        <v>42057.0</v>
      </c>
      <c r="D919" s="1">
        <v>8.0</v>
      </c>
      <c r="E919" s="1">
        <v>4104.0</v>
      </c>
      <c r="F919" s="1">
        <v>0.0</v>
      </c>
    </row>
    <row r="920">
      <c r="A920" s="1" t="s">
        <v>5</v>
      </c>
      <c r="B920" s="3">
        <v>42058.0</v>
      </c>
      <c r="C920" s="3">
        <v>42064.0</v>
      </c>
      <c r="D920" s="1">
        <v>9.0</v>
      </c>
      <c r="E920" s="1">
        <v>4137.0</v>
      </c>
      <c r="F920" s="1">
        <v>0.0</v>
      </c>
    </row>
    <row r="921">
      <c r="A921" s="1" t="s">
        <v>5</v>
      </c>
      <c r="B921" s="3">
        <v>42065.0</v>
      </c>
      <c r="C921" s="3">
        <v>42071.0</v>
      </c>
      <c r="D921" s="1">
        <v>10.0</v>
      </c>
      <c r="E921" s="1">
        <v>4109.0</v>
      </c>
      <c r="F921" s="1">
        <v>0.0</v>
      </c>
    </row>
    <row r="922">
      <c r="A922" s="1" t="s">
        <v>5</v>
      </c>
      <c r="B922" s="3">
        <v>42072.0</v>
      </c>
      <c r="C922" s="3">
        <v>42078.0</v>
      </c>
      <c r="D922" s="1">
        <v>11.0</v>
      </c>
      <c r="E922" s="1">
        <v>4265.0</v>
      </c>
      <c r="F922" s="1">
        <v>0.0</v>
      </c>
    </row>
    <row r="923">
      <c r="A923" s="1" t="s">
        <v>5</v>
      </c>
      <c r="B923" s="3">
        <v>42079.0</v>
      </c>
      <c r="C923" s="3">
        <v>42085.0</v>
      </c>
      <c r="D923" s="1">
        <v>12.0</v>
      </c>
      <c r="E923" s="1">
        <v>4071.0</v>
      </c>
      <c r="F923" s="1">
        <v>0.0</v>
      </c>
    </row>
    <row r="924">
      <c r="A924" s="1" t="s">
        <v>5</v>
      </c>
      <c r="B924" s="3">
        <v>42086.0</v>
      </c>
      <c r="C924" s="3">
        <v>42092.0</v>
      </c>
      <c r="D924" s="1">
        <v>13.0</v>
      </c>
      <c r="E924" s="1">
        <v>4192.0</v>
      </c>
      <c r="F924" s="1">
        <v>0.0</v>
      </c>
    </row>
    <row r="925">
      <c r="A925" s="1" t="s">
        <v>5</v>
      </c>
      <c r="B925" s="3">
        <v>42093.0</v>
      </c>
      <c r="C925" s="3">
        <v>42099.0</v>
      </c>
      <c r="D925" s="1">
        <v>14.0</v>
      </c>
      <c r="E925" s="1">
        <v>4067.0</v>
      </c>
      <c r="F925" s="1">
        <v>0.0</v>
      </c>
    </row>
    <row r="926">
      <c r="A926" s="1" t="s">
        <v>5</v>
      </c>
      <c r="B926" s="3">
        <v>42100.0</v>
      </c>
      <c r="C926" s="3">
        <v>42106.0</v>
      </c>
      <c r="D926" s="1">
        <v>15.0</v>
      </c>
      <c r="E926" s="1">
        <v>4059.0</v>
      </c>
      <c r="F926" s="1">
        <v>0.0</v>
      </c>
    </row>
    <row r="927">
      <c r="A927" s="1" t="s">
        <v>5</v>
      </c>
      <c r="B927" s="3">
        <v>42107.0</v>
      </c>
      <c r="C927" s="3">
        <v>42113.0</v>
      </c>
      <c r="D927" s="1">
        <v>16.0</v>
      </c>
      <c r="E927" s="1">
        <v>4063.0</v>
      </c>
      <c r="F927" s="1">
        <v>0.0</v>
      </c>
    </row>
    <row r="928">
      <c r="A928" s="1" t="s">
        <v>5</v>
      </c>
      <c r="B928" s="3">
        <v>42114.0</v>
      </c>
      <c r="C928" s="3">
        <v>42120.0</v>
      </c>
      <c r="D928" s="1">
        <v>17.0</v>
      </c>
      <c r="E928" s="1">
        <v>4042.0</v>
      </c>
      <c r="F928" s="1">
        <v>0.0</v>
      </c>
    </row>
    <row r="929">
      <c r="A929" s="1" t="s">
        <v>5</v>
      </c>
      <c r="B929" s="3">
        <v>42121.0</v>
      </c>
      <c r="C929" s="3">
        <v>42127.0</v>
      </c>
      <c r="D929" s="1">
        <v>18.0</v>
      </c>
      <c r="E929" s="1">
        <v>4186.0</v>
      </c>
      <c r="F929" s="1">
        <v>0.0</v>
      </c>
    </row>
    <row r="930">
      <c r="A930" s="1" t="s">
        <v>5</v>
      </c>
      <c r="B930" s="3">
        <v>42128.0</v>
      </c>
      <c r="C930" s="3">
        <v>42134.0</v>
      </c>
      <c r="D930" s="1">
        <v>19.0</v>
      </c>
      <c r="E930" s="1">
        <v>4241.0</v>
      </c>
      <c r="F930" s="1">
        <v>0.0</v>
      </c>
    </row>
    <row r="931">
      <c r="A931" s="1" t="s">
        <v>5</v>
      </c>
      <c r="B931" s="3">
        <v>42135.0</v>
      </c>
      <c r="C931" s="3">
        <v>42141.0</v>
      </c>
      <c r="D931" s="1">
        <v>20.0</v>
      </c>
      <c r="E931" s="1">
        <v>4277.0</v>
      </c>
      <c r="F931" s="1">
        <v>0.0</v>
      </c>
    </row>
    <row r="932">
      <c r="A932" s="1" t="s">
        <v>5</v>
      </c>
      <c r="B932" s="3">
        <v>42142.0</v>
      </c>
      <c r="C932" s="3">
        <v>42148.0</v>
      </c>
      <c r="D932" s="1">
        <v>21.0</v>
      </c>
      <c r="E932" s="1">
        <v>4165.0</v>
      </c>
      <c r="F932" s="1">
        <v>0.0</v>
      </c>
    </row>
    <row r="933">
      <c r="A933" s="1" t="s">
        <v>5</v>
      </c>
      <c r="B933" s="3">
        <v>42149.0</v>
      </c>
      <c r="C933" s="3">
        <v>42155.0</v>
      </c>
      <c r="D933" s="1">
        <v>22.0</v>
      </c>
      <c r="E933" s="1">
        <v>4024.0</v>
      </c>
      <c r="F933" s="1">
        <v>0.0</v>
      </c>
    </row>
    <row r="934">
      <c r="A934" s="1" t="s">
        <v>5</v>
      </c>
      <c r="B934" s="3">
        <v>42156.0</v>
      </c>
      <c r="C934" s="3">
        <v>42162.0</v>
      </c>
      <c r="D934" s="1">
        <v>23.0</v>
      </c>
      <c r="E934" s="1">
        <v>4102.0</v>
      </c>
      <c r="F934" s="1">
        <v>0.0</v>
      </c>
    </row>
    <row r="935">
      <c r="A935" s="1" t="s">
        <v>5</v>
      </c>
      <c r="B935" s="3">
        <v>42163.0</v>
      </c>
      <c r="C935" s="3">
        <v>42169.0</v>
      </c>
      <c r="D935" s="1">
        <v>24.0</v>
      </c>
      <c r="E935" s="1">
        <v>4142.0</v>
      </c>
      <c r="F935" s="1">
        <v>0.0</v>
      </c>
    </row>
    <row r="936">
      <c r="A936" s="1" t="s">
        <v>5</v>
      </c>
      <c r="B936" s="3">
        <v>42170.0</v>
      </c>
      <c r="C936" s="3">
        <v>42176.0</v>
      </c>
      <c r="D936" s="1">
        <v>25.0</v>
      </c>
      <c r="E936" s="1">
        <v>4284.0</v>
      </c>
      <c r="F936" s="1">
        <v>0.0</v>
      </c>
    </row>
    <row r="937">
      <c r="A937" s="1" t="s">
        <v>5</v>
      </c>
      <c r="B937" s="3">
        <v>42177.0</v>
      </c>
      <c r="C937" s="3">
        <v>42183.0</v>
      </c>
      <c r="D937" s="1">
        <v>26.0</v>
      </c>
      <c r="E937" s="1">
        <v>4343.0</v>
      </c>
      <c r="F937" s="1">
        <v>0.0</v>
      </c>
    </row>
    <row r="938">
      <c r="A938" s="1" t="s">
        <v>5</v>
      </c>
      <c r="B938" s="3">
        <v>42184.0</v>
      </c>
      <c r="C938" s="3">
        <v>42190.0</v>
      </c>
      <c r="D938" s="1">
        <v>27.0</v>
      </c>
      <c r="E938" s="1">
        <v>4369.0</v>
      </c>
      <c r="F938" s="1">
        <v>0.0</v>
      </c>
    </row>
    <row r="939">
      <c r="A939" s="1" t="s">
        <v>5</v>
      </c>
      <c r="B939" s="3">
        <v>42191.0</v>
      </c>
      <c r="C939" s="3">
        <v>42197.0</v>
      </c>
      <c r="D939" s="1">
        <v>28.0</v>
      </c>
      <c r="E939" s="1">
        <v>4334.0</v>
      </c>
      <c r="F939" s="1">
        <v>0.0</v>
      </c>
    </row>
    <row r="940">
      <c r="A940" s="1" t="s">
        <v>5</v>
      </c>
      <c r="B940" s="3">
        <v>42198.0</v>
      </c>
      <c r="C940" s="3">
        <v>42204.0</v>
      </c>
      <c r="D940" s="1">
        <v>29.0</v>
      </c>
      <c r="E940" s="1">
        <v>4139.0</v>
      </c>
      <c r="F940" s="1">
        <v>0.0</v>
      </c>
    </row>
    <row r="941">
      <c r="A941" s="1" t="s">
        <v>5</v>
      </c>
      <c r="B941" s="3">
        <v>42205.0</v>
      </c>
      <c r="C941" s="3">
        <v>42211.0</v>
      </c>
      <c r="D941" s="1">
        <v>30.0</v>
      </c>
      <c r="E941" s="1">
        <v>3970.0</v>
      </c>
      <c r="F941" s="1">
        <v>0.0</v>
      </c>
    </row>
    <row r="942">
      <c r="A942" s="1" t="s">
        <v>5</v>
      </c>
      <c r="B942" s="3">
        <v>42212.0</v>
      </c>
      <c r="C942" s="3">
        <v>42218.0</v>
      </c>
      <c r="D942" s="1">
        <v>31.0</v>
      </c>
      <c r="E942" s="1">
        <v>4069.0</v>
      </c>
      <c r="F942" s="1">
        <v>0.0</v>
      </c>
    </row>
    <row r="943">
      <c r="A943" s="1" t="s">
        <v>5</v>
      </c>
      <c r="B943" s="3">
        <v>42219.0</v>
      </c>
      <c r="C943" s="3">
        <v>42225.0</v>
      </c>
      <c r="D943" s="1">
        <v>32.0</v>
      </c>
      <c r="E943" s="1">
        <v>4296.0</v>
      </c>
      <c r="F943" s="1">
        <v>0.0</v>
      </c>
    </row>
    <row r="944">
      <c r="A944" s="1" t="s">
        <v>5</v>
      </c>
      <c r="B944" s="3">
        <v>42226.0</v>
      </c>
      <c r="C944" s="3">
        <v>42232.0</v>
      </c>
      <c r="D944" s="1">
        <v>33.0</v>
      </c>
      <c r="E944" s="1">
        <v>4101.0</v>
      </c>
      <c r="F944" s="1">
        <v>0.0</v>
      </c>
    </row>
    <row r="945">
      <c r="A945" s="1" t="s">
        <v>5</v>
      </c>
      <c r="B945" s="3">
        <v>42233.0</v>
      </c>
      <c r="C945" s="3">
        <v>42239.0</v>
      </c>
      <c r="D945" s="1">
        <v>34.0</v>
      </c>
      <c r="E945" s="1">
        <v>4000.0</v>
      </c>
      <c r="F945" s="1">
        <v>0.0</v>
      </c>
    </row>
    <row r="946">
      <c r="A946" s="1" t="s">
        <v>5</v>
      </c>
      <c r="B946" s="3">
        <v>42240.0</v>
      </c>
      <c r="C946" s="3">
        <v>42246.0</v>
      </c>
      <c r="D946" s="1">
        <v>35.0</v>
      </c>
      <c r="E946" s="1">
        <v>4083.0</v>
      </c>
      <c r="F946" s="1">
        <v>0.0</v>
      </c>
    </row>
    <row r="947">
      <c r="A947" s="1" t="s">
        <v>5</v>
      </c>
      <c r="B947" s="3">
        <v>42247.0</v>
      </c>
      <c r="C947" s="3">
        <v>42253.0</v>
      </c>
      <c r="D947" s="1">
        <v>36.0</v>
      </c>
      <c r="E947" s="1">
        <v>4233.0</v>
      </c>
      <c r="F947" s="1">
        <v>0.0</v>
      </c>
    </row>
    <row r="948">
      <c r="A948" s="1" t="s">
        <v>5</v>
      </c>
      <c r="B948" s="3">
        <v>42254.0</v>
      </c>
      <c r="C948" s="3">
        <v>42260.0</v>
      </c>
      <c r="D948" s="1">
        <v>37.0</v>
      </c>
      <c r="E948" s="1">
        <v>4135.0</v>
      </c>
      <c r="F948" s="1">
        <v>0.0</v>
      </c>
    </row>
    <row r="949">
      <c r="A949" s="1" t="s">
        <v>5</v>
      </c>
      <c r="B949" s="3">
        <v>42261.0</v>
      </c>
      <c r="C949" s="3">
        <v>42267.0</v>
      </c>
      <c r="D949" s="1">
        <v>38.0</v>
      </c>
      <c r="E949" s="1">
        <v>4203.0</v>
      </c>
      <c r="F949" s="1">
        <v>0.0</v>
      </c>
    </row>
    <row r="950">
      <c r="A950" s="1" t="s">
        <v>5</v>
      </c>
      <c r="B950" s="3">
        <v>42268.0</v>
      </c>
      <c r="C950" s="3">
        <v>42274.0</v>
      </c>
      <c r="D950" s="1">
        <v>39.0</v>
      </c>
      <c r="E950" s="1">
        <v>4217.0</v>
      </c>
      <c r="F950" s="1">
        <v>0.0</v>
      </c>
    </row>
    <row r="951">
      <c r="A951" s="1" t="s">
        <v>5</v>
      </c>
      <c r="B951" s="3">
        <v>42275.0</v>
      </c>
      <c r="C951" s="2">
        <v>42281.0</v>
      </c>
      <c r="D951" s="1">
        <v>40.0</v>
      </c>
      <c r="E951" s="1">
        <v>4232.0</v>
      </c>
      <c r="F951" s="1">
        <v>0.0</v>
      </c>
    </row>
    <row r="952">
      <c r="A952" s="1" t="s">
        <v>5</v>
      </c>
      <c r="B952" s="2">
        <v>42282.0</v>
      </c>
      <c r="C952" s="2">
        <v>42288.0</v>
      </c>
      <c r="D952" s="1">
        <v>41.0</v>
      </c>
      <c r="E952" s="1">
        <v>4162.0</v>
      </c>
      <c r="F952" s="1">
        <v>0.0</v>
      </c>
    </row>
    <row r="953">
      <c r="A953" s="1" t="s">
        <v>5</v>
      </c>
      <c r="B953" s="2">
        <v>42289.0</v>
      </c>
      <c r="C953" s="2">
        <v>42295.0</v>
      </c>
      <c r="D953" s="1">
        <v>42.0</v>
      </c>
      <c r="E953" s="1">
        <v>4045.0</v>
      </c>
      <c r="F953" s="1">
        <v>0.0</v>
      </c>
    </row>
    <row r="954">
      <c r="A954" s="1" t="s">
        <v>5</v>
      </c>
      <c r="B954" s="2">
        <v>42296.0</v>
      </c>
      <c r="C954" s="2">
        <v>42302.0</v>
      </c>
      <c r="D954" s="1">
        <v>43.0</v>
      </c>
      <c r="E954" s="1">
        <v>4027.0</v>
      </c>
      <c r="F954" s="1">
        <v>0.0</v>
      </c>
    </row>
    <row r="955">
      <c r="A955" s="1" t="s">
        <v>5</v>
      </c>
      <c r="B955" s="2">
        <v>42303.0</v>
      </c>
      <c r="C955" s="2">
        <v>42309.0</v>
      </c>
      <c r="D955" s="1">
        <v>44.0</v>
      </c>
      <c r="E955" s="1">
        <v>4238.0</v>
      </c>
      <c r="F955" s="1">
        <v>0.0</v>
      </c>
    </row>
    <row r="956">
      <c r="A956" s="1" t="s">
        <v>5</v>
      </c>
      <c r="B956" s="2">
        <v>42310.0</v>
      </c>
      <c r="C956" s="2">
        <v>42316.0</v>
      </c>
      <c r="D956" s="1">
        <v>45.0</v>
      </c>
      <c r="E956" s="1">
        <v>4174.0</v>
      </c>
      <c r="F956" s="1">
        <v>0.0</v>
      </c>
    </row>
    <row r="957">
      <c r="A957" s="1" t="s">
        <v>5</v>
      </c>
      <c r="B957" s="2">
        <v>42317.0</v>
      </c>
      <c r="C957" s="2">
        <v>42323.0</v>
      </c>
      <c r="D957" s="1">
        <v>46.0</v>
      </c>
      <c r="E957" s="1">
        <v>4363.0</v>
      </c>
      <c r="F957" s="1">
        <v>0.0</v>
      </c>
    </row>
    <row r="958">
      <c r="A958" s="1" t="s">
        <v>5</v>
      </c>
      <c r="B958" s="2">
        <v>42324.0</v>
      </c>
      <c r="C958" s="2">
        <v>42330.0</v>
      </c>
      <c r="D958" s="1">
        <v>47.0</v>
      </c>
      <c r="E958" s="1">
        <v>4303.0</v>
      </c>
      <c r="F958" s="1">
        <v>0.0</v>
      </c>
    </row>
    <row r="959">
      <c r="A959" s="1" t="s">
        <v>5</v>
      </c>
      <c r="B959" s="2">
        <v>42331.0</v>
      </c>
      <c r="C959" s="2">
        <v>42337.0</v>
      </c>
      <c r="D959" s="1">
        <v>48.0</v>
      </c>
      <c r="E959" s="1">
        <v>4289.0</v>
      </c>
      <c r="F959" s="1">
        <v>0.0</v>
      </c>
    </row>
    <row r="960">
      <c r="A960" s="1" t="s">
        <v>5</v>
      </c>
      <c r="B960" s="2">
        <v>42338.0</v>
      </c>
      <c r="C960" s="2">
        <v>42344.0</v>
      </c>
      <c r="D960" s="1">
        <v>49.0</v>
      </c>
      <c r="E960" s="1">
        <v>4368.0</v>
      </c>
      <c r="F960" s="1">
        <v>0.0</v>
      </c>
    </row>
    <row r="961">
      <c r="A961" s="1" t="s">
        <v>5</v>
      </c>
      <c r="B961" s="2">
        <v>42345.0</v>
      </c>
      <c r="C961" s="2">
        <v>42351.0</v>
      </c>
      <c r="D961" s="1">
        <v>50.0</v>
      </c>
      <c r="E961" s="1">
        <v>4324.0</v>
      </c>
      <c r="F961" s="1">
        <v>0.0</v>
      </c>
    </row>
    <row r="962">
      <c r="A962" s="1" t="s">
        <v>5</v>
      </c>
      <c r="B962" s="2">
        <v>42352.0</v>
      </c>
      <c r="C962" s="2">
        <v>42358.0</v>
      </c>
      <c r="D962" s="1">
        <v>51.0</v>
      </c>
      <c r="E962" s="1">
        <v>4301.0</v>
      </c>
      <c r="F962" s="1">
        <v>0.0</v>
      </c>
    </row>
    <row r="963">
      <c r="A963" s="1" t="s">
        <v>5</v>
      </c>
      <c r="B963" s="2">
        <v>42359.0</v>
      </c>
      <c r="C963" s="2">
        <v>42365.0</v>
      </c>
      <c r="D963" s="1">
        <v>52.0</v>
      </c>
      <c r="E963" s="1">
        <v>4553.0</v>
      </c>
      <c r="F963" s="1">
        <v>0.0</v>
      </c>
    </row>
    <row r="964">
      <c r="A964" s="4" t="s">
        <v>5</v>
      </c>
      <c r="B964" s="5">
        <v>42366.0</v>
      </c>
      <c r="C964" s="6">
        <v>42372.0</v>
      </c>
      <c r="D964" s="4">
        <v>53.0</v>
      </c>
      <c r="E964" s="4">
        <v>4609.0</v>
      </c>
      <c r="F964" s="4">
        <v>0.0</v>
      </c>
      <c r="G964" s="7"/>
      <c r="H964" s="7"/>
    </row>
    <row r="965">
      <c r="A965" s="1" t="s">
        <v>5</v>
      </c>
      <c r="B965" s="3">
        <v>42373.0</v>
      </c>
      <c r="C965" s="3">
        <v>42379.0</v>
      </c>
      <c r="D965" s="1">
        <v>1.0</v>
      </c>
      <c r="E965" s="1">
        <v>4474.0</v>
      </c>
      <c r="F965" s="1">
        <v>0.0</v>
      </c>
    </row>
    <row r="966">
      <c r="A966" s="1" t="s">
        <v>5</v>
      </c>
      <c r="B966" s="3">
        <v>42380.0</v>
      </c>
      <c r="C966" s="3">
        <v>42386.0</v>
      </c>
      <c r="D966" s="1">
        <v>2.0</v>
      </c>
      <c r="E966" s="1">
        <v>4435.0</v>
      </c>
      <c r="F966" s="1">
        <v>0.0</v>
      </c>
    </row>
    <row r="967">
      <c r="A967" s="1" t="s">
        <v>5</v>
      </c>
      <c r="B967" s="3">
        <v>42387.0</v>
      </c>
      <c r="C967" s="3">
        <v>42393.0</v>
      </c>
      <c r="D967" s="1">
        <v>3.0</v>
      </c>
      <c r="E967" s="1">
        <v>4389.0</v>
      </c>
      <c r="F967" s="1">
        <v>0.0</v>
      </c>
    </row>
    <row r="968">
      <c r="A968" s="1" t="s">
        <v>5</v>
      </c>
      <c r="B968" s="3">
        <v>42394.0</v>
      </c>
      <c r="C968" s="3">
        <v>42400.0</v>
      </c>
      <c r="D968" s="1">
        <v>4.0</v>
      </c>
      <c r="E968" s="1">
        <v>4253.0</v>
      </c>
      <c r="F968" s="1">
        <v>0.0</v>
      </c>
    </row>
    <row r="969">
      <c r="A969" s="1" t="s">
        <v>5</v>
      </c>
      <c r="B969" s="3">
        <v>42401.0</v>
      </c>
      <c r="C969" s="3">
        <v>42407.0</v>
      </c>
      <c r="D969" s="1">
        <v>5.0</v>
      </c>
      <c r="E969" s="1">
        <v>4183.0</v>
      </c>
      <c r="F969" s="1">
        <v>0.0</v>
      </c>
    </row>
    <row r="970">
      <c r="A970" s="1" t="s">
        <v>5</v>
      </c>
      <c r="B970" s="3">
        <v>42408.0</v>
      </c>
      <c r="C970" s="3">
        <v>42414.0</v>
      </c>
      <c r="D970" s="1">
        <v>6.0</v>
      </c>
      <c r="E970" s="1">
        <v>4113.0</v>
      </c>
      <c r="F970" s="1">
        <v>0.0</v>
      </c>
    </row>
    <row r="971">
      <c r="A971" s="1" t="s">
        <v>5</v>
      </c>
      <c r="B971" s="3">
        <v>42415.0</v>
      </c>
      <c r="C971" s="3">
        <v>42421.0</v>
      </c>
      <c r="D971" s="1">
        <v>7.0</v>
      </c>
      <c r="E971" s="1">
        <v>4131.0</v>
      </c>
      <c r="F971" s="1">
        <v>0.0</v>
      </c>
    </row>
    <row r="972">
      <c r="A972" s="1" t="s">
        <v>5</v>
      </c>
      <c r="B972" s="3">
        <v>42422.0</v>
      </c>
      <c r="C972" s="3">
        <v>42428.0</v>
      </c>
      <c r="D972" s="1">
        <v>8.0</v>
      </c>
      <c r="E972" s="1">
        <v>4100.0</v>
      </c>
      <c r="F972" s="1">
        <v>0.0</v>
      </c>
    </row>
    <row r="973">
      <c r="A973" s="1" t="s">
        <v>5</v>
      </c>
      <c r="B973" s="3">
        <v>42429.0</v>
      </c>
      <c r="C973" s="3">
        <v>42435.0</v>
      </c>
      <c r="D973" s="1">
        <v>9.0</v>
      </c>
      <c r="E973" s="1">
        <v>4190.0</v>
      </c>
      <c r="F973" s="1">
        <v>0.0</v>
      </c>
    </row>
    <row r="974">
      <c r="A974" s="1" t="s">
        <v>5</v>
      </c>
      <c r="B974" s="3">
        <v>42436.0</v>
      </c>
      <c r="C974" s="3">
        <v>42442.0</v>
      </c>
      <c r="D974" s="1">
        <v>10.0</v>
      </c>
      <c r="E974" s="1">
        <v>4218.0</v>
      </c>
      <c r="F974" s="1">
        <v>0.0</v>
      </c>
    </row>
    <row r="975">
      <c r="A975" s="1" t="s">
        <v>5</v>
      </c>
      <c r="B975" s="3">
        <v>42443.0</v>
      </c>
      <c r="C975" s="3">
        <v>42449.0</v>
      </c>
      <c r="D975" s="1">
        <v>11.0</v>
      </c>
      <c r="E975" s="1">
        <v>4228.0</v>
      </c>
      <c r="F975" s="1">
        <v>0.0</v>
      </c>
    </row>
    <row r="976">
      <c r="A976" s="1" t="s">
        <v>5</v>
      </c>
      <c r="B976" s="3">
        <v>42450.0</v>
      </c>
      <c r="C976" s="3">
        <v>42456.0</v>
      </c>
      <c r="D976" s="1">
        <v>12.0</v>
      </c>
      <c r="E976" s="1">
        <v>4275.0</v>
      </c>
      <c r="F976" s="1">
        <v>0.0</v>
      </c>
    </row>
    <row r="977">
      <c r="A977" s="1" t="s">
        <v>5</v>
      </c>
      <c r="B977" s="3">
        <v>42457.0</v>
      </c>
      <c r="C977" s="3">
        <v>42463.0</v>
      </c>
      <c r="D977" s="1">
        <v>13.0</v>
      </c>
      <c r="E977" s="1">
        <v>4092.0</v>
      </c>
      <c r="F977" s="1">
        <v>0.0</v>
      </c>
    </row>
    <row r="978">
      <c r="A978" s="1" t="s">
        <v>5</v>
      </c>
      <c r="B978" s="3">
        <v>42464.0</v>
      </c>
      <c r="C978" s="3">
        <v>42470.0</v>
      </c>
      <c r="D978" s="1">
        <v>14.0</v>
      </c>
      <c r="E978" s="1">
        <v>4112.0</v>
      </c>
      <c r="F978" s="1">
        <v>0.0</v>
      </c>
    </row>
    <row r="979">
      <c r="A979" s="1" t="s">
        <v>5</v>
      </c>
      <c r="B979" s="3">
        <v>42471.0</v>
      </c>
      <c r="C979" s="3">
        <v>42477.0</v>
      </c>
      <c r="D979" s="1">
        <v>15.0</v>
      </c>
      <c r="E979" s="1">
        <v>4153.0</v>
      </c>
      <c r="F979" s="1">
        <v>0.0</v>
      </c>
    </row>
    <row r="980">
      <c r="A980" s="1" t="s">
        <v>5</v>
      </c>
      <c r="B980" s="3">
        <v>42478.0</v>
      </c>
      <c r="C980" s="3">
        <v>42484.0</v>
      </c>
      <c r="D980" s="1">
        <v>16.0</v>
      </c>
      <c r="E980" s="1">
        <v>4211.0</v>
      </c>
      <c r="F980" s="1">
        <v>0.0</v>
      </c>
    </row>
    <row r="981">
      <c r="A981" s="1" t="s">
        <v>5</v>
      </c>
      <c r="B981" s="3">
        <v>42485.0</v>
      </c>
      <c r="C981" s="3">
        <v>42491.0</v>
      </c>
      <c r="D981" s="1">
        <v>17.0</v>
      </c>
      <c r="E981" s="1">
        <v>4110.0</v>
      </c>
      <c r="F981" s="1">
        <v>0.0</v>
      </c>
    </row>
    <row r="982">
      <c r="A982" s="1" t="s">
        <v>5</v>
      </c>
      <c r="B982" s="3">
        <v>42492.0</v>
      </c>
      <c r="C982" s="3">
        <v>42498.0</v>
      </c>
      <c r="D982" s="1">
        <v>18.0</v>
      </c>
      <c r="E982" s="1">
        <v>4175.0</v>
      </c>
      <c r="F982" s="1">
        <v>0.0</v>
      </c>
    </row>
    <row r="983">
      <c r="A983" s="1" t="s">
        <v>5</v>
      </c>
      <c r="B983" s="3">
        <v>42499.0</v>
      </c>
      <c r="C983" s="3">
        <v>42505.0</v>
      </c>
      <c r="D983" s="1">
        <v>19.0</v>
      </c>
      <c r="E983" s="1">
        <v>4320.0</v>
      </c>
      <c r="F983" s="1">
        <v>0.0</v>
      </c>
    </row>
    <row r="984">
      <c r="A984" s="1" t="s">
        <v>5</v>
      </c>
      <c r="B984" s="3">
        <v>42506.0</v>
      </c>
      <c r="C984" s="3">
        <v>42512.0</v>
      </c>
      <c r="D984" s="1">
        <v>20.0</v>
      </c>
      <c r="E984" s="1">
        <v>4632.0</v>
      </c>
      <c r="F984" s="1">
        <v>0.0</v>
      </c>
    </row>
    <row r="985">
      <c r="A985" s="1" t="s">
        <v>5</v>
      </c>
      <c r="B985" s="3">
        <v>42513.0</v>
      </c>
      <c r="C985" s="3">
        <v>42519.0</v>
      </c>
      <c r="D985" s="1">
        <v>21.0</v>
      </c>
      <c r="E985" s="1">
        <v>4532.0</v>
      </c>
      <c r="F985" s="1">
        <v>0.0</v>
      </c>
    </row>
    <row r="986">
      <c r="A986" s="1" t="s">
        <v>5</v>
      </c>
      <c r="B986" s="3">
        <v>42520.0</v>
      </c>
      <c r="C986" s="3">
        <v>42526.0</v>
      </c>
      <c r="D986" s="1">
        <v>22.0</v>
      </c>
      <c r="E986" s="1">
        <v>4582.0</v>
      </c>
      <c r="F986" s="1">
        <v>0.0</v>
      </c>
    </row>
    <row r="987">
      <c r="A987" s="1" t="s">
        <v>5</v>
      </c>
      <c r="B987" s="3">
        <v>42527.0</v>
      </c>
      <c r="C987" s="3">
        <v>42533.0</v>
      </c>
      <c r="D987" s="1">
        <v>23.0</v>
      </c>
      <c r="E987" s="1">
        <v>4561.0</v>
      </c>
      <c r="F987" s="1">
        <v>0.0</v>
      </c>
    </row>
    <row r="988">
      <c r="A988" s="1" t="s">
        <v>5</v>
      </c>
      <c r="B988" s="3">
        <v>42534.0</v>
      </c>
      <c r="C988" s="3">
        <v>42540.0</v>
      </c>
      <c r="D988" s="1">
        <v>24.0</v>
      </c>
      <c r="E988" s="1">
        <v>4537.0</v>
      </c>
      <c r="F988" s="1">
        <v>0.0</v>
      </c>
    </row>
    <row r="989">
      <c r="A989" s="1" t="s">
        <v>5</v>
      </c>
      <c r="B989" s="3">
        <v>42541.0</v>
      </c>
      <c r="C989" s="3">
        <v>42547.0</v>
      </c>
      <c r="D989" s="1">
        <v>25.0</v>
      </c>
      <c r="E989" s="1">
        <v>4503.0</v>
      </c>
      <c r="F989" s="1">
        <v>0.0</v>
      </c>
    </row>
    <row r="990">
      <c r="A990" s="1" t="s">
        <v>5</v>
      </c>
      <c r="B990" s="3">
        <v>42548.0</v>
      </c>
      <c r="C990" s="3">
        <v>42554.0</v>
      </c>
      <c r="D990" s="1">
        <v>26.0</v>
      </c>
      <c r="E990" s="1">
        <v>4530.0</v>
      </c>
      <c r="F990" s="1">
        <v>0.0</v>
      </c>
    </row>
    <row r="991">
      <c r="A991" s="1" t="s">
        <v>5</v>
      </c>
      <c r="B991" s="3">
        <v>42555.0</v>
      </c>
      <c r="C991" s="3">
        <v>42561.0</v>
      </c>
      <c r="D991" s="1">
        <v>27.0</v>
      </c>
      <c r="E991" s="1">
        <v>4349.0</v>
      </c>
      <c r="F991" s="1">
        <v>0.0</v>
      </c>
    </row>
    <row r="992">
      <c r="A992" s="1" t="s">
        <v>5</v>
      </c>
      <c r="B992" s="3">
        <v>42562.0</v>
      </c>
      <c r="C992" s="3">
        <v>42568.0</v>
      </c>
      <c r="D992" s="1">
        <v>28.0</v>
      </c>
      <c r="E992" s="1">
        <v>4315.0</v>
      </c>
      <c r="F992" s="1">
        <v>0.0</v>
      </c>
    </row>
    <row r="993">
      <c r="A993" s="1" t="s">
        <v>5</v>
      </c>
      <c r="B993" s="3">
        <v>42569.0</v>
      </c>
      <c r="C993" s="3">
        <v>42575.0</v>
      </c>
      <c r="D993" s="1">
        <v>29.0</v>
      </c>
      <c r="E993" s="1">
        <v>4088.0</v>
      </c>
      <c r="F993" s="1">
        <v>0.0</v>
      </c>
    </row>
    <row r="994">
      <c r="A994" s="1" t="s">
        <v>5</v>
      </c>
      <c r="B994" s="3">
        <v>42576.0</v>
      </c>
      <c r="C994" s="3">
        <v>42582.0</v>
      </c>
      <c r="D994" s="1">
        <v>30.0</v>
      </c>
      <c r="E994" s="1">
        <v>4188.0</v>
      </c>
      <c r="F994" s="1">
        <v>0.0</v>
      </c>
    </row>
    <row r="995">
      <c r="A995" s="1" t="s">
        <v>5</v>
      </c>
      <c r="B995" s="3">
        <v>42583.0</v>
      </c>
      <c r="C995" s="3">
        <v>42589.0</v>
      </c>
      <c r="D995" s="1">
        <v>31.0</v>
      </c>
      <c r="E995" s="1">
        <v>4175.0</v>
      </c>
      <c r="F995" s="1">
        <v>0.0</v>
      </c>
    </row>
    <row r="996">
      <c r="A996" s="1" t="s">
        <v>5</v>
      </c>
      <c r="B996" s="3">
        <v>42590.0</v>
      </c>
      <c r="C996" s="3">
        <v>42596.0</v>
      </c>
      <c r="D996" s="1">
        <v>32.0</v>
      </c>
      <c r="E996" s="1">
        <v>4291.0</v>
      </c>
      <c r="F996" s="1">
        <v>0.0</v>
      </c>
    </row>
    <row r="997">
      <c r="A997" s="1" t="s">
        <v>5</v>
      </c>
      <c r="B997" s="3">
        <v>42597.0</v>
      </c>
      <c r="C997" s="3">
        <v>42603.0</v>
      </c>
      <c r="D997" s="1">
        <v>33.0</v>
      </c>
      <c r="E997" s="1">
        <v>4176.0</v>
      </c>
      <c r="F997" s="1">
        <v>0.0</v>
      </c>
    </row>
    <row r="998">
      <c r="A998" s="1" t="s">
        <v>5</v>
      </c>
      <c r="B998" s="3">
        <v>42604.0</v>
      </c>
      <c r="C998" s="3">
        <v>42610.0</v>
      </c>
      <c r="D998" s="1">
        <v>34.0</v>
      </c>
      <c r="E998" s="1">
        <v>4036.0</v>
      </c>
      <c r="F998" s="1">
        <v>0.0</v>
      </c>
    </row>
    <row r="999">
      <c r="A999" s="1" t="s">
        <v>5</v>
      </c>
      <c r="B999" s="3">
        <v>42611.0</v>
      </c>
      <c r="C999" s="3">
        <v>42617.0</v>
      </c>
      <c r="D999" s="1">
        <v>35.0</v>
      </c>
      <c r="E999" s="1">
        <v>4123.0</v>
      </c>
      <c r="F999" s="1">
        <v>0.0</v>
      </c>
    </row>
    <row r="1000">
      <c r="A1000" s="1" t="s">
        <v>5</v>
      </c>
      <c r="B1000" s="3">
        <v>42618.0</v>
      </c>
      <c r="C1000" s="3">
        <v>42624.0</v>
      </c>
      <c r="D1000" s="1">
        <v>36.0</v>
      </c>
      <c r="E1000" s="1">
        <v>4084.0</v>
      </c>
      <c r="F1000" s="1">
        <v>0.0</v>
      </c>
    </row>
    <row r="1001">
      <c r="A1001" s="1" t="s">
        <v>5</v>
      </c>
      <c r="B1001" s="3">
        <v>42625.0</v>
      </c>
      <c r="C1001" s="3">
        <v>42631.0</v>
      </c>
      <c r="D1001" s="1">
        <v>37.0</v>
      </c>
      <c r="E1001" s="1">
        <v>4021.0</v>
      </c>
      <c r="F1001" s="1">
        <v>0.0</v>
      </c>
    </row>
    <row r="1002">
      <c r="A1002" s="1" t="s">
        <v>5</v>
      </c>
      <c r="B1002" s="3">
        <v>42632.0</v>
      </c>
      <c r="C1002" s="3">
        <v>42638.0</v>
      </c>
      <c r="D1002" s="1">
        <v>38.0</v>
      </c>
      <c r="E1002" s="1">
        <v>4186.0</v>
      </c>
      <c r="F1002" s="1">
        <v>0.0</v>
      </c>
    </row>
    <row r="1003">
      <c r="A1003" s="1" t="s">
        <v>5</v>
      </c>
      <c r="B1003" s="3">
        <v>42639.0</v>
      </c>
      <c r="C1003" s="2">
        <v>42645.0</v>
      </c>
      <c r="D1003" s="1">
        <v>39.0</v>
      </c>
      <c r="E1003" s="1">
        <v>4025.0</v>
      </c>
      <c r="F1003" s="1">
        <v>0.0</v>
      </c>
    </row>
    <row r="1004">
      <c r="A1004" s="1" t="s">
        <v>5</v>
      </c>
      <c r="B1004" s="2">
        <v>42646.0</v>
      </c>
      <c r="C1004" s="2">
        <v>42652.0</v>
      </c>
      <c r="D1004" s="1">
        <v>40.0</v>
      </c>
      <c r="E1004" s="1">
        <v>4066.0</v>
      </c>
      <c r="F1004" s="1">
        <v>0.0</v>
      </c>
    </row>
    <row r="1005">
      <c r="A1005" s="1" t="s">
        <v>5</v>
      </c>
      <c r="B1005" s="2">
        <v>42653.0</v>
      </c>
      <c r="C1005" s="2">
        <v>42659.0</v>
      </c>
      <c r="D1005" s="1">
        <v>41.0</v>
      </c>
      <c r="E1005" s="1">
        <v>4171.0</v>
      </c>
      <c r="F1005" s="1">
        <v>0.0</v>
      </c>
    </row>
    <row r="1006">
      <c r="A1006" s="1" t="s">
        <v>5</v>
      </c>
      <c r="B1006" s="2">
        <v>42660.0</v>
      </c>
      <c r="C1006" s="2">
        <v>42666.0</v>
      </c>
      <c r="D1006" s="1">
        <v>42.0</v>
      </c>
      <c r="E1006" s="1">
        <v>4146.0</v>
      </c>
      <c r="F1006" s="1">
        <v>0.0</v>
      </c>
    </row>
    <row r="1007">
      <c r="A1007" s="1" t="s">
        <v>5</v>
      </c>
      <c r="B1007" s="2">
        <v>42667.0</v>
      </c>
      <c r="C1007" s="2">
        <v>42673.0</v>
      </c>
      <c r="D1007" s="1">
        <v>43.0</v>
      </c>
      <c r="E1007" s="1">
        <v>4073.0</v>
      </c>
      <c r="F1007" s="1">
        <v>0.0</v>
      </c>
    </row>
    <row r="1008">
      <c r="A1008" s="1" t="s">
        <v>5</v>
      </c>
      <c r="B1008" s="2">
        <v>42674.0</v>
      </c>
      <c r="C1008" s="2">
        <v>42680.0</v>
      </c>
      <c r="D1008" s="1">
        <v>44.0</v>
      </c>
      <c r="E1008" s="1">
        <v>4039.0</v>
      </c>
      <c r="F1008" s="1">
        <v>0.0</v>
      </c>
    </row>
    <row r="1009">
      <c r="A1009" s="1" t="s">
        <v>5</v>
      </c>
      <c r="B1009" s="2">
        <v>42681.0</v>
      </c>
      <c r="C1009" s="2">
        <v>42687.0</v>
      </c>
      <c r="D1009" s="1">
        <v>45.0</v>
      </c>
      <c r="E1009" s="1">
        <v>4173.0</v>
      </c>
      <c r="F1009" s="1">
        <v>0.0</v>
      </c>
    </row>
    <row r="1010">
      <c r="A1010" s="1" t="s">
        <v>5</v>
      </c>
      <c r="B1010" s="2">
        <v>42688.0</v>
      </c>
      <c r="C1010" s="2">
        <v>42694.0</v>
      </c>
      <c r="D1010" s="1">
        <v>46.0</v>
      </c>
      <c r="E1010" s="1">
        <v>4139.0</v>
      </c>
      <c r="F1010" s="1">
        <v>0.0</v>
      </c>
    </row>
    <row r="1011">
      <c r="A1011" s="1" t="s">
        <v>5</v>
      </c>
      <c r="B1011" s="2">
        <v>42695.0</v>
      </c>
      <c r="C1011" s="2">
        <v>42701.0</v>
      </c>
      <c r="D1011" s="1">
        <v>47.0</v>
      </c>
      <c r="E1011" s="1">
        <v>4263.0</v>
      </c>
      <c r="F1011" s="1">
        <v>0.0</v>
      </c>
    </row>
    <row r="1012">
      <c r="A1012" s="1" t="s">
        <v>5</v>
      </c>
      <c r="B1012" s="2">
        <v>42702.0</v>
      </c>
      <c r="C1012" s="2">
        <v>42708.0</v>
      </c>
      <c r="D1012" s="1">
        <v>48.0</v>
      </c>
      <c r="E1012" s="1">
        <v>4269.0</v>
      </c>
      <c r="F1012" s="1">
        <v>0.0</v>
      </c>
    </row>
    <row r="1013">
      <c r="A1013" s="1" t="s">
        <v>5</v>
      </c>
      <c r="B1013" s="2">
        <v>42709.0</v>
      </c>
      <c r="C1013" s="2">
        <v>42715.0</v>
      </c>
      <c r="D1013" s="1">
        <v>49.0</v>
      </c>
      <c r="E1013" s="1">
        <v>4455.0</v>
      </c>
      <c r="F1013" s="1">
        <v>0.0</v>
      </c>
    </row>
    <row r="1014">
      <c r="A1014" s="1" t="s">
        <v>5</v>
      </c>
      <c r="B1014" s="2">
        <v>42716.0</v>
      </c>
      <c r="C1014" s="2">
        <v>42722.0</v>
      </c>
      <c r="D1014" s="1">
        <v>50.0</v>
      </c>
      <c r="E1014" s="1">
        <v>4590.0</v>
      </c>
      <c r="F1014" s="1">
        <v>0.0</v>
      </c>
    </row>
    <row r="1015">
      <c r="A1015" s="1" t="s">
        <v>5</v>
      </c>
      <c r="B1015" s="2">
        <v>42723.0</v>
      </c>
      <c r="C1015" s="2">
        <v>42729.0</v>
      </c>
      <c r="D1015" s="1">
        <v>51.0</v>
      </c>
      <c r="E1015" s="1">
        <v>4586.0</v>
      </c>
      <c r="F1015" s="1">
        <v>0.0</v>
      </c>
    </row>
    <row r="1016">
      <c r="A1016" s="1" t="s">
        <v>5</v>
      </c>
      <c r="B1016" s="2">
        <v>42730.0</v>
      </c>
      <c r="C1016" s="3">
        <v>42736.0</v>
      </c>
      <c r="D1016" s="1">
        <v>52.0</v>
      </c>
      <c r="E1016" s="1">
        <v>4804.0</v>
      </c>
      <c r="F1016" s="1">
        <v>0.0</v>
      </c>
    </row>
    <row r="1017">
      <c r="A1017" s="1" t="s">
        <v>5</v>
      </c>
      <c r="B1017" s="3">
        <v>42737.0</v>
      </c>
      <c r="C1017" s="3">
        <v>42743.0</v>
      </c>
      <c r="D1017" s="1">
        <v>1.0</v>
      </c>
      <c r="E1017" s="1">
        <v>4755.0</v>
      </c>
      <c r="F1017" s="1">
        <v>0.0</v>
      </c>
    </row>
    <row r="1018">
      <c r="A1018" s="1" t="s">
        <v>5</v>
      </c>
      <c r="B1018" s="3">
        <v>42744.0</v>
      </c>
      <c r="C1018" s="3">
        <v>42750.0</v>
      </c>
      <c r="D1018" s="1">
        <v>2.0</v>
      </c>
      <c r="E1018" s="1">
        <v>4756.0</v>
      </c>
      <c r="F1018" s="1">
        <v>0.0</v>
      </c>
    </row>
    <row r="1019">
      <c r="A1019" s="1" t="s">
        <v>5</v>
      </c>
      <c r="B1019" s="3">
        <v>42751.0</v>
      </c>
      <c r="C1019" s="3">
        <v>42757.0</v>
      </c>
      <c r="D1019" s="1">
        <v>3.0</v>
      </c>
      <c r="E1019" s="1">
        <v>4635.0</v>
      </c>
      <c r="F1019" s="1">
        <v>0.0</v>
      </c>
    </row>
    <row r="1020">
      <c r="A1020" s="1" t="s">
        <v>5</v>
      </c>
      <c r="B1020" s="3">
        <v>42758.0</v>
      </c>
      <c r="C1020" s="3">
        <v>42764.0</v>
      </c>
      <c r="D1020" s="1">
        <v>4.0</v>
      </c>
      <c r="E1020" s="1">
        <v>4574.0</v>
      </c>
      <c r="F1020" s="1">
        <v>0.0</v>
      </c>
    </row>
    <row r="1021">
      <c r="A1021" s="1" t="s">
        <v>5</v>
      </c>
      <c r="B1021" s="3">
        <v>42765.0</v>
      </c>
      <c r="C1021" s="3">
        <v>42771.0</v>
      </c>
      <c r="D1021" s="1">
        <v>5.0</v>
      </c>
      <c r="E1021" s="1">
        <v>4392.0</v>
      </c>
      <c r="F1021" s="1">
        <v>0.0</v>
      </c>
    </row>
    <row r="1022">
      <c r="A1022" s="1" t="s">
        <v>5</v>
      </c>
      <c r="B1022" s="3">
        <v>42772.0</v>
      </c>
      <c r="C1022" s="3">
        <v>42778.0</v>
      </c>
      <c r="D1022" s="1">
        <v>6.0</v>
      </c>
      <c r="E1022" s="1">
        <v>4402.0</v>
      </c>
      <c r="F1022" s="1">
        <v>0.0</v>
      </c>
    </row>
    <row r="1023">
      <c r="A1023" s="1" t="s">
        <v>5</v>
      </c>
      <c r="B1023" s="3">
        <v>42779.0</v>
      </c>
      <c r="C1023" s="3">
        <v>42785.0</v>
      </c>
      <c r="D1023" s="1">
        <v>7.0</v>
      </c>
      <c r="E1023" s="1">
        <v>4231.0</v>
      </c>
      <c r="F1023" s="1">
        <v>0.0</v>
      </c>
    </row>
    <row r="1024">
      <c r="A1024" s="1" t="s">
        <v>5</v>
      </c>
      <c r="B1024" s="3">
        <v>42786.0</v>
      </c>
      <c r="C1024" s="3">
        <v>42792.0</v>
      </c>
      <c r="D1024" s="1">
        <v>8.0</v>
      </c>
      <c r="E1024" s="1">
        <v>4199.0</v>
      </c>
      <c r="F1024" s="1">
        <v>0.0</v>
      </c>
    </row>
    <row r="1025">
      <c r="A1025" s="1" t="s">
        <v>5</v>
      </c>
      <c r="B1025" s="3">
        <v>42793.0</v>
      </c>
      <c r="C1025" s="3">
        <v>42799.0</v>
      </c>
      <c r="D1025" s="1">
        <v>9.0</v>
      </c>
      <c r="E1025" s="1">
        <v>4173.0</v>
      </c>
      <c r="F1025" s="1">
        <v>0.0</v>
      </c>
    </row>
    <row r="1026">
      <c r="A1026" s="1" t="s">
        <v>5</v>
      </c>
      <c r="B1026" s="3">
        <v>42800.0</v>
      </c>
      <c r="C1026" s="3">
        <v>42806.0</v>
      </c>
      <c r="D1026" s="1">
        <v>10.0</v>
      </c>
      <c r="E1026" s="1">
        <v>4244.0</v>
      </c>
      <c r="F1026" s="1">
        <v>0.0</v>
      </c>
    </row>
    <row r="1027">
      <c r="A1027" s="1" t="s">
        <v>5</v>
      </c>
      <c r="B1027" s="3">
        <v>42807.0</v>
      </c>
      <c r="C1027" s="3">
        <v>42813.0</v>
      </c>
      <c r="D1027" s="1">
        <v>11.0</v>
      </c>
      <c r="E1027" s="1">
        <v>4156.0</v>
      </c>
      <c r="F1027" s="1">
        <v>0.0</v>
      </c>
    </row>
    <row r="1028">
      <c r="A1028" s="1" t="s">
        <v>5</v>
      </c>
      <c r="B1028" s="3">
        <v>42814.0</v>
      </c>
      <c r="C1028" s="3">
        <v>42820.0</v>
      </c>
      <c r="D1028" s="1">
        <v>12.0</v>
      </c>
      <c r="E1028" s="1">
        <v>4165.0</v>
      </c>
      <c r="F1028" s="1">
        <v>0.0</v>
      </c>
    </row>
    <row r="1029">
      <c r="A1029" s="1" t="s">
        <v>5</v>
      </c>
      <c r="B1029" s="3">
        <v>42821.0</v>
      </c>
      <c r="C1029" s="3">
        <v>42827.0</v>
      </c>
      <c r="D1029" s="1">
        <v>13.0</v>
      </c>
      <c r="E1029" s="1">
        <v>4539.0</v>
      </c>
      <c r="F1029" s="1">
        <v>0.0</v>
      </c>
    </row>
    <row r="1030">
      <c r="A1030" s="1" t="s">
        <v>5</v>
      </c>
      <c r="B1030" s="3">
        <v>42828.0</v>
      </c>
      <c r="C1030" s="3">
        <v>42834.0</v>
      </c>
      <c r="D1030" s="1">
        <v>14.0</v>
      </c>
      <c r="E1030" s="1">
        <v>4355.0</v>
      </c>
      <c r="F1030" s="1">
        <v>0.0</v>
      </c>
    </row>
    <row r="1031">
      <c r="A1031" s="1" t="s">
        <v>5</v>
      </c>
      <c r="B1031" s="3">
        <v>42835.0</v>
      </c>
      <c r="C1031" s="3">
        <v>42841.0</v>
      </c>
      <c r="D1031" s="1">
        <v>15.0</v>
      </c>
      <c r="E1031" s="1">
        <v>4183.0</v>
      </c>
      <c r="F1031" s="1">
        <v>0.0</v>
      </c>
    </row>
    <row r="1032">
      <c r="A1032" s="1" t="s">
        <v>5</v>
      </c>
      <c r="B1032" s="3">
        <v>42842.0</v>
      </c>
      <c r="C1032" s="3">
        <v>42848.0</v>
      </c>
      <c r="D1032" s="1">
        <v>16.0</v>
      </c>
      <c r="E1032" s="1">
        <v>4271.0</v>
      </c>
      <c r="F1032" s="1">
        <v>0.0</v>
      </c>
    </row>
    <row r="1033">
      <c r="A1033" s="1" t="s">
        <v>5</v>
      </c>
      <c r="B1033" s="3">
        <v>42849.0</v>
      </c>
      <c r="C1033" s="3">
        <v>42855.0</v>
      </c>
      <c r="D1033" s="1">
        <v>17.0</v>
      </c>
      <c r="E1033" s="1">
        <v>4302.0</v>
      </c>
      <c r="F1033" s="1">
        <v>0.0</v>
      </c>
    </row>
    <row r="1034">
      <c r="A1034" s="1" t="s">
        <v>5</v>
      </c>
      <c r="B1034" s="3">
        <v>42856.0</v>
      </c>
      <c r="C1034" s="3">
        <v>42862.0</v>
      </c>
      <c r="D1034" s="1">
        <v>18.0</v>
      </c>
      <c r="E1034" s="1">
        <v>4080.0</v>
      </c>
      <c r="F1034" s="1">
        <v>0.0</v>
      </c>
    </row>
    <row r="1035">
      <c r="A1035" s="1" t="s">
        <v>5</v>
      </c>
      <c r="B1035" s="3">
        <v>42863.0</v>
      </c>
      <c r="C1035" s="3">
        <v>42869.0</v>
      </c>
      <c r="D1035" s="1">
        <v>19.0</v>
      </c>
      <c r="E1035" s="1">
        <v>4196.0</v>
      </c>
      <c r="F1035" s="1">
        <v>0.0</v>
      </c>
    </row>
    <row r="1036">
      <c r="A1036" s="1" t="s">
        <v>5</v>
      </c>
      <c r="B1036" s="3">
        <v>42870.0</v>
      </c>
      <c r="C1036" s="3">
        <v>42876.0</v>
      </c>
      <c r="D1036" s="1">
        <v>20.0</v>
      </c>
      <c r="E1036" s="1">
        <v>4516.0</v>
      </c>
      <c r="F1036" s="1">
        <v>0.0</v>
      </c>
    </row>
    <row r="1037">
      <c r="A1037" s="1" t="s">
        <v>5</v>
      </c>
      <c r="B1037" s="3">
        <v>42877.0</v>
      </c>
      <c r="C1037" s="3">
        <v>42883.0</v>
      </c>
      <c r="D1037" s="1">
        <v>21.0</v>
      </c>
      <c r="E1037" s="1">
        <v>4370.0</v>
      </c>
      <c r="F1037" s="1">
        <v>0.0</v>
      </c>
    </row>
    <row r="1038">
      <c r="A1038" s="1" t="s">
        <v>5</v>
      </c>
      <c r="B1038" s="3">
        <v>42884.0</v>
      </c>
      <c r="C1038" s="3">
        <v>42890.0</v>
      </c>
      <c r="D1038" s="1">
        <v>22.0</v>
      </c>
      <c r="E1038" s="1">
        <v>4500.0</v>
      </c>
      <c r="F1038" s="1">
        <v>0.0</v>
      </c>
    </row>
    <row r="1039">
      <c r="A1039" s="1" t="s">
        <v>5</v>
      </c>
      <c r="B1039" s="3">
        <v>42891.0</v>
      </c>
      <c r="C1039" s="3">
        <v>42897.0</v>
      </c>
      <c r="D1039" s="1">
        <v>23.0</v>
      </c>
      <c r="E1039" s="1">
        <v>4342.0</v>
      </c>
      <c r="F1039" s="1">
        <v>0.0</v>
      </c>
    </row>
    <row r="1040">
      <c r="A1040" s="1" t="s">
        <v>5</v>
      </c>
      <c r="B1040" s="3">
        <v>42898.0</v>
      </c>
      <c r="C1040" s="3">
        <v>42904.0</v>
      </c>
      <c r="D1040" s="1">
        <v>24.0</v>
      </c>
      <c r="E1040" s="1">
        <v>4339.0</v>
      </c>
      <c r="F1040" s="1">
        <v>0.0</v>
      </c>
    </row>
    <row r="1041">
      <c r="A1041" s="1" t="s">
        <v>5</v>
      </c>
      <c r="B1041" s="3">
        <v>42905.0</v>
      </c>
      <c r="C1041" s="3">
        <v>42911.0</v>
      </c>
      <c r="D1041" s="1">
        <v>25.0</v>
      </c>
      <c r="E1041" s="1">
        <v>4171.0</v>
      </c>
      <c r="F1041" s="1">
        <v>0.0</v>
      </c>
    </row>
    <row r="1042">
      <c r="A1042" s="1" t="s">
        <v>5</v>
      </c>
      <c r="B1042" s="3">
        <v>42912.0</v>
      </c>
      <c r="C1042" s="3">
        <v>42918.0</v>
      </c>
      <c r="D1042" s="1">
        <v>26.0</v>
      </c>
      <c r="E1042" s="1">
        <v>4412.0</v>
      </c>
      <c r="F1042" s="1">
        <v>0.0</v>
      </c>
    </row>
    <row r="1043">
      <c r="A1043" s="1" t="s">
        <v>5</v>
      </c>
      <c r="B1043" s="3">
        <v>42919.0</v>
      </c>
      <c r="C1043" s="3">
        <v>42925.0</v>
      </c>
      <c r="D1043" s="1">
        <v>27.0</v>
      </c>
      <c r="E1043" s="1">
        <v>4418.0</v>
      </c>
      <c r="F1043" s="1">
        <v>0.0</v>
      </c>
    </row>
    <row r="1044">
      <c r="A1044" s="1" t="s">
        <v>5</v>
      </c>
      <c r="B1044" s="3">
        <v>42926.0</v>
      </c>
      <c r="C1044" s="3">
        <v>42932.0</v>
      </c>
      <c r="D1044" s="1">
        <v>28.0</v>
      </c>
      <c r="E1044" s="1">
        <v>4400.0</v>
      </c>
      <c r="F1044" s="1">
        <v>0.0</v>
      </c>
    </row>
    <row r="1045">
      <c r="A1045" s="1" t="s">
        <v>5</v>
      </c>
      <c r="B1045" s="3">
        <v>42933.0</v>
      </c>
      <c r="C1045" s="3">
        <v>42939.0</v>
      </c>
      <c r="D1045" s="1">
        <v>29.0</v>
      </c>
      <c r="E1045" s="1">
        <v>4339.0</v>
      </c>
      <c r="F1045" s="1">
        <v>0.0</v>
      </c>
    </row>
    <row r="1046">
      <c r="A1046" s="1" t="s">
        <v>5</v>
      </c>
      <c r="B1046" s="3">
        <v>42940.0</v>
      </c>
      <c r="C1046" s="3">
        <v>42946.0</v>
      </c>
      <c r="D1046" s="1">
        <v>30.0</v>
      </c>
      <c r="E1046" s="1">
        <v>4263.0</v>
      </c>
      <c r="F1046" s="1">
        <v>0.0</v>
      </c>
    </row>
    <row r="1047">
      <c r="A1047" s="1" t="s">
        <v>5</v>
      </c>
      <c r="B1047" s="3">
        <v>42947.0</v>
      </c>
      <c r="C1047" s="3">
        <v>42953.0</v>
      </c>
      <c r="D1047" s="1">
        <v>31.0</v>
      </c>
      <c r="E1047" s="1">
        <v>4390.0</v>
      </c>
      <c r="F1047" s="1">
        <v>0.0</v>
      </c>
    </row>
    <row r="1048">
      <c r="A1048" s="1" t="s">
        <v>5</v>
      </c>
      <c r="B1048" s="3">
        <v>42954.0</v>
      </c>
      <c r="C1048" s="3">
        <v>42960.0</v>
      </c>
      <c r="D1048" s="1">
        <v>32.0</v>
      </c>
      <c r="E1048" s="1">
        <v>4278.0</v>
      </c>
      <c r="F1048" s="1">
        <v>0.0</v>
      </c>
    </row>
    <row r="1049">
      <c r="A1049" s="1" t="s">
        <v>5</v>
      </c>
      <c r="B1049" s="3">
        <v>42961.0</v>
      </c>
      <c r="C1049" s="3">
        <v>42967.0</v>
      </c>
      <c r="D1049" s="1">
        <v>33.0</v>
      </c>
      <c r="E1049" s="1">
        <v>4389.0</v>
      </c>
      <c r="F1049" s="1">
        <v>0.0</v>
      </c>
    </row>
    <row r="1050">
      <c r="A1050" s="1" t="s">
        <v>5</v>
      </c>
      <c r="B1050" s="3">
        <v>42968.0</v>
      </c>
      <c r="C1050" s="3">
        <v>42974.0</v>
      </c>
      <c r="D1050" s="1">
        <v>34.0</v>
      </c>
      <c r="E1050" s="1">
        <v>4234.0</v>
      </c>
      <c r="F1050" s="1">
        <v>0.0</v>
      </c>
    </row>
    <row r="1051">
      <c r="A1051" s="1" t="s">
        <v>5</v>
      </c>
      <c r="B1051" s="3">
        <v>42975.0</v>
      </c>
      <c r="C1051" s="3">
        <v>42981.0</v>
      </c>
      <c r="D1051" s="1">
        <v>35.0</v>
      </c>
      <c r="E1051" s="1">
        <v>4253.0</v>
      </c>
      <c r="F1051" s="1">
        <v>0.0</v>
      </c>
    </row>
    <row r="1052">
      <c r="A1052" s="1" t="s">
        <v>5</v>
      </c>
      <c r="B1052" s="3">
        <v>42982.0</v>
      </c>
      <c r="C1052" s="3">
        <v>42988.0</v>
      </c>
      <c r="D1052" s="1">
        <v>36.0</v>
      </c>
      <c r="E1052" s="1">
        <v>4256.0</v>
      </c>
      <c r="F1052" s="1">
        <v>0.0</v>
      </c>
    </row>
    <row r="1053">
      <c r="A1053" s="1" t="s">
        <v>5</v>
      </c>
      <c r="B1053" s="3">
        <v>42989.0</v>
      </c>
      <c r="C1053" s="3">
        <v>42995.0</v>
      </c>
      <c r="D1053" s="1">
        <v>37.0</v>
      </c>
      <c r="E1053" s="1">
        <v>4373.0</v>
      </c>
      <c r="F1053" s="1">
        <v>0.0</v>
      </c>
    </row>
    <row r="1054">
      <c r="A1054" s="1" t="s">
        <v>5</v>
      </c>
      <c r="B1054" s="3">
        <v>42996.0</v>
      </c>
      <c r="C1054" s="3">
        <v>43002.0</v>
      </c>
      <c r="D1054" s="1">
        <v>38.0</v>
      </c>
      <c r="E1054" s="1">
        <v>4387.0</v>
      </c>
      <c r="F1054" s="1">
        <v>0.0</v>
      </c>
    </row>
    <row r="1055">
      <c r="A1055" s="1" t="s">
        <v>5</v>
      </c>
      <c r="B1055" s="3">
        <v>43003.0</v>
      </c>
      <c r="C1055" s="2">
        <v>43009.0</v>
      </c>
      <c r="D1055" s="1">
        <v>39.0</v>
      </c>
      <c r="E1055" s="1">
        <v>4290.0</v>
      </c>
      <c r="F1055" s="1">
        <v>0.0</v>
      </c>
    </row>
    <row r="1056">
      <c r="A1056" s="1" t="s">
        <v>5</v>
      </c>
      <c r="B1056" s="2">
        <v>43010.0</v>
      </c>
      <c r="C1056" s="2">
        <v>43016.0</v>
      </c>
      <c r="D1056" s="1">
        <v>40.0</v>
      </c>
      <c r="E1056" s="1">
        <v>4317.0</v>
      </c>
      <c r="F1056" s="1">
        <v>0.0</v>
      </c>
    </row>
    <row r="1057">
      <c r="A1057" s="1" t="s">
        <v>5</v>
      </c>
      <c r="B1057" s="2">
        <v>43017.0</v>
      </c>
      <c r="C1057" s="2">
        <v>43023.0</v>
      </c>
      <c r="D1057" s="1">
        <v>41.0</v>
      </c>
      <c r="E1057" s="1">
        <v>4402.0</v>
      </c>
      <c r="F1057" s="1">
        <v>0.0</v>
      </c>
    </row>
    <row r="1058">
      <c r="A1058" s="1" t="s">
        <v>5</v>
      </c>
      <c r="B1058" s="2">
        <v>43024.0</v>
      </c>
      <c r="C1058" s="2">
        <v>43030.0</v>
      </c>
      <c r="D1058" s="1">
        <v>42.0</v>
      </c>
      <c r="E1058" s="1">
        <v>4454.0</v>
      </c>
      <c r="F1058" s="1">
        <v>0.0</v>
      </c>
    </row>
    <row r="1059">
      <c r="A1059" s="1" t="s">
        <v>5</v>
      </c>
      <c r="B1059" s="2">
        <v>43031.0</v>
      </c>
      <c r="C1059" s="2">
        <v>43037.0</v>
      </c>
      <c r="D1059" s="1">
        <v>43.0</v>
      </c>
      <c r="E1059" s="1">
        <v>4177.0</v>
      </c>
      <c r="F1059" s="1">
        <v>0.0</v>
      </c>
    </row>
    <row r="1060">
      <c r="A1060" s="1" t="s">
        <v>5</v>
      </c>
      <c r="B1060" s="2">
        <v>43038.0</v>
      </c>
      <c r="C1060" s="2">
        <v>43044.0</v>
      </c>
      <c r="D1060" s="1">
        <v>44.0</v>
      </c>
      <c r="E1060" s="1">
        <v>4310.0</v>
      </c>
      <c r="F1060" s="1">
        <v>0.0</v>
      </c>
    </row>
    <row r="1061">
      <c r="A1061" s="1" t="s">
        <v>5</v>
      </c>
      <c r="B1061" s="2">
        <v>43045.0</v>
      </c>
      <c r="C1061" s="2">
        <v>43051.0</v>
      </c>
      <c r="D1061" s="1">
        <v>45.0</v>
      </c>
      <c r="E1061" s="1">
        <v>4440.0</v>
      </c>
      <c r="F1061" s="1">
        <v>0.0</v>
      </c>
    </row>
    <row r="1062">
      <c r="A1062" s="1" t="s">
        <v>5</v>
      </c>
      <c r="B1062" s="2">
        <v>43052.0</v>
      </c>
      <c r="C1062" s="2">
        <v>43058.0</v>
      </c>
      <c r="D1062" s="1">
        <v>46.0</v>
      </c>
      <c r="E1062" s="1">
        <v>4239.0</v>
      </c>
      <c r="F1062" s="1">
        <v>0.0</v>
      </c>
    </row>
    <row r="1063">
      <c r="A1063" s="1" t="s">
        <v>5</v>
      </c>
      <c r="B1063" s="2">
        <v>43059.0</v>
      </c>
      <c r="C1063" s="2">
        <v>43065.0</v>
      </c>
      <c r="D1063" s="1">
        <v>47.0</v>
      </c>
      <c r="E1063" s="1">
        <v>4306.0</v>
      </c>
      <c r="F1063" s="1">
        <v>0.0</v>
      </c>
    </row>
    <row r="1064">
      <c r="A1064" s="1" t="s">
        <v>5</v>
      </c>
      <c r="B1064" s="2">
        <v>43066.0</v>
      </c>
      <c r="C1064" s="2">
        <v>43072.0</v>
      </c>
      <c r="D1064" s="1">
        <v>48.0</v>
      </c>
      <c r="E1064" s="1">
        <v>4409.0</v>
      </c>
      <c r="F1064" s="1">
        <v>0.0</v>
      </c>
    </row>
    <row r="1065">
      <c r="A1065" s="1" t="s">
        <v>5</v>
      </c>
      <c r="B1065" s="2">
        <v>43073.0</v>
      </c>
      <c r="C1065" s="2">
        <v>43079.0</v>
      </c>
      <c r="D1065" s="1">
        <v>49.0</v>
      </c>
      <c r="E1065" s="1">
        <v>4575.0</v>
      </c>
      <c r="F1065" s="1">
        <v>0.0</v>
      </c>
    </row>
    <row r="1066">
      <c r="A1066" s="1" t="s">
        <v>5</v>
      </c>
      <c r="B1066" s="2">
        <v>43080.0</v>
      </c>
      <c r="C1066" s="2">
        <v>43086.0</v>
      </c>
      <c r="D1066" s="1">
        <v>50.0</v>
      </c>
      <c r="E1066" s="1">
        <v>4491.0</v>
      </c>
      <c r="F1066" s="1">
        <v>0.0</v>
      </c>
    </row>
    <row r="1067">
      <c r="A1067" s="1" t="s">
        <v>5</v>
      </c>
      <c r="B1067" s="2">
        <v>43087.0</v>
      </c>
      <c r="C1067" s="2">
        <v>43093.0</v>
      </c>
      <c r="D1067" s="1">
        <v>51.0</v>
      </c>
      <c r="E1067" s="1">
        <v>4562.0</v>
      </c>
      <c r="F1067" s="1">
        <v>0.0</v>
      </c>
    </row>
    <row r="1068">
      <c r="A1068" s="1" t="s">
        <v>5</v>
      </c>
      <c r="B1068" s="2">
        <v>43094.0</v>
      </c>
      <c r="C1068" s="2">
        <v>43100.0</v>
      </c>
      <c r="D1068" s="1">
        <v>52.0</v>
      </c>
      <c r="E1068" s="1">
        <v>4589.0</v>
      </c>
      <c r="F1068" s="1">
        <v>0.0</v>
      </c>
    </row>
    <row r="1069">
      <c r="A1069" s="1" t="s">
        <v>5</v>
      </c>
      <c r="B1069" s="3">
        <v>43101.0</v>
      </c>
      <c r="C1069" s="3">
        <v>43107.0</v>
      </c>
      <c r="D1069" s="1">
        <v>1.0</v>
      </c>
      <c r="E1069" s="1">
        <v>4721.0</v>
      </c>
      <c r="F1069" s="1">
        <v>0.0</v>
      </c>
    </row>
    <row r="1070">
      <c r="A1070" s="1" t="s">
        <v>5</v>
      </c>
      <c r="B1070" s="3">
        <v>43108.0</v>
      </c>
      <c r="C1070" s="3">
        <v>43114.0</v>
      </c>
      <c r="D1070" s="1">
        <v>2.0</v>
      </c>
      <c r="E1070" s="1">
        <v>4465.0</v>
      </c>
      <c r="F1070" s="1">
        <v>0.0</v>
      </c>
    </row>
    <row r="1071">
      <c r="A1071" s="1" t="s">
        <v>5</v>
      </c>
      <c r="B1071" s="3">
        <v>43115.0</v>
      </c>
      <c r="C1071" s="3">
        <v>43121.0</v>
      </c>
      <c r="D1071" s="1">
        <v>3.0</v>
      </c>
      <c r="E1071" s="1">
        <v>4631.0</v>
      </c>
      <c r="F1071" s="1">
        <v>0.0</v>
      </c>
    </row>
    <row r="1072">
      <c r="A1072" s="1" t="s">
        <v>5</v>
      </c>
      <c r="B1072" s="3">
        <v>43122.0</v>
      </c>
      <c r="C1072" s="3">
        <v>43128.0</v>
      </c>
      <c r="D1072" s="1">
        <v>4.0</v>
      </c>
      <c r="E1072" s="1">
        <v>4644.0</v>
      </c>
      <c r="F1072" s="1">
        <v>0.0</v>
      </c>
    </row>
    <row r="1073">
      <c r="A1073" s="1" t="s">
        <v>5</v>
      </c>
      <c r="B1073" s="3">
        <v>43129.0</v>
      </c>
      <c r="C1073" s="3">
        <v>43135.0</v>
      </c>
      <c r="D1073" s="1">
        <v>5.0</v>
      </c>
      <c r="E1073" s="1">
        <v>4485.0</v>
      </c>
      <c r="F1073" s="1">
        <v>0.0</v>
      </c>
    </row>
    <row r="1074">
      <c r="A1074" s="1" t="s">
        <v>5</v>
      </c>
      <c r="B1074" s="3">
        <v>43136.0</v>
      </c>
      <c r="C1074" s="3">
        <v>43142.0</v>
      </c>
      <c r="D1074" s="1">
        <v>6.0</v>
      </c>
      <c r="E1074" s="1">
        <v>4407.0</v>
      </c>
      <c r="F1074" s="1">
        <v>0.0</v>
      </c>
    </row>
    <row r="1075">
      <c r="A1075" s="1" t="s">
        <v>5</v>
      </c>
      <c r="B1075" s="3">
        <v>43143.0</v>
      </c>
      <c r="C1075" s="3">
        <v>43149.0</v>
      </c>
      <c r="D1075" s="1">
        <v>7.0</v>
      </c>
      <c r="E1075" s="1">
        <v>4332.0</v>
      </c>
      <c r="F1075" s="1">
        <v>0.0</v>
      </c>
    </row>
    <row r="1076">
      <c r="A1076" s="1" t="s">
        <v>5</v>
      </c>
      <c r="B1076" s="3">
        <v>43150.0</v>
      </c>
      <c r="C1076" s="3">
        <v>43156.0</v>
      </c>
      <c r="D1076" s="1">
        <v>8.0</v>
      </c>
      <c r="E1076" s="1">
        <v>4254.0</v>
      </c>
      <c r="F1076" s="1">
        <v>0.0</v>
      </c>
    </row>
    <row r="1077">
      <c r="A1077" s="1" t="s">
        <v>5</v>
      </c>
      <c r="B1077" s="3">
        <v>43157.0</v>
      </c>
      <c r="C1077" s="3">
        <v>43163.0</v>
      </c>
      <c r="D1077" s="1">
        <v>9.0</v>
      </c>
      <c r="E1077" s="1">
        <v>4378.0</v>
      </c>
      <c r="F1077" s="1">
        <v>0.0</v>
      </c>
    </row>
    <row r="1078">
      <c r="A1078" s="1" t="s">
        <v>5</v>
      </c>
      <c r="B1078" s="3">
        <v>43164.0</v>
      </c>
      <c r="C1078" s="3">
        <v>43170.0</v>
      </c>
      <c r="D1078" s="1">
        <v>10.0</v>
      </c>
      <c r="E1078" s="1">
        <v>4505.0</v>
      </c>
      <c r="F1078" s="1">
        <v>0.0</v>
      </c>
    </row>
    <row r="1079">
      <c r="A1079" s="1" t="s">
        <v>5</v>
      </c>
      <c r="B1079" s="3">
        <v>43171.0</v>
      </c>
      <c r="C1079" s="3">
        <v>43177.0</v>
      </c>
      <c r="D1079" s="1">
        <v>11.0</v>
      </c>
      <c r="E1079" s="1">
        <v>4597.0</v>
      </c>
      <c r="F1079" s="1">
        <v>0.0</v>
      </c>
    </row>
    <row r="1080">
      <c r="A1080" s="1" t="s">
        <v>5</v>
      </c>
      <c r="B1080" s="3">
        <v>43178.0</v>
      </c>
      <c r="C1080" s="3">
        <v>43184.0</v>
      </c>
      <c r="D1080" s="1">
        <v>12.0</v>
      </c>
      <c r="E1080" s="1">
        <v>4453.0</v>
      </c>
      <c r="F1080" s="1">
        <v>0.0</v>
      </c>
    </row>
    <row r="1081">
      <c r="A1081" s="1" t="s">
        <v>5</v>
      </c>
      <c r="B1081" s="3">
        <v>43185.0</v>
      </c>
      <c r="C1081" s="3">
        <v>43191.0</v>
      </c>
      <c r="D1081" s="1">
        <v>13.0</v>
      </c>
      <c r="E1081" s="1">
        <v>4248.0</v>
      </c>
      <c r="F1081" s="1">
        <v>0.0</v>
      </c>
    </row>
    <row r="1082">
      <c r="A1082" s="1" t="s">
        <v>5</v>
      </c>
      <c r="B1082" s="3">
        <v>43192.0</v>
      </c>
      <c r="C1082" s="3">
        <v>43198.0</v>
      </c>
      <c r="D1082" s="1">
        <v>14.0</v>
      </c>
      <c r="E1082" s="1">
        <v>4382.0</v>
      </c>
      <c r="F1082" s="1">
        <v>0.0</v>
      </c>
    </row>
    <row r="1083">
      <c r="A1083" s="1" t="s">
        <v>5</v>
      </c>
      <c r="B1083" s="3">
        <v>43199.0</v>
      </c>
      <c r="C1083" s="3">
        <v>43205.0</v>
      </c>
      <c r="D1083" s="1">
        <v>15.0</v>
      </c>
      <c r="E1083" s="1">
        <v>4332.0</v>
      </c>
      <c r="F1083" s="1">
        <v>0.0</v>
      </c>
    </row>
    <row r="1084">
      <c r="A1084" s="1" t="s">
        <v>5</v>
      </c>
      <c r="B1084" s="3">
        <v>43206.0</v>
      </c>
      <c r="C1084" s="3">
        <v>43212.0</v>
      </c>
      <c r="D1084" s="1">
        <v>16.0</v>
      </c>
      <c r="E1084" s="1">
        <v>4349.0</v>
      </c>
      <c r="F1084" s="1">
        <v>0.0</v>
      </c>
    </row>
    <row r="1085">
      <c r="A1085" s="1" t="s">
        <v>5</v>
      </c>
      <c r="B1085" s="3">
        <v>43213.0</v>
      </c>
      <c r="C1085" s="3">
        <v>43219.0</v>
      </c>
      <c r="D1085" s="1">
        <v>17.0</v>
      </c>
      <c r="E1085" s="1">
        <v>4409.0</v>
      </c>
      <c r="F1085" s="1">
        <v>0.0</v>
      </c>
    </row>
    <row r="1086">
      <c r="A1086" s="1" t="s">
        <v>5</v>
      </c>
      <c r="B1086" s="3">
        <v>43220.0</v>
      </c>
      <c r="C1086" s="3">
        <v>43226.0</v>
      </c>
      <c r="D1086" s="1">
        <v>18.0</v>
      </c>
      <c r="E1086" s="1">
        <v>4538.0</v>
      </c>
      <c r="F1086" s="1">
        <v>0.0</v>
      </c>
    </row>
    <row r="1087">
      <c r="A1087" s="1" t="s">
        <v>5</v>
      </c>
      <c r="B1087" s="3">
        <v>43227.0</v>
      </c>
      <c r="C1087" s="3">
        <v>43233.0</v>
      </c>
      <c r="D1087" s="1">
        <v>19.0</v>
      </c>
      <c r="E1087" s="1">
        <v>4460.0</v>
      </c>
      <c r="F1087" s="1">
        <v>0.0</v>
      </c>
    </row>
    <row r="1088">
      <c r="A1088" s="1" t="s">
        <v>5</v>
      </c>
      <c r="B1088" s="3">
        <v>43234.0</v>
      </c>
      <c r="C1088" s="3">
        <v>43240.0</v>
      </c>
      <c r="D1088" s="1">
        <v>20.0</v>
      </c>
      <c r="E1088" s="1">
        <v>4721.0</v>
      </c>
      <c r="F1088" s="1">
        <v>0.0</v>
      </c>
    </row>
    <row r="1089">
      <c r="A1089" s="1" t="s">
        <v>5</v>
      </c>
      <c r="B1089" s="3">
        <v>43241.0</v>
      </c>
      <c r="C1089" s="3">
        <v>43247.0</v>
      </c>
      <c r="D1089" s="1">
        <v>21.0</v>
      </c>
      <c r="E1089" s="1">
        <v>4654.0</v>
      </c>
      <c r="F1089" s="1">
        <v>0.0</v>
      </c>
    </row>
    <row r="1090">
      <c r="A1090" s="1" t="s">
        <v>5</v>
      </c>
      <c r="B1090" s="3">
        <v>43248.0</v>
      </c>
      <c r="C1090" s="3">
        <v>43254.0</v>
      </c>
      <c r="D1090" s="1">
        <v>22.0</v>
      </c>
      <c r="E1090" s="1">
        <v>4749.0</v>
      </c>
      <c r="F1090" s="1">
        <v>0.0</v>
      </c>
    </row>
    <row r="1091">
      <c r="A1091" s="1" t="s">
        <v>5</v>
      </c>
      <c r="B1091" s="3">
        <v>43255.0</v>
      </c>
      <c r="C1091" s="3">
        <v>43261.0</v>
      </c>
      <c r="D1091" s="1">
        <v>23.0</v>
      </c>
      <c r="E1091" s="1">
        <v>4848.0</v>
      </c>
      <c r="F1091" s="1">
        <v>0.0</v>
      </c>
    </row>
    <row r="1092">
      <c r="A1092" s="1" t="s">
        <v>5</v>
      </c>
      <c r="B1092" s="3">
        <v>43262.0</v>
      </c>
      <c r="C1092" s="3">
        <v>43268.0</v>
      </c>
      <c r="D1092" s="1">
        <v>24.0</v>
      </c>
      <c r="E1092" s="1">
        <v>4803.0</v>
      </c>
      <c r="F1092" s="1">
        <v>0.0</v>
      </c>
    </row>
    <row r="1093">
      <c r="A1093" s="1" t="s">
        <v>5</v>
      </c>
      <c r="B1093" s="3">
        <v>43269.0</v>
      </c>
      <c r="C1093" s="3">
        <v>43275.0</v>
      </c>
      <c r="D1093" s="1">
        <v>25.0</v>
      </c>
      <c r="E1093" s="1">
        <v>4851.0</v>
      </c>
      <c r="F1093" s="1">
        <v>0.0</v>
      </c>
    </row>
    <row r="1094">
      <c r="A1094" s="1" t="s">
        <v>5</v>
      </c>
      <c r="B1094" s="3">
        <v>43276.0</v>
      </c>
      <c r="C1094" s="3">
        <v>43282.0</v>
      </c>
      <c r="D1094" s="1">
        <v>26.0</v>
      </c>
      <c r="E1094" s="1">
        <v>4868.0</v>
      </c>
      <c r="F1094" s="1">
        <v>0.0</v>
      </c>
    </row>
    <row r="1095">
      <c r="A1095" s="1" t="s">
        <v>5</v>
      </c>
      <c r="B1095" s="3">
        <v>43283.0</v>
      </c>
      <c r="C1095" s="3">
        <v>43289.0</v>
      </c>
      <c r="D1095" s="1">
        <v>27.0</v>
      </c>
      <c r="E1095" s="1">
        <v>4845.0</v>
      </c>
      <c r="F1095" s="1">
        <v>0.0</v>
      </c>
    </row>
    <row r="1096">
      <c r="A1096" s="1" t="s">
        <v>5</v>
      </c>
      <c r="B1096" s="3">
        <v>43290.0</v>
      </c>
      <c r="C1096" s="3">
        <v>43296.0</v>
      </c>
      <c r="D1096" s="1">
        <v>28.0</v>
      </c>
      <c r="E1096" s="1">
        <v>4782.0</v>
      </c>
      <c r="F1096" s="1">
        <v>0.0</v>
      </c>
    </row>
    <row r="1097">
      <c r="A1097" s="1" t="s">
        <v>5</v>
      </c>
      <c r="B1097" s="3">
        <v>43297.0</v>
      </c>
      <c r="C1097" s="3">
        <v>43303.0</v>
      </c>
      <c r="D1097" s="1">
        <v>29.0</v>
      </c>
      <c r="E1097" s="1">
        <v>4740.0</v>
      </c>
      <c r="F1097" s="1">
        <v>0.0</v>
      </c>
    </row>
    <row r="1098">
      <c r="A1098" s="1" t="s">
        <v>5</v>
      </c>
      <c r="B1098" s="3">
        <v>43304.0</v>
      </c>
      <c r="C1098" s="3">
        <v>43310.0</v>
      </c>
      <c r="D1098" s="1">
        <v>30.0</v>
      </c>
      <c r="E1098" s="1">
        <v>4518.0</v>
      </c>
      <c r="F1098" s="1">
        <v>0.0</v>
      </c>
    </row>
    <row r="1099">
      <c r="A1099" s="1" t="s">
        <v>5</v>
      </c>
      <c r="B1099" s="3">
        <v>43311.0</v>
      </c>
      <c r="C1099" s="3">
        <v>43317.0</v>
      </c>
      <c r="D1099" s="1">
        <v>31.0</v>
      </c>
      <c r="E1099" s="1">
        <v>4459.0</v>
      </c>
      <c r="F1099" s="1">
        <v>0.0</v>
      </c>
    </row>
    <row r="1100">
      <c r="A1100" s="1" t="s">
        <v>5</v>
      </c>
      <c r="B1100" s="3">
        <v>43318.0</v>
      </c>
      <c r="C1100" s="3">
        <v>43324.0</v>
      </c>
      <c r="D1100" s="1">
        <v>32.0</v>
      </c>
      <c r="E1100" s="1">
        <v>4607.0</v>
      </c>
      <c r="F1100" s="1">
        <v>0.0</v>
      </c>
    </row>
    <row r="1101">
      <c r="A1101" s="1" t="s">
        <v>5</v>
      </c>
      <c r="B1101" s="3">
        <v>43325.0</v>
      </c>
      <c r="C1101" s="3">
        <v>43331.0</v>
      </c>
      <c r="D1101" s="1">
        <v>33.0</v>
      </c>
      <c r="E1101" s="1">
        <v>4637.0</v>
      </c>
      <c r="F1101" s="1">
        <v>0.0</v>
      </c>
    </row>
    <row r="1102">
      <c r="A1102" s="1" t="s">
        <v>5</v>
      </c>
      <c r="B1102" s="3">
        <v>43332.0</v>
      </c>
      <c r="C1102" s="3">
        <v>43338.0</v>
      </c>
      <c r="D1102" s="1">
        <v>34.0</v>
      </c>
      <c r="E1102" s="1">
        <v>4498.0</v>
      </c>
      <c r="F1102" s="1">
        <v>0.0</v>
      </c>
    </row>
    <row r="1103">
      <c r="A1103" s="1" t="s">
        <v>5</v>
      </c>
      <c r="B1103" s="3">
        <v>43339.0</v>
      </c>
      <c r="C1103" s="3">
        <v>43345.0</v>
      </c>
      <c r="D1103" s="1">
        <v>35.0</v>
      </c>
      <c r="E1103" s="1">
        <v>4462.0</v>
      </c>
      <c r="F1103" s="1">
        <v>0.0</v>
      </c>
    </row>
    <row r="1104">
      <c r="A1104" s="1" t="s">
        <v>5</v>
      </c>
      <c r="B1104" s="3">
        <v>43346.0</v>
      </c>
      <c r="C1104" s="3">
        <v>43352.0</v>
      </c>
      <c r="D1104" s="1">
        <v>36.0</v>
      </c>
      <c r="E1104" s="1">
        <v>4452.0</v>
      </c>
      <c r="F1104" s="1">
        <v>0.0</v>
      </c>
    </row>
    <row r="1105">
      <c r="A1105" s="1" t="s">
        <v>5</v>
      </c>
      <c r="B1105" s="3">
        <v>43353.0</v>
      </c>
      <c r="C1105" s="3">
        <v>43359.0</v>
      </c>
      <c r="D1105" s="1">
        <v>37.0</v>
      </c>
      <c r="E1105" s="1">
        <v>4415.0</v>
      </c>
      <c r="F1105" s="1">
        <v>0.0</v>
      </c>
    </row>
    <row r="1106">
      <c r="A1106" s="1" t="s">
        <v>5</v>
      </c>
      <c r="B1106" s="3">
        <v>43360.0</v>
      </c>
      <c r="C1106" s="3">
        <v>43366.0</v>
      </c>
      <c r="D1106" s="1">
        <v>38.0</v>
      </c>
      <c r="E1106" s="1">
        <v>4437.0</v>
      </c>
      <c r="F1106" s="1">
        <v>0.0</v>
      </c>
    </row>
    <row r="1107">
      <c r="A1107" s="1" t="s">
        <v>5</v>
      </c>
      <c r="B1107" s="3">
        <v>43367.0</v>
      </c>
      <c r="C1107" s="3">
        <v>43373.0</v>
      </c>
      <c r="D1107" s="1">
        <v>39.0</v>
      </c>
      <c r="E1107" s="1">
        <v>4324.0</v>
      </c>
      <c r="F1107" s="1">
        <v>0.0</v>
      </c>
    </row>
    <row r="1108">
      <c r="A1108" s="1" t="s">
        <v>5</v>
      </c>
      <c r="B1108" s="2">
        <v>43374.0</v>
      </c>
      <c r="C1108" s="2">
        <v>43380.0</v>
      </c>
      <c r="D1108" s="1">
        <v>40.0</v>
      </c>
      <c r="E1108" s="1">
        <v>4293.0</v>
      </c>
      <c r="F1108" s="1">
        <v>0.0</v>
      </c>
    </row>
    <row r="1109">
      <c r="A1109" s="1" t="s">
        <v>5</v>
      </c>
      <c r="B1109" s="2">
        <v>43381.0</v>
      </c>
      <c r="C1109" s="2">
        <v>43387.0</v>
      </c>
      <c r="D1109" s="1">
        <v>41.0</v>
      </c>
      <c r="E1109" s="1">
        <v>4363.0</v>
      </c>
      <c r="F1109" s="1">
        <v>0.0</v>
      </c>
    </row>
    <row r="1110">
      <c r="A1110" s="1" t="s">
        <v>5</v>
      </c>
      <c r="B1110" s="2">
        <v>43388.0</v>
      </c>
      <c r="C1110" s="2">
        <v>43394.0</v>
      </c>
      <c r="D1110" s="1">
        <v>42.0</v>
      </c>
      <c r="E1110" s="1">
        <v>4345.0</v>
      </c>
      <c r="F1110" s="1">
        <v>0.0</v>
      </c>
    </row>
    <row r="1111">
      <c r="A1111" s="1" t="s">
        <v>5</v>
      </c>
      <c r="B1111" s="2">
        <v>43395.0</v>
      </c>
      <c r="C1111" s="2">
        <v>43401.0</v>
      </c>
      <c r="D1111" s="1">
        <v>43.0</v>
      </c>
      <c r="E1111" s="1">
        <v>4287.0</v>
      </c>
      <c r="F1111" s="1">
        <v>0.0</v>
      </c>
    </row>
    <row r="1112">
      <c r="A1112" s="1" t="s">
        <v>5</v>
      </c>
      <c r="B1112" s="2">
        <v>43402.0</v>
      </c>
      <c r="C1112" s="2">
        <v>43408.0</v>
      </c>
      <c r="D1112" s="1">
        <v>44.0</v>
      </c>
      <c r="E1112" s="1">
        <v>4421.0</v>
      </c>
      <c r="F1112" s="1">
        <v>0.0</v>
      </c>
    </row>
    <row r="1113">
      <c r="A1113" s="1" t="s">
        <v>5</v>
      </c>
      <c r="B1113" s="2">
        <v>43409.0</v>
      </c>
      <c r="C1113" s="2">
        <v>43415.0</v>
      </c>
      <c r="D1113" s="1">
        <v>45.0</v>
      </c>
      <c r="E1113" s="1">
        <v>4366.0</v>
      </c>
      <c r="F1113" s="1">
        <v>0.0</v>
      </c>
    </row>
    <row r="1114">
      <c r="A1114" s="1" t="s">
        <v>5</v>
      </c>
      <c r="B1114" s="2">
        <v>43416.0</v>
      </c>
      <c r="C1114" s="2">
        <v>43422.0</v>
      </c>
      <c r="D1114" s="1">
        <v>46.0</v>
      </c>
      <c r="E1114" s="1">
        <v>4519.0</v>
      </c>
      <c r="F1114" s="1">
        <v>0.0</v>
      </c>
    </row>
    <row r="1115">
      <c r="A1115" s="1" t="s">
        <v>5</v>
      </c>
      <c r="B1115" s="2">
        <v>43423.0</v>
      </c>
      <c r="C1115" s="2">
        <v>43429.0</v>
      </c>
      <c r="D1115" s="1">
        <v>47.0</v>
      </c>
      <c r="E1115" s="1">
        <v>4448.0</v>
      </c>
      <c r="F1115" s="1">
        <v>0.0</v>
      </c>
    </row>
    <row r="1116">
      <c r="A1116" s="1" t="s">
        <v>5</v>
      </c>
      <c r="B1116" s="2">
        <v>43430.0</v>
      </c>
      <c r="C1116" s="2">
        <v>43436.0</v>
      </c>
      <c r="D1116" s="1">
        <v>48.0</v>
      </c>
      <c r="E1116" s="1">
        <v>4636.0</v>
      </c>
      <c r="F1116" s="1">
        <v>0.0</v>
      </c>
    </row>
    <row r="1117">
      <c r="A1117" s="1" t="s">
        <v>5</v>
      </c>
      <c r="B1117" s="2">
        <v>43437.0</v>
      </c>
      <c r="C1117" s="2">
        <v>43443.0</v>
      </c>
      <c r="D1117" s="1">
        <v>49.0</v>
      </c>
      <c r="E1117" s="1">
        <v>4756.0</v>
      </c>
      <c r="F1117" s="1">
        <v>0.0</v>
      </c>
    </row>
    <row r="1118">
      <c r="A1118" s="1" t="s">
        <v>5</v>
      </c>
      <c r="B1118" s="2">
        <v>43444.0</v>
      </c>
      <c r="C1118" s="2">
        <v>43450.0</v>
      </c>
      <c r="D1118" s="1">
        <v>50.0</v>
      </c>
      <c r="E1118" s="1">
        <v>4763.0</v>
      </c>
      <c r="F1118" s="1">
        <v>0.0</v>
      </c>
    </row>
    <row r="1119">
      <c r="A1119" s="1" t="s">
        <v>5</v>
      </c>
      <c r="B1119" s="2">
        <v>43451.0</v>
      </c>
      <c r="C1119" s="2">
        <v>43457.0</v>
      </c>
      <c r="D1119" s="1">
        <v>51.0</v>
      </c>
      <c r="E1119" s="1">
        <v>4787.0</v>
      </c>
      <c r="F1119" s="1">
        <v>0.0</v>
      </c>
    </row>
    <row r="1120">
      <c r="A1120" s="1" t="s">
        <v>5</v>
      </c>
      <c r="B1120" s="2">
        <v>43458.0</v>
      </c>
      <c r="C1120" s="2">
        <v>43464.0</v>
      </c>
      <c r="D1120" s="1">
        <v>52.0</v>
      </c>
      <c r="E1120" s="1">
        <v>4984.0</v>
      </c>
      <c r="F1120" s="1">
        <v>0.0</v>
      </c>
    </row>
    <row r="1121">
      <c r="A1121" s="1" t="s">
        <v>5</v>
      </c>
      <c r="B1121" s="2">
        <v>43465.0</v>
      </c>
      <c r="C1121" s="3">
        <v>43471.0</v>
      </c>
      <c r="D1121" s="1">
        <v>1.0</v>
      </c>
      <c r="E1121" s="1">
        <v>5348.0</v>
      </c>
      <c r="F1121" s="1">
        <v>0.0</v>
      </c>
    </row>
    <row r="1122">
      <c r="A1122" s="1" t="s">
        <v>5</v>
      </c>
      <c r="B1122" s="3">
        <v>43472.0</v>
      </c>
      <c r="C1122" s="3">
        <v>43478.0</v>
      </c>
      <c r="D1122" s="1">
        <v>2.0</v>
      </c>
      <c r="E1122" s="1">
        <v>4713.0</v>
      </c>
      <c r="F1122" s="1">
        <v>0.0</v>
      </c>
    </row>
    <row r="1123">
      <c r="A1123" s="1" t="s">
        <v>5</v>
      </c>
      <c r="B1123" s="3">
        <v>43479.0</v>
      </c>
      <c r="C1123" s="3">
        <v>43485.0</v>
      </c>
      <c r="D1123" s="1">
        <v>3.0</v>
      </c>
      <c r="E1123" s="1">
        <v>4842.0</v>
      </c>
      <c r="F1123" s="1">
        <v>0.0</v>
      </c>
    </row>
    <row r="1124">
      <c r="A1124" s="1" t="s">
        <v>5</v>
      </c>
      <c r="B1124" s="3">
        <v>43486.0</v>
      </c>
      <c r="C1124" s="3">
        <v>43492.0</v>
      </c>
      <c r="D1124" s="1">
        <v>4.0</v>
      </c>
      <c r="E1124" s="1">
        <v>4606.0</v>
      </c>
      <c r="F1124" s="1">
        <v>0.0</v>
      </c>
    </row>
    <row r="1125">
      <c r="A1125" s="1" t="s">
        <v>5</v>
      </c>
      <c r="B1125" s="3">
        <v>43493.0</v>
      </c>
      <c r="C1125" s="3">
        <v>43499.0</v>
      </c>
      <c r="D1125" s="1">
        <v>5.0</v>
      </c>
      <c r="E1125" s="1">
        <v>4562.0</v>
      </c>
      <c r="F1125" s="1">
        <v>0.0</v>
      </c>
    </row>
    <row r="1126">
      <c r="A1126" s="1" t="s">
        <v>5</v>
      </c>
      <c r="B1126" s="3">
        <v>43500.0</v>
      </c>
      <c r="C1126" s="3">
        <v>43506.0</v>
      </c>
      <c r="D1126" s="1">
        <v>6.0</v>
      </c>
      <c r="E1126" s="1">
        <v>4497.0</v>
      </c>
      <c r="F1126" s="1">
        <v>0.0</v>
      </c>
    </row>
    <row r="1127">
      <c r="A1127" s="1" t="s">
        <v>5</v>
      </c>
      <c r="B1127" s="3">
        <v>43507.0</v>
      </c>
      <c r="C1127" s="3">
        <v>43513.0</v>
      </c>
      <c r="D1127" s="1">
        <v>7.0</v>
      </c>
      <c r="E1127" s="1">
        <v>4484.0</v>
      </c>
      <c r="F1127" s="1">
        <v>0.0</v>
      </c>
    </row>
    <row r="1128">
      <c r="A1128" s="1" t="s">
        <v>5</v>
      </c>
      <c r="B1128" s="3">
        <v>43514.0</v>
      </c>
      <c r="C1128" s="3">
        <v>43520.0</v>
      </c>
      <c r="D1128" s="1">
        <v>8.0</v>
      </c>
      <c r="E1128" s="1">
        <v>4494.0</v>
      </c>
      <c r="F1128" s="1">
        <v>0.0</v>
      </c>
    </row>
    <row r="1129">
      <c r="A1129" s="1" t="s">
        <v>5</v>
      </c>
      <c r="B1129" s="3">
        <v>43521.0</v>
      </c>
      <c r="C1129" s="3">
        <v>43527.0</v>
      </c>
      <c r="D1129" s="1">
        <v>9.0</v>
      </c>
      <c r="E1129" s="1">
        <v>4474.0</v>
      </c>
      <c r="F1129" s="1">
        <v>0.0</v>
      </c>
    </row>
    <row r="1130">
      <c r="A1130" s="1" t="s">
        <v>5</v>
      </c>
      <c r="B1130" s="3">
        <v>43528.0</v>
      </c>
      <c r="C1130" s="3">
        <v>43534.0</v>
      </c>
      <c r="D1130" s="1">
        <v>10.0</v>
      </c>
      <c r="E1130" s="1">
        <v>4440.0</v>
      </c>
      <c r="F1130" s="1">
        <v>0.0</v>
      </c>
    </row>
    <row r="1131">
      <c r="A1131" s="1" t="s">
        <v>5</v>
      </c>
      <c r="B1131" s="3">
        <v>43535.0</v>
      </c>
      <c r="C1131" s="3">
        <v>43541.0</v>
      </c>
      <c r="D1131" s="1">
        <v>11.0</v>
      </c>
      <c r="E1131" s="1">
        <v>4493.0</v>
      </c>
      <c r="F1131" s="1">
        <v>0.0</v>
      </c>
    </row>
    <row r="1132">
      <c r="A1132" s="1" t="s">
        <v>5</v>
      </c>
      <c r="B1132" s="3">
        <v>43542.0</v>
      </c>
      <c r="C1132" s="3">
        <v>43548.0</v>
      </c>
      <c r="D1132" s="1">
        <v>12.0</v>
      </c>
      <c r="E1132" s="1">
        <v>4520.0</v>
      </c>
      <c r="F1132" s="1">
        <v>0.0</v>
      </c>
    </row>
    <row r="1133">
      <c r="A1133" s="1" t="s">
        <v>5</v>
      </c>
      <c r="B1133" s="3">
        <v>43549.0</v>
      </c>
      <c r="C1133" s="3">
        <v>43555.0</v>
      </c>
      <c r="D1133" s="1">
        <v>13.0</v>
      </c>
      <c r="E1133" s="1">
        <v>4511.0</v>
      </c>
      <c r="F1133" s="1">
        <v>0.0</v>
      </c>
    </row>
    <row r="1134">
      <c r="A1134" s="1" t="s">
        <v>5</v>
      </c>
      <c r="B1134" s="3">
        <v>43556.0</v>
      </c>
      <c r="C1134" s="3">
        <v>43562.0</v>
      </c>
      <c r="D1134" s="1">
        <v>14.0</v>
      </c>
      <c r="E1134" s="1">
        <v>4474.0</v>
      </c>
      <c r="F1134" s="1">
        <v>0.0</v>
      </c>
    </row>
    <row r="1135">
      <c r="A1135" s="1" t="s">
        <v>5</v>
      </c>
      <c r="B1135" s="3">
        <v>43563.0</v>
      </c>
      <c r="C1135" s="3">
        <v>43569.0</v>
      </c>
      <c r="D1135" s="1">
        <v>15.0</v>
      </c>
      <c r="E1135" s="1">
        <v>4548.0</v>
      </c>
      <c r="F1135" s="1">
        <v>0.0</v>
      </c>
    </row>
    <row r="1136">
      <c r="A1136" s="1" t="s">
        <v>5</v>
      </c>
      <c r="B1136" s="3">
        <v>43570.0</v>
      </c>
      <c r="C1136" s="3">
        <v>43576.0</v>
      </c>
      <c r="D1136" s="1">
        <v>16.0</v>
      </c>
      <c r="E1136" s="1">
        <v>4420.0</v>
      </c>
      <c r="F1136" s="1">
        <v>0.0</v>
      </c>
    </row>
    <row r="1137">
      <c r="A1137" s="1" t="s">
        <v>5</v>
      </c>
      <c r="B1137" s="3">
        <v>43577.0</v>
      </c>
      <c r="C1137" s="3">
        <v>43583.0</v>
      </c>
      <c r="D1137" s="1">
        <v>17.0</v>
      </c>
      <c r="E1137" s="1">
        <v>4452.0</v>
      </c>
      <c r="F1137" s="1">
        <v>0.0</v>
      </c>
    </row>
    <row r="1138">
      <c r="A1138" s="1" t="s">
        <v>5</v>
      </c>
      <c r="B1138" s="3">
        <v>43584.0</v>
      </c>
      <c r="C1138" s="3">
        <v>43590.0</v>
      </c>
      <c r="D1138" s="1">
        <v>18.0</v>
      </c>
      <c r="E1138" s="1">
        <v>4677.0</v>
      </c>
      <c r="F1138" s="1">
        <v>0.0</v>
      </c>
    </row>
    <row r="1139">
      <c r="A1139" s="1" t="s">
        <v>5</v>
      </c>
      <c r="B1139" s="3">
        <v>43591.0</v>
      </c>
      <c r="C1139" s="3">
        <v>43597.0</v>
      </c>
      <c r="D1139" s="1">
        <v>19.0</v>
      </c>
      <c r="E1139" s="1">
        <v>4624.0</v>
      </c>
      <c r="F1139" s="1">
        <v>0.0</v>
      </c>
    </row>
    <row r="1140">
      <c r="A1140" s="1" t="s">
        <v>5</v>
      </c>
      <c r="B1140" s="3">
        <v>43598.0</v>
      </c>
      <c r="C1140" s="3">
        <v>43604.0</v>
      </c>
      <c r="D1140" s="1">
        <v>20.0</v>
      </c>
      <c r="E1140" s="1">
        <v>4448.0</v>
      </c>
      <c r="F1140" s="1">
        <v>0.0</v>
      </c>
    </row>
    <row r="1141">
      <c r="A1141" s="1" t="s">
        <v>5</v>
      </c>
      <c r="B1141" s="3">
        <v>43605.0</v>
      </c>
      <c r="C1141" s="3">
        <v>43611.0</v>
      </c>
      <c r="D1141" s="1">
        <v>21.0</v>
      </c>
      <c r="E1141" s="1">
        <v>4670.0</v>
      </c>
      <c r="F1141" s="1">
        <v>0.0</v>
      </c>
    </row>
    <row r="1142">
      <c r="A1142" s="1" t="s">
        <v>5</v>
      </c>
      <c r="B1142" s="3">
        <v>43612.0</v>
      </c>
      <c r="C1142" s="3">
        <v>43618.0</v>
      </c>
      <c r="D1142" s="1">
        <v>22.0</v>
      </c>
      <c r="E1142" s="1">
        <v>4570.0</v>
      </c>
      <c r="F1142" s="1">
        <v>0.0</v>
      </c>
    </row>
    <row r="1143">
      <c r="A1143" s="1" t="s">
        <v>5</v>
      </c>
      <c r="B1143" s="3">
        <v>43619.0</v>
      </c>
      <c r="C1143" s="3">
        <v>43625.0</v>
      </c>
      <c r="D1143" s="1">
        <v>23.0</v>
      </c>
      <c r="E1143" s="1">
        <v>4860.0</v>
      </c>
      <c r="F1143" s="1">
        <v>0.0</v>
      </c>
    </row>
    <row r="1144">
      <c r="A1144" s="1" t="s">
        <v>5</v>
      </c>
      <c r="B1144" s="3">
        <v>43626.0</v>
      </c>
      <c r="C1144" s="3">
        <v>43632.0</v>
      </c>
      <c r="D1144" s="1">
        <v>24.0</v>
      </c>
      <c r="E1144" s="1">
        <v>4753.0</v>
      </c>
      <c r="F1144" s="1">
        <v>0.0</v>
      </c>
    </row>
    <row r="1145">
      <c r="A1145" s="1" t="s">
        <v>5</v>
      </c>
      <c r="B1145" s="3">
        <v>43633.0</v>
      </c>
      <c r="C1145" s="3">
        <v>43639.0</v>
      </c>
      <c r="D1145" s="1">
        <v>25.0</v>
      </c>
      <c r="E1145" s="1">
        <v>4964.0</v>
      </c>
      <c r="F1145" s="1">
        <v>0.0</v>
      </c>
    </row>
    <row r="1146">
      <c r="A1146" s="1" t="s">
        <v>5</v>
      </c>
      <c r="B1146" s="3">
        <v>43640.0</v>
      </c>
      <c r="C1146" s="3">
        <v>43646.0</v>
      </c>
      <c r="D1146" s="1">
        <v>26.0</v>
      </c>
      <c r="E1146" s="1">
        <v>4807.0</v>
      </c>
      <c r="F1146" s="1">
        <v>0.0</v>
      </c>
    </row>
    <row r="1147">
      <c r="A1147" s="1" t="s">
        <v>5</v>
      </c>
      <c r="B1147" s="3">
        <v>43647.0</v>
      </c>
      <c r="C1147" s="3">
        <v>43653.0</v>
      </c>
      <c r="D1147" s="1">
        <v>27.0</v>
      </c>
      <c r="E1147" s="1">
        <v>4854.0</v>
      </c>
      <c r="F1147" s="1">
        <v>0.0</v>
      </c>
    </row>
    <row r="1148">
      <c r="A1148" s="1" t="s">
        <v>5</v>
      </c>
      <c r="B1148" s="3">
        <v>43654.0</v>
      </c>
      <c r="C1148" s="3">
        <v>43660.0</v>
      </c>
      <c r="D1148" s="1">
        <v>28.0</v>
      </c>
      <c r="E1148" s="1">
        <v>4887.0</v>
      </c>
      <c r="F1148" s="1">
        <v>0.0</v>
      </c>
    </row>
    <row r="1149">
      <c r="A1149" s="1" t="s">
        <v>5</v>
      </c>
      <c r="B1149" s="3">
        <v>43661.0</v>
      </c>
      <c r="C1149" s="3">
        <v>43667.0</v>
      </c>
      <c r="D1149" s="1">
        <v>29.0</v>
      </c>
      <c r="E1149" s="1">
        <v>4918.0</v>
      </c>
      <c r="F1149" s="1">
        <v>0.0</v>
      </c>
    </row>
    <row r="1150">
      <c r="A1150" s="1" t="s">
        <v>5</v>
      </c>
      <c r="B1150" s="3">
        <v>43668.0</v>
      </c>
      <c r="C1150" s="3">
        <v>43674.0</v>
      </c>
      <c r="D1150" s="1">
        <v>30.0</v>
      </c>
      <c r="E1150" s="1">
        <v>4672.0</v>
      </c>
      <c r="F1150" s="1">
        <v>0.0</v>
      </c>
    </row>
    <row r="1151">
      <c r="A1151" s="1" t="s">
        <v>5</v>
      </c>
      <c r="B1151" s="3">
        <v>43675.0</v>
      </c>
      <c r="C1151" s="3">
        <v>43681.0</v>
      </c>
      <c r="D1151" s="1">
        <v>31.0</v>
      </c>
      <c r="E1151" s="1">
        <v>4726.0</v>
      </c>
      <c r="F1151" s="1">
        <v>0.0</v>
      </c>
    </row>
    <row r="1152">
      <c r="A1152" s="1" t="s">
        <v>5</v>
      </c>
      <c r="B1152" s="3">
        <v>43682.0</v>
      </c>
      <c r="C1152" s="3">
        <v>43688.0</v>
      </c>
      <c r="D1152" s="1">
        <v>32.0</v>
      </c>
      <c r="E1152" s="1">
        <v>4742.0</v>
      </c>
      <c r="F1152" s="1">
        <v>0.0</v>
      </c>
    </row>
    <row r="1153">
      <c r="A1153" s="1" t="s">
        <v>5</v>
      </c>
      <c r="B1153" s="3">
        <v>43689.0</v>
      </c>
      <c r="C1153" s="3">
        <v>43695.0</v>
      </c>
      <c r="D1153" s="1">
        <v>33.0</v>
      </c>
      <c r="E1153" s="1">
        <v>4693.0</v>
      </c>
      <c r="F1153" s="1">
        <v>0.0</v>
      </c>
    </row>
    <row r="1154">
      <c r="A1154" s="1" t="s">
        <v>5</v>
      </c>
      <c r="B1154" s="3">
        <v>43696.0</v>
      </c>
      <c r="C1154" s="3">
        <v>43702.0</v>
      </c>
      <c r="D1154" s="1">
        <v>34.0</v>
      </c>
      <c r="E1154" s="1">
        <v>4912.0</v>
      </c>
      <c r="F1154" s="1">
        <v>0.0</v>
      </c>
    </row>
    <row r="1155">
      <c r="A1155" s="1" t="s">
        <v>5</v>
      </c>
      <c r="B1155" s="3">
        <v>43703.0</v>
      </c>
      <c r="C1155" s="3">
        <v>43709.0</v>
      </c>
      <c r="D1155" s="1">
        <v>35.0</v>
      </c>
      <c r="E1155" s="1">
        <v>4842.0</v>
      </c>
      <c r="F1155" s="1">
        <v>0.0</v>
      </c>
    </row>
    <row r="1156">
      <c r="A1156" s="1" t="s">
        <v>5</v>
      </c>
      <c r="B1156" s="3">
        <v>43710.0</v>
      </c>
      <c r="C1156" s="3">
        <v>43716.0</v>
      </c>
      <c r="D1156" s="1">
        <v>36.0</v>
      </c>
      <c r="E1156" s="1">
        <v>4717.0</v>
      </c>
      <c r="F1156" s="1">
        <v>0.0</v>
      </c>
    </row>
    <row r="1157">
      <c r="A1157" s="1" t="s">
        <v>5</v>
      </c>
      <c r="B1157" s="3">
        <v>43717.0</v>
      </c>
      <c r="C1157" s="3">
        <v>43723.0</v>
      </c>
      <c r="D1157" s="1">
        <v>37.0</v>
      </c>
      <c r="E1157" s="1">
        <v>4609.0</v>
      </c>
      <c r="F1157" s="1">
        <v>0.0</v>
      </c>
    </row>
    <row r="1158">
      <c r="A1158" s="1" t="s">
        <v>5</v>
      </c>
      <c r="B1158" s="3">
        <v>43724.0</v>
      </c>
      <c r="C1158" s="3">
        <v>43730.0</v>
      </c>
      <c r="D1158" s="1">
        <v>38.0</v>
      </c>
      <c r="E1158" s="1">
        <v>4648.0</v>
      </c>
      <c r="F1158" s="1">
        <v>0.0</v>
      </c>
    </row>
    <row r="1159">
      <c r="A1159" s="1" t="s">
        <v>5</v>
      </c>
      <c r="B1159" s="3">
        <v>43731.0</v>
      </c>
      <c r="C1159" s="3">
        <v>43737.0</v>
      </c>
      <c r="D1159" s="1">
        <v>39.0</v>
      </c>
      <c r="E1159" s="1">
        <v>4432.0</v>
      </c>
      <c r="F1159" s="1">
        <v>0.0</v>
      </c>
    </row>
    <row r="1160">
      <c r="A1160" s="1" t="s">
        <v>5</v>
      </c>
      <c r="B1160" s="3">
        <v>43738.0</v>
      </c>
      <c r="C1160" s="2">
        <v>43744.0</v>
      </c>
      <c r="D1160" s="1">
        <v>40.0</v>
      </c>
      <c r="E1160" s="1">
        <v>4628.0</v>
      </c>
      <c r="F1160" s="1">
        <v>0.0</v>
      </c>
    </row>
    <row r="1161">
      <c r="A1161" s="1" t="s">
        <v>5</v>
      </c>
      <c r="B1161" s="2">
        <v>43745.0</v>
      </c>
      <c r="C1161" s="2">
        <v>43751.0</v>
      </c>
      <c r="D1161" s="1">
        <v>41.0</v>
      </c>
      <c r="E1161" s="1">
        <v>4577.0</v>
      </c>
      <c r="F1161" s="1">
        <v>0.0</v>
      </c>
    </row>
    <row r="1162">
      <c r="A1162" s="1" t="s">
        <v>5</v>
      </c>
      <c r="B1162" s="2">
        <v>43752.0</v>
      </c>
      <c r="C1162" s="2">
        <v>43758.0</v>
      </c>
      <c r="D1162" s="1">
        <v>42.0</v>
      </c>
      <c r="E1162" s="1">
        <v>4617.0</v>
      </c>
      <c r="F1162" s="1">
        <v>0.0</v>
      </c>
    </row>
    <row r="1163">
      <c r="A1163" s="1" t="s">
        <v>5</v>
      </c>
      <c r="B1163" s="2">
        <v>43759.0</v>
      </c>
      <c r="C1163" s="2">
        <v>43765.0</v>
      </c>
      <c r="D1163" s="1">
        <v>43.0</v>
      </c>
      <c r="E1163" s="1">
        <v>4633.0</v>
      </c>
      <c r="F1163" s="1">
        <v>0.0</v>
      </c>
    </row>
    <row r="1164">
      <c r="A1164" s="1" t="s">
        <v>5</v>
      </c>
      <c r="B1164" s="2">
        <v>43766.0</v>
      </c>
      <c r="C1164" s="2">
        <v>43772.0</v>
      </c>
      <c r="D1164" s="1">
        <v>44.0</v>
      </c>
      <c r="E1164" s="1">
        <v>4778.0</v>
      </c>
      <c r="F1164" s="1">
        <v>0.0</v>
      </c>
    </row>
    <row r="1165">
      <c r="A1165" s="1" t="s">
        <v>5</v>
      </c>
      <c r="B1165" s="2">
        <v>43773.0</v>
      </c>
      <c r="C1165" s="2">
        <v>43779.0</v>
      </c>
      <c r="D1165" s="1">
        <v>45.0</v>
      </c>
      <c r="E1165" s="1">
        <v>4746.0</v>
      </c>
      <c r="F1165" s="1">
        <v>0.0</v>
      </c>
    </row>
    <row r="1166">
      <c r="A1166" s="1" t="s">
        <v>5</v>
      </c>
      <c r="B1166" s="2">
        <v>43780.0</v>
      </c>
      <c r="C1166" s="2">
        <v>43786.0</v>
      </c>
      <c r="D1166" s="1">
        <v>46.0</v>
      </c>
      <c r="E1166" s="1">
        <v>4697.0</v>
      </c>
      <c r="F1166" s="1">
        <v>0.0</v>
      </c>
    </row>
    <row r="1167">
      <c r="A1167" s="1" t="s">
        <v>5</v>
      </c>
      <c r="B1167" s="2">
        <v>43787.0</v>
      </c>
      <c r="C1167" s="2">
        <v>43793.0</v>
      </c>
      <c r="D1167" s="1">
        <v>47.0</v>
      </c>
      <c r="E1167" s="1">
        <v>4790.0</v>
      </c>
      <c r="F1167" s="1">
        <v>0.0</v>
      </c>
    </row>
    <row r="1168">
      <c r="A1168" s="1" t="s">
        <v>5</v>
      </c>
      <c r="B1168" s="2">
        <v>43794.0</v>
      </c>
      <c r="C1168" s="2">
        <v>43800.0</v>
      </c>
      <c r="D1168" s="1">
        <v>48.0</v>
      </c>
      <c r="E1168" s="1">
        <v>4755.0</v>
      </c>
      <c r="F1168" s="1">
        <v>0.0</v>
      </c>
    </row>
    <row r="1169">
      <c r="A1169" s="1" t="s">
        <v>5</v>
      </c>
      <c r="B1169" s="2">
        <v>43801.0</v>
      </c>
      <c r="C1169" s="2">
        <v>43807.0</v>
      </c>
      <c r="D1169" s="1">
        <v>49.0</v>
      </c>
      <c r="E1169" s="1">
        <v>4803.0</v>
      </c>
      <c r="F1169" s="1">
        <v>0.0</v>
      </c>
    </row>
    <row r="1170">
      <c r="A1170" s="1" t="s">
        <v>5</v>
      </c>
      <c r="B1170" s="2">
        <v>43808.0</v>
      </c>
      <c r="C1170" s="2">
        <v>43814.0</v>
      </c>
      <c r="D1170" s="1">
        <v>50.0</v>
      </c>
      <c r="E1170" s="1">
        <v>4818.0</v>
      </c>
      <c r="F1170" s="1">
        <v>0.0</v>
      </c>
    </row>
    <row r="1171">
      <c r="A1171" s="1" t="s">
        <v>5</v>
      </c>
      <c r="B1171" s="2">
        <v>43815.0</v>
      </c>
      <c r="C1171" s="2">
        <v>43821.0</v>
      </c>
      <c r="D1171" s="1">
        <v>51.0</v>
      </c>
      <c r="E1171" s="1">
        <v>4862.0</v>
      </c>
      <c r="F1171" s="1">
        <v>0.0</v>
      </c>
    </row>
    <row r="1172">
      <c r="A1172" s="1" t="s">
        <v>5</v>
      </c>
      <c r="B1172" s="2">
        <v>43822.0</v>
      </c>
      <c r="C1172" s="2">
        <v>43828.0</v>
      </c>
      <c r="D1172" s="1">
        <v>52.0</v>
      </c>
      <c r="E1172" s="1">
        <v>5041.0</v>
      </c>
      <c r="F1172" s="1">
        <v>0.0</v>
      </c>
    </row>
    <row r="1173">
      <c r="A1173" s="1" t="s">
        <v>5</v>
      </c>
      <c r="B1173" s="2">
        <v>43829.0</v>
      </c>
      <c r="C1173" s="3">
        <v>43835.0</v>
      </c>
      <c r="D1173" s="1">
        <v>1.0</v>
      </c>
      <c r="E1173" s="1">
        <v>5076.0</v>
      </c>
      <c r="F1173" s="1">
        <v>0.0</v>
      </c>
    </row>
    <row r="1174">
      <c r="A1174" s="1" t="s">
        <v>5</v>
      </c>
      <c r="B1174" s="3">
        <v>43836.0</v>
      </c>
      <c r="C1174" s="3">
        <v>43842.0</v>
      </c>
      <c r="D1174" s="1">
        <v>2.0</v>
      </c>
      <c r="E1174" s="1">
        <v>5007.0</v>
      </c>
      <c r="F1174" s="1">
        <v>0.0</v>
      </c>
    </row>
    <row r="1175">
      <c r="A1175" s="1" t="s">
        <v>5</v>
      </c>
      <c r="B1175" s="3">
        <v>43843.0</v>
      </c>
      <c r="C1175" s="3">
        <v>43849.0</v>
      </c>
      <c r="D1175" s="1">
        <v>3.0</v>
      </c>
      <c r="E1175" s="1">
        <v>4897.0</v>
      </c>
      <c r="F1175" s="1">
        <v>0.0</v>
      </c>
    </row>
    <row r="1176">
      <c r="A1176" s="1" t="s">
        <v>5</v>
      </c>
      <c r="B1176" s="3">
        <v>43850.0</v>
      </c>
      <c r="C1176" s="3">
        <v>43856.0</v>
      </c>
      <c r="D1176" s="1">
        <v>4.0</v>
      </c>
      <c r="E1176" s="1">
        <v>4760.0</v>
      </c>
      <c r="F1176" s="1">
        <v>0.0</v>
      </c>
    </row>
    <row r="1177">
      <c r="A1177" s="1" t="s">
        <v>5</v>
      </c>
      <c r="B1177" s="3">
        <v>43857.0</v>
      </c>
      <c r="C1177" s="3">
        <v>43863.0</v>
      </c>
      <c r="D1177" s="1">
        <v>5.0</v>
      </c>
      <c r="E1177" s="1">
        <v>4631.0</v>
      </c>
      <c r="F1177" s="1">
        <v>0.0</v>
      </c>
    </row>
    <row r="1178">
      <c r="A1178" s="1" t="s">
        <v>5</v>
      </c>
      <c r="B1178" s="3">
        <v>43864.0</v>
      </c>
      <c r="C1178" s="3">
        <v>43870.0</v>
      </c>
      <c r="D1178" s="1">
        <v>6.0</v>
      </c>
      <c r="E1178" s="1">
        <v>4742.0</v>
      </c>
      <c r="F1178" s="1">
        <v>0.0</v>
      </c>
    </row>
    <row r="1179">
      <c r="A1179" s="1" t="s">
        <v>5</v>
      </c>
      <c r="B1179" s="3">
        <v>43871.0</v>
      </c>
      <c r="C1179" s="3">
        <v>43877.0</v>
      </c>
      <c r="D1179" s="1">
        <v>7.0</v>
      </c>
      <c r="E1179" s="1">
        <v>4699.0</v>
      </c>
      <c r="F1179" s="1">
        <v>0.0</v>
      </c>
    </row>
    <row r="1180">
      <c r="A1180" s="1" t="s">
        <v>5</v>
      </c>
      <c r="B1180" s="3">
        <v>43878.0</v>
      </c>
      <c r="C1180" s="3">
        <v>43884.0</v>
      </c>
      <c r="D1180" s="1">
        <v>8.0</v>
      </c>
      <c r="E1180" s="1">
        <v>4693.0</v>
      </c>
      <c r="F1180" s="1">
        <v>0.0</v>
      </c>
    </row>
    <row r="1181">
      <c r="A1181" s="1" t="s">
        <v>5</v>
      </c>
      <c r="B1181" s="3">
        <v>43885.0</v>
      </c>
      <c r="C1181" s="3">
        <v>43891.0</v>
      </c>
      <c r="D1181" s="1">
        <v>9.0</v>
      </c>
      <c r="E1181" s="1">
        <v>4520.0</v>
      </c>
      <c r="F1181" s="1">
        <v>0.0</v>
      </c>
    </row>
    <row r="1182">
      <c r="A1182" s="1" t="s">
        <v>5</v>
      </c>
      <c r="B1182" s="3">
        <v>43892.0</v>
      </c>
      <c r="C1182" s="3">
        <v>43898.0</v>
      </c>
      <c r="D1182" s="1">
        <v>10.0</v>
      </c>
      <c r="E1182" s="1">
        <v>4534.0</v>
      </c>
      <c r="F1182" s="1">
        <v>0.0</v>
      </c>
    </row>
    <row r="1183">
      <c r="A1183" s="24" t="s">
        <v>5</v>
      </c>
      <c r="B1183" s="25">
        <v>43899.0</v>
      </c>
      <c r="C1183" s="26">
        <v>43905.0</v>
      </c>
      <c r="D1183" s="24">
        <v>11.0</v>
      </c>
      <c r="E1183" s="24">
        <v>4457.0</v>
      </c>
      <c r="F1183" s="24">
        <v>0.0</v>
      </c>
      <c r="G1183" s="27"/>
      <c r="H1183" s="27"/>
    </row>
    <row r="1184">
      <c r="A1184" s="24" t="s">
        <v>5</v>
      </c>
      <c r="B1184" s="26">
        <v>43906.0</v>
      </c>
      <c r="C1184" s="25">
        <v>43912.0</v>
      </c>
      <c r="D1184" s="24">
        <v>12.0</v>
      </c>
      <c r="E1184" s="24">
        <v>4499.0</v>
      </c>
      <c r="F1184" s="24">
        <v>2.0</v>
      </c>
      <c r="G1184" s="27"/>
      <c r="H1184" s="27"/>
    </row>
    <row r="1185">
      <c r="A1185" s="1" t="s">
        <v>5</v>
      </c>
      <c r="B1185" s="3">
        <v>43913.0</v>
      </c>
      <c r="C1185" s="3">
        <v>43919.0</v>
      </c>
      <c r="D1185" s="1">
        <v>13.0</v>
      </c>
      <c r="E1185" s="1">
        <v>4337.0</v>
      </c>
      <c r="F1185" s="1">
        <v>8.0</v>
      </c>
    </row>
    <row r="1186">
      <c r="A1186" s="1" t="s">
        <v>5</v>
      </c>
      <c r="B1186" s="3">
        <v>43920.0</v>
      </c>
      <c r="C1186" s="3">
        <v>43926.0</v>
      </c>
      <c r="D1186" s="1">
        <v>14.0</v>
      </c>
      <c r="E1186" s="1">
        <v>4190.0</v>
      </c>
      <c r="F1186" s="1">
        <v>25.0</v>
      </c>
    </row>
    <row r="1187">
      <c r="A1187" s="1" t="s">
        <v>5</v>
      </c>
      <c r="B1187" s="3">
        <v>43927.0</v>
      </c>
      <c r="C1187" s="3">
        <v>43933.0</v>
      </c>
      <c r="D1187" s="1">
        <v>15.0</v>
      </c>
      <c r="E1187" s="1">
        <v>4255.0</v>
      </c>
      <c r="F1187" s="1">
        <v>74.0</v>
      </c>
    </row>
    <row r="1188">
      <c r="A1188" s="1" t="s">
        <v>5</v>
      </c>
      <c r="B1188" s="3">
        <v>43934.0</v>
      </c>
      <c r="C1188" s="3">
        <v>43940.0</v>
      </c>
      <c r="D1188" s="1">
        <v>16.0</v>
      </c>
      <c r="E1188" s="1">
        <v>4355.0</v>
      </c>
      <c r="F1188" s="1">
        <v>70.0</v>
      </c>
    </row>
    <row r="1189">
      <c r="A1189" s="1" t="s">
        <v>5</v>
      </c>
      <c r="B1189" s="3">
        <v>43941.0</v>
      </c>
      <c r="C1189" s="3">
        <v>43947.0</v>
      </c>
      <c r="D1189" s="1">
        <v>17.0</v>
      </c>
      <c r="E1189" s="1">
        <v>4328.0</v>
      </c>
      <c r="F1189" s="1">
        <v>65.0</v>
      </c>
    </row>
    <row r="1190">
      <c r="A1190" s="1" t="s">
        <v>5</v>
      </c>
      <c r="B1190" s="3">
        <v>43948.0</v>
      </c>
      <c r="C1190" s="3">
        <v>43954.0</v>
      </c>
      <c r="D1190" s="1">
        <v>18.0</v>
      </c>
      <c r="E1190" s="1">
        <v>4263.0</v>
      </c>
      <c r="F1190" s="1">
        <v>96.0</v>
      </c>
    </row>
    <row r="1191">
      <c r="A1191" s="1" t="s">
        <v>5</v>
      </c>
      <c r="B1191" s="3">
        <v>43955.0</v>
      </c>
      <c r="C1191" s="3">
        <v>43961.0</v>
      </c>
      <c r="D1191" s="1">
        <v>19.0</v>
      </c>
      <c r="E1191" s="1">
        <v>4469.0</v>
      </c>
      <c r="F1191" s="1">
        <v>123.0</v>
      </c>
    </row>
    <row r="1192">
      <c r="A1192" s="1" t="s">
        <v>5</v>
      </c>
      <c r="B1192" s="3">
        <v>43962.0</v>
      </c>
      <c r="C1192" s="3">
        <v>43968.0</v>
      </c>
      <c r="D1192" s="1">
        <v>20.0</v>
      </c>
      <c r="E1192" s="1">
        <v>4579.0</v>
      </c>
      <c r="F1192" s="1">
        <v>111.0</v>
      </c>
    </row>
    <row r="1193">
      <c r="A1193" s="1" t="s">
        <v>5</v>
      </c>
      <c r="B1193" s="3">
        <v>43969.0</v>
      </c>
      <c r="C1193" s="3">
        <v>43975.0</v>
      </c>
      <c r="D1193" s="1">
        <v>21.0</v>
      </c>
      <c r="E1193" s="1">
        <v>4701.0</v>
      </c>
      <c r="F1193" s="1">
        <v>153.0</v>
      </c>
    </row>
    <row r="1194">
      <c r="A1194" s="1" t="s">
        <v>5</v>
      </c>
      <c r="B1194" s="3">
        <v>43976.0</v>
      </c>
      <c r="C1194" s="3">
        <v>43982.0</v>
      </c>
      <c r="D1194" s="1">
        <v>22.0</v>
      </c>
      <c r="E1194" s="1">
        <v>4738.0</v>
      </c>
      <c r="F1194" s="1">
        <v>212.0</v>
      </c>
    </row>
    <row r="1195">
      <c r="A1195" s="1" t="s">
        <v>5</v>
      </c>
      <c r="B1195" s="3">
        <v>43983.0</v>
      </c>
      <c r="C1195" s="3">
        <v>43989.0</v>
      </c>
      <c r="D1195" s="1">
        <v>23.0</v>
      </c>
      <c r="E1195" s="1">
        <v>5153.0</v>
      </c>
      <c r="F1195" s="1">
        <v>320.0</v>
      </c>
    </row>
    <row r="1196">
      <c r="A1196" s="1" t="s">
        <v>5</v>
      </c>
      <c r="B1196" s="3">
        <v>43990.0</v>
      </c>
      <c r="C1196" s="3">
        <v>43996.0</v>
      </c>
      <c r="D1196" s="1">
        <v>24.0</v>
      </c>
      <c r="E1196" s="1">
        <v>5338.0</v>
      </c>
      <c r="F1196" s="1">
        <v>408.0</v>
      </c>
    </row>
    <row r="1197">
      <c r="A1197" s="1" t="s">
        <v>5</v>
      </c>
      <c r="B1197" s="3">
        <v>43997.0</v>
      </c>
      <c r="C1197" s="3">
        <v>44003.0</v>
      </c>
      <c r="D1197" s="1">
        <v>25.0</v>
      </c>
      <c r="E1197" s="1">
        <v>5778.0</v>
      </c>
      <c r="F1197" s="1">
        <v>570.0</v>
      </c>
    </row>
    <row r="1198">
      <c r="A1198" s="1" t="s">
        <v>5</v>
      </c>
      <c r="B1198" s="3">
        <v>44004.0</v>
      </c>
      <c r="C1198" s="3">
        <v>44010.0</v>
      </c>
      <c r="D1198" s="1">
        <v>26.0</v>
      </c>
      <c r="E1198" s="1">
        <v>6128.0</v>
      </c>
      <c r="F1198" s="1">
        <v>941.0</v>
      </c>
    </row>
    <row r="1199">
      <c r="A1199" s="1" t="s">
        <v>5</v>
      </c>
      <c r="B1199" s="3">
        <v>44011.0</v>
      </c>
      <c r="C1199" s="3">
        <v>44017.0</v>
      </c>
      <c r="D1199" s="1">
        <v>27.0</v>
      </c>
      <c r="E1199" s="1">
        <v>6233.0</v>
      </c>
      <c r="F1199" s="1">
        <v>886.0</v>
      </c>
    </row>
    <row r="1200">
      <c r="A1200" s="1" t="s">
        <v>5</v>
      </c>
      <c r="B1200" s="3">
        <v>44018.0</v>
      </c>
      <c r="C1200" s="3">
        <v>44024.0</v>
      </c>
      <c r="D1200" s="1">
        <v>28.0</v>
      </c>
      <c r="E1200" s="1">
        <v>6739.0</v>
      </c>
      <c r="F1200" s="1">
        <v>1243.0</v>
      </c>
    </row>
    <row r="1201">
      <c r="A1201" s="1" t="s">
        <v>5</v>
      </c>
      <c r="B1201" s="3">
        <v>44025.0</v>
      </c>
      <c r="C1201" s="3">
        <v>44031.0</v>
      </c>
      <c r="D1201" s="1">
        <v>29.0</v>
      </c>
      <c r="E1201" s="1">
        <v>7313.0</v>
      </c>
      <c r="F1201" s="1">
        <v>1429.0</v>
      </c>
    </row>
    <row r="1202">
      <c r="A1202" s="1" t="s">
        <v>5</v>
      </c>
      <c r="B1202" s="3">
        <v>44032.0</v>
      </c>
      <c r="C1202" s="3">
        <v>44038.0</v>
      </c>
      <c r="D1202" s="1">
        <v>30.0</v>
      </c>
      <c r="E1202" s="1">
        <v>7702.0</v>
      </c>
      <c r="F1202" s="1">
        <v>1789.0</v>
      </c>
    </row>
    <row r="1203">
      <c r="A1203" s="1" t="s">
        <v>5</v>
      </c>
      <c r="B1203" s="3">
        <v>44039.0</v>
      </c>
      <c r="C1203" s="3">
        <v>44045.0</v>
      </c>
      <c r="D1203" s="1">
        <v>31.0</v>
      </c>
      <c r="E1203" s="1">
        <v>8070.0</v>
      </c>
      <c r="F1203" s="1">
        <v>2125.0</v>
      </c>
    </row>
    <row r="1204">
      <c r="A1204" s="1" t="s">
        <v>5</v>
      </c>
      <c r="B1204" s="3">
        <v>44046.0</v>
      </c>
      <c r="C1204" s="3">
        <v>44052.0</v>
      </c>
      <c r="D1204" s="1">
        <v>32.0</v>
      </c>
      <c r="E1204" s="1">
        <v>7888.0</v>
      </c>
      <c r="F1204" s="1">
        <v>2192.0</v>
      </c>
    </row>
    <row r="1205">
      <c r="A1205" s="1" t="s">
        <v>5</v>
      </c>
      <c r="B1205" s="3">
        <v>44053.0</v>
      </c>
      <c r="C1205" s="3">
        <v>44059.0</v>
      </c>
      <c r="D1205" s="1">
        <v>33.0</v>
      </c>
      <c r="E1205" s="1">
        <v>7648.0</v>
      </c>
      <c r="F1205" s="1">
        <v>2255.0</v>
      </c>
    </row>
    <row r="1206">
      <c r="A1206" s="1" t="s">
        <v>5</v>
      </c>
      <c r="B1206" s="3">
        <v>44060.0</v>
      </c>
      <c r="C1206" s="3">
        <v>44066.0</v>
      </c>
      <c r="D1206" s="1">
        <v>34.0</v>
      </c>
      <c r="E1206" s="1">
        <v>7152.0</v>
      </c>
      <c r="F1206" s="1">
        <v>2219.0</v>
      </c>
    </row>
    <row r="1207">
      <c r="A1207" s="1" t="s">
        <v>5</v>
      </c>
      <c r="B1207" s="3">
        <v>44067.0</v>
      </c>
      <c r="C1207" s="3">
        <v>44073.0</v>
      </c>
      <c r="D1207" s="1">
        <v>35.0</v>
      </c>
      <c r="E1207" s="1">
        <v>6798.0</v>
      </c>
      <c r="F1207" s="1">
        <v>2047.0</v>
      </c>
    </row>
    <row r="1208">
      <c r="A1208" s="1" t="s">
        <v>5</v>
      </c>
      <c r="B1208" s="3">
        <v>44074.0</v>
      </c>
      <c r="C1208" s="3">
        <v>44080.0</v>
      </c>
      <c r="D1208" s="1">
        <v>36.0</v>
      </c>
      <c r="E1208" s="1">
        <v>6570.0</v>
      </c>
      <c r="F1208" s="1">
        <v>2049.0</v>
      </c>
    </row>
    <row r="1209">
      <c r="A1209" s="1" t="s">
        <v>5</v>
      </c>
      <c r="B1209" s="3">
        <v>44081.0</v>
      </c>
      <c r="C1209" s="3">
        <v>44087.0</v>
      </c>
      <c r="D1209" s="1">
        <v>37.0</v>
      </c>
      <c r="E1209" s="1">
        <v>6383.0</v>
      </c>
      <c r="F1209" s="1">
        <v>1512.0</v>
      </c>
    </row>
    <row r="1210">
      <c r="A1210" s="1" t="s">
        <v>5</v>
      </c>
      <c r="B1210" s="3">
        <v>44088.0</v>
      </c>
      <c r="C1210" s="3">
        <v>44094.0</v>
      </c>
      <c r="D1210" s="1">
        <v>38.0</v>
      </c>
      <c r="E1210" s="1">
        <v>6240.0</v>
      </c>
      <c r="F1210" s="1">
        <v>1284.0</v>
      </c>
    </row>
    <row r="1211">
      <c r="A1211" s="1" t="s">
        <v>5</v>
      </c>
      <c r="B1211" s="3">
        <v>44095.0</v>
      </c>
      <c r="C1211" s="3">
        <v>44101.0</v>
      </c>
      <c r="D1211" s="1">
        <v>39.0</v>
      </c>
      <c r="E1211" s="1">
        <v>6161.0</v>
      </c>
      <c r="F1211" s="1">
        <v>1280.0</v>
      </c>
    </row>
    <row r="1212">
      <c r="A1212" s="1" t="s">
        <v>5</v>
      </c>
      <c r="B1212" s="3">
        <v>44102.0</v>
      </c>
      <c r="C1212" s="2">
        <v>44108.0</v>
      </c>
      <c r="D1212" s="1">
        <v>40.0</v>
      </c>
      <c r="E1212" s="1">
        <v>6019.0</v>
      </c>
      <c r="F1212" s="1">
        <v>1224.0</v>
      </c>
    </row>
    <row r="1213">
      <c r="A1213" s="1" t="s">
        <v>5</v>
      </c>
      <c r="B1213" s="2">
        <v>44109.0</v>
      </c>
      <c r="C1213" s="2">
        <v>44115.0</v>
      </c>
      <c r="D1213" s="1">
        <v>41.0</v>
      </c>
      <c r="E1213" s="1">
        <v>6173.0</v>
      </c>
      <c r="F1213" s="1">
        <v>1122.0</v>
      </c>
    </row>
    <row r="1214">
      <c r="A1214" s="1" t="s">
        <v>5</v>
      </c>
      <c r="B1214" s="2">
        <v>44116.0</v>
      </c>
      <c r="C1214" s="2">
        <v>44122.0</v>
      </c>
      <c r="D1214" s="1">
        <v>42.0</v>
      </c>
      <c r="E1214" s="1">
        <v>6190.0</v>
      </c>
      <c r="F1214" s="1">
        <v>1136.0</v>
      </c>
    </row>
    <row r="1215">
      <c r="A1215" s="1" t="s">
        <v>5</v>
      </c>
      <c r="B1215" s="2">
        <v>44123.0</v>
      </c>
      <c r="C1215" s="2">
        <v>44129.0</v>
      </c>
      <c r="D1215" s="1">
        <v>43.0</v>
      </c>
      <c r="E1215" s="1">
        <v>6303.0</v>
      </c>
      <c r="F1215" s="1">
        <v>1184.0</v>
      </c>
    </row>
    <row r="1216">
      <c r="A1216" s="1" t="s">
        <v>5</v>
      </c>
      <c r="B1216" s="2">
        <v>44130.0</v>
      </c>
      <c r="C1216" s="2">
        <v>44136.0</v>
      </c>
      <c r="D1216" s="1">
        <v>44.0</v>
      </c>
      <c r="E1216" s="1">
        <v>6080.0</v>
      </c>
      <c r="F1216" s="1">
        <v>1361.0</v>
      </c>
    </row>
    <row r="1217">
      <c r="A1217" s="1" t="s">
        <v>5</v>
      </c>
      <c r="B1217" s="2">
        <v>44137.0</v>
      </c>
      <c r="C1217" s="2">
        <v>44143.0</v>
      </c>
      <c r="D1217" s="1">
        <v>45.0</v>
      </c>
      <c r="E1217" s="1">
        <v>6252.0</v>
      </c>
      <c r="F1217" s="1">
        <v>1276.0</v>
      </c>
    </row>
    <row r="1218">
      <c r="A1218" s="1" t="s">
        <v>5</v>
      </c>
      <c r="B1218" s="2">
        <v>44144.0</v>
      </c>
      <c r="C1218" s="2">
        <v>44150.0</v>
      </c>
      <c r="D1218" s="1">
        <v>46.0</v>
      </c>
      <c r="E1218" s="1">
        <v>6119.0</v>
      </c>
      <c r="F1218" s="1">
        <v>1240.0</v>
      </c>
    </row>
    <row r="1219">
      <c r="A1219" s="1" t="s">
        <v>5</v>
      </c>
      <c r="B1219" s="2">
        <v>44151.0</v>
      </c>
      <c r="C1219" s="2">
        <v>44157.0</v>
      </c>
      <c r="D1219" s="1">
        <v>47.0</v>
      </c>
      <c r="E1219" s="1">
        <v>6242.0</v>
      </c>
      <c r="F1219" s="1">
        <v>1256.0</v>
      </c>
    </row>
    <row r="1220">
      <c r="A1220" s="1" t="s">
        <v>5</v>
      </c>
      <c r="B1220" s="2">
        <v>44158.0</v>
      </c>
      <c r="C1220" s="2">
        <v>44164.0</v>
      </c>
      <c r="D1220" s="1">
        <v>48.0</v>
      </c>
      <c r="E1220" s="1">
        <v>6266.0</v>
      </c>
      <c r="F1220" s="1">
        <v>1297.0</v>
      </c>
    </row>
    <row r="1221">
      <c r="A1221" s="1" t="s">
        <v>5</v>
      </c>
      <c r="B1221" s="2">
        <v>44165.0</v>
      </c>
      <c r="C1221" s="2">
        <v>44171.0</v>
      </c>
      <c r="D1221" s="1">
        <v>49.0</v>
      </c>
      <c r="E1221" s="1">
        <v>6206.0</v>
      </c>
      <c r="F1221" s="1">
        <v>1224.0</v>
      </c>
    </row>
    <row r="1222">
      <c r="A1222" s="1" t="s">
        <v>5</v>
      </c>
      <c r="B1222" s="2">
        <v>44172.0</v>
      </c>
      <c r="C1222" s="2">
        <v>44178.0</v>
      </c>
      <c r="D1222" s="1">
        <v>50.0</v>
      </c>
      <c r="E1222" s="1">
        <v>6640.0</v>
      </c>
      <c r="F1222" s="1">
        <v>1245.0</v>
      </c>
    </row>
    <row r="1223">
      <c r="A1223" s="1" t="s">
        <v>5</v>
      </c>
      <c r="B1223" s="2">
        <v>44179.0</v>
      </c>
      <c r="C1223" s="2">
        <v>44185.0</v>
      </c>
      <c r="D1223" s="1">
        <v>51.0</v>
      </c>
      <c r="E1223" s="1">
        <v>6687.0</v>
      </c>
      <c r="F1223" s="1">
        <v>1422.0</v>
      </c>
    </row>
    <row r="1224">
      <c r="A1224" s="1" t="s">
        <v>5</v>
      </c>
      <c r="B1224" s="2">
        <v>44186.0</v>
      </c>
      <c r="C1224" s="2">
        <v>44192.0</v>
      </c>
      <c r="D1224" s="1">
        <v>52.0</v>
      </c>
      <c r="E1224" s="1">
        <v>7203.0</v>
      </c>
      <c r="F1224" s="1">
        <v>1696.0</v>
      </c>
    </row>
    <row r="1225">
      <c r="A1225" s="4" t="s">
        <v>5</v>
      </c>
      <c r="B1225" s="5">
        <v>44193.0</v>
      </c>
      <c r="C1225" s="6">
        <v>44199.0</v>
      </c>
      <c r="D1225" s="4">
        <v>53.0</v>
      </c>
      <c r="E1225" s="4">
        <v>7814.0</v>
      </c>
      <c r="F1225" s="4">
        <v>1794.0</v>
      </c>
      <c r="G1225" s="7"/>
      <c r="H1225" s="7"/>
    </row>
    <row r="1226">
      <c r="A1226" s="1" t="s">
        <v>5</v>
      </c>
      <c r="B1226" s="3">
        <v>44200.0</v>
      </c>
      <c r="C1226" s="3">
        <v>44206.0</v>
      </c>
      <c r="D1226" s="1">
        <v>1.0</v>
      </c>
      <c r="E1226" s="1">
        <v>7964.0</v>
      </c>
      <c r="F1226" s="1">
        <v>2149.0</v>
      </c>
    </row>
    <row r="1227">
      <c r="A1227" s="1" t="s">
        <v>5</v>
      </c>
      <c r="B1227" s="3">
        <v>44207.0</v>
      </c>
      <c r="C1227" s="3">
        <v>44213.0</v>
      </c>
      <c r="D1227" s="1">
        <v>2.0</v>
      </c>
      <c r="E1227" s="1">
        <v>8440.0</v>
      </c>
      <c r="F1227" s="1">
        <v>2517.0</v>
      </c>
    </row>
    <row r="1228">
      <c r="A1228" s="1" t="s">
        <v>5</v>
      </c>
      <c r="B1228" s="3">
        <v>44214.0</v>
      </c>
      <c r="C1228" s="3">
        <v>44220.0</v>
      </c>
      <c r="D1228" s="1">
        <v>3.0</v>
      </c>
      <c r="E1228" s="1">
        <v>8479.0</v>
      </c>
      <c r="F1228" s="1">
        <v>2743.0</v>
      </c>
    </row>
    <row r="1229">
      <c r="A1229" s="1" t="s">
        <v>5</v>
      </c>
      <c r="B1229" s="3">
        <v>44221.0</v>
      </c>
      <c r="C1229" s="3">
        <v>44227.0</v>
      </c>
      <c r="D1229" s="1">
        <v>4.0</v>
      </c>
      <c r="E1229" s="1">
        <v>7676.0</v>
      </c>
      <c r="F1229" s="1">
        <v>2609.0</v>
      </c>
    </row>
    <row r="1230">
      <c r="A1230" s="1" t="s">
        <v>5</v>
      </c>
      <c r="B1230" s="3">
        <v>44228.0</v>
      </c>
      <c r="C1230" s="3">
        <v>44234.0</v>
      </c>
      <c r="D1230" s="1">
        <v>5.0</v>
      </c>
      <c r="E1230" s="1">
        <v>7029.0</v>
      </c>
      <c r="F1230" s="1">
        <v>2010.0</v>
      </c>
    </row>
    <row r="1231">
      <c r="A1231" s="1" t="s">
        <v>5</v>
      </c>
      <c r="B1231" s="3">
        <v>44235.0</v>
      </c>
      <c r="C1231" s="3">
        <v>44241.0</v>
      </c>
      <c r="D1231" s="1">
        <v>6.0</v>
      </c>
      <c r="E1231" s="1">
        <v>6341.0</v>
      </c>
      <c r="F1231" s="1">
        <v>1612.0</v>
      </c>
    </row>
    <row r="1232">
      <c r="A1232" s="1" t="s">
        <v>5</v>
      </c>
      <c r="B1232" s="3">
        <v>44242.0</v>
      </c>
      <c r="C1232" s="3">
        <v>44248.0</v>
      </c>
      <c r="D1232" s="1">
        <v>7.0</v>
      </c>
      <c r="E1232" s="1">
        <v>5915.0</v>
      </c>
      <c r="F1232" s="1">
        <v>1229.0</v>
      </c>
    </row>
    <row r="1233">
      <c r="A1233" s="1" t="s">
        <v>5</v>
      </c>
      <c r="B1233" s="3">
        <v>44249.0</v>
      </c>
      <c r="C1233" s="3">
        <v>44255.0</v>
      </c>
      <c r="D1233" s="1">
        <v>8.0</v>
      </c>
      <c r="E1233" s="1">
        <v>5564.0</v>
      </c>
      <c r="F1233" s="1">
        <v>932.0</v>
      </c>
    </row>
    <row r="1234">
      <c r="A1234" s="1" t="s">
        <v>5</v>
      </c>
      <c r="B1234" s="3">
        <v>44256.0</v>
      </c>
      <c r="C1234" s="3">
        <v>44262.0</v>
      </c>
      <c r="D1234" s="1">
        <v>9.0</v>
      </c>
      <c r="E1234" s="1">
        <v>5562.0</v>
      </c>
      <c r="F1234" s="1">
        <v>737.0</v>
      </c>
    </row>
    <row r="1235">
      <c r="A1235" s="1" t="s">
        <v>5</v>
      </c>
      <c r="B1235" s="3">
        <v>44263.0</v>
      </c>
      <c r="C1235" s="3">
        <v>44269.0</v>
      </c>
      <c r="D1235" s="1">
        <v>10.0</v>
      </c>
      <c r="E1235" s="1">
        <v>5315.0</v>
      </c>
      <c r="F1235" s="1">
        <v>640.0</v>
      </c>
    </row>
    <row r="1236">
      <c r="A1236" s="1" t="s">
        <v>5</v>
      </c>
      <c r="B1236" s="3">
        <v>44270.0</v>
      </c>
      <c r="C1236" s="3">
        <v>44276.0</v>
      </c>
      <c r="D1236" s="1">
        <v>11.0</v>
      </c>
      <c r="E1236" s="1">
        <v>5569.0</v>
      </c>
      <c r="F1236" s="1">
        <v>885.0</v>
      </c>
    </row>
    <row r="1237">
      <c r="A1237" s="1" t="s">
        <v>5</v>
      </c>
      <c r="B1237" s="3">
        <v>44277.0</v>
      </c>
      <c r="C1237" s="3">
        <v>44283.0</v>
      </c>
      <c r="D1237" s="1">
        <v>12.0</v>
      </c>
      <c r="E1237" s="1">
        <v>5958.0</v>
      </c>
      <c r="F1237" s="1">
        <v>927.0</v>
      </c>
    </row>
    <row r="1238">
      <c r="A1238" s="1" t="s">
        <v>5</v>
      </c>
      <c r="B1238" s="3">
        <v>44284.0</v>
      </c>
      <c r="C1238" s="3">
        <v>44290.0</v>
      </c>
      <c r="D1238" s="1">
        <v>13.0</v>
      </c>
      <c r="E1238" s="1">
        <v>6473.0</v>
      </c>
      <c r="F1238" s="1">
        <v>1139.0</v>
      </c>
    </row>
    <row r="1239">
      <c r="A1239" s="1" t="s">
        <v>5</v>
      </c>
      <c r="B1239" s="3">
        <v>44291.0</v>
      </c>
      <c r="C1239" s="3">
        <v>44297.0</v>
      </c>
      <c r="D1239" s="1">
        <v>14.0</v>
      </c>
      <c r="E1239" s="1">
        <v>7210.0</v>
      </c>
      <c r="F1239" s="1">
        <v>1795.0</v>
      </c>
    </row>
    <row r="1240">
      <c r="A1240" s="1" t="s">
        <v>5</v>
      </c>
      <c r="B1240" s="3">
        <v>44298.0</v>
      </c>
      <c r="C1240" s="3">
        <v>44304.0</v>
      </c>
      <c r="D1240" s="1">
        <v>15.0</v>
      </c>
      <c r="E1240" s="1">
        <v>8440.0</v>
      </c>
      <c r="F1240" s="1">
        <v>2439.0</v>
      </c>
    </row>
    <row r="1241">
      <c r="A1241" s="1" t="s">
        <v>5</v>
      </c>
      <c r="B1241" s="3">
        <v>44305.0</v>
      </c>
      <c r="C1241" s="3">
        <v>44311.0</v>
      </c>
      <c r="D1241" s="1">
        <v>16.0</v>
      </c>
      <c r="E1241" s="1">
        <v>8775.0</v>
      </c>
      <c r="F1241" s="1">
        <v>3023.0</v>
      </c>
    </row>
    <row r="1242">
      <c r="A1242" s="1" t="s">
        <v>5</v>
      </c>
      <c r="B1242" s="3">
        <v>44312.0</v>
      </c>
      <c r="C1242" s="3">
        <v>44318.0</v>
      </c>
      <c r="D1242" s="1">
        <v>17.0</v>
      </c>
      <c r="E1242" s="1">
        <v>8789.0</v>
      </c>
      <c r="F1242" s="1">
        <v>3126.0</v>
      </c>
    </row>
    <row r="1243">
      <c r="A1243" s="1" t="s">
        <v>5</v>
      </c>
      <c r="B1243" s="3">
        <v>44319.0</v>
      </c>
      <c r="C1243" s="3">
        <v>44325.0</v>
      </c>
      <c r="D1243" s="1">
        <v>18.0</v>
      </c>
      <c r="E1243" s="1">
        <v>8882.0</v>
      </c>
      <c r="F1243" s="1">
        <v>3377.0</v>
      </c>
    </row>
    <row r="1244">
      <c r="A1244" s="1" t="s">
        <v>5</v>
      </c>
      <c r="B1244" s="3">
        <v>44326.0</v>
      </c>
      <c r="C1244" s="3">
        <v>44332.0</v>
      </c>
      <c r="D1244" s="1">
        <v>19.0</v>
      </c>
      <c r="E1244" s="1">
        <v>8988.0</v>
      </c>
      <c r="F1244" s="1">
        <v>3446.0</v>
      </c>
    </row>
    <row r="1245">
      <c r="A1245" s="1" t="s">
        <v>5</v>
      </c>
      <c r="B1245" s="3">
        <v>44333.0</v>
      </c>
      <c r="C1245" s="3">
        <v>44339.0</v>
      </c>
      <c r="D1245" s="1">
        <v>20.0</v>
      </c>
      <c r="E1245" s="1">
        <v>9058.0</v>
      </c>
      <c r="F1245" s="1">
        <v>3424.0</v>
      </c>
    </row>
    <row r="1246">
      <c r="A1246" s="1" t="s">
        <v>5</v>
      </c>
      <c r="B1246" s="3">
        <v>44340.0</v>
      </c>
      <c r="C1246" s="3">
        <v>44346.0</v>
      </c>
      <c r="D1246" s="1">
        <v>21.0</v>
      </c>
      <c r="E1246" s="1">
        <v>9296.0</v>
      </c>
      <c r="F1246" s="1">
        <v>3558.0</v>
      </c>
    </row>
    <row r="1247">
      <c r="A1247" s="1" t="s">
        <v>5</v>
      </c>
      <c r="B1247" s="3">
        <v>44347.0</v>
      </c>
      <c r="C1247" s="3">
        <v>44353.0</v>
      </c>
      <c r="D1247" s="1">
        <v>22.0</v>
      </c>
      <c r="E1247" s="1">
        <v>9767.0</v>
      </c>
      <c r="F1247" s="1">
        <v>3679.0</v>
      </c>
    </row>
    <row r="1248">
      <c r="A1248" s="1" t="s">
        <v>5</v>
      </c>
      <c r="B1248" s="3">
        <v>44354.0</v>
      </c>
      <c r="C1248" s="3">
        <v>44360.0</v>
      </c>
      <c r="D1248" s="1">
        <v>23.0</v>
      </c>
      <c r="E1248" s="1">
        <v>10081.0</v>
      </c>
      <c r="F1248" s="1">
        <v>3817.0</v>
      </c>
    </row>
    <row r="1249">
      <c r="A1249" s="1" t="s">
        <v>5</v>
      </c>
      <c r="B1249" s="3">
        <v>44361.0</v>
      </c>
      <c r="C1249" s="3">
        <v>44367.0</v>
      </c>
      <c r="D1249" s="1">
        <v>24.0</v>
      </c>
      <c r="E1249" s="1">
        <v>10451.0</v>
      </c>
      <c r="F1249" s="1">
        <v>4156.0</v>
      </c>
    </row>
    <row r="1250">
      <c r="A1250" s="1" t="s">
        <v>5</v>
      </c>
      <c r="B1250" s="3">
        <v>44368.0</v>
      </c>
      <c r="C1250" s="3">
        <v>44374.0</v>
      </c>
      <c r="D1250" s="1">
        <v>25.0</v>
      </c>
      <c r="E1250" s="1">
        <v>10456.0</v>
      </c>
      <c r="F1250" s="1">
        <v>4744.0</v>
      </c>
    </row>
    <row r="1251">
      <c r="A1251" s="1" t="s">
        <v>5</v>
      </c>
      <c r="B1251" s="3">
        <v>44375.0</v>
      </c>
      <c r="C1251" s="3">
        <v>44381.0</v>
      </c>
      <c r="D1251" s="1">
        <v>26.0</v>
      </c>
      <c r="E1251" s="1">
        <v>10240.0</v>
      </c>
      <c r="F1251" s="1">
        <v>4218.0</v>
      </c>
    </row>
    <row r="1252">
      <c r="A1252" s="1" t="s">
        <v>5</v>
      </c>
      <c r="B1252" s="3">
        <v>44382.0</v>
      </c>
      <c r="C1252" s="3">
        <v>44388.0</v>
      </c>
      <c r="D1252" s="1">
        <v>27.0</v>
      </c>
      <c r="E1252" s="1">
        <v>9485.0</v>
      </c>
      <c r="F1252" s="1">
        <v>3930.0</v>
      </c>
    </row>
  </sheetData>
  <autoFilter ref="$A$1:$H$1254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7.5" customHeight="1">
      <c r="A1" s="59" t="s">
        <v>6</v>
      </c>
      <c r="B1" s="37" t="s">
        <v>22</v>
      </c>
      <c r="C1" s="37" t="s">
        <v>16</v>
      </c>
      <c r="D1" s="59" t="s">
        <v>23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1" t="s">
        <v>24</v>
      </c>
      <c r="B2" s="44">
        <f>SUM('México COVID'!I:I)</f>
        <v>213.2728891</v>
      </c>
      <c r="C2" s="44">
        <f>SUM('México COVID'!K:K)</f>
        <v>1220.792823</v>
      </c>
      <c r="D2" s="44">
        <f t="shared" ref="D2:D5" si="1">C2-B2</f>
        <v>1007.519934</v>
      </c>
    </row>
    <row r="3">
      <c r="A3" s="1" t="s">
        <v>25</v>
      </c>
      <c r="B3" s="44">
        <f>SUM('Perú COVID'!I:I)</f>
        <v>600.8198885</v>
      </c>
      <c r="C3" s="44">
        <f>SUM('Perú COVID'!K:K)</f>
        <v>693.3609797</v>
      </c>
      <c r="D3" s="44">
        <f t="shared" si="1"/>
        <v>92.54109122</v>
      </c>
    </row>
    <row r="4">
      <c r="A4" s="1" t="s">
        <v>4</v>
      </c>
      <c r="B4" s="44">
        <f>SUM('Chile COVID'!I:I)</f>
        <v>196.0664701</v>
      </c>
      <c r="C4" s="44">
        <f>SUM('Chile COVID'!K:K)</f>
        <v>225.9300548</v>
      </c>
      <c r="D4" s="44">
        <f t="shared" si="1"/>
        <v>29.86358471</v>
      </c>
    </row>
    <row r="5">
      <c r="A5" s="1" t="s">
        <v>5</v>
      </c>
      <c r="B5" s="44">
        <f>SUM('Colombia COVID'!I:I)</f>
        <v>220.0802675</v>
      </c>
      <c r="C5" s="44">
        <f>SUM('Colombia COVID'!K:K)</f>
        <v>318.1579199</v>
      </c>
      <c r="D5" s="44">
        <f t="shared" si="1"/>
        <v>98.07765239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 ht="37.5" customHeight="1">
      <c r="A1" s="28" t="str">
        <f>IFERROR(__xludf.DUMMYFUNCTION("QUERY(DATASET!A:F, ""SELECT A,B,C,D,E,F WHERE A='Mexico' AND C&gt; date '2020-03-15' "")"),"País")</f>
        <v>País</v>
      </c>
      <c r="B1" s="28" t="str">
        <f>IFERROR(__xludf.DUMMYFUNCTION("""COMPUTED_VALUE"""),"Fecha de Inicio")</f>
        <v>Fecha de Inicio</v>
      </c>
      <c r="C1" s="28" t="str">
        <f>IFERROR(__xludf.DUMMYFUNCTION("""COMPUTED_VALUE"""),"Fecha Fin")</f>
        <v>Fecha Fin</v>
      </c>
      <c r="D1" s="28" t="str">
        <f>IFERROR(__xludf.DUMMYFUNCTION("""COMPUTED_VALUE"""),"Semana")</f>
        <v>Semana</v>
      </c>
      <c r="E1" s="29" t="str">
        <f>IFERROR(__xludf.DUMMYFUNCTION("""COMPUTED_VALUE"""),"Total de Muertes Reportadas")</f>
        <v>Total de Muertes Reportadas</v>
      </c>
      <c r="F1" s="30" t="str">
        <f>IFERROR(__xludf.DUMMYFUNCTION("""COMPUTED_VALUE"""),"Total de Muertes por COVID")</f>
        <v>Total de Muertes por COVID</v>
      </c>
      <c r="G1" s="31" t="s">
        <v>12</v>
      </c>
      <c r="H1" s="32" t="s">
        <v>13</v>
      </c>
      <c r="I1" s="33" t="s">
        <v>14</v>
      </c>
      <c r="J1" s="34" t="s">
        <v>15</v>
      </c>
      <c r="K1" s="35" t="s">
        <v>16</v>
      </c>
      <c r="L1" s="36" t="s">
        <v>17</v>
      </c>
      <c r="M1" s="37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tr">
        <f>IFERROR(__xludf.DUMMYFUNCTION("""COMPUTED_VALUE"""),"Mexico")</f>
        <v>Mexico</v>
      </c>
      <c r="B2" s="40">
        <f>IFERROR(__xludf.DUMMYFUNCTION("""COMPUTED_VALUE"""),43906.0)</f>
        <v>43906</v>
      </c>
      <c r="C2" s="41">
        <f>IFERROR(__xludf.DUMMYFUNCTION("""COMPUTED_VALUE"""),43912.0)</f>
        <v>43912</v>
      </c>
      <c r="D2" s="39">
        <f>IFERROR(__xludf.DUMMYFUNCTION("""COMPUTED_VALUE"""),12.0)</f>
        <v>12</v>
      </c>
      <c r="E2" s="42">
        <f>IFERROR(__xludf.DUMMYFUNCTION("""COMPUTED_VALUE"""),13187.0)</f>
        <v>13187</v>
      </c>
      <c r="F2" s="39">
        <f>IFERROR(__xludf.DUMMYFUNCTION("""COMPUTED_VALUE"""),3.0)</f>
        <v>3</v>
      </c>
      <c r="G2" s="43">
        <f>AVERAGEIFS('Perú pre-COVID'!$E:$E,'Méx pre-COVID'!$D:$D,D2)</f>
        <v>2001.666667</v>
      </c>
      <c r="H2" s="43">
        <f t="shared" ref="H2:H83" si="1">E2-G2</f>
        <v>11185.33333</v>
      </c>
      <c r="I2" s="44">
        <f>(F2/VLOOKUP($A$2,'Población'!$A$1:$B$5,2,0))*100000</f>
        <v>0.002303046885</v>
      </c>
      <c r="J2" s="44">
        <f>I2</f>
        <v>0.002303046885</v>
      </c>
      <c r="K2" s="44">
        <f>(H2/VLOOKUP($A$2,'Población'!$A$1:$B$5,2,0))*100000</f>
        <v>8.586782364</v>
      </c>
      <c r="L2" s="44">
        <f>K2</f>
        <v>8.586782364</v>
      </c>
    </row>
    <row r="3">
      <c r="A3" s="39" t="str">
        <f>IFERROR(__xludf.DUMMYFUNCTION("""COMPUTED_VALUE"""),"Mexico")</f>
        <v>Mexico</v>
      </c>
      <c r="B3" s="40">
        <f>IFERROR(__xludf.DUMMYFUNCTION("""COMPUTED_VALUE"""),43913.0)</f>
        <v>43913</v>
      </c>
      <c r="C3" s="41">
        <f>IFERROR(__xludf.DUMMYFUNCTION("""COMPUTED_VALUE"""),43919.0)</f>
        <v>43919</v>
      </c>
      <c r="D3" s="39">
        <f>IFERROR(__xludf.DUMMYFUNCTION("""COMPUTED_VALUE"""),13.0)</f>
        <v>13</v>
      </c>
      <c r="E3" s="42">
        <f>IFERROR(__xludf.DUMMYFUNCTION("""COMPUTED_VALUE"""),13698.0)</f>
        <v>13698</v>
      </c>
      <c r="F3" s="39">
        <f>IFERROR(__xludf.DUMMYFUNCTION("""COMPUTED_VALUE"""),17.0)</f>
        <v>17</v>
      </c>
      <c r="G3" s="43">
        <f>AVERAGEIFS('Perú pre-COVID'!$E:$E,'Méx pre-COVID'!$D:$D,D3)</f>
        <v>1975</v>
      </c>
      <c r="H3" s="43">
        <f t="shared" si="1"/>
        <v>11723</v>
      </c>
      <c r="I3" s="44">
        <f>(F3/VLOOKUP($A$2,'Población'!$A$1:$B$5,2,0))*100000</f>
        <v>0.01305059901</v>
      </c>
      <c r="J3" s="44">
        <f t="shared" ref="J3:J83" si="2">I3+J2</f>
        <v>0.0153536459</v>
      </c>
      <c r="K3" s="44">
        <f>(H3/VLOOKUP($A$2,'Población'!$A$1:$B$5,2,0))*100000</f>
        <v>8.999539544</v>
      </c>
      <c r="L3" s="44">
        <f t="shared" ref="L3:L83" si="3">K3+L2</f>
        <v>17.58632191</v>
      </c>
    </row>
    <row r="4">
      <c r="A4" s="39" t="str">
        <f>IFERROR(__xludf.DUMMYFUNCTION("""COMPUTED_VALUE"""),"Mexico")</f>
        <v>Mexico</v>
      </c>
      <c r="B4" s="40">
        <f>IFERROR(__xludf.DUMMYFUNCTION("""COMPUTED_VALUE"""),43920.0)</f>
        <v>43920</v>
      </c>
      <c r="C4" s="41">
        <f>IFERROR(__xludf.DUMMYFUNCTION("""COMPUTED_VALUE"""),43926.0)</f>
        <v>43926</v>
      </c>
      <c r="D4" s="39">
        <f>IFERROR(__xludf.DUMMYFUNCTION("""COMPUTED_VALUE"""),14.0)</f>
        <v>14</v>
      </c>
      <c r="E4" s="42">
        <f>IFERROR(__xludf.DUMMYFUNCTION("""COMPUTED_VALUE"""),13533.0)</f>
        <v>13533</v>
      </c>
      <c r="F4" s="39">
        <f>IFERROR(__xludf.DUMMYFUNCTION("""COMPUTED_VALUE"""),74.0)</f>
        <v>74</v>
      </c>
      <c r="G4" s="43">
        <f>AVERAGEIFS('Perú pre-COVID'!$E:$E,'Méx pre-COVID'!$D:$D,D4)</f>
        <v>1898.666667</v>
      </c>
      <c r="H4" s="43">
        <f t="shared" si="1"/>
        <v>11634.33333</v>
      </c>
      <c r="I4" s="44">
        <f>(F4/VLOOKUP($A$2,'Población'!$A$1:$B$5,2,0))*100000</f>
        <v>0.05680848983</v>
      </c>
      <c r="J4" s="44">
        <f t="shared" si="2"/>
        <v>0.07216213573</v>
      </c>
      <c r="K4" s="44">
        <f>(H4/VLOOKUP($A$2,'Población'!$A$1:$B$5,2,0))*100000</f>
        <v>8.931471714</v>
      </c>
      <c r="L4" s="44">
        <f t="shared" si="3"/>
        <v>26.51779362</v>
      </c>
    </row>
    <row r="5">
      <c r="A5" s="39" t="str">
        <f>IFERROR(__xludf.DUMMYFUNCTION("""COMPUTED_VALUE"""),"Mexico")</f>
        <v>Mexico</v>
      </c>
      <c r="B5" s="40">
        <f>IFERROR(__xludf.DUMMYFUNCTION("""COMPUTED_VALUE"""),43927.0)</f>
        <v>43927</v>
      </c>
      <c r="C5" s="41">
        <f>IFERROR(__xludf.DUMMYFUNCTION("""COMPUTED_VALUE"""),43933.0)</f>
        <v>43933</v>
      </c>
      <c r="D5" s="39">
        <f>IFERROR(__xludf.DUMMYFUNCTION("""COMPUTED_VALUE"""),15.0)</f>
        <v>15</v>
      </c>
      <c r="E5" s="42">
        <f>IFERROR(__xludf.DUMMYFUNCTION("""COMPUTED_VALUE"""),14030.0)</f>
        <v>14030</v>
      </c>
      <c r="F5" s="39">
        <f>IFERROR(__xludf.DUMMYFUNCTION("""COMPUTED_VALUE"""),202.0)</f>
        <v>202</v>
      </c>
      <c r="G5" s="43">
        <f>AVERAGEIFS('Perú pre-COVID'!$E:$E,'Méx pre-COVID'!$D:$D,D5)</f>
        <v>1960.666667</v>
      </c>
      <c r="H5" s="43">
        <f t="shared" si="1"/>
        <v>12069.33333</v>
      </c>
      <c r="I5" s="44">
        <f>(F5/VLOOKUP($A$2,'Población'!$A$1:$B$5,2,0))*100000</f>
        <v>0.1550718236</v>
      </c>
      <c r="J5" s="44">
        <f t="shared" si="2"/>
        <v>0.2272339593</v>
      </c>
      <c r="K5" s="44">
        <f>(H5/VLOOKUP($A$2,'Población'!$A$1:$B$5,2,0))*100000</f>
        <v>9.265413512</v>
      </c>
      <c r="L5" s="44">
        <f t="shared" si="3"/>
        <v>35.78320713</v>
      </c>
    </row>
    <row r="6">
      <c r="A6" s="39" t="str">
        <f>IFERROR(__xludf.DUMMYFUNCTION("""COMPUTED_VALUE"""),"Mexico")</f>
        <v>Mexico</v>
      </c>
      <c r="B6" s="40">
        <f>IFERROR(__xludf.DUMMYFUNCTION("""COMPUTED_VALUE"""),43934.0)</f>
        <v>43934</v>
      </c>
      <c r="C6" s="41">
        <f>IFERROR(__xludf.DUMMYFUNCTION("""COMPUTED_VALUE"""),43940.0)</f>
        <v>43940</v>
      </c>
      <c r="D6" s="39">
        <f>IFERROR(__xludf.DUMMYFUNCTION("""COMPUTED_VALUE"""),16.0)</f>
        <v>16</v>
      </c>
      <c r="E6" s="42">
        <f>IFERROR(__xludf.DUMMYFUNCTION("""COMPUTED_VALUE"""),14993.0)</f>
        <v>14993</v>
      </c>
      <c r="F6" s="39">
        <f>IFERROR(__xludf.DUMMYFUNCTION("""COMPUTED_VALUE"""),390.0)</f>
        <v>390</v>
      </c>
      <c r="G6" s="43">
        <f>AVERAGEIFS('Perú pre-COVID'!$E:$E,'Méx pre-COVID'!$D:$D,D6)</f>
        <v>1939.333333</v>
      </c>
      <c r="H6" s="43">
        <f t="shared" si="1"/>
        <v>13053.66667</v>
      </c>
      <c r="I6" s="44">
        <f>(F6/VLOOKUP($A$2,'Población'!$A$1:$B$5,2,0))*100000</f>
        <v>0.299396095</v>
      </c>
      <c r="J6" s="44">
        <f t="shared" si="2"/>
        <v>0.5266300544</v>
      </c>
      <c r="K6" s="44">
        <f>(H6/VLOOKUP($A$2,'Población'!$A$1:$B$5,2,0))*100000</f>
        <v>10.02106878</v>
      </c>
      <c r="L6" s="44">
        <f t="shared" si="3"/>
        <v>45.80427592</v>
      </c>
    </row>
    <row r="7">
      <c r="A7" s="39" t="str">
        <f>IFERROR(__xludf.DUMMYFUNCTION("""COMPUTED_VALUE"""),"Mexico")</f>
        <v>Mexico</v>
      </c>
      <c r="B7" s="40">
        <f>IFERROR(__xludf.DUMMYFUNCTION("""COMPUTED_VALUE"""),43941.0)</f>
        <v>43941</v>
      </c>
      <c r="C7" s="41">
        <f>IFERROR(__xludf.DUMMYFUNCTION("""COMPUTED_VALUE"""),43947.0)</f>
        <v>43947</v>
      </c>
      <c r="D7" s="39">
        <f>IFERROR(__xludf.DUMMYFUNCTION("""COMPUTED_VALUE"""),17.0)</f>
        <v>17</v>
      </c>
      <c r="E7" s="42">
        <f>IFERROR(__xludf.DUMMYFUNCTION("""COMPUTED_VALUE"""),17068.0)</f>
        <v>17068</v>
      </c>
      <c r="F7" s="39">
        <f>IFERROR(__xludf.DUMMYFUNCTION("""COMPUTED_VALUE"""),665.0)</f>
        <v>665</v>
      </c>
      <c r="G7" s="43">
        <f>AVERAGEIFS('Perú pre-COVID'!$E:$E,'Méx pre-COVID'!$D:$D,D7)</f>
        <v>1952</v>
      </c>
      <c r="H7" s="43">
        <f t="shared" si="1"/>
        <v>15116</v>
      </c>
      <c r="I7" s="44">
        <f>(F7/VLOOKUP($A$2,'Población'!$A$1:$B$5,2,0))*100000</f>
        <v>0.5105087262</v>
      </c>
      <c r="J7" s="44">
        <f t="shared" si="2"/>
        <v>1.037138781</v>
      </c>
      <c r="K7" s="44">
        <f>(H7/VLOOKUP($A$2,'Población'!$A$1:$B$5,2,0))*100000</f>
        <v>11.60428557</v>
      </c>
      <c r="L7" s="44">
        <f t="shared" si="3"/>
        <v>57.40856149</v>
      </c>
    </row>
    <row r="8">
      <c r="A8" s="39" t="str">
        <f>IFERROR(__xludf.DUMMYFUNCTION("""COMPUTED_VALUE"""),"Mexico")</f>
        <v>Mexico</v>
      </c>
      <c r="B8" s="40">
        <f>IFERROR(__xludf.DUMMYFUNCTION("""COMPUTED_VALUE"""),43948.0)</f>
        <v>43948</v>
      </c>
      <c r="C8" s="41">
        <f>IFERROR(__xludf.DUMMYFUNCTION("""COMPUTED_VALUE"""),43954.0)</f>
        <v>43954</v>
      </c>
      <c r="D8" s="39">
        <f>IFERROR(__xludf.DUMMYFUNCTION("""COMPUTED_VALUE"""),18.0)</f>
        <v>18</v>
      </c>
      <c r="E8" s="42">
        <f>IFERROR(__xludf.DUMMYFUNCTION("""COMPUTED_VALUE"""),18811.0)</f>
        <v>18811</v>
      </c>
      <c r="F8" s="39">
        <f>IFERROR(__xludf.DUMMYFUNCTION("""COMPUTED_VALUE"""),803.0)</f>
        <v>803</v>
      </c>
      <c r="G8" s="43">
        <f>AVERAGEIFS('Perú pre-COVID'!$E:$E,'Méx pre-COVID'!$D:$D,D8)</f>
        <v>1920.666667</v>
      </c>
      <c r="H8" s="43">
        <f t="shared" si="1"/>
        <v>16890.33333</v>
      </c>
      <c r="I8" s="44">
        <f>(F8/VLOOKUP($A$2,'Población'!$A$1:$B$5,2,0))*100000</f>
        <v>0.6164488829</v>
      </c>
      <c r="J8" s="44">
        <f t="shared" si="2"/>
        <v>1.653587663</v>
      </c>
      <c r="K8" s="44">
        <f>(H8/VLOOKUP($A$2,'Población'!$A$1:$B$5,2,0))*100000</f>
        <v>12.96640986</v>
      </c>
      <c r="L8" s="44">
        <f t="shared" si="3"/>
        <v>70.37497135</v>
      </c>
    </row>
    <row r="9">
      <c r="A9" s="39" t="str">
        <f>IFERROR(__xludf.DUMMYFUNCTION("""COMPUTED_VALUE"""),"Mexico")</f>
        <v>Mexico</v>
      </c>
      <c r="B9" s="40">
        <f>IFERROR(__xludf.DUMMYFUNCTION("""COMPUTED_VALUE"""),43955.0)</f>
        <v>43955</v>
      </c>
      <c r="C9" s="41">
        <f>IFERROR(__xludf.DUMMYFUNCTION("""COMPUTED_VALUE"""),43961.0)</f>
        <v>43961</v>
      </c>
      <c r="D9" s="39">
        <f>IFERROR(__xludf.DUMMYFUNCTION("""COMPUTED_VALUE"""),19.0)</f>
        <v>19</v>
      </c>
      <c r="E9" s="42">
        <f>IFERROR(__xludf.DUMMYFUNCTION("""COMPUTED_VALUE"""),20622.0)</f>
        <v>20622</v>
      </c>
      <c r="F9" s="39">
        <f>IFERROR(__xludf.DUMMYFUNCTION("""COMPUTED_VALUE"""),1311.0)</f>
        <v>1311</v>
      </c>
      <c r="G9" s="43">
        <f>AVERAGEIFS('Perú pre-COVID'!$E:$E,'Méx pre-COVID'!$D:$D,D9)</f>
        <v>1963.333333</v>
      </c>
      <c r="H9" s="43">
        <f t="shared" si="1"/>
        <v>18658.66667</v>
      </c>
      <c r="I9" s="44">
        <f>(F9/VLOOKUP($A$2,'Población'!$A$1:$B$5,2,0))*100000</f>
        <v>1.006431489</v>
      </c>
      <c r="J9" s="44">
        <f t="shared" si="2"/>
        <v>2.660019152</v>
      </c>
      <c r="K9" s="44">
        <f>(H9/VLOOKUP($A$2,'Población'!$A$1:$B$5,2,0))*100000</f>
        <v>14.32392805</v>
      </c>
      <c r="L9" s="44">
        <f t="shared" si="3"/>
        <v>84.69889939</v>
      </c>
    </row>
    <row r="10">
      <c r="A10" s="39" t="str">
        <f>IFERROR(__xludf.DUMMYFUNCTION("""COMPUTED_VALUE"""),"Mexico")</f>
        <v>Mexico</v>
      </c>
      <c r="B10" s="40">
        <f>IFERROR(__xludf.DUMMYFUNCTION("""COMPUTED_VALUE"""),43962.0)</f>
        <v>43962</v>
      </c>
      <c r="C10" s="41">
        <f>IFERROR(__xludf.DUMMYFUNCTION("""COMPUTED_VALUE"""),43968.0)</f>
        <v>43968</v>
      </c>
      <c r="D10" s="39">
        <f>IFERROR(__xludf.DUMMYFUNCTION("""COMPUTED_VALUE"""),20.0)</f>
        <v>20</v>
      </c>
      <c r="E10" s="42">
        <f>IFERROR(__xludf.DUMMYFUNCTION("""COMPUTED_VALUE"""),22313.0)</f>
        <v>22313</v>
      </c>
      <c r="F10" s="39">
        <f>IFERROR(__xludf.DUMMYFUNCTION("""COMPUTED_VALUE"""),1712.0)</f>
        <v>1712</v>
      </c>
      <c r="G10" s="43">
        <f>AVERAGEIFS('Perú pre-COVID'!$E:$E,'Méx pre-COVID'!$D:$D,D10)</f>
        <v>2034</v>
      </c>
      <c r="H10" s="43">
        <f t="shared" si="1"/>
        <v>20279</v>
      </c>
      <c r="I10" s="44">
        <f>(F10/VLOOKUP($A$2,'Población'!$A$1:$B$5,2,0))*100000</f>
        <v>1.314272089</v>
      </c>
      <c r="J10" s="44">
        <f t="shared" si="2"/>
        <v>3.974291241</v>
      </c>
      <c r="K10" s="44">
        <f>(H10/VLOOKUP($A$2,'Población'!$A$1:$B$5,2,0))*100000</f>
        <v>15.56782926</v>
      </c>
      <c r="L10" s="44">
        <f t="shared" si="3"/>
        <v>100.2667287</v>
      </c>
    </row>
    <row r="11">
      <c r="A11" s="39" t="str">
        <f>IFERROR(__xludf.DUMMYFUNCTION("""COMPUTED_VALUE"""),"Mexico")</f>
        <v>Mexico</v>
      </c>
      <c r="B11" s="40">
        <f>IFERROR(__xludf.DUMMYFUNCTION("""COMPUTED_VALUE"""),43969.0)</f>
        <v>43969</v>
      </c>
      <c r="C11" s="41">
        <f>IFERROR(__xludf.DUMMYFUNCTION("""COMPUTED_VALUE"""),43975.0)</f>
        <v>43975</v>
      </c>
      <c r="D11" s="39">
        <f>IFERROR(__xludf.DUMMYFUNCTION("""COMPUTED_VALUE"""),21.0)</f>
        <v>21</v>
      </c>
      <c r="E11" s="42">
        <f>IFERROR(__xludf.DUMMYFUNCTION("""COMPUTED_VALUE"""),23231.0)</f>
        <v>23231</v>
      </c>
      <c r="F11" s="39">
        <f>IFERROR(__xludf.DUMMYFUNCTION("""COMPUTED_VALUE"""),2217.0)</f>
        <v>2217</v>
      </c>
      <c r="G11" s="43">
        <f>AVERAGEIFS('Perú pre-COVID'!$E:$E,'Méx pre-COVID'!$D:$D,D11)</f>
        <v>2060.333333</v>
      </c>
      <c r="H11" s="43">
        <f t="shared" si="1"/>
        <v>21170.66667</v>
      </c>
      <c r="I11" s="44">
        <f>(F11/VLOOKUP($A$2,'Población'!$A$1:$B$5,2,0))*100000</f>
        <v>1.701951648</v>
      </c>
      <c r="J11" s="44">
        <f t="shared" si="2"/>
        <v>5.676242889</v>
      </c>
      <c r="K11" s="44">
        <f>(H11/VLOOKUP($A$2,'Población'!$A$1:$B$5,2,0))*100000</f>
        <v>16.25234597</v>
      </c>
      <c r="L11" s="44">
        <f t="shared" si="3"/>
        <v>116.5190746</v>
      </c>
    </row>
    <row r="12">
      <c r="A12" s="39" t="str">
        <f>IFERROR(__xludf.DUMMYFUNCTION("""COMPUTED_VALUE"""),"Mexico")</f>
        <v>Mexico</v>
      </c>
      <c r="B12" s="40">
        <f>IFERROR(__xludf.DUMMYFUNCTION("""COMPUTED_VALUE"""),43976.0)</f>
        <v>43976</v>
      </c>
      <c r="C12" s="41">
        <f>IFERROR(__xludf.DUMMYFUNCTION("""COMPUTED_VALUE"""),43982.0)</f>
        <v>43982</v>
      </c>
      <c r="D12" s="39">
        <f>IFERROR(__xludf.DUMMYFUNCTION("""COMPUTED_VALUE"""),22.0)</f>
        <v>22</v>
      </c>
      <c r="E12" s="42">
        <f>IFERROR(__xludf.DUMMYFUNCTION("""COMPUTED_VALUE"""),23167.0)</f>
        <v>23167</v>
      </c>
      <c r="F12" s="39">
        <f>IFERROR(__xludf.DUMMYFUNCTION("""COMPUTED_VALUE"""),2536.0)</f>
        <v>2536</v>
      </c>
      <c r="G12" s="43">
        <f>AVERAGEIFS('Perú pre-COVID'!$E:$E,'Méx pre-COVID'!$D:$D,D12)</f>
        <v>2084.333333</v>
      </c>
      <c r="H12" s="43">
        <f t="shared" si="1"/>
        <v>21082.66667</v>
      </c>
      <c r="I12" s="44">
        <f>(F12/VLOOKUP($A$2,'Población'!$A$1:$B$5,2,0))*100000</f>
        <v>1.9468423</v>
      </c>
      <c r="J12" s="44">
        <f t="shared" si="2"/>
        <v>7.623085189</v>
      </c>
      <c r="K12" s="44">
        <f>(H12/VLOOKUP($A$2,'Población'!$A$1:$B$5,2,0))*100000</f>
        <v>16.18478993</v>
      </c>
      <c r="L12" s="44">
        <f t="shared" si="3"/>
        <v>132.7038646</v>
      </c>
    </row>
    <row r="13">
      <c r="A13" s="39" t="str">
        <f>IFERROR(__xludf.DUMMYFUNCTION("""COMPUTED_VALUE"""),"Mexico")</f>
        <v>Mexico</v>
      </c>
      <c r="B13" s="40">
        <f>IFERROR(__xludf.DUMMYFUNCTION("""COMPUTED_VALUE"""),43983.0)</f>
        <v>43983</v>
      </c>
      <c r="C13" s="41">
        <f>IFERROR(__xludf.DUMMYFUNCTION("""COMPUTED_VALUE"""),43989.0)</f>
        <v>43989</v>
      </c>
      <c r="D13" s="39">
        <f>IFERROR(__xludf.DUMMYFUNCTION("""COMPUTED_VALUE"""),23.0)</f>
        <v>23</v>
      </c>
      <c r="E13" s="42">
        <f>IFERROR(__xludf.DUMMYFUNCTION("""COMPUTED_VALUE"""),24121.0)</f>
        <v>24121</v>
      </c>
      <c r="F13" s="39">
        <f>IFERROR(__xludf.DUMMYFUNCTION("""COMPUTED_VALUE"""),3769.0)</f>
        <v>3769</v>
      </c>
      <c r="G13" s="43">
        <f>AVERAGEIFS('Perú pre-COVID'!$E:$E,'Méx pre-COVID'!$D:$D,D13)</f>
        <v>2181.666667</v>
      </c>
      <c r="H13" s="43">
        <f t="shared" si="1"/>
        <v>21939.33333</v>
      </c>
      <c r="I13" s="44">
        <f>(F13/VLOOKUP($A$2,'Población'!$A$1:$B$5,2,0))*100000</f>
        <v>2.89339457</v>
      </c>
      <c r="J13" s="44">
        <f t="shared" si="2"/>
        <v>10.51647976</v>
      </c>
      <c r="K13" s="44">
        <f>(H13/VLOOKUP($A$2,'Población'!$A$1:$B$5,2,0))*100000</f>
        <v>16.84243776</v>
      </c>
      <c r="L13" s="44">
        <f t="shared" si="3"/>
        <v>149.5463023</v>
      </c>
    </row>
    <row r="14">
      <c r="A14" s="39" t="str">
        <f>IFERROR(__xludf.DUMMYFUNCTION("""COMPUTED_VALUE"""),"Mexico")</f>
        <v>Mexico</v>
      </c>
      <c r="B14" s="40">
        <f>IFERROR(__xludf.DUMMYFUNCTION("""COMPUTED_VALUE"""),43990.0)</f>
        <v>43990</v>
      </c>
      <c r="C14" s="41">
        <f>IFERROR(__xludf.DUMMYFUNCTION("""COMPUTED_VALUE"""),43996.0)</f>
        <v>43996</v>
      </c>
      <c r="D14" s="39">
        <f>IFERROR(__xludf.DUMMYFUNCTION("""COMPUTED_VALUE"""),24.0)</f>
        <v>24</v>
      </c>
      <c r="E14" s="42">
        <f>IFERROR(__xludf.DUMMYFUNCTION("""COMPUTED_VALUE"""),24719.0)</f>
        <v>24719</v>
      </c>
      <c r="F14" s="39">
        <f>IFERROR(__xludf.DUMMYFUNCTION("""COMPUTED_VALUE"""),3442.0)</f>
        <v>3442</v>
      </c>
      <c r="G14" s="43">
        <f>AVERAGEIFS('Perú pre-COVID'!$E:$E,'Méx pre-COVID'!$D:$D,D14)</f>
        <v>2197.333333</v>
      </c>
      <c r="H14" s="43">
        <f t="shared" si="1"/>
        <v>22521.66667</v>
      </c>
      <c r="I14" s="44">
        <f>(F14/VLOOKUP($A$2,'Población'!$A$1:$B$5,2,0))*100000</f>
        <v>2.642362459</v>
      </c>
      <c r="J14" s="44">
        <f t="shared" si="2"/>
        <v>13.15884222</v>
      </c>
      <c r="K14" s="44">
        <f>(H14/VLOOKUP($A$2,'Población'!$A$1:$B$5,2,0))*100000</f>
        <v>17.28948475</v>
      </c>
      <c r="L14" s="44">
        <f t="shared" si="3"/>
        <v>166.8357871</v>
      </c>
    </row>
    <row r="15">
      <c r="A15" s="39" t="str">
        <f>IFERROR(__xludf.DUMMYFUNCTION("""COMPUTED_VALUE"""),"Mexico")</f>
        <v>Mexico</v>
      </c>
      <c r="B15" s="40">
        <f>IFERROR(__xludf.DUMMYFUNCTION("""COMPUTED_VALUE"""),43997.0)</f>
        <v>43997</v>
      </c>
      <c r="C15" s="41">
        <f>IFERROR(__xludf.DUMMYFUNCTION("""COMPUTED_VALUE"""),44003.0)</f>
        <v>44003</v>
      </c>
      <c r="D15" s="39">
        <f>IFERROR(__xludf.DUMMYFUNCTION("""COMPUTED_VALUE"""),25.0)</f>
        <v>25</v>
      </c>
      <c r="E15" s="42">
        <f>IFERROR(__xludf.DUMMYFUNCTION("""COMPUTED_VALUE"""),24945.0)</f>
        <v>24945</v>
      </c>
      <c r="F15" s="39">
        <f>IFERROR(__xludf.DUMMYFUNCTION("""COMPUTED_VALUE"""),4684.0)</f>
        <v>4684</v>
      </c>
      <c r="G15" s="43">
        <f>AVERAGEIFS('Perú pre-COVID'!$E:$E,'Méx pre-COVID'!$D:$D,D15)</f>
        <v>2184.333333</v>
      </c>
      <c r="H15" s="43">
        <f t="shared" si="1"/>
        <v>22760.66667</v>
      </c>
      <c r="I15" s="44">
        <f>(F15/VLOOKUP($A$2,'Población'!$A$1:$B$5,2,0))*100000</f>
        <v>3.59582387</v>
      </c>
      <c r="J15" s="44">
        <f t="shared" si="2"/>
        <v>16.75466609</v>
      </c>
      <c r="K15" s="44">
        <f>(H15/VLOOKUP($A$2,'Población'!$A$1:$B$5,2,0))*100000</f>
        <v>17.47296082</v>
      </c>
      <c r="L15" s="44">
        <f t="shared" si="3"/>
        <v>184.3087479</v>
      </c>
    </row>
    <row r="16">
      <c r="A16" s="39" t="str">
        <f>IFERROR(__xludf.DUMMYFUNCTION("""COMPUTED_VALUE"""),"Mexico")</f>
        <v>Mexico</v>
      </c>
      <c r="B16" s="40">
        <f>IFERROR(__xludf.DUMMYFUNCTION("""COMPUTED_VALUE"""),44004.0)</f>
        <v>44004</v>
      </c>
      <c r="C16" s="41">
        <f>IFERROR(__xludf.DUMMYFUNCTION("""COMPUTED_VALUE"""),44010.0)</f>
        <v>44010</v>
      </c>
      <c r="D16" s="39">
        <f>IFERROR(__xludf.DUMMYFUNCTION("""COMPUTED_VALUE"""),26.0)</f>
        <v>26</v>
      </c>
      <c r="E16" s="42">
        <f>IFERROR(__xludf.DUMMYFUNCTION("""COMPUTED_VALUE"""),24718.0)</f>
        <v>24718</v>
      </c>
      <c r="F16" s="39">
        <f>IFERROR(__xludf.DUMMYFUNCTION("""COMPUTED_VALUE"""),4823.0)</f>
        <v>4823</v>
      </c>
      <c r="G16" s="43">
        <f>AVERAGEIFS('Perú pre-COVID'!$E:$E,'Méx pre-COVID'!$D:$D,D16)</f>
        <v>2225.333333</v>
      </c>
      <c r="H16" s="43">
        <f t="shared" si="1"/>
        <v>22492.66667</v>
      </c>
      <c r="I16" s="44">
        <f>(F16/VLOOKUP($A$2,'Población'!$A$1:$B$5,2,0))*100000</f>
        <v>3.702531709</v>
      </c>
      <c r="J16" s="44">
        <f t="shared" si="2"/>
        <v>20.4571978</v>
      </c>
      <c r="K16" s="44">
        <f>(H16/VLOOKUP($A$2,'Población'!$A$1:$B$5,2,0))*100000</f>
        <v>17.26722197</v>
      </c>
      <c r="L16" s="44">
        <f t="shared" si="3"/>
        <v>201.5759699</v>
      </c>
    </row>
    <row r="17">
      <c r="A17" s="39" t="str">
        <f>IFERROR(__xludf.DUMMYFUNCTION("""COMPUTED_VALUE"""),"Mexico")</f>
        <v>Mexico</v>
      </c>
      <c r="B17" s="40">
        <f>IFERROR(__xludf.DUMMYFUNCTION("""COMPUTED_VALUE"""),44011.0)</f>
        <v>44011</v>
      </c>
      <c r="C17" s="41">
        <f>IFERROR(__xludf.DUMMYFUNCTION("""COMPUTED_VALUE"""),44017.0)</f>
        <v>44017</v>
      </c>
      <c r="D17" s="39">
        <f>IFERROR(__xludf.DUMMYFUNCTION("""COMPUTED_VALUE"""),27.0)</f>
        <v>27</v>
      </c>
      <c r="E17" s="42">
        <f>IFERROR(__xludf.DUMMYFUNCTION("""COMPUTED_VALUE"""),25495.0)</f>
        <v>25495</v>
      </c>
      <c r="F17" s="39">
        <f>IFERROR(__xludf.DUMMYFUNCTION("""COMPUTED_VALUE"""),3991.0)</f>
        <v>3991</v>
      </c>
      <c r="G17" s="43">
        <f>AVERAGEIFS('Perú pre-COVID'!$E:$E,'Méx pre-COVID'!$D:$D,D17)</f>
        <v>2170.333333</v>
      </c>
      <c r="H17" s="43">
        <f t="shared" si="1"/>
        <v>23324.66667</v>
      </c>
      <c r="I17" s="44">
        <f>(F17/VLOOKUP($A$2,'Población'!$A$1:$B$5,2,0))*100000</f>
        <v>3.063820039</v>
      </c>
      <c r="J17" s="44">
        <f t="shared" si="2"/>
        <v>23.52101784</v>
      </c>
      <c r="K17" s="44">
        <f>(H17/VLOOKUP($A$2,'Población'!$A$1:$B$5,2,0))*100000</f>
        <v>17.90593364</v>
      </c>
      <c r="L17" s="44">
        <f t="shared" si="3"/>
        <v>219.4819035</v>
      </c>
    </row>
    <row r="18">
      <c r="A18" s="39" t="str">
        <f>IFERROR(__xludf.DUMMYFUNCTION("""COMPUTED_VALUE"""),"Mexico")</f>
        <v>Mexico</v>
      </c>
      <c r="B18" s="40">
        <f>IFERROR(__xludf.DUMMYFUNCTION("""COMPUTED_VALUE"""),44018.0)</f>
        <v>44018</v>
      </c>
      <c r="C18" s="41">
        <f>IFERROR(__xludf.DUMMYFUNCTION("""COMPUTED_VALUE"""),44024.0)</f>
        <v>44024</v>
      </c>
      <c r="D18" s="39">
        <f>IFERROR(__xludf.DUMMYFUNCTION("""COMPUTED_VALUE"""),28.0)</f>
        <v>28</v>
      </c>
      <c r="E18" s="42">
        <f>IFERROR(__xludf.DUMMYFUNCTION("""COMPUTED_VALUE"""),26446.0)</f>
        <v>26446</v>
      </c>
      <c r="F18" s="39">
        <f>IFERROR(__xludf.DUMMYFUNCTION("""COMPUTED_VALUE"""),4367.0)</f>
        <v>4367</v>
      </c>
      <c r="G18" s="43">
        <f>AVERAGEIFS('Perú pre-COVID'!$E:$E,'Méx pre-COVID'!$D:$D,D18)</f>
        <v>2189</v>
      </c>
      <c r="H18" s="43">
        <f t="shared" si="1"/>
        <v>24257</v>
      </c>
      <c r="I18" s="44">
        <f>(F18/VLOOKUP($A$2,'Población'!$A$1:$B$5,2,0))*100000</f>
        <v>3.352468582</v>
      </c>
      <c r="J18" s="44">
        <f t="shared" si="2"/>
        <v>26.87348642</v>
      </c>
      <c r="K18" s="44">
        <f>(H18/VLOOKUP($A$2,'Población'!$A$1:$B$5,2,0))*100000</f>
        <v>18.62166943</v>
      </c>
      <c r="L18" s="44">
        <f t="shared" si="3"/>
        <v>238.1035729</v>
      </c>
    </row>
    <row r="19">
      <c r="A19" s="39" t="str">
        <f>IFERROR(__xludf.DUMMYFUNCTION("""COMPUTED_VALUE"""),"Mexico")</f>
        <v>Mexico</v>
      </c>
      <c r="B19" s="40">
        <f>IFERROR(__xludf.DUMMYFUNCTION("""COMPUTED_VALUE"""),44025.0)</f>
        <v>44025</v>
      </c>
      <c r="C19" s="41">
        <f>IFERROR(__xludf.DUMMYFUNCTION("""COMPUTED_VALUE"""),44031.0)</f>
        <v>44031</v>
      </c>
      <c r="D19" s="39">
        <f>IFERROR(__xludf.DUMMYFUNCTION("""COMPUTED_VALUE"""),29.0)</f>
        <v>29</v>
      </c>
      <c r="E19" s="42">
        <f>IFERROR(__xludf.DUMMYFUNCTION("""COMPUTED_VALUE"""),26446.0)</f>
        <v>26446</v>
      </c>
      <c r="F19" s="39">
        <f>IFERROR(__xludf.DUMMYFUNCTION("""COMPUTED_VALUE"""),4178.0)</f>
        <v>4178</v>
      </c>
      <c r="G19" s="43">
        <f>AVERAGEIFS('Perú pre-COVID'!$E:$E,'Méx pre-COVID'!$D:$D,D19)</f>
        <v>2199</v>
      </c>
      <c r="H19" s="43">
        <f t="shared" si="1"/>
        <v>24247</v>
      </c>
      <c r="I19" s="44">
        <f>(F19/VLOOKUP($A$2,'Población'!$A$1:$B$5,2,0))*100000</f>
        <v>3.207376628</v>
      </c>
      <c r="J19" s="44">
        <f t="shared" si="2"/>
        <v>30.08086305</v>
      </c>
      <c r="K19" s="44">
        <f>(H19/VLOOKUP($A$2,'Población'!$A$1:$B$5,2,0))*100000</f>
        <v>18.61399261</v>
      </c>
      <c r="L19" s="44">
        <f t="shared" si="3"/>
        <v>256.7175655</v>
      </c>
    </row>
    <row r="20">
      <c r="A20" s="39" t="str">
        <f>IFERROR(__xludf.DUMMYFUNCTION("""COMPUTED_VALUE"""),"Mexico")</f>
        <v>Mexico</v>
      </c>
      <c r="B20" s="40">
        <f>IFERROR(__xludf.DUMMYFUNCTION("""COMPUTED_VALUE"""),44032.0)</f>
        <v>44032</v>
      </c>
      <c r="C20" s="41">
        <f>IFERROR(__xludf.DUMMYFUNCTION("""COMPUTED_VALUE"""),44038.0)</f>
        <v>44038</v>
      </c>
      <c r="D20" s="39">
        <f>IFERROR(__xludf.DUMMYFUNCTION("""COMPUTED_VALUE"""),30.0)</f>
        <v>30</v>
      </c>
      <c r="E20" s="42">
        <f>IFERROR(__xludf.DUMMYFUNCTION("""COMPUTED_VALUE"""),25733.0)</f>
        <v>25733</v>
      </c>
      <c r="F20" s="39">
        <f>IFERROR(__xludf.DUMMYFUNCTION("""COMPUTED_VALUE"""),4496.0)</f>
        <v>4496</v>
      </c>
      <c r="G20" s="43">
        <f>AVERAGEIFS('Perú pre-COVID'!$E:$E,'Méx pre-COVID'!$D:$D,D20)</f>
        <v>2207.666667</v>
      </c>
      <c r="H20" s="43">
        <f t="shared" si="1"/>
        <v>23525.33333</v>
      </c>
      <c r="I20" s="44">
        <f>(F20/VLOOKUP($A$2,'Población'!$A$1:$B$5,2,0))*100000</f>
        <v>3.451499598</v>
      </c>
      <c r="J20" s="44">
        <f t="shared" si="2"/>
        <v>33.53236265</v>
      </c>
      <c r="K20" s="44">
        <f>(H20/VLOOKUP($A$2,'Población'!$A$1:$B$5,2,0))*100000</f>
        <v>18.05998188</v>
      </c>
      <c r="L20" s="44">
        <f t="shared" si="3"/>
        <v>274.7775474</v>
      </c>
    </row>
    <row r="21">
      <c r="A21" s="39" t="str">
        <f>IFERROR(__xludf.DUMMYFUNCTION("""COMPUTED_VALUE"""),"Mexico")</f>
        <v>Mexico</v>
      </c>
      <c r="B21" s="40">
        <f>IFERROR(__xludf.DUMMYFUNCTION("""COMPUTED_VALUE"""),44039.0)</f>
        <v>44039</v>
      </c>
      <c r="C21" s="41">
        <f>IFERROR(__xludf.DUMMYFUNCTION("""COMPUTED_VALUE"""),44045.0)</f>
        <v>44045</v>
      </c>
      <c r="D21" s="39">
        <f>IFERROR(__xludf.DUMMYFUNCTION("""COMPUTED_VALUE"""),31.0)</f>
        <v>31</v>
      </c>
      <c r="E21" s="42">
        <f>IFERROR(__xludf.DUMMYFUNCTION("""COMPUTED_VALUE"""),24795.0)</f>
        <v>24795</v>
      </c>
      <c r="F21" s="39">
        <f>IFERROR(__xludf.DUMMYFUNCTION("""COMPUTED_VALUE"""),4066.0)</f>
        <v>4066</v>
      </c>
      <c r="G21" s="43">
        <f>AVERAGEIFS('Perú pre-COVID'!$E:$E,'Méx pre-COVID'!$D:$D,D21)</f>
        <v>2219.333333</v>
      </c>
      <c r="H21" s="43">
        <f t="shared" si="1"/>
        <v>22575.66667</v>
      </c>
      <c r="I21" s="44">
        <f>(F21/VLOOKUP($A$2,'Población'!$A$1:$B$5,2,0))*100000</f>
        <v>3.121396211</v>
      </c>
      <c r="J21" s="44">
        <f t="shared" si="2"/>
        <v>36.65375886</v>
      </c>
      <c r="K21" s="44">
        <f>(H21/VLOOKUP($A$2,'Población'!$A$1:$B$5,2,0))*100000</f>
        <v>17.3309396</v>
      </c>
      <c r="L21" s="44">
        <f t="shared" si="3"/>
        <v>292.108487</v>
      </c>
    </row>
    <row r="22">
      <c r="A22" s="39" t="str">
        <f>IFERROR(__xludf.DUMMYFUNCTION("""COMPUTED_VALUE"""),"Mexico")</f>
        <v>Mexico</v>
      </c>
      <c r="B22" s="40">
        <f>IFERROR(__xludf.DUMMYFUNCTION("""COMPUTED_VALUE"""),44046.0)</f>
        <v>44046</v>
      </c>
      <c r="C22" s="41">
        <f>IFERROR(__xludf.DUMMYFUNCTION("""COMPUTED_VALUE"""),44052.0)</f>
        <v>44052</v>
      </c>
      <c r="D22" s="39">
        <f>IFERROR(__xludf.DUMMYFUNCTION("""COMPUTED_VALUE"""),32.0)</f>
        <v>32</v>
      </c>
      <c r="E22" s="42">
        <f>IFERROR(__xludf.DUMMYFUNCTION("""COMPUTED_VALUE"""),23817.0)</f>
        <v>23817</v>
      </c>
      <c r="F22" s="39">
        <f>IFERROR(__xludf.DUMMYFUNCTION("""COMPUTED_VALUE"""),4552.0)</f>
        <v>4552</v>
      </c>
      <c r="G22" s="43">
        <f>AVERAGEIFS('Perú pre-COVID'!$E:$E,'Méx pre-COVID'!$D:$D,D22)</f>
        <v>2151.333333</v>
      </c>
      <c r="H22" s="43">
        <f t="shared" si="1"/>
        <v>21665.66667</v>
      </c>
      <c r="I22" s="44">
        <f>(F22/VLOOKUP($A$2,'Población'!$A$1:$B$5,2,0))*100000</f>
        <v>3.494489807</v>
      </c>
      <c r="J22" s="44">
        <f t="shared" si="2"/>
        <v>40.14824866</v>
      </c>
      <c r="K22" s="44">
        <f>(H22/VLOOKUP($A$2,'Población'!$A$1:$B$5,2,0))*100000</f>
        <v>16.63234871</v>
      </c>
      <c r="L22" s="44">
        <f t="shared" si="3"/>
        <v>308.7408357</v>
      </c>
    </row>
    <row r="23">
      <c r="A23" s="39" t="str">
        <f>IFERROR(__xludf.DUMMYFUNCTION("""COMPUTED_VALUE"""),"Mexico")</f>
        <v>Mexico</v>
      </c>
      <c r="B23" s="40">
        <f>IFERROR(__xludf.DUMMYFUNCTION("""COMPUTED_VALUE"""),44053.0)</f>
        <v>44053</v>
      </c>
      <c r="C23" s="41">
        <f>IFERROR(__xludf.DUMMYFUNCTION("""COMPUTED_VALUE"""),44059.0)</f>
        <v>44059</v>
      </c>
      <c r="D23" s="39">
        <f>IFERROR(__xludf.DUMMYFUNCTION("""COMPUTED_VALUE"""),33.0)</f>
        <v>33</v>
      </c>
      <c r="E23" s="42">
        <f>IFERROR(__xludf.DUMMYFUNCTION("""COMPUTED_VALUE"""),22666.0)</f>
        <v>22666</v>
      </c>
      <c r="F23" s="39">
        <f>IFERROR(__xludf.DUMMYFUNCTION("""COMPUTED_VALUE"""),4459.0)</f>
        <v>4459</v>
      </c>
      <c r="G23" s="43">
        <f>AVERAGEIFS('Perú pre-COVID'!$E:$E,'Méx pre-COVID'!$D:$D,D23)</f>
        <v>2104.333333</v>
      </c>
      <c r="H23" s="43">
        <f t="shared" si="1"/>
        <v>20561.66667</v>
      </c>
      <c r="I23" s="44">
        <f>(F23/VLOOKUP($A$2,'Población'!$A$1:$B$5,2,0))*100000</f>
        <v>3.423095353</v>
      </c>
      <c r="J23" s="44">
        <f t="shared" si="2"/>
        <v>43.57134402</v>
      </c>
      <c r="K23" s="44">
        <f>(H23/VLOOKUP($A$2,'Población'!$A$1:$B$5,2,0))*100000</f>
        <v>15.78482746</v>
      </c>
      <c r="L23" s="44">
        <f t="shared" si="3"/>
        <v>324.5256632</v>
      </c>
    </row>
    <row r="24">
      <c r="A24" s="39" t="str">
        <f>IFERROR(__xludf.DUMMYFUNCTION("""COMPUTED_VALUE"""),"Mexico")</f>
        <v>Mexico</v>
      </c>
      <c r="B24" s="40">
        <f>IFERROR(__xludf.DUMMYFUNCTION("""COMPUTED_VALUE"""),44060.0)</f>
        <v>44060</v>
      </c>
      <c r="C24" s="41">
        <f>IFERROR(__xludf.DUMMYFUNCTION("""COMPUTED_VALUE"""),44066.0)</f>
        <v>44066</v>
      </c>
      <c r="D24" s="39">
        <f>IFERROR(__xludf.DUMMYFUNCTION("""COMPUTED_VALUE"""),34.0)</f>
        <v>34</v>
      </c>
      <c r="E24" s="42">
        <f>IFERROR(__xludf.DUMMYFUNCTION("""COMPUTED_VALUE"""),21725.0)</f>
        <v>21725</v>
      </c>
      <c r="F24" s="39">
        <f>IFERROR(__xludf.DUMMYFUNCTION("""COMPUTED_VALUE"""),3723.0)</f>
        <v>3723</v>
      </c>
      <c r="G24" s="43">
        <f>AVERAGEIFS('Perú pre-COVID'!$E:$E,'Méx pre-COVID'!$D:$D,D24)</f>
        <v>2192.333333</v>
      </c>
      <c r="H24" s="43">
        <f t="shared" si="1"/>
        <v>19532.66667</v>
      </c>
      <c r="I24" s="44">
        <f>(F24/VLOOKUP($A$2,'Población'!$A$1:$B$5,2,0))*100000</f>
        <v>2.858081184</v>
      </c>
      <c r="J24" s="44">
        <f t="shared" si="2"/>
        <v>46.4294252</v>
      </c>
      <c r="K24" s="44">
        <f>(H24/VLOOKUP($A$2,'Población'!$A$1:$B$5,2,0))*100000</f>
        <v>14.99488237</v>
      </c>
      <c r="L24" s="44">
        <f t="shared" si="3"/>
        <v>339.5205456</v>
      </c>
    </row>
    <row r="25">
      <c r="A25" s="39" t="str">
        <f>IFERROR(__xludf.DUMMYFUNCTION("""COMPUTED_VALUE"""),"Mexico")</f>
        <v>Mexico</v>
      </c>
      <c r="B25" s="40">
        <f>IFERROR(__xludf.DUMMYFUNCTION("""COMPUTED_VALUE"""),44067.0)</f>
        <v>44067</v>
      </c>
      <c r="C25" s="41">
        <f>IFERROR(__xludf.DUMMYFUNCTION("""COMPUTED_VALUE"""),44073.0)</f>
        <v>44073</v>
      </c>
      <c r="D25" s="39">
        <f>IFERROR(__xludf.DUMMYFUNCTION("""COMPUTED_VALUE"""),35.0)</f>
        <v>35</v>
      </c>
      <c r="E25" s="42">
        <f>IFERROR(__xludf.DUMMYFUNCTION("""COMPUTED_VALUE"""),20837.0)</f>
        <v>20837</v>
      </c>
      <c r="F25" s="39">
        <f>IFERROR(__xludf.DUMMYFUNCTION("""COMPUTED_VALUE"""),3678.0)</f>
        <v>3678</v>
      </c>
      <c r="G25" s="43">
        <f>AVERAGEIFS('Perú pre-COVID'!$E:$E,'Méx pre-COVID'!$D:$D,D25)</f>
        <v>2149.666667</v>
      </c>
      <c r="H25" s="43">
        <f t="shared" si="1"/>
        <v>18687.33333</v>
      </c>
      <c r="I25" s="44">
        <f>(F25/VLOOKUP($A$2,'Población'!$A$1:$B$5,2,0))*100000</f>
        <v>2.823535481</v>
      </c>
      <c r="J25" s="44">
        <f t="shared" si="2"/>
        <v>49.25296068</v>
      </c>
      <c r="K25" s="44">
        <f>(H25/VLOOKUP($A$2,'Población'!$A$1:$B$5,2,0))*100000</f>
        <v>14.34593494</v>
      </c>
      <c r="L25" s="44">
        <f t="shared" si="3"/>
        <v>353.8664805</v>
      </c>
    </row>
    <row r="26">
      <c r="A26" s="39" t="str">
        <f>IFERROR(__xludf.DUMMYFUNCTION("""COMPUTED_VALUE"""),"Mexico")</f>
        <v>Mexico</v>
      </c>
      <c r="B26" s="40">
        <f>IFERROR(__xludf.DUMMYFUNCTION("""COMPUTED_VALUE"""),44074.0)</f>
        <v>44074</v>
      </c>
      <c r="C26" s="41">
        <f>IFERROR(__xludf.DUMMYFUNCTION("""COMPUTED_VALUE"""),44080.0)</f>
        <v>44080</v>
      </c>
      <c r="D26" s="39">
        <f>IFERROR(__xludf.DUMMYFUNCTION("""COMPUTED_VALUE"""),36.0)</f>
        <v>36</v>
      </c>
      <c r="E26" s="42">
        <f>IFERROR(__xludf.DUMMYFUNCTION("""COMPUTED_VALUE"""),20156.0)</f>
        <v>20156</v>
      </c>
      <c r="F26" s="39">
        <f>IFERROR(__xludf.DUMMYFUNCTION("""COMPUTED_VALUE"""),3400.0)</f>
        <v>3400</v>
      </c>
      <c r="G26" s="43">
        <f>AVERAGEIFS('Perú pre-COVID'!$E:$E,'Méx pre-COVID'!$D:$D,D26)</f>
        <v>2164.666667</v>
      </c>
      <c r="H26" s="43">
        <f t="shared" si="1"/>
        <v>17991.33333</v>
      </c>
      <c r="I26" s="44">
        <f>(F26/VLOOKUP($A$2,'Población'!$A$1:$B$5,2,0))*100000</f>
        <v>2.610119803</v>
      </c>
      <c r="J26" s="44">
        <f t="shared" si="2"/>
        <v>51.86308048</v>
      </c>
      <c r="K26" s="44">
        <f>(H26/VLOOKUP($A$2,'Población'!$A$1:$B$5,2,0))*100000</f>
        <v>13.81162806</v>
      </c>
      <c r="L26" s="44">
        <f t="shared" si="3"/>
        <v>367.6781086</v>
      </c>
    </row>
    <row r="27">
      <c r="A27" s="39" t="str">
        <f>IFERROR(__xludf.DUMMYFUNCTION("""COMPUTED_VALUE"""),"Mexico")</f>
        <v>Mexico</v>
      </c>
      <c r="B27" s="40">
        <f>IFERROR(__xludf.DUMMYFUNCTION("""COMPUTED_VALUE"""),44081.0)</f>
        <v>44081</v>
      </c>
      <c r="C27" s="41">
        <f>IFERROR(__xludf.DUMMYFUNCTION("""COMPUTED_VALUE"""),44087.0)</f>
        <v>44087</v>
      </c>
      <c r="D27" s="39">
        <f>IFERROR(__xludf.DUMMYFUNCTION("""COMPUTED_VALUE"""),37.0)</f>
        <v>37</v>
      </c>
      <c r="E27" s="42">
        <f>IFERROR(__xludf.DUMMYFUNCTION("""COMPUTED_VALUE"""),19490.0)</f>
        <v>19490</v>
      </c>
      <c r="F27" s="39">
        <f>IFERROR(__xludf.DUMMYFUNCTION("""COMPUTED_VALUE"""),3263.0)</f>
        <v>3263</v>
      </c>
      <c r="G27" s="43">
        <f>AVERAGEIFS('Perú pre-COVID'!$E:$E,'Méx pre-COVID'!$D:$D,D27)</f>
        <v>2228</v>
      </c>
      <c r="H27" s="43">
        <f t="shared" si="1"/>
        <v>17262</v>
      </c>
      <c r="I27" s="44">
        <f>(F27/VLOOKUP($A$2,'Población'!$A$1:$B$5,2,0))*100000</f>
        <v>2.504947329</v>
      </c>
      <c r="J27" s="44">
        <f t="shared" si="2"/>
        <v>54.36802781</v>
      </c>
      <c r="K27" s="44">
        <f>(H27/VLOOKUP($A$2,'Población'!$A$1:$B$5,2,0))*100000</f>
        <v>13.25173178</v>
      </c>
      <c r="L27" s="44">
        <f t="shared" si="3"/>
        <v>380.9298403</v>
      </c>
    </row>
    <row r="28">
      <c r="A28" s="39" t="str">
        <f>IFERROR(__xludf.DUMMYFUNCTION("""COMPUTED_VALUE"""),"Mexico")</f>
        <v>Mexico</v>
      </c>
      <c r="B28" s="40">
        <f>IFERROR(__xludf.DUMMYFUNCTION("""COMPUTED_VALUE"""),44088.0)</f>
        <v>44088</v>
      </c>
      <c r="C28" s="41">
        <f>IFERROR(__xludf.DUMMYFUNCTION("""COMPUTED_VALUE"""),44094.0)</f>
        <v>44094</v>
      </c>
      <c r="D28" s="39">
        <f>IFERROR(__xludf.DUMMYFUNCTION("""COMPUTED_VALUE"""),38.0)</f>
        <v>38</v>
      </c>
      <c r="E28" s="42">
        <f>IFERROR(__xludf.DUMMYFUNCTION("""COMPUTED_VALUE"""),18805.0)</f>
        <v>18805</v>
      </c>
      <c r="F28" s="39">
        <f>IFERROR(__xludf.DUMMYFUNCTION("""COMPUTED_VALUE"""),2672.0)</f>
        <v>2672</v>
      </c>
      <c r="G28" s="43">
        <f>AVERAGEIFS('Perú pre-COVID'!$E:$E,'Méx pre-COVID'!$D:$D,D28)</f>
        <v>2195</v>
      </c>
      <c r="H28" s="43">
        <f t="shared" si="1"/>
        <v>16610</v>
      </c>
      <c r="I28" s="44">
        <f>(F28/VLOOKUP($A$2,'Población'!$A$1:$B$5,2,0))*100000</f>
        <v>2.051247092</v>
      </c>
      <c r="J28" s="44">
        <f t="shared" si="2"/>
        <v>56.41927491</v>
      </c>
      <c r="K28" s="44">
        <f>(H28/VLOOKUP($A$2,'Población'!$A$1:$B$5,2,0))*100000</f>
        <v>12.75120292</v>
      </c>
      <c r="L28" s="44">
        <f t="shared" si="3"/>
        <v>393.6810433</v>
      </c>
    </row>
    <row r="29">
      <c r="A29" s="39" t="str">
        <f>IFERROR(__xludf.DUMMYFUNCTION("""COMPUTED_VALUE"""),"Mexico")</f>
        <v>Mexico</v>
      </c>
      <c r="B29" s="40">
        <f>IFERROR(__xludf.DUMMYFUNCTION("""COMPUTED_VALUE"""),44095.0)</f>
        <v>44095</v>
      </c>
      <c r="C29" s="41">
        <f>IFERROR(__xludf.DUMMYFUNCTION("""COMPUTED_VALUE"""),44101.0)</f>
        <v>44101</v>
      </c>
      <c r="D29" s="39">
        <f>IFERROR(__xludf.DUMMYFUNCTION("""COMPUTED_VALUE"""),39.0)</f>
        <v>39</v>
      </c>
      <c r="E29" s="42">
        <f>IFERROR(__xludf.DUMMYFUNCTION("""COMPUTED_VALUE"""),18933.0)</f>
        <v>18933</v>
      </c>
      <c r="F29" s="39">
        <f>IFERROR(__xludf.DUMMYFUNCTION("""COMPUTED_VALUE"""),2937.0)</f>
        <v>2937</v>
      </c>
      <c r="G29" s="43">
        <f>AVERAGEIFS('Perú pre-COVID'!$E:$E,'Méx pre-COVID'!$D:$D,D29)</f>
        <v>2189</v>
      </c>
      <c r="H29" s="43">
        <f t="shared" si="1"/>
        <v>16744</v>
      </c>
      <c r="I29" s="44">
        <f>(F29/VLOOKUP($A$2,'Población'!$A$1:$B$5,2,0))*100000</f>
        <v>2.2546829</v>
      </c>
      <c r="J29" s="44">
        <f t="shared" si="2"/>
        <v>58.67395781</v>
      </c>
      <c r="K29" s="44">
        <f>(H29/VLOOKUP($A$2,'Población'!$A$1:$B$5,2,0))*100000</f>
        <v>12.85407235</v>
      </c>
      <c r="L29" s="44">
        <f t="shared" si="3"/>
        <v>406.5351156</v>
      </c>
    </row>
    <row r="30">
      <c r="A30" s="39" t="str">
        <f>IFERROR(__xludf.DUMMYFUNCTION("""COMPUTED_VALUE"""),"Mexico")</f>
        <v>Mexico</v>
      </c>
      <c r="B30" s="40">
        <f>IFERROR(__xludf.DUMMYFUNCTION("""COMPUTED_VALUE"""),44102.0)</f>
        <v>44102</v>
      </c>
      <c r="C30" s="41">
        <f>IFERROR(__xludf.DUMMYFUNCTION("""COMPUTED_VALUE"""),44108.0)</f>
        <v>44108</v>
      </c>
      <c r="D30" s="39">
        <f>IFERROR(__xludf.DUMMYFUNCTION("""COMPUTED_VALUE"""),40.0)</f>
        <v>40</v>
      </c>
      <c r="E30" s="42">
        <f>IFERROR(__xludf.DUMMYFUNCTION("""COMPUTED_VALUE"""),18484.0)</f>
        <v>18484</v>
      </c>
      <c r="F30" s="39">
        <f>IFERROR(__xludf.DUMMYFUNCTION("""COMPUTED_VALUE"""),2658.0)</f>
        <v>2658</v>
      </c>
      <c r="G30" s="43">
        <f>AVERAGEIFS('Perú pre-COVID'!$E:$E,'Méx pre-COVID'!$D:$D,D30)</f>
        <v>2155.666667</v>
      </c>
      <c r="H30" s="43">
        <f t="shared" si="1"/>
        <v>16328.33333</v>
      </c>
      <c r="I30" s="44">
        <f>(F30/VLOOKUP($A$2,'Población'!$A$1:$B$5,2,0))*100000</f>
        <v>2.04049954</v>
      </c>
      <c r="J30" s="44">
        <f t="shared" si="2"/>
        <v>60.71445735</v>
      </c>
      <c r="K30" s="44">
        <f>(H30/VLOOKUP($A$2,'Población'!$A$1:$B$5,2,0))*100000</f>
        <v>12.53497241</v>
      </c>
      <c r="L30" s="44">
        <f t="shared" si="3"/>
        <v>419.070088</v>
      </c>
    </row>
    <row r="31">
      <c r="A31" s="39" t="str">
        <f>IFERROR(__xludf.DUMMYFUNCTION("""COMPUTED_VALUE"""),"Mexico")</f>
        <v>Mexico</v>
      </c>
      <c r="B31" s="40">
        <f>IFERROR(__xludf.DUMMYFUNCTION("""COMPUTED_VALUE"""),44109.0)</f>
        <v>44109</v>
      </c>
      <c r="C31" s="41">
        <f>IFERROR(__xludf.DUMMYFUNCTION("""COMPUTED_VALUE"""),44115.0)</f>
        <v>44115</v>
      </c>
      <c r="D31" s="39">
        <f>IFERROR(__xludf.DUMMYFUNCTION("""COMPUTED_VALUE"""),41.0)</f>
        <v>41</v>
      </c>
      <c r="E31" s="42">
        <f>IFERROR(__xludf.DUMMYFUNCTION("""COMPUTED_VALUE"""),18834.0)</f>
        <v>18834</v>
      </c>
      <c r="F31" s="39">
        <f>IFERROR(__xludf.DUMMYFUNCTION("""COMPUTED_VALUE"""),4693.0)</f>
        <v>4693</v>
      </c>
      <c r="G31" s="43">
        <f>AVERAGEIFS('Perú pre-COVID'!$E:$E,'Méx pre-COVID'!$D:$D,D31)</f>
        <v>2235.333333</v>
      </c>
      <c r="H31" s="43">
        <f t="shared" si="1"/>
        <v>16598.66667</v>
      </c>
      <c r="I31" s="44">
        <f>(F31/VLOOKUP($A$2,'Población'!$A$1:$B$5,2,0))*100000</f>
        <v>3.60273301</v>
      </c>
      <c r="J31" s="44">
        <f t="shared" si="2"/>
        <v>64.31719036</v>
      </c>
      <c r="K31" s="44">
        <f>(H31/VLOOKUP($A$2,'Población'!$A$1:$B$5,2,0))*100000</f>
        <v>12.74250252</v>
      </c>
      <c r="L31" s="44">
        <f t="shared" si="3"/>
        <v>431.8125905</v>
      </c>
    </row>
    <row r="32">
      <c r="A32" s="39" t="str">
        <f>IFERROR(__xludf.DUMMYFUNCTION("""COMPUTED_VALUE"""),"Mexico")</f>
        <v>Mexico</v>
      </c>
      <c r="B32" s="40">
        <f>IFERROR(__xludf.DUMMYFUNCTION("""COMPUTED_VALUE"""),44116.0)</f>
        <v>44116</v>
      </c>
      <c r="C32" s="41">
        <f>IFERROR(__xludf.DUMMYFUNCTION("""COMPUTED_VALUE"""),44122.0)</f>
        <v>44122</v>
      </c>
      <c r="D32" s="39">
        <f>IFERROR(__xludf.DUMMYFUNCTION("""COMPUTED_VALUE"""),42.0)</f>
        <v>42</v>
      </c>
      <c r="E32" s="42">
        <f>IFERROR(__xludf.DUMMYFUNCTION("""COMPUTED_VALUE"""),18815.0)</f>
        <v>18815</v>
      </c>
      <c r="F32" s="39">
        <f>IFERROR(__xludf.DUMMYFUNCTION("""COMPUTED_VALUE"""),2386.0)</f>
        <v>2386</v>
      </c>
      <c r="G32" s="43">
        <f>AVERAGEIFS('Perú pre-COVID'!$E:$E,'Méx pre-COVID'!$D:$D,D32)</f>
        <v>2195.333333</v>
      </c>
      <c r="H32" s="43">
        <f t="shared" si="1"/>
        <v>16619.66667</v>
      </c>
      <c r="I32" s="44">
        <f>(F32/VLOOKUP($A$2,'Población'!$A$1:$B$5,2,0))*100000</f>
        <v>1.831689956</v>
      </c>
      <c r="J32" s="44">
        <f t="shared" si="2"/>
        <v>66.14888031</v>
      </c>
      <c r="K32" s="44">
        <f>(H32/VLOOKUP($A$2,'Población'!$A$1:$B$5,2,0))*100000</f>
        <v>12.75862385</v>
      </c>
      <c r="L32" s="44">
        <f t="shared" si="3"/>
        <v>444.5712144</v>
      </c>
    </row>
    <row r="33">
      <c r="A33" s="39" t="str">
        <f>IFERROR(__xludf.DUMMYFUNCTION("""COMPUTED_VALUE"""),"Mexico")</f>
        <v>Mexico</v>
      </c>
      <c r="B33" s="40">
        <f>IFERROR(__xludf.DUMMYFUNCTION("""COMPUTED_VALUE"""),44123.0)</f>
        <v>44123</v>
      </c>
      <c r="C33" s="41">
        <f>IFERROR(__xludf.DUMMYFUNCTION("""COMPUTED_VALUE"""),44129.0)</f>
        <v>44129</v>
      </c>
      <c r="D33" s="39">
        <f>IFERROR(__xludf.DUMMYFUNCTION("""COMPUTED_VALUE"""),43.0)</f>
        <v>43</v>
      </c>
      <c r="E33" s="42">
        <f>IFERROR(__xludf.DUMMYFUNCTION("""COMPUTED_VALUE"""),19567.0)</f>
        <v>19567</v>
      </c>
      <c r="F33" s="39">
        <f>IFERROR(__xludf.DUMMYFUNCTION("""COMPUTED_VALUE"""),2757.0)</f>
        <v>2757</v>
      </c>
      <c r="G33" s="43">
        <f>AVERAGEIFS('Perú pre-COVID'!$E:$E,'Méx pre-COVID'!$D:$D,D33)</f>
        <v>2209</v>
      </c>
      <c r="H33" s="43">
        <f t="shared" si="1"/>
        <v>17358</v>
      </c>
      <c r="I33" s="44">
        <f>(F33/VLOOKUP($A$2,'Población'!$A$1:$B$5,2,0))*100000</f>
        <v>2.116500087</v>
      </c>
      <c r="J33" s="44">
        <f t="shared" si="2"/>
        <v>68.2653804</v>
      </c>
      <c r="K33" s="44">
        <f>(H33/VLOOKUP($A$2,'Población'!$A$1:$B$5,2,0))*100000</f>
        <v>13.32542928</v>
      </c>
      <c r="L33" s="44">
        <f t="shared" si="3"/>
        <v>457.8966437</v>
      </c>
    </row>
    <row r="34">
      <c r="A34" s="39" t="str">
        <f>IFERROR(__xludf.DUMMYFUNCTION("""COMPUTED_VALUE"""),"Mexico")</f>
        <v>Mexico</v>
      </c>
      <c r="B34" s="40">
        <f>IFERROR(__xludf.DUMMYFUNCTION("""COMPUTED_VALUE"""),44130.0)</f>
        <v>44130</v>
      </c>
      <c r="C34" s="41">
        <f>IFERROR(__xludf.DUMMYFUNCTION("""COMPUTED_VALUE"""),44136.0)</f>
        <v>44136</v>
      </c>
      <c r="D34" s="39">
        <f>IFERROR(__xludf.DUMMYFUNCTION("""COMPUTED_VALUE"""),44.0)</f>
        <v>44</v>
      </c>
      <c r="E34" s="42">
        <f>IFERROR(__xludf.DUMMYFUNCTION("""COMPUTED_VALUE"""),20224.0)</f>
        <v>20224</v>
      </c>
      <c r="F34" s="39">
        <f>IFERROR(__xludf.DUMMYFUNCTION("""COMPUTED_VALUE"""),2971.0)</f>
        <v>2971</v>
      </c>
      <c r="G34" s="43">
        <f>AVERAGEIFS('Perú pre-COVID'!$E:$E,'Méx pre-COVID'!$D:$D,D34)</f>
        <v>2178.666667</v>
      </c>
      <c r="H34" s="43">
        <f t="shared" si="1"/>
        <v>18045.33333</v>
      </c>
      <c r="I34" s="44">
        <f>(F34/VLOOKUP($A$2,'Población'!$A$1:$B$5,2,0))*100000</f>
        <v>2.280784098</v>
      </c>
      <c r="J34" s="44">
        <f t="shared" si="2"/>
        <v>70.5461645</v>
      </c>
      <c r="K34" s="44">
        <f>(H34/VLOOKUP($A$2,'Población'!$A$1:$B$5,2,0))*100000</f>
        <v>13.85308291</v>
      </c>
      <c r="L34" s="44">
        <f t="shared" si="3"/>
        <v>471.7497266</v>
      </c>
    </row>
    <row r="35">
      <c r="A35" s="39" t="str">
        <f>IFERROR(__xludf.DUMMYFUNCTION("""COMPUTED_VALUE"""),"Mexico")</f>
        <v>Mexico</v>
      </c>
      <c r="B35" s="40">
        <f>IFERROR(__xludf.DUMMYFUNCTION("""COMPUTED_VALUE"""),44137.0)</f>
        <v>44137</v>
      </c>
      <c r="C35" s="41">
        <f>IFERROR(__xludf.DUMMYFUNCTION("""COMPUTED_VALUE"""),44143.0)</f>
        <v>44143</v>
      </c>
      <c r="D35" s="39">
        <f>IFERROR(__xludf.DUMMYFUNCTION("""COMPUTED_VALUE"""),45.0)</f>
        <v>45</v>
      </c>
      <c r="E35" s="42">
        <f>IFERROR(__xludf.DUMMYFUNCTION("""COMPUTED_VALUE"""),21326.0)</f>
        <v>21326</v>
      </c>
      <c r="F35" s="39">
        <f>IFERROR(__xludf.DUMMYFUNCTION("""COMPUTED_VALUE"""),3132.0)</f>
        <v>3132</v>
      </c>
      <c r="G35" s="43">
        <f>AVERAGEIFS('Perú pre-COVID'!$E:$E,'Méx pre-COVID'!$D:$D,D35)</f>
        <v>2092.666667</v>
      </c>
      <c r="H35" s="43">
        <f t="shared" si="1"/>
        <v>19233.33333</v>
      </c>
      <c r="I35" s="44">
        <f>(F35/VLOOKUP($A$2,'Población'!$A$1:$B$5,2,0))*100000</f>
        <v>2.404380948</v>
      </c>
      <c r="J35" s="44">
        <f t="shared" si="2"/>
        <v>72.95054545</v>
      </c>
      <c r="K35" s="44">
        <f>(H35/VLOOKUP($A$2,'Población'!$A$1:$B$5,2,0))*100000</f>
        <v>14.76508947</v>
      </c>
      <c r="L35" s="44">
        <f t="shared" si="3"/>
        <v>486.514816</v>
      </c>
    </row>
    <row r="36">
      <c r="A36" s="39" t="str">
        <f>IFERROR(__xludf.DUMMYFUNCTION("""COMPUTED_VALUE"""),"Mexico")</f>
        <v>Mexico</v>
      </c>
      <c r="B36" s="40">
        <f>IFERROR(__xludf.DUMMYFUNCTION("""COMPUTED_VALUE"""),44144.0)</f>
        <v>44144</v>
      </c>
      <c r="C36" s="41">
        <f>IFERROR(__xludf.DUMMYFUNCTION("""COMPUTED_VALUE"""),44150.0)</f>
        <v>44150</v>
      </c>
      <c r="D36" s="39">
        <f>IFERROR(__xludf.DUMMYFUNCTION("""COMPUTED_VALUE"""),46.0)</f>
        <v>46</v>
      </c>
      <c r="E36" s="42">
        <f>IFERROR(__xludf.DUMMYFUNCTION("""COMPUTED_VALUE"""),21619.0)</f>
        <v>21619</v>
      </c>
      <c r="F36" s="39">
        <f>IFERROR(__xludf.DUMMYFUNCTION("""COMPUTED_VALUE"""),3515.0)</f>
        <v>3515</v>
      </c>
      <c r="G36" s="43">
        <f>AVERAGEIFS('Perú pre-COVID'!$E:$E,'Méx pre-COVID'!$D:$D,D36)</f>
        <v>2035</v>
      </c>
      <c r="H36" s="43">
        <f t="shared" si="1"/>
        <v>19584</v>
      </c>
      <c r="I36" s="44">
        <f>(F36/VLOOKUP($A$2,'Población'!$A$1:$B$5,2,0))*100000</f>
        <v>2.698403267</v>
      </c>
      <c r="J36" s="44">
        <f t="shared" si="2"/>
        <v>75.64894871</v>
      </c>
      <c r="K36" s="44">
        <f>(H36/VLOOKUP($A$2,'Población'!$A$1:$B$5,2,0))*100000</f>
        <v>15.03429007</v>
      </c>
      <c r="L36" s="44">
        <f t="shared" si="3"/>
        <v>501.5491061</v>
      </c>
    </row>
    <row r="37">
      <c r="A37" s="39" t="str">
        <f>IFERROR(__xludf.DUMMYFUNCTION("""COMPUTED_VALUE"""),"Mexico")</f>
        <v>Mexico</v>
      </c>
      <c r="B37" s="40">
        <f>IFERROR(__xludf.DUMMYFUNCTION("""COMPUTED_VALUE"""),44151.0)</f>
        <v>44151</v>
      </c>
      <c r="C37" s="41">
        <f>IFERROR(__xludf.DUMMYFUNCTION("""COMPUTED_VALUE"""),44157.0)</f>
        <v>44157</v>
      </c>
      <c r="D37" s="39">
        <f>IFERROR(__xludf.DUMMYFUNCTION("""COMPUTED_VALUE"""),47.0)</f>
        <v>47</v>
      </c>
      <c r="E37" s="42">
        <f>IFERROR(__xludf.DUMMYFUNCTION("""COMPUTED_VALUE"""),22294.0)</f>
        <v>22294</v>
      </c>
      <c r="F37" s="39">
        <f>IFERROR(__xludf.DUMMYFUNCTION("""COMPUTED_VALUE"""),3134.0)</f>
        <v>3134</v>
      </c>
      <c r="G37" s="43">
        <f>AVERAGEIFS('Perú pre-COVID'!$E:$E,'Méx pre-COVID'!$D:$D,D37)</f>
        <v>2087</v>
      </c>
      <c r="H37" s="43">
        <f t="shared" si="1"/>
        <v>20207</v>
      </c>
      <c r="I37" s="44">
        <f>(F37/VLOOKUP($A$2,'Población'!$A$1:$B$5,2,0))*100000</f>
        <v>2.405916312</v>
      </c>
      <c r="J37" s="44">
        <f t="shared" si="2"/>
        <v>78.05486503</v>
      </c>
      <c r="K37" s="44">
        <f>(H37/VLOOKUP($A$2,'Población'!$A$1:$B$5,2,0))*100000</f>
        <v>15.51255613</v>
      </c>
      <c r="L37" s="44">
        <f t="shared" si="3"/>
        <v>517.0616622</v>
      </c>
    </row>
    <row r="38">
      <c r="A38" s="39" t="str">
        <f>IFERROR(__xludf.DUMMYFUNCTION("""COMPUTED_VALUE"""),"Mexico")</f>
        <v>Mexico</v>
      </c>
      <c r="B38" s="40">
        <f>IFERROR(__xludf.DUMMYFUNCTION("""COMPUTED_VALUE"""),44158.0)</f>
        <v>44158</v>
      </c>
      <c r="C38" s="41">
        <f>IFERROR(__xludf.DUMMYFUNCTION("""COMPUTED_VALUE"""),44164.0)</f>
        <v>44164</v>
      </c>
      <c r="D38" s="39">
        <f>IFERROR(__xludf.DUMMYFUNCTION("""COMPUTED_VALUE"""),48.0)</f>
        <v>48</v>
      </c>
      <c r="E38" s="42">
        <f>IFERROR(__xludf.DUMMYFUNCTION("""COMPUTED_VALUE"""),22534.0)</f>
        <v>22534</v>
      </c>
      <c r="F38" s="39">
        <f>IFERROR(__xludf.DUMMYFUNCTION("""COMPUTED_VALUE"""),3979.0)</f>
        <v>3979</v>
      </c>
      <c r="G38" s="43">
        <f>AVERAGEIFS('Perú pre-COVID'!$E:$E,'Méx pre-COVID'!$D:$D,D38)</f>
        <v>2116.333333</v>
      </c>
      <c r="H38" s="43">
        <f t="shared" si="1"/>
        <v>20417.66667</v>
      </c>
      <c r="I38" s="44">
        <f>(F38/VLOOKUP($A$2,'Población'!$A$1:$B$5,2,0))*100000</f>
        <v>3.054607852</v>
      </c>
      <c r="J38" s="44">
        <f t="shared" si="2"/>
        <v>81.10947288</v>
      </c>
      <c r="K38" s="44">
        <f>(H38/VLOOKUP($A$2,'Población'!$A$1:$B$5,2,0))*100000</f>
        <v>15.6742812</v>
      </c>
      <c r="L38" s="44">
        <f t="shared" si="3"/>
        <v>532.7359434</v>
      </c>
    </row>
    <row r="39">
      <c r="A39" s="39" t="str">
        <f>IFERROR(__xludf.DUMMYFUNCTION("""COMPUTED_VALUE"""),"Mexico")</f>
        <v>Mexico</v>
      </c>
      <c r="B39" s="40">
        <f>IFERROR(__xludf.DUMMYFUNCTION("""COMPUTED_VALUE"""),44165.0)</f>
        <v>44165</v>
      </c>
      <c r="C39" s="41">
        <f>IFERROR(__xludf.DUMMYFUNCTION("""COMPUTED_VALUE"""),44171.0)</f>
        <v>44171</v>
      </c>
      <c r="D39" s="39">
        <f>IFERROR(__xludf.DUMMYFUNCTION("""COMPUTED_VALUE"""),49.0)</f>
        <v>49</v>
      </c>
      <c r="E39" s="42">
        <f>IFERROR(__xludf.DUMMYFUNCTION("""COMPUTED_VALUE"""),23495.0)</f>
        <v>23495</v>
      </c>
      <c r="F39" s="39">
        <f>IFERROR(__xludf.DUMMYFUNCTION("""COMPUTED_VALUE"""),4062.0)</f>
        <v>4062</v>
      </c>
      <c r="G39" s="43">
        <f>AVERAGEIFS('Perú pre-COVID'!$E:$E,'Méx pre-COVID'!$D:$D,D39)</f>
        <v>2081.333333</v>
      </c>
      <c r="H39" s="43">
        <f t="shared" si="1"/>
        <v>21413.66667</v>
      </c>
      <c r="I39" s="44">
        <f>(F39/VLOOKUP($A$2,'Población'!$A$1:$B$5,2,0))*100000</f>
        <v>3.118325482</v>
      </c>
      <c r="J39" s="44">
        <f t="shared" si="2"/>
        <v>84.22779836</v>
      </c>
      <c r="K39" s="44">
        <f>(H39/VLOOKUP($A$2,'Población'!$A$1:$B$5,2,0))*100000</f>
        <v>16.43889277</v>
      </c>
      <c r="L39" s="44">
        <f t="shared" si="3"/>
        <v>549.1748362</v>
      </c>
    </row>
    <row r="40">
      <c r="A40" s="39" t="str">
        <f>IFERROR(__xludf.DUMMYFUNCTION("""COMPUTED_VALUE"""),"Mexico")</f>
        <v>Mexico</v>
      </c>
      <c r="B40" s="40">
        <f>IFERROR(__xludf.DUMMYFUNCTION("""COMPUTED_VALUE"""),44172.0)</f>
        <v>44172</v>
      </c>
      <c r="C40" s="41">
        <f>IFERROR(__xludf.DUMMYFUNCTION("""COMPUTED_VALUE"""),44178.0)</f>
        <v>44178</v>
      </c>
      <c r="D40" s="39">
        <f>IFERROR(__xludf.DUMMYFUNCTION("""COMPUTED_VALUE"""),50.0)</f>
        <v>50</v>
      </c>
      <c r="E40" s="42">
        <f>IFERROR(__xludf.DUMMYFUNCTION("""COMPUTED_VALUE"""),25342.0)</f>
        <v>25342</v>
      </c>
      <c r="F40" s="39">
        <f>IFERROR(__xludf.DUMMYFUNCTION("""COMPUTED_VALUE"""),4236.0)</f>
        <v>4236</v>
      </c>
      <c r="G40" s="43">
        <f>AVERAGEIFS('Perú pre-COVID'!$E:$E,'Méx pre-COVID'!$D:$D,D40)</f>
        <v>2107</v>
      </c>
      <c r="H40" s="43">
        <f t="shared" si="1"/>
        <v>23235</v>
      </c>
      <c r="I40" s="44">
        <f>(F40/VLOOKUP($A$2,'Población'!$A$1:$B$5,2,0))*100000</f>
        <v>3.251902202</v>
      </c>
      <c r="J40" s="44">
        <f t="shared" si="2"/>
        <v>87.47970056</v>
      </c>
      <c r="K40" s="44">
        <f>(H40/VLOOKUP($A$2,'Población'!$A$1:$B$5,2,0))*100000</f>
        <v>17.83709812</v>
      </c>
      <c r="L40" s="44">
        <f t="shared" si="3"/>
        <v>567.0119343</v>
      </c>
    </row>
    <row r="41">
      <c r="A41" s="39" t="str">
        <f>IFERROR(__xludf.DUMMYFUNCTION("""COMPUTED_VALUE"""),"Mexico")</f>
        <v>Mexico</v>
      </c>
      <c r="B41" s="40">
        <f>IFERROR(__xludf.DUMMYFUNCTION("""COMPUTED_VALUE"""),44179.0)</f>
        <v>44179</v>
      </c>
      <c r="C41" s="41">
        <f>IFERROR(__xludf.DUMMYFUNCTION("""COMPUTED_VALUE"""),44185.0)</f>
        <v>44185</v>
      </c>
      <c r="D41" s="39">
        <f>IFERROR(__xludf.DUMMYFUNCTION("""COMPUTED_VALUE"""),51.0)</f>
        <v>51</v>
      </c>
      <c r="E41" s="42">
        <f>IFERROR(__xludf.DUMMYFUNCTION("""COMPUTED_VALUE"""),26560.0)</f>
        <v>26560</v>
      </c>
      <c r="F41" s="39">
        <f>IFERROR(__xludf.DUMMYFUNCTION("""COMPUTED_VALUE"""),4249.0)</f>
        <v>4249</v>
      </c>
      <c r="G41" s="43">
        <f>AVERAGEIFS('Perú pre-COVID'!$E:$E,'Méx pre-COVID'!$D:$D,D41)</f>
        <v>2159.333333</v>
      </c>
      <c r="H41" s="43">
        <f t="shared" si="1"/>
        <v>24400.66667</v>
      </c>
      <c r="I41" s="44">
        <f>(F41/VLOOKUP($A$2,'Población'!$A$1:$B$5,2,0))*100000</f>
        <v>3.261882071</v>
      </c>
      <c r="J41" s="44">
        <f t="shared" si="2"/>
        <v>90.74158263</v>
      </c>
      <c r="K41" s="44">
        <f>(H41/VLOOKUP($A$2,'Población'!$A$1:$B$5,2,0))*100000</f>
        <v>18.73195979</v>
      </c>
      <c r="L41" s="44">
        <f t="shared" si="3"/>
        <v>585.7438941</v>
      </c>
    </row>
    <row r="42">
      <c r="A42" s="39" t="str">
        <f>IFERROR(__xludf.DUMMYFUNCTION("""COMPUTED_VALUE"""),"Mexico")</f>
        <v>Mexico</v>
      </c>
      <c r="B42" s="40">
        <f>IFERROR(__xludf.DUMMYFUNCTION("""COMPUTED_VALUE"""),44186.0)</f>
        <v>44186</v>
      </c>
      <c r="C42" s="41">
        <f>IFERROR(__xludf.DUMMYFUNCTION("""COMPUTED_VALUE"""),44192.0)</f>
        <v>44192</v>
      </c>
      <c r="D42" s="39">
        <f>IFERROR(__xludf.DUMMYFUNCTION("""COMPUTED_VALUE"""),52.0)</f>
        <v>52</v>
      </c>
      <c r="E42" s="42">
        <f>IFERROR(__xludf.DUMMYFUNCTION("""COMPUTED_VALUE"""),29609.0)</f>
        <v>29609</v>
      </c>
      <c r="F42" s="39">
        <f>IFERROR(__xludf.DUMMYFUNCTION("""COMPUTED_VALUE"""),4224.0)</f>
        <v>4224</v>
      </c>
      <c r="G42" s="43">
        <f>AVERAGEIFS('Perú pre-COVID'!$E:$E,'Méx pre-COVID'!$D:$D,D42)</f>
        <v>2197.666667</v>
      </c>
      <c r="H42" s="43">
        <f t="shared" si="1"/>
        <v>27411.33333</v>
      </c>
      <c r="I42" s="44">
        <f>(F42/VLOOKUP($A$2,'Población'!$A$1:$B$5,2,0))*100000</f>
        <v>3.242690014</v>
      </c>
      <c r="J42" s="44">
        <f t="shared" si="2"/>
        <v>93.98427265</v>
      </c>
      <c r="K42" s="44">
        <f>(H42/VLOOKUP($A$2,'Población'!$A$1:$B$5,2,0))*100000</f>
        <v>21.04319528</v>
      </c>
      <c r="L42" s="44">
        <f t="shared" si="3"/>
        <v>606.7870894</v>
      </c>
    </row>
    <row r="43">
      <c r="A43" s="39" t="str">
        <f>IFERROR(__xludf.DUMMYFUNCTION("""COMPUTED_VALUE"""),"Mexico")</f>
        <v>Mexico</v>
      </c>
      <c r="B43" s="40">
        <f>IFERROR(__xludf.DUMMYFUNCTION("""COMPUTED_VALUE"""),44193.0)</f>
        <v>44193</v>
      </c>
      <c r="C43" s="41">
        <f>IFERROR(__xludf.DUMMYFUNCTION("""COMPUTED_VALUE"""),44199.0)</f>
        <v>44199</v>
      </c>
      <c r="D43" s="39">
        <f>IFERROR(__xludf.DUMMYFUNCTION("""COMPUTED_VALUE"""),53.0)</f>
        <v>53</v>
      </c>
      <c r="E43" s="42">
        <f>IFERROR(__xludf.DUMMYFUNCTION("""COMPUTED_VALUE"""),32637.0)</f>
        <v>32637</v>
      </c>
      <c r="F43" s="39">
        <f>IFERROR(__xludf.DUMMYFUNCTION("""COMPUTED_VALUE"""),4787.0)</f>
        <v>4787</v>
      </c>
      <c r="G43" s="43">
        <f>AVERAGEIFS('Perú pre-COVID'!$E:$E,'Méx pre-COVID'!$D:$D,D43)</f>
        <v>1987</v>
      </c>
      <c r="H43" s="43">
        <f t="shared" si="1"/>
        <v>30650</v>
      </c>
      <c r="I43" s="44">
        <f>(F43/VLOOKUP($A$2,'Población'!$A$1:$B$5,2,0))*100000</f>
        <v>3.674895146</v>
      </c>
      <c r="J43" s="44">
        <f t="shared" si="2"/>
        <v>97.65916779</v>
      </c>
      <c r="K43" s="44">
        <f>(H43/VLOOKUP($A$2,'Población'!$A$1:$B$5,2,0))*100000</f>
        <v>23.52946234</v>
      </c>
      <c r="L43" s="44">
        <f t="shared" si="3"/>
        <v>630.3165517</v>
      </c>
    </row>
    <row r="44">
      <c r="A44" s="39" t="str">
        <f>IFERROR(__xludf.DUMMYFUNCTION("""COMPUTED_VALUE"""),"Mexico")</f>
        <v>Mexico</v>
      </c>
      <c r="B44" s="40">
        <f>IFERROR(__xludf.DUMMYFUNCTION("""COMPUTED_VALUE"""),44200.0)</f>
        <v>44200</v>
      </c>
      <c r="C44" s="41">
        <f>IFERROR(__xludf.DUMMYFUNCTION("""COMPUTED_VALUE"""),44206.0)</f>
        <v>44206</v>
      </c>
      <c r="D44" s="39">
        <f>IFERROR(__xludf.DUMMYFUNCTION("""COMPUTED_VALUE"""),1.0)</f>
        <v>1</v>
      </c>
      <c r="E44" s="42">
        <f>IFERROR(__xludf.DUMMYFUNCTION("""COMPUTED_VALUE"""),36287.0)</f>
        <v>36287</v>
      </c>
      <c r="F44" s="39">
        <f>IFERROR(__xludf.DUMMYFUNCTION("""COMPUTED_VALUE"""),6493.0)</f>
        <v>6493</v>
      </c>
      <c r="G44" s="43">
        <f>AVERAGEIFS('Perú pre-COVID'!$E:$E,'Méx pre-COVID'!$D:$D,D44)</f>
        <v>2030</v>
      </c>
      <c r="H44" s="43">
        <f t="shared" si="1"/>
        <v>34257</v>
      </c>
      <c r="I44" s="44">
        <f>(F44/VLOOKUP($A$2,'Población'!$A$1:$B$5,2,0))*100000</f>
        <v>4.984561141</v>
      </c>
      <c r="J44" s="44">
        <f t="shared" si="2"/>
        <v>102.6437289</v>
      </c>
      <c r="K44" s="44">
        <f>(H44/VLOOKUP($A$2,'Población'!$A$1:$B$5,2,0))*100000</f>
        <v>26.29849238</v>
      </c>
      <c r="L44" s="44">
        <f t="shared" si="3"/>
        <v>656.6150441</v>
      </c>
    </row>
    <row r="45">
      <c r="A45" s="39" t="str">
        <f>IFERROR(__xludf.DUMMYFUNCTION("""COMPUTED_VALUE"""),"Mexico")</f>
        <v>Mexico</v>
      </c>
      <c r="B45" s="40">
        <f>IFERROR(__xludf.DUMMYFUNCTION("""COMPUTED_VALUE"""),44207.0)</f>
        <v>44207</v>
      </c>
      <c r="C45" s="41">
        <f>IFERROR(__xludf.DUMMYFUNCTION("""COMPUTED_VALUE"""),44213.0)</f>
        <v>44213</v>
      </c>
      <c r="D45" s="39">
        <f>IFERROR(__xludf.DUMMYFUNCTION("""COMPUTED_VALUE"""),2.0)</f>
        <v>2</v>
      </c>
      <c r="E45" s="42">
        <f>IFERROR(__xludf.DUMMYFUNCTION("""COMPUTED_VALUE"""),43427.0)</f>
        <v>43427</v>
      </c>
      <c r="F45" s="39">
        <f>IFERROR(__xludf.DUMMYFUNCTION("""COMPUTED_VALUE"""),6998.0)</f>
        <v>6998</v>
      </c>
      <c r="G45" s="43">
        <f>AVERAGEIFS('Perú pre-COVID'!$E:$E,'Méx pre-COVID'!$D:$D,D45)</f>
        <v>2013.75</v>
      </c>
      <c r="H45" s="43">
        <f t="shared" si="1"/>
        <v>41413.25</v>
      </c>
      <c r="I45" s="44">
        <f>(F45/VLOOKUP($A$2,'Población'!$A$1:$B$5,2,0))*100000</f>
        <v>5.3722407</v>
      </c>
      <c r="J45" s="44">
        <f t="shared" si="2"/>
        <v>108.0159696</v>
      </c>
      <c r="K45" s="44">
        <f>(H45/VLOOKUP($A$2,'Población'!$A$1:$B$5,2,0))*100000</f>
        <v>31.7922188</v>
      </c>
      <c r="L45" s="44">
        <f t="shared" si="3"/>
        <v>688.4072629</v>
      </c>
    </row>
    <row r="46">
      <c r="A46" s="39" t="str">
        <f>IFERROR(__xludf.DUMMYFUNCTION("""COMPUTED_VALUE"""),"Mexico")</f>
        <v>Mexico</v>
      </c>
      <c r="B46" s="40">
        <f>IFERROR(__xludf.DUMMYFUNCTION("""COMPUTED_VALUE"""),44214.0)</f>
        <v>44214</v>
      </c>
      <c r="C46" s="41">
        <f>IFERROR(__xludf.DUMMYFUNCTION("""COMPUTED_VALUE"""),44220.0)</f>
        <v>44220</v>
      </c>
      <c r="D46" s="39">
        <f>IFERROR(__xludf.DUMMYFUNCTION("""COMPUTED_VALUE"""),3.0)</f>
        <v>3</v>
      </c>
      <c r="E46" s="42">
        <f>IFERROR(__xludf.DUMMYFUNCTION("""COMPUTED_VALUE"""),44667.0)</f>
        <v>44667</v>
      </c>
      <c r="F46" s="39">
        <f>IFERROR(__xludf.DUMMYFUNCTION("""COMPUTED_VALUE"""),8910.0)</f>
        <v>8910</v>
      </c>
      <c r="G46" s="43">
        <f>AVERAGEIFS('Perú pre-COVID'!$E:$E,'Méx pre-COVID'!$D:$D,D46)</f>
        <v>2044.25</v>
      </c>
      <c r="H46" s="43">
        <f t="shared" si="1"/>
        <v>42622.75</v>
      </c>
      <c r="I46" s="44">
        <f>(F46/VLOOKUP($A$2,'Población'!$A$1:$B$5,2,0))*100000</f>
        <v>6.840049248</v>
      </c>
      <c r="J46" s="44">
        <f t="shared" si="2"/>
        <v>114.8560189</v>
      </c>
      <c r="K46" s="44">
        <f>(H46/VLOOKUP($A$2,'Población'!$A$1:$B$5,2,0))*100000</f>
        <v>32.72073054</v>
      </c>
      <c r="L46" s="44">
        <f t="shared" si="3"/>
        <v>721.1279935</v>
      </c>
    </row>
    <row r="47">
      <c r="A47" s="39" t="str">
        <f>IFERROR(__xludf.DUMMYFUNCTION("""COMPUTED_VALUE"""),"Mexico")</f>
        <v>Mexico</v>
      </c>
      <c r="B47" s="40">
        <f>IFERROR(__xludf.DUMMYFUNCTION("""COMPUTED_VALUE"""),44221.0)</f>
        <v>44221</v>
      </c>
      <c r="C47" s="41">
        <f>IFERROR(__xludf.DUMMYFUNCTION("""COMPUTED_VALUE"""),44227.0)</f>
        <v>44227</v>
      </c>
      <c r="D47" s="39">
        <f>IFERROR(__xludf.DUMMYFUNCTION("""COMPUTED_VALUE"""),4.0)</f>
        <v>4</v>
      </c>
      <c r="E47" s="42">
        <f>IFERROR(__xludf.DUMMYFUNCTION("""COMPUTED_VALUE"""),36617.0)</f>
        <v>36617</v>
      </c>
      <c r="F47" s="39">
        <f>IFERROR(__xludf.DUMMYFUNCTION("""COMPUTED_VALUE"""),8922.0)</f>
        <v>8922</v>
      </c>
      <c r="G47" s="43">
        <f>AVERAGEIFS('Perú pre-COVID'!$E:$E,'Méx pre-COVID'!$D:$D,D47)</f>
        <v>2062</v>
      </c>
      <c r="H47" s="43">
        <f t="shared" si="1"/>
        <v>34555</v>
      </c>
      <c r="I47" s="44">
        <f>(F47/VLOOKUP($A$2,'Población'!$A$1:$B$5,2,0))*100000</f>
        <v>6.849261436</v>
      </c>
      <c r="J47" s="44">
        <f t="shared" si="2"/>
        <v>121.7052803</v>
      </c>
      <c r="K47" s="44">
        <f>(H47/VLOOKUP($A$2,'Población'!$A$1:$B$5,2,0))*100000</f>
        <v>26.5272617</v>
      </c>
      <c r="L47" s="44">
        <f t="shared" si="3"/>
        <v>747.6552552</v>
      </c>
    </row>
    <row r="48">
      <c r="A48" s="39" t="str">
        <f>IFERROR(__xludf.DUMMYFUNCTION("""COMPUTED_VALUE"""),"Mexico")</f>
        <v>Mexico</v>
      </c>
      <c r="B48" s="40">
        <f>IFERROR(__xludf.DUMMYFUNCTION("""COMPUTED_VALUE"""),44228.0)</f>
        <v>44228</v>
      </c>
      <c r="C48" s="41">
        <f>IFERROR(__xludf.DUMMYFUNCTION("""COMPUTED_VALUE"""),44234.0)</f>
        <v>44234</v>
      </c>
      <c r="D48" s="39">
        <f>IFERROR(__xludf.DUMMYFUNCTION("""COMPUTED_VALUE"""),5.0)</f>
        <v>5</v>
      </c>
      <c r="E48" s="42">
        <f>IFERROR(__xludf.DUMMYFUNCTION("""COMPUTED_VALUE"""),31825.0)</f>
        <v>31825</v>
      </c>
      <c r="F48" s="39">
        <f>IFERROR(__xludf.DUMMYFUNCTION("""COMPUTED_VALUE"""),7664.0)</f>
        <v>7664</v>
      </c>
      <c r="G48" s="43">
        <f>AVERAGEIFS('Perú pre-COVID'!$E:$E,'Méx pre-COVID'!$D:$D,D48)</f>
        <v>2108</v>
      </c>
      <c r="H48" s="43">
        <f t="shared" si="1"/>
        <v>29717</v>
      </c>
      <c r="I48" s="44">
        <f>(F48/VLOOKUP($A$2,'Población'!$A$1:$B$5,2,0))*100000</f>
        <v>5.883517109</v>
      </c>
      <c r="J48" s="44">
        <f t="shared" si="2"/>
        <v>127.5887974</v>
      </c>
      <c r="K48" s="44">
        <f>(H48/VLOOKUP($A$2,'Población'!$A$1:$B$5,2,0))*100000</f>
        <v>22.81321476</v>
      </c>
      <c r="L48" s="44">
        <f t="shared" si="3"/>
        <v>770.4684699</v>
      </c>
    </row>
    <row r="49">
      <c r="A49" s="39" t="str">
        <f>IFERROR(__xludf.DUMMYFUNCTION("""COMPUTED_VALUE"""),"Mexico")</f>
        <v>Mexico</v>
      </c>
      <c r="B49" s="40">
        <f>IFERROR(__xludf.DUMMYFUNCTION("""COMPUTED_VALUE"""),44235.0)</f>
        <v>44235</v>
      </c>
      <c r="C49" s="41">
        <f>IFERROR(__xludf.DUMMYFUNCTION("""COMPUTED_VALUE"""),44241.0)</f>
        <v>44241</v>
      </c>
      <c r="D49" s="39">
        <f>IFERROR(__xludf.DUMMYFUNCTION("""COMPUTED_VALUE"""),6.0)</f>
        <v>6</v>
      </c>
      <c r="E49" s="42">
        <f>IFERROR(__xludf.DUMMYFUNCTION("""COMPUTED_VALUE"""),26858.0)</f>
        <v>26858</v>
      </c>
      <c r="F49" s="39">
        <f>IFERROR(__xludf.DUMMYFUNCTION("""COMPUTED_VALUE"""),8007.0)</f>
        <v>8007</v>
      </c>
      <c r="G49" s="43">
        <f>AVERAGEIFS('Perú pre-COVID'!$E:$E,'Méx pre-COVID'!$D:$D,D49)</f>
        <v>2077.75</v>
      </c>
      <c r="H49" s="43">
        <f t="shared" si="1"/>
        <v>24780.25</v>
      </c>
      <c r="I49" s="44">
        <f>(F49/VLOOKUP($A$2,'Población'!$A$1:$B$5,2,0))*100000</f>
        <v>6.146832136</v>
      </c>
      <c r="J49" s="44">
        <f t="shared" si="2"/>
        <v>133.7356296</v>
      </c>
      <c r="K49" s="44">
        <f>(H49/VLOOKUP($A$2,'Población'!$A$1:$B$5,2,0))*100000</f>
        <v>19.02335919</v>
      </c>
      <c r="L49" s="44">
        <f t="shared" si="3"/>
        <v>789.4918291</v>
      </c>
    </row>
    <row r="50">
      <c r="A50" s="39" t="str">
        <f>IFERROR(__xludf.DUMMYFUNCTION("""COMPUTED_VALUE"""),"Mexico")</f>
        <v>Mexico</v>
      </c>
      <c r="B50" s="40">
        <f>IFERROR(__xludf.DUMMYFUNCTION("""COMPUTED_VALUE"""),44242.0)</f>
        <v>44242</v>
      </c>
      <c r="C50" s="41">
        <f>IFERROR(__xludf.DUMMYFUNCTION("""COMPUTED_VALUE"""),44248.0)</f>
        <v>44248</v>
      </c>
      <c r="D50" s="39">
        <f>IFERROR(__xludf.DUMMYFUNCTION("""COMPUTED_VALUE"""),7.0)</f>
        <v>7</v>
      </c>
      <c r="E50" s="42">
        <f>IFERROR(__xludf.DUMMYFUNCTION("""COMPUTED_VALUE"""),25330.0)</f>
        <v>25330</v>
      </c>
      <c r="F50" s="39">
        <f>IFERROR(__xludf.DUMMYFUNCTION("""COMPUTED_VALUE"""),5900.0)</f>
        <v>5900</v>
      </c>
      <c r="G50" s="43">
        <f>AVERAGEIFS('Perú pre-COVID'!$E:$E,'Méx pre-COVID'!$D:$D,D50)</f>
        <v>2081.5</v>
      </c>
      <c r="H50" s="43">
        <f t="shared" si="1"/>
        <v>23248.5</v>
      </c>
      <c r="I50" s="44">
        <f>(F50/VLOOKUP($A$2,'Población'!$A$1:$B$5,2,0))*100000</f>
        <v>4.52932554</v>
      </c>
      <c r="J50" s="44">
        <f t="shared" si="2"/>
        <v>138.2649551</v>
      </c>
      <c r="K50" s="44">
        <f>(H50/VLOOKUP($A$2,'Población'!$A$1:$B$5,2,0))*100000</f>
        <v>17.84746184</v>
      </c>
      <c r="L50" s="44">
        <f t="shared" si="3"/>
        <v>807.339291</v>
      </c>
    </row>
    <row r="51">
      <c r="A51" s="39" t="str">
        <f>IFERROR(__xludf.DUMMYFUNCTION("""COMPUTED_VALUE"""),"Mexico")</f>
        <v>Mexico</v>
      </c>
      <c r="B51" s="40">
        <f>IFERROR(__xludf.DUMMYFUNCTION("""COMPUTED_VALUE"""),44249.0)</f>
        <v>44249</v>
      </c>
      <c r="C51" s="41">
        <f>IFERROR(__xludf.DUMMYFUNCTION("""COMPUTED_VALUE"""),44255.0)</f>
        <v>44255</v>
      </c>
      <c r="D51" s="39">
        <f>IFERROR(__xludf.DUMMYFUNCTION("""COMPUTED_VALUE"""),8.0)</f>
        <v>8</v>
      </c>
      <c r="E51" s="42">
        <f>IFERROR(__xludf.DUMMYFUNCTION("""COMPUTED_VALUE"""),24010.0)</f>
        <v>24010</v>
      </c>
      <c r="F51" s="39">
        <f>IFERROR(__xludf.DUMMYFUNCTION("""COMPUTED_VALUE"""),5608.0)</f>
        <v>5608</v>
      </c>
      <c r="G51" s="43">
        <f>AVERAGEIFS('Perú pre-COVID'!$E:$E,'Méx pre-COVID'!$D:$D,D51)</f>
        <v>2167.25</v>
      </c>
      <c r="H51" s="43">
        <f t="shared" si="1"/>
        <v>21842.75</v>
      </c>
      <c r="I51" s="44">
        <f>(F51/VLOOKUP($A$2,'Población'!$A$1:$B$5,2,0))*100000</f>
        <v>4.30516231</v>
      </c>
      <c r="J51" s="44">
        <f t="shared" si="2"/>
        <v>142.5701174</v>
      </c>
      <c r="K51" s="44">
        <f>(H51/VLOOKUP($A$2,'Población'!$A$1:$B$5,2,0))*100000</f>
        <v>16.76829245</v>
      </c>
      <c r="L51" s="44">
        <f t="shared" si="3"/>
        <v>824.1075834</v>
      </c>
    </row>
    <row r="52">
      <c r="A52" s="39" t="str">
        <f>IFERROR(__xludf.DUMMYFUNCTION("""COMPUTED_VALUE"""),"Mexico")</f>
        <v>Mexico</v>
      </c>
      <c r="B52" s="40">
        <f>IFERROR(__xludf.DUMMYFUNCTION("""COMPUTED_VALUE"""),44256.0)</f>
        <v>44256</v>
      </c>
      <c r="C52" s="41">
        <f>IFERROR(__xludf.DUMMYFUNCTION("""COMPUTED_VALUE"""),44262.0)</f>
        <v>44262</v>
      </c>
      <c r="D52" s="39">
        <f>IFERROR(__xludf.DUMMYFUNCTION("""COMPUTED_VALUE"""),9.0)</f>
        <v>9</v>
      </c>
      <c r="E52" s="42">
        <f>IFERROR(__xludf.DUMMYFUNCTION("""COMPUTED_VALUE"""),20488.0)</f>
        <v>20488</v>
      </c>
      <c r="F52" s="39">
        <f>IFERROR(__xludf.DUMMYFUNCTION("""COMPUTED_VALUE"""),4889.0)</f>
        <v>4889</v>
      </c>
      <c r="G52" s="43">
        <f>AVERAGEIFS('Perú pre-COVID'!$E:$E,'Méx pre-COVID'!$D:$D,D52)</f>
        <v>2079.333333</v>
      </c>
      <c r="H52" s="43">
        <f t="shared" si="1"/>
        <v>18408.66667</v>
      </c>
      <c r="I52" s="44">
        <f>(F52/VLOOKUP($A$2,'Población'!$A$1:$B$5,2,0))*100000</f>
        <v>3.75319874</v>
      </c>
      <c r="J52" s="44">
        <f t="shared" si="2"/>
        <v>146.3233162</v>
      </c>
      <c r="K52" s="44">
        <f>(H52/VLOOKUP($A$2,'Población'!$A$1:$B$5,2,0))*100000</f>
        <v>14.13200747</v>
      </c>
      <c r="L52" s="44">
        <f t="shared" si="3"/>
        <v>838.2395909</v>
      </c>
    </row>
    <row r="53">
      <c r="A53" s="39" t="str">
        <f>IFERROR(__xludf.DUMMYFUNCTION("""COMPUTED_VALUE"""),"Mexico")</f>
        <v>Mexico</v>
      </c>
      <c r="B53" s="40">
        <f>IFERROR(__xludf.DUMMYFUNCTION("""COMPUTED_VALUE"""),44263.0)</f>
        <v>44263</v>
      </c>
      <c r="C53" s="41">
        <f>IFERROR(__xludf.DUMMYFUNCTION("""COMPUTED_VALUE"""),44269.0)</f>
        <v>44269</v>
      </c>
      <c r="D53" s="39">
        <f>IFERROR(__xludf.DUMMYFUNCTION("""COMPUTED_VALUE"""),10.0)</f>
        <v>10</v>
      </c>
      <c r="E53" s="42">
        <f>IFERROR(__xludf.DUMMYFUNCTION("""COMPUTED_VALUE"""),19752.0)</f>
        <v>19752</v>
      </c>
      <c r="F53" s="39">
        <f>IFERROR(__xludf.DUMMYFUNCTION("""COMPUTED_VALUE"""),4106.0)</f>
        <v>4106</v>
      </c>
      <c r="G53" s="43">
        <f>AVERAGEIFS('Perú pre-COVID'!$E:$E,'Méx pre-COVID'!$D:$D,D53)</f>
        <v>2021</v>
      </c>
      <c r="H53" s="43">
        <f t="shared" si="1"/>
        <v>17731</v>
      </c>
      <c r="I53" s="44">
        <f>(F53/VLOOKUP($A$2,'Población'!$A$1:$B$5,2,0))*100000</f>
        <v>3.152103503</v>
      </c>
      <c r="J53" s="44">
        <f t="shared" si="2"/>
        <v>149.4754197</v>
      </c>
      <c r="K53" s="44">
        <f>(H53/VLOOKUP($A$2,'Población'!$A$1:$B$5,2,0))*100000</f>
        <v>13.61177477</v>
      </c>
      <c r="L53" s="44">
        <f t="shared" si="3"/>
        <v>851.8513657</v>
      </c>
    </row>
    <row r="54">
      <c r="A54" s="39" t="str">
        <f>IFERROR(__xludf.DUMMYFUNCTION("""COMPUTED_VALUE"""),"Mexico")</f>
        <v>Mexico</v>
      </c>
      <c r="B54" s="40">
        <f>IFERROR(__xludf.DUMMYFUNCTION("""COMPUTED_VALUE"""),44270.0)</f>
        <v>44270</v>
      </c>
      <c r="C54" s="41">
        <f>IFERROR(__xludf.DUMMYFUNCTION("""COMPUTED_VALUE"""),44276.0)</f>
        <v>44276</v>
      </c>
      <c r="D54" s="39">
        <f>IFERROR(__xludf.DUMMYFUNCTION("""COMPUTED_VALUE"""),11.0)</f>
        <v>11</v>
      </c>
      <c r="E54" s="42">
        <f>IFERROR(__xludf.DUMMYFUNCTION("""COMPUTED_VALUE"""),18508.0)</f>
        <v>18508</v>
      </c>
      <c r="F54" s="39">
        <f>IFERROR(__xludf.DUMMYFUNCTION("""COMPUTED_VALUE"""),3326.0)</f>
        <v>3326</v>
      </c>
      <c r="G54" s="43">
        <f>AVERAGEIFS('Perú pre-COVID'!$E:$E,'Méx pre-COVID'!$D:$D,D54)</f>
        <v>2002.666667</v>
      </c>
      <c r="H54" s="43">
        <f t="shared" si="1"/>
        <v>16505.33333</v>
      </c>
      <c r="I54" s="44">
        <f>(F54/VLOOKUP($A$2,'Población'!$A$1:$B$5,2,0))*100000</f>
        <v>2.553311313</v>
      </c>
      <c r="J54" s="44">
        <f t="shared" si="2"/>
        <v>152.028731</v>
      </c>
      <c r="K54" s="44">
        <f>(H54/VLOOKUP($A$2,'Población'!$A$1:$B$5,2,0))*100000</f>
        <v>12.67085217</v>
      </c>
      <c r="L54" s="44">
        <f t="shared" si="3"/>
        <v>864.5222178</v>
      </c>
    </row>
    <row r="55">
      <c r="A55" s="39" t="str">
        <f>IFERROR(__xludf.DUMMYFUNCTION("""COMPUTED_VALUE"""),"Mexico")</f>
        <v>Mexico</v>
      </c>
      <c r="B55" s="40">
        <f>IFERROR(__xludf.DUMMYFUNCTION("""COMPUTED_VALUE"""),44277.0)</f>
        <v>44277</v>
      </c>
      <c r="C55" s="41">
        <f>IFERROR(__xludf.DUMMYFUNCTION("""COMPUTED_VALUE"""),44283.0)</f>
        <v>44283</v>
      </c>
      <c r="D55" s="39">
        <f>IFERROR(__xludf.DUMMYFUNCTION("""COMPUTED_VALUE"""),12.0)</f>
        <v>12</v>
      </c>
      <c r="E55" s="42">
        <f>IFERROR(__xludf.DUMMYFUNCTION("""COMPUTED_VALUE"""),17801.0)</f>
        <v>17801</v>
      </c>
      <c r="F55" s="39">
        <f>IFERROR(__xludf.DUMMYFUNCTION("""COMPUTED_VALUE"""),3587.0)</f>
        <v>3587</v>
      </c>
      <c r="G55" s="43">
        <f>AVERAGEIFS('Perú pre-COVID'!$E:$E,'Méx pre-COVID'!$D:$D,D55)</f>
        <v>2001.666667</v>
      </c>
      <c r="H55" s="43">
        <f t="shared" si="1"/>
        <v>15799.33333</v>
      </c>
      <c r="I55" s="44">
        <f>(F55/VLOOKUP($A$2,'Población'!$A$1:$B$5,2,0))*100000</f>
        <v>2.753676392</v>
      </c>
      <c r="J55" s="44">
        <f t="shared" si="2"/>
        <v>154.7824074</v>
      </c>
      <c r="K55" s="44">
        <f>(H55/VLOOKUP($A$2,'Población'!$A$1:$B$5,2,0))*100000</f>
        <v>12.12886847</v>
      </c>
      <c r="L55" s="44">
        <f t="shared" si="3"/>
        <v>876.6510863</v>
      </c>
    </row>
    <row r="56">
      <c r="A56" s="39" t="str">
        <f>IFERROR(__xludf.DUMMYFUNCTION("""COMPUTED_VALUE"""),"Mexico")</f>
        <v>Mexico</v>
      </c>
      <c r="B56" s="40">
        <f>IFERROR(__xludf.DUMMYFUNCTION("""COMPUTED_VALUE"""),44284.0)</f>
        <v>44284</v>
      </c>
      <c r="C56" s="41">
        <f>IFERROR(__xludf.DUMMYFUNCTION("""COMPUTED_VALUE"""),44290.0)</f>
        <v>44290</v>
      </c>
      <c r="D56" s="39">
        <f>IFERROR(__xludf.DUMMYFUNCTION("""COMPUTED_VALUE"""),13.0)</f>
        <v>13</v>
      </c>
      <c r="E56" s="42">
        <f>IFERROR(__xludf.DUMMYFUNCTION("""COMPUTED_VALUE"""),16992.0)</f>
        <v>16992</v>
      </c>
      <c r="F56" s="39">
        <f>IFERROR(__xludf.DUMMYFUNCTION("""COMPUTED_VALUE"""),2524.0)</f>
        <v>2524</v>
      </c>
      <c r="G56" s="43">
        <f>AVERAGEIFS('Perú pre-COVID'!$E:$E,'Méx pre-COVID'!$D:$D,D56)</f>
        <v>1975</v>
      </c>
      <c r="H56" s="43">
        <f t="shared" si="1"/>
        <v>15017</v>
      </c>
      <c r="I56" s="44">
        <f>(F56/VLOOKUP($A$2,'Población'!$A$1:$B$5,2,0))*100000</f>
        <v>1.937630113</v>
      </c>
      <c r="J56" s="44">
        <f t="shared" si="2"/>
        <v>156.7200375</v>
      </c>
      <c r="K56" s="44">
        <f>(H56/VLOOKUP($A$2,'Población'!$A$1:$B$5,2,0))*100000</f>
        <v>11.52828502</v>
      </c>
      <c r="L56" s="44">
        <f t="shared" si="3"/>
        <v>888.1793713</v>
      </c>
    </row>
    <row r="57">
      <c r="A57" s="39" t="str">
        <f>IFERROR(__xludf.DUMMYFUNCTION("""COMPUTED_VALUE"""),"Mexico")</f>
        <v>Mexico</v>
      </c>
      <c r="B57" s="40">
        <f>IFERROR(__xludf.DUMMYFUNCTION("""COMPUTED_VALUE"""),44291.0)</f>
        <v>44291</v>
      </c>
      <c r="C57" s="41">
        <f>IFERROR(__xludf.DUMMYFUNCTION("""COMPUTED_VALUE"""),44297.0)</f>
        <v>44297</v>
      </c>
      <c r="D57" s="39">
        <f>IFERROR(__xludf.DUMMYFUNCTION("""COMPUTED_VALUE"""),14.0)</f>
        <v>14</v>
      </c>
      <c r="E57" s="42">
        <f>IFERROR(__xludf.DUMMYFUNCTION("""COMPUTED_VALUE"""),17364.0)</f>
        <v>17364</v>
      </c>
      <c r="F57" s="39">
        <f>IFERROR(__xludf.DUMMYFUNCTION("""COMPUTED_VALUE"""),5191.0)</f>
        <v>5191</v>
      </c>
      <c r="G57" s="43">
        <f>AVERAGEIFS('Perú pre-COVID'!$E:$E,'Méx pre-COVID'!$D:$D,D57)</f>
        <v>1898.666667</v>
      </c>
      <c r="H57" s="43">
        <f t="shared" si="1"/>
        <v>15465.33333</v>
      </c>
      <c r="I57" s="44">
        <f>(F57/VLOOKUP($A$2,'Población'!$A$1:$B$5,2,0))*100000</f>
        <v>3.985038793</v>
      </c>
      <c r="J57" s="44">
        <f t="shared" si="2"/>
        <v>160.7050763</v>
      </c>
      <c r="K57" s="44">
        <f>(H57/VLOOKUP($A$2,'Población'!$A$1:$B$5,2,0))*100000</f>
        <v>11.87246259</v>
      </c>
      <c r="L57" s="44">
        <f t="shared" si="3"/>
        <v>900.0518339</v>
      </c>
    </row>
    <row r="58">
      <c r="A58" s="39" t="str">
        <f>IFERROR(__xludf.DUMMYFUNCTION("""COMPUTED_VALUE"""),"Mexico")</f>
        <v>Mexico</v>
      </c>
      <c r="B58" s="40">
        <f>IFERROR(__xludf.DUMMYFUNCTION("""COMPUTED_VALUE"""),44298.0)</f>
        <v>44298</v>
      </c>
      <c r="C58" s="41">
        <f>IFERROR(__xludf.DUMMYFUNCTION("""COMPUTED_VALUE"""),44304.0)</f>
        <v>44304</v>
      </c>
      <c r="D58" s="39">
        <f>IFERROR(__xludf.DUMMYFUNCTION("""COMPUTED_VALUE"""),15.0)</f>
        <v>15</v>
      </c>
      <c r="E58" s="42">
        <f>IFERROR(__xludf.DUMMYFUNCTION("""COMPUTED_VALUE"""),16927.0)</f>
        <v>16927</v>
      </c>
      <c r="F58" s="39">
        <f>IFERROR(__xludf.DUMMYFUNCTION("""COMPUTED_VALUE"""),3001.0)</f>
        <v>3001</v>
      </c>
      <c r="G58" s="43">
        <f>AVERAGEIFS('Perú pre-COVID'!$E:$E,'Méx pre-COVID'!$D:$D,D58)</f>
        <v>1960.666667</v>
      </c>
      <c r="H58" s="43">
        <f t="shared" si="1"/>
        <v>14966.33333</v>
      </c>
      <c r="I58" s="44">
        <f>(F58/VLOOKUP($A$2,'Población'!$A$1:$B$5,2,0))*100000</f>
        <v>2.303814567</v>
      </c>
      <c r="J58" s="44">
        <f t="shared" si="2"/>
        <v>163.0088908</v>
      </c>
      <c r="K58" s="44">
        <f>(H58/VLOOKUP($A$2,'Población'!$A$1:$B$5,2,0))*100000</f>
        <v>11.48938912</v>
      </c>
      <c r="L58" s="44">
        <f t="shared" si="3"/>
        <v>911.541223</v>
      </c>
    </row>
    <row r="59">
      <c r="A59" s="39" t="str">
        <f>IFERROR(__xludf.DUMMYFUNCTION("""COMPUTED_VALUE"""),"Mexico")</f>
        <v>Mexico</v>
      </c>
      <c r="B59" s="40">
        <f>IFERROR(__xludf.DUMMYFUNCTION("""COMPUTED_VALUE"""),44305.0)</f>
        <v>44305</v>
      </c>
      <c r="C59" s="41">
        <f>IFERROR(__xludf.DUMMYFUNCTION("""COMPUTED_VALUE"""),44311.0)</f>
        <v>44311</v>
      </c>
      <c r="D59" s="39">
        <f>IFERROR(__xludf.DUMMYFUNCTION("""COMPUTED_VALUE"""),16.0)</f>
        <v>16</v>
      </c>
      <c r="E59" s="42">
        <f>IFERROR(__xludf.DUMMYFUNCTION("""COMPUTED_VALUE"""),16037.0)</f>
        <v>16037</v>
      </c>
      <c r="F59" s="39">
        <f>IFERROR(__xludf.DUMMYFUNCTION("""COMPUTED_VALUE"""),2608.0)</f>
        <v>2608</v>
      </c>
      <c r="G59" s="43">
        <f>AVERAGEIFS('Perú pre-COVID'!$E:$E,'Méx pre-COVID'!$D:$D,D59)</f>
        <v>1939.333333</v>
      </c>
      <c r="H59" s="43">
        <f t="shared" si="1"/>
        <v>14097.66667</v>
      </c>
      <c r="I59" s="44">
        <f>(F59/VLOOKUP($A$2,'Población'!$A$1:$B$5,2,0))*100000</f>
        <v>2.002115425</v>
      </c>
      <c r="J59" s="44">
        <f t="shared" si="2"/>
        <v>165.0110063</v>
      </c>
      <c r="K59" s="44">
        <f>(H59/VLOOKUP($A$2,'Población'!$A$1:$B$5,2,0))*100000</f>
        <v>10.8225291</v>
      </c>
      <c r="L59" s="44">
        <f t="shared" si="3"/>
        <v>922.3637521</v>
      </c>
    </row>
    <row r="60">
      <c r="A60" s="39" t="str">
        <f>IFERROR(__xludf.DUMMYFUNCTION("""COMPUTED_VALUE"""),"Mexico")</f>
        <v>Mexico</v>
      </c>
      <c r="B60" s="40">
        <f>IFERROR(__xludf.DUMMYFUNCTION("""COMPUTED_VALUE"""),44312.0)</f>
        <v>44312</v>
      </c>
      <c r="C60" s="41">
        <f>IFERROR(__xludf.DUMMYFUNCTION("""COMPUTED_VALUE"""),44318.0)</f>
        <v>44318</v>
      </c>
      <c r="D60" s="39">
        <f>IFERROR(__xludf.DUMMYFUNCTION("""COMPUTED_VALUE"""),17.0)</f>
        <v>17</v>
      </c>
      <c r="E60" s="42">
        <f>IFERROR(__xludf.DUMMYFUNCTION("""COMPUTED_VALUE"""),15511.0)</f>
        <v>15511</v>
      </c>
      <c r="F60" s="39">
        <f>IFERROR(__xludf.DUMMYFUNCTION("""COMPUTED_VALUE"""),2286.0)</f>
        <v>2286</v>
      </c>
      <c r="G60" s="43">
        <f>AVERAGEIFS('Perú pre-COVID'!$E:$E,'Méx pre-COVID'!$D:$D,D60)</f>
        <v>1952</v>
      </c>
      <c r="H60" s="43">
        <f t="shared" si="1"/>
        <v>13559</v>
      </c>
      <c r="I60" s="44">
        <f>(F60/VLOOKUP($A$2,'Población'!$A$1:$B$5,2,0))*100000</f>
        <v>1.754921726</v>
      </c>
      <c r="J60" s="44">
        <f t="shared" si="2"/>
        <v>166.765928</v>
      </c>
      <c r="K60" s="44">
        <f>(H60/VLOOKUP($A$2,'Población'!$A$1:$B$5,2,0))*100000</f>
        <v>10.40900424</v>
      </c>
      <c r="L60" s="44">
        <f t="shared" si="3"/>
        <v>932.7727564</v>
      </c>
    </row>
    <row r="61">
      <c r="A61" s="39" t="str">
        <f>IFERROR(__xludf.DUMMYFUNCTION("""COMPUTED_VALUE"""),"Mexico")</f>
        <v>Mexico</v>
      </c>
      <c r="B61" s="40">
        <f>IFERROR(__xludf.DUMMYFUNCTION("""COMPUTED_VALUE"""),44319.0)</f>
        <v>44319</v>
      </c>
      <c r="C61" s="41">
        <f>IFERROR(__xludf.DUMMYFUNCTION("""COMPUTED_VALUE"""),44325.0)</f>
        <v>44325</v>
      </c>
      <c r="D61" s="39">
        <f>IFERROR(__xludf.DUMMYFUNCTION("""COMPUTED_VALUE"""),18.0)</f>
        <v>18</v>
      </c>
      <c r="E61" s="42">
        <f>IFERROR(__xludf.DUMMYFUNCTION("""COMPUTED_VALUE"""),15125.0)</f>
        <v>15125</v>
      </c>
      <c r="F61" s="39">
        <f>IFERROR(__xludf.DUMMYFUNCTION("""COMPUTED_VALUE"""),1752.0)</f>
        <v>1752</v>
      </c>
      <c r="G61" s="43">
        <f>AVERAGEIFS('Perú pre-COVID'!$E:$E,'Méx pre-COVID'!$D:$D,D61)</f>
        <v>1920.666667</v>
      </c>
      <c r="H61" s="43">
        <f t="shared" si="1"/>
        <v>13204.33333</v>
      </c>
      <c r="I61" s="44">
        <f>(F61/VLOOKUP($A$2,'Población'!$A$1:$B$5,2,0))*100000</f>
        <v>1.344979381</v>
      </c>
      <c r="J61" s="44">
        <f t="shared" si="2"/>
        <v>168.1109074</v>
      </c>
      <c r="K61" s="44">
        <f>(H61/VLOOKUP($A$2,'Población'!$A$1:$B$5,2,0))*100000</f>
        <v>10.13673292</v>
      </c>
      <c r="L61" s="44">
        <f t="shared" si="3"/>
        <v>942.9094893</v>
      </c>
    </row>
    <row r="62">
      <c r="A62" s="39" t="str">
        <f>IFERROR(__xludf.DUMMYFUNCTION("""COMPUTED_VALUE"""),"Mexico")</f>
        <v>Mexico</v>
      </c>
      <c r="B62" s="40">
        <f>IFERROR(__xludf.DUMMYFUNCTION("""COMPUTED_VALUE"""),44326.0)</f>
        <v>44326</v>
      </c>
      <c r="C62" s="41">
        <f>IFERROR(__xludf.DUMMYFUNCTION("""COMPUTED_VALUE"""),44332.0)</f>
        <v>44332</v>
      </c>
      <c r="D62" s="39">
        <f>IFERROR(__xludf.DUMMYFUNCTION("""COMPUTED_VALUE"""),19.0)</f>
        <v>19</v>
      </c>
      <c r="E62" s="42">
        <f>IFERROR(__xludf.DUMMYFUNCTION("""COMPUTED_VALUE"""),14734.0)</f>
        <v>14734</v>
      </c>
      <c r="F62" s="39">
        <f>IFERROR(__xludf.DUMMYFUNCTION("""COMPUTED_VALUE"""),1452.0)</f>
        <v>1452</v>
      </c>
      <c r="G62" s="43">
        <f>AVERAGEIFS('Perú pre-COVID'!$E:$E,'Méx pre-COVID'!$D:$D,D62)</f>
        <v>1963.333333</v>
      </c>
      <c r="H62" s="43">
        <f t="shared" si="1"/>
        <v>12770.66667</v>
      </c>
      <c r="I62" s="44">
        <f>(F62/VLOOKUP($A$2,'Población'!$A$1:$B$5,2,0))*100000</f>
        <v>1.114674692</v>
      </c>
      <c r="J62" s="44">
        <f t="shared" si="2"/>
        <v>169.2255821</v>
      </c>
      <c r="K62" s="44">
        <f>(H62/VLOOKUP($A$2,'Población'!$A$1:$B$5,2,0))*100000</f>
        <v>9.803814695</v>
      </c>
      <c r="L62" s="44">
        <f t="shared" si="3"/>
        <v>952.713304</v>
      </c>
    </row>
    <row r="63">
      <c r="A63" s="39" t="str">
        <f>IFERROR(__xludf.DUMMYFUNCTION("""COMPUTED_VALUE"""),"Mexico")</f>
        <v>Mexico</v>
      </c>
      <c r="B63" s="40">
        <f>IFERROR(__xludf.DUMMYFUNCTION("""COMPUTED_VALUE"""),44333.0)</f>
        <v>44333</v>
      </c>
      <c r="C63" s="41">
        <f>IFERROR(__xludf.DUMMYFUNCTION("""COMPUTED_VALUE"""),44339.0)</f>
        <v>44339</v>
      </c>
      <c r="D63" s="39">
        <f>IFERROR(__xludf.DUMMYFUNCTION("""COMPUTED_VALUE"""),20.0)</f>
        <v>20</v>
      </c>
      <c r="E63" s="42">
        <f>IFERROR(__xludf.DUMMYFUNCTION("""COMPUTED_VALUE"""),14264.0)</f>
        <v>14264</v>
      </c>
      <c r="F63" s="39">
        <f>IFERROR(__xludf.DUMMYFUNCTION("""COMPUTED_VALUE"""),1210.0)</f>
        <v>1210</v>
      </c>
      <c r="G63" s="43">
        <f>AVERAGEIFS('Perú pre-COVID'!$E:$E,'Méx pre-COVID'!$D:$D,D63)</f>
        <v>2034</v>
      </c>
      <c r="H63" s="43">
        <f t="shared" si="1"/>
        <v>12230</v>
      </c>
      <c r="I63" s="44">
        <f>(F63/VLOOKUP($A$2,'Población'!$A$1:$B$5,2,0))*100000</f>
        <v>0.9288955769</v>
      </c>
      <c r="J63" s="44">
        <f t="shared" si="2"/>
        <v>170.1544776</v>
      </c>
      <c r="K63" s="44">
        <f>(H63/VLOOKUP($A$2,'Población'!$A$1:$B$5,2,0))*100000</f>
        <v>9.388754468</v>
      </c>
      <c r="L63" s="44">
        <f t="shared" si="3"/>
        <v>962.1020584</v>
      </c>
    </row>
    <row r="64">
      <c r="A64" s="39" t="str">
        <f>IFERROR(__xludf.DUMMYFUNCTION("""COMPUTED_VALUE"""),"Mexico")</f>
        <v>Mexico</v>
      </c>
      <c r="B64" s="40">
        <f>IFERROR(__xludf.DUMMYFUNCTION("""COMPUTED_VALUE"""),44340.0)</f>
        <v>44340</v>
      </c>
      <c r="C64" s="41">
        <f>IFERROR(__xludf.DUMMYFUNCTION("""COMPUTED_VALUE"""),44346.0)</f>
        <v>44346</v>
      </c>
      <c r="D64" s="39">
        <f>IFERROR(__xludf.DUMMYFUNCTION("""COMPUTED_VALUE"""),21.0)</f>
        <v>21</v>
      </c>
      <c r="E64" s="42">
        <f>IFERROR(__xludf.DUMMYFUNCTION("""COMPUTED_VALUE"""),14358.0)</f>
        <v>14358</v>
      </c>
      <c r="F64" s="39">
        <f>IFERROR(__xludf.DUMMYFUNCTION("""COMPUTED_VALUE"""),1860.0)</f>
        <v>1860</v>
      </c>
      <c r="G64" s="43">
        <f>AVERAGEIFS('Perú pre-COVID'!$E:$E,'Méx pre-COVID'!$D:$D,D64)</f>
        <v>2060.333333</v>
      </c>
      <c r="H64" s="43">
        <f t="shared" si="1"/>
        <v>12297.66667</v>
      </c>
      <c r="I64" s="44">
        <f>(F64/VLOOKUP($A$2,'Población'!$A$1:$B$5,2,0))*100000</f>
        <v>1.427889069</v>
      </c>
      <c r="J64" s="44">
        <f t="shared" si="2"/>
        <v>171.5823667</v>
      </c>
      <c r="K64" s="44">
        <f>(H64/VLOOKUP($A$2,'Población'!$A$1:$B$5,2,0))*100000</f>
        <v>9.44070097</v>
      </c>
      <c r="L64" s="44">
        <f t="shared" si="3"/>
        <v>971.5427594</v>
      </c>
    </row>
    <row r="65">
      <c r="A65" s="39" t="str">
        <f>IFERROR(__xludf.DUMMYFUNCTION("""COMPUTED_VALUE"""),"Mexico")</f>
        <v>Mexico</v>
      </c>
      <c r="B65" s="40">
        <f>IFERROR(__xludf.DUMMYFUNCTION("""COMPUTED_VALUE"""),44347.0)</f>
        <v>44347</v>
      </c>
      <c r="C65" s="41">
        <f>IFERROR(__xludf.DUMMYFUNCTION("""COMPUTED_VALUE"""),44353.0)</f>
        <v>44353</v>
      </c>
      <c r="D65" s="39">
        <f>IFERROR(__xludf.DUMMYFUNCTION("""COMPUTED_VALUE"""),22.0)</f>
        <v>22</v>
      </c>
      <c r="E65" s="42">
        <f>IFERROR(__xludf.DUMMYFUNCTION("""COMPUTED_VALUE"""),13943.0)</f>
        <v>13943</v>
      </c>
      <c r="F65" s="39">
        <f>IFERROR(__xludf.DUMMYFUNCTION("""COMPUTED_VALUE"""),1025.0)</f>
        <v>1025</v>
      </c>
      <c r="G65" s="43">
        <f>AVERAGEIFS('Perú pre-COVID'!$E:$E,'Méx pre-COVID'!$D:$D,D65)</f>
        <v>2084.333333</v>
      </c>
      <c r="H65" s="43">
        <f t="shared" si="1"/>
        <v>11858.66667</v>
      </c>
      <c r="I65" s="44">
        <f>(F65/VLOOKUP($A$2,'Población'!$A$1:$B$5,2,0))*100000</f>
        <v>0.7868743524</v>
      </c>
      <c r="J65" s="44">
        <f t="shared" si="2"/>
        <v>172.3692411</v>
      </c>
      <c r="K65" s="44">
        <f>(H65/VLOOKUP($A$2,'Población'!$A$1:$B$5,2,0))*100000</f>
        <v>9.103688442</v>
      </c>
      <c r="L65" s="44">
        <f t="shared" si="3"/>
        <v>980.6464479</v>
      </c>
    </row>
    <row r="66">
      <c r="A66" s="39" t="str">
        <f>IFERROR(__xludf.DUMMYFUNCTION("""COMPUTED_VALUE"""),"Mexico")</f>
        <v>Mexico</v>
      </c>
      <c r="B66" s="40">
        <f>IFERROR(__xludf.DUMMYFUNCTION("""COMPUTED_VALUE"""),44354.0)</f>
        <v>44354</v>
      </c>
      <c r="C66" s="41">
        <f>IFERROR(__xludf.DUMMYFUNCTION("""COMPUTED_VALUE"""),44360.0)</f>
        <v>44360</v>
      </c>
      <c r="D66" s="39">
        <f>IFERROR(__xludf.DUMMYFUNCTION("""COMPUTED_VALUE"""),23.0)</f>
        <v>23</v>
      </c>
      <c r="E66" s="42">
        <f>IFERROR(__xludf.DUMMYFUNCTION("""COMPUTED_VALUE"""),14140.0)</f>
        <v>14140</v>
      </c>
      <c r="F66" s="39">
        <f>IFERROR(__xludf.DUMMYFUNCTION("""COMPUTED_VALUE"""),1346.0)</f>
        <v>1346</v>
      </c>
      <c r="G66" s="43">
        <f>AVERAGEIFS('Perú pre-COVID'!$E:$E,'Méx pre-COVID'!$D:$D,D66)</f>
        <v>2181.666667</v>
      </c>
      <c r="H66" s="43">
        <f t="shared" si="1"/>
        <v>11958.33333</v>
      </c>
      <c r="I66" s="44">
        <f>(F66/VLOOKUP($A$2,'Población'!$A$1:$B$5,2,0))*100000</f>
        <v>1.033300369</v>
      </c>
      <c r="J66" s="44">
        <f t="shared" si="2"/>
        <v>173.4025414</v>
      </c>
      <c r="K66" s="44">
        <f>(H66/VLOOKUP($A$2,'Población'!$A$1:$B$5,2,0))*100000</f>
        <v>9.180200778</v>
      </c>
      <c r="L66" s="44">
        <f t="shared" si="3"/>
        <v>989.8266486</v>
      </c>
    </row>
    <row r="67">
      <c r="A67" s="39" t="str">
        <f>IFERROR(__xludf.DUMMYFUNCTION("""COMPUTED_VALUE"""),"Mexico")</f>
        <v>Mexico</v>
      </c>
      <c r="B67" s="40">
        <f>IFERROR(__xludf.DUMMYFUNCTION("""COMPUTED_VALUE"""),44361.0)</f>
        <v>44361</v>
      </c>
      <c r="C67" s="41">
        <f>IFERROR(__xludf.DUMMYFUNCTION("""COMPUTED_VALUE"""),44367.0)</f>
        <v>44367</v>
      </c>
      <c r="D67" s="39">
        <f>IFERROR(__xludf.DUMMYFUNCTION("""COMPUTED_VALUE"""),24.0)</f>
        <v>24</v>
      </c>
      <c r="E67" s="42">
        <f>IFERROR(__xludf.DUMMYFUNCTION("""COMPUTED_VALUE"""),14261.0)</f>
        <v>14261</v>
      </c>
      <c r="F67" s="39">
        <f>IFERROR(__xludf.DUMMYFUNCTION("""COMPUTED_VALUE"""),1037.0)</f>
        <v>1037</v>
      </c>
      <c r="G67" s="43">
        <f>AVERAGEIFS('Perú pre-COVID'!$E:$E,'Méx pre-COVID'!$D:$D,D67)</f>
        <v>2197.333333</v>
      </c>
      <c r="H67" s="43">
        <f t="shared" si="1"/>
        <v>12063.66667</v>
      </c>
      <c r="I67" s="44">
        <f>(F67/VLOOKUP($A$2,'Población'!$A$1:$B$5,2,0))*100000</f>
        <v>0.7960865399</v>
      </c>
      <c r="J67" s="44">
        <f t="shared" si="2"/>
        <v>174.198628</v>
      </c>
      <c r="K67" s="44">
        <f>(H67/VLOOKUP($A$2,'Población'!$A$1:$B$5,2,0))*100000</f>
        <v>9.261063313</v>
      </c>
      <c r="L67" s="44">
        <f t="shared" si="3"/>
        <v>999.087712</v>
      </c>
    </row>
    <row r="68">
      <c r="A68" s="39" t="str">
        <f>IFERROR(__xludf.DUMMYFUNCTION("""COMPUTED_VALUE"""),"Mexico")</f>
        <v>Mexico</v>
      </c>
      <c r="B68" s="40">
        <f>IFERROR(__xludf.DUMMYFUNCTION("""COMPUTED_VALUE"""),44368.0)</f>
        <v>44368</v>
      </c>
      <c r="C68" s="41">
        <f>IFERROR(__xludf.DUMMYFUNCTION("""COMPUTED_VALUE"""),44374.0)</f>
        <v>44374</v>
      </c>
      <c r="D68" s="39">
        <f>IFERROR(__xludf.DUMMYFUNCTION("""COMPUTED_VALUE"""),25.0)</f>
        <v>25</v>
      </c>
      <c r="E68" s="42">
        <f>IFERROR(__xludf.DUMMYFUNCTION("""COMPUTED_VALUE"""),14323.0)</f>
        <v>14323</v>
      </c>
      <c r="F68" s="39">
        <f>IFERROR(__xludf.DUMMYFUNCTION("""COMPUTED_VALUE"""),1377.0)</f>
        <v>1377</v>
      </c>
      <c r="G68" s="43">
        <f>AVERAGEIFS('Perú pre-COVID'!$E:$E,'Méx pre-COVID'!$D:$D,D68)</f>
        <v>2184.333333</v>
      </c>
      <c r="H68" s="43">
        <f t="shared" si="1"/>
        <v>12138.66667</v>
      </c>
      <c r="I68" s="44">
        <f>(F68/VLOOKUP($A$2,'Población'!$A$1:$B$5,2,0))*100000</f>
        <v>1.05709852</v>
      </c>
      <c r="J68" s="44">
        <f t="shared" si="2"/>
        <v>175.2557265</v>
      </c>
      <c r="K68" s="44">
        <f>(H68/VLOOKUP($A$2,'Población'!$A$1:$B$5,2,0))*100000</f>
        <v>9.318639485</v>
      </c>
      <c r="L68" s="44">
        <f t="shared" si="3"/>
        <v>1008.406351</v>
      </c>
    </row>
    <row r="69">
      <c r="A69" s="39" t="str">
        <f>IFERROR(__xludf.DUMMYFUNCTION("""COMPUTED_VALUE"""),"Mexico")</f>
        <v>Mexico</v>
      </c>
      <c r="B69" s="40">
        <f>IFERROR(__xludf.DUMMYFUNCTION("""COMPUTED_VALUE"""),44375.0)</f>
        <v>44375</v>
      </c>
      <c r="C69" s="41">
        <f>IFERROR(__xludf.DUMMYFUNCTION("""COMPUTED_VALUE"""),44381.0)</f>
        <v>44381</v>
      </c>
      <c r="D69" s="39">
        <f>IFERROR(__xludf.DUMMYFUNCTION("""COMPUTED_VALUE"""),26.0)</f>
        <v>26</v>
      </c>
      <c r="E69" s="42">
        <f>IFERROR(__xludf.DUMMYFUNCTION("""COMPUTED_VALUE"""),14582.0)</f>
        <v>14582</v>
      </c>
      <c r="F69" s="39">
        <f>IFERROR(__xludf.DUMMYFUNCTION("""COMPUTED_VALUE"""),1058.0)</f>
        <v>1058</v>
      </c>
      <c r="G69" s="43">
        <f>AVERAGEIFS('Perú pre-COVID'!$E:$E,'Méx pre-COVID'!$D:$D,D69)</f>
        <v>2225.333333</v>
      </c>
      <c r="H69" s="43">
        <f t="shared" si="1"/>
        <v>12356.66667</v>
      </c>
      <c r="I69" s="44">
        <f>(F69/VLOOKUP($A$2,'Población'!$A$1:$B$5,2,0))*100000</f>
        <v>0.8122078681</v>
      </c>
      <c r="J69" s="44">
        <f t="shared" si="2"/>
        <v>176.0679344</v>
      </c>
      <c r="K69" s="44">
        <f>(H69/VLOOKUP($A$2,'Población'!$A$1:$B$5,2,0))*100000</f>
        <v>9.485994225</v>
      </c>
      <c r="L69" s="44">
        <f t="shared" si="3"/>
        <v>1017.892346</v>
      </c>
    </row>
    <row r="70">
      <c r="A70" s="39" t="str">
        <f>IFERROR(__xludf.DUMMYFUNCTION("""COMPUTED_VALUE"""),"Mexico")</f>
        <v>Mexico</v>
      </c>
      <c r="B70" s="40">
        <f>IFERROR(__xludf.DUMMYFUNCTION("""COMPUTED_VALUE"""),44382.0)</f>
        <v>44382</v>
      </c>
      <c r="C70" s="41">
        <f>IFERROR(__xludf.DUMMYFUNCTION("""COMPUTED_VALUE"""),44388.0)</f>
        <v>44388</v>
      </c>
      <c r="D70" s="39">
        <f>IFERROR(__xludf.DUMMYFUNCTION("""COMPUTED_VALUE"""),27.0)</f>
        <v>27</v>
      </c>
      <c r="E70" s="42">
        <f>IFERROR(__xludf.DUMMYFUNCTION("""COMPUTED_VALUE"""),15444.0)</f>
        <v>15444</v>
      </c>
      <c r="F70" s="39">
        <f>IFERROR(__xludf.DUMMYFUNCTION("""COMPUTED_VALUE"""),1347.0)</f>
        <v>1347</v>
      </c>
      <c r="G70" s="43">
        <f>AVERAGEIFS('Perú pre-COVID'!$E:$E,'Méx pre-COVID'!$D:$D,D70)</f>
        <v>2170.333333</v>
      </c>
      <c r="H70" s="43">
        <f t="shared" si="1"/>
        <v>13273.66667</v>
      </c>
      <c r="I70" s="44">
        <f>(F70/VLOOKUP($A$2,'Población'!$A$1:$B$5,2,0))*100000</f>
        <v>1.034068051</v>
      </c>
      <c r="J70" s="44">
        <f t="shared" si="2"/>
        <v>177.1020024</v>
      </c>
      <c r="K70" s="44">
        <f>(H70/VLOOKUP($A$2,'Población'!$A$1:$B$5,2,0))*100000</f>
        <v>10.18995889</v>
      </c>
      <c r="L70" s="44">
        <f t="shared" si="3"/>
        <v>1028.082305</v>
      </c>
    </row>
    <row r="71">
      <c r="A71" s="39" t="str">
        <f>IFERROR(__xludf.DUMMYFUNCTION("""COMPUTED_VALUE"""),"Mexico")</f>
        <v>Mexico</v>
      </c>
      <c r="B71" s="40">
        <f>IFERROR(__xludf.DUMMYFUNCTION("""COMPUTED_VALUE"""),44389.0)</f>
        <v>44389</v>
      </c>
      <c r="C71" s="41">
        <f>IFERROR(__xludf.DUMMYFUNCTION("""COMPUTED_VALUE"""),44395.0)</f>
        <v>44395</v>
      </c>
      <c r="D71" s="39">
        <f>IFERROR(__xludf.DUMMYFUNCTION("""COMPUTED_VALUE"""),28.0)</f>
        <v>28</v>
      </c>
      <c r="E71" s="42">
        <f>IFERROR(__xludf.DUMMYFUNCTION("""COMPUTED_VALUE"""),16410.0)</f>
        <v>16410</v>
      </c>
      <c r="F71" s="39">
        <f>IFERROR(__xludf.DUMMYFUNCTION("""COMPUTED_VALUE"""),1362.0)</f>
        <v>1362</v>
      </c>
      <c r="G71" s="43">
        <f>AVERAGEIFS('Perú pre-COVID'!$E:$E,'Méx pre-COVID'!$D:$D,D71)</f>
        <v>2189</v>
      </c>
      <c r="H71" s="43">
        <f t="shared" si="1"/>
        <v>14221</v>
      </c>
      <c r="I71" s="44">
        <f>(F71/VLOOKUP($A$2,'Población'!$A$1:$B$5,2,0))*100000</f>
        <v>1.045583286</v>
      </c>
      <c r="J71" s="44">
        <f t="shared" si="2"/>
        <v>178.1475857</v>
      </c>
      <c r="K71" s="44">
        <f>(H71/VLOOKUP($A$2,'Población'!$A$1:$B$5,2,0))*100000</f>
        <v>10.91720992</v>
      </c>
      <c r="L71" s="44">
        <f t="shared" si="3"/>
        <v>1038.999514</v>
      </c>
    </row>
    <row r="72">
      <c r="A72" s="39" t="str">
        <f>IFERROR(__xludf.DUMMYFUNCTION("""COMPUTED_VALUE"""),"Mexico")</f>
        <v>Mexico</v>
      </c>
      <c r="B72" s="40">
        <f>IFERROR(__xludf.DUMMYFUNCTION("""COMPUTED_VALUE"""),44396.0)</f>
        <v>44396</v>
      </c>
      <c r="C72" s="41">
        <f>IFERROR(__xludf.DUMMYFUNCTION("""COMPUTED_VALUE"""),44402.0)</f>
        <v>44402</v>
      </c>
      <c r="D72" s="39">
        <f>IFERROR(__xludf.DUMMYFUNCTION("""COMPUTED_VALUE"""),29.0)</f>
        <v>29</v>
      </c>
      <c r="E72" s="42">
        <f>IFERROR(__xludf.DUMMYFUNCTION("""COMPUTED_VALUE"""),18342.0)</f>
        <v>18342</v>
      </c>
      <c r="F72" s="39">
        <f>IFERROR(__xludf.DUMMYFUNCTION("""COMPUTED_VALUE"""),2093.0)</f>
        <v>2093</v>
      </c>
      <c r="G72" s="43">
        <f>AVERAGEIFS('Perú pre-COVID'!$E:$E,'Méx pre-COVID'!$D:$D,D72)</f>
        <v>2199</v>
      </c>
      <c r="H72" s="43">
        <f t="shared" si="1"/>
        <v>16143</v>
      </c>
      <c r="I72" s="44">
        <f>(F72/VLOOKUP($A$2,'Población'!$A$1:$B$5,2,0))*100000</f>
        <v>1.606759043</v>
      </c>
      <c r="J72" s="44">
        <f t="shared" si="2"/>
        <v>179.7543447</v>
      </c>
      <c r="K72" s="44">
        <f>(H72/VLOOKUP($A$2,'Población'!$A$1:$B$5,2,0))*100000</f>
        <v>12.39269529</v>
      </c>
      <c r="L72" s="44">
        <f t="shared" si="3"/>
        <v>1051.39221</v>
      </c>
    </row>
    <row r="73">
      <c r="A73" s="39" t="str">
        <f>IFERROR(__xludf.DUMMYFUNCTION("""COMPUTED_VALUE"""),"Mexico")</f>
        <v>Mexico</v>
      </c>
      <c r="B73" s="40">
        <f>IFERROR(__xludf.DUMMYFUNCTION("""COMPUTED_VALUE"""),44403.0)</f>
        <v>44403</v>
      </c>
      <c r="C73" s="41">
        <f>IFERROR(__xludf.DUMMYFUNCTION("""COMPUTED_VALUE"""),44409.0)</f>
        <v>44409</v>
      </c>
      <c r="D73" s="39">
        <f>IFERROR(__xludf.DUMMYFUNCTION("""COMPUTED_VALUE"""),30.0)</f>
        <v>30</v>
      </c>
      <c r="E73" s="42">
        <f>IFERROR(__xludf.DUMMYFUNCTION("""COMPUTED_VALUE"""),20721.0)</f>
        <v>20721</v>
      </c>
      <c r="F73" s="39">
        <f>IFERROR(__xludf.DUMMYFUNCTION("""COMPUTED_VALUE"""),2610.0)</f>
        <v>2610</v>
      </c>
      <c r="G73" s="43">
        <f>AVERAGEIFS('Perú pre-COVID'!$E:$E,'Méx pre-COVID'!$D:$D,D73)</f>
        <v>2207.666667</v>
      </c>
      <c r="H73" s="43">
        <f t="shared" si="1"/>
        <v>18513.33333</v>
      </c>
      <c r="I73" s="44">
        <f>(F73/VLOOKUP($A$2,'Población'!$A$1:$B$5,2,0))*100000</f>
        <v>2.00365079</v>
      </c>
      <c r="J73" s="44">
        <f t="shared" si="2"/>
        <v>181.7579955</v>
      </c>
      <c r="K73" s="44">
        <f>(H73/VLOOKUP($A$2,'Población'!$A$1:$B$5,2,0))*100000</f>
        <v>14.21235822</v>
      </c>
      <c r="L73" s="44">
        <f t="shared" si="3"/>
        <v>1065.604568</v>
      </c>
    </row>
    <row r="74">
      <c r="A74" s="39" t="str">
        <f>IFERROR(__xludf.DUMMYFUNCTION("""COMPUTED_VALUE"""),"Mexico")</f>
        <v>Mexico</v>
      </c>
      <c r="B74" s="40">
        <f>IFERROR(__xludf.DUMMYFUNCTION("""COMPUTED_VALUE"""),44410.0)</f>
        <v>44410</v>
      </c>
      <c r="C74" s="41">
        <f>IFERROR(__xludf.DUMMYFUNCTION("""COMPUTED_VALUE"""),44416.0)</f>
        <v>44416</v>
      </c>
      <c r="D74" s="39">
        <f>IFERROR(__xludf.DUMMYFUNCTION("""COMPUTED_VALUE"""),31.0)</f>
        <v>31</v>
      </c>
      <c r="E74" s="42">
        <f>IFERROR(__xludf.DUMMYFUNCTION("""COMPUTED_VALUE"""),23457.0)</f>
        <v>23457</v>
      </c>
      <c r="F74" s="39">
        <f>IFERROR(__xludf.DUMMYFUNCTION("""COMPUTED_VALUE"""),3386.0)</f>
        <v>3386</v>
      </c>
      <c r="G74" s="43">
        <f>AVERAGEIFS('Perú pre-COVID'!$E:$E,'Méx pre-COVID'!$D:$D,D74)</f>
        <v>2219.333333</v>
      </c>
      <c r="H74" s="43">
        <f t="shared" si="1"/>
        <v>21237.66667</v>
      </c>
      <c r="I74" s="44">
        <f>(F74/VLOOKUP($A$2,'Población'!$A$1:$B$5,2,0))*100000</f>
        <v>2.599372251</v>
      </c>
      <c r="J74" s="44">
        <f t="shared" si="2"/>
        <v>184.3573678</v>
      </c>
      <c r="K74" s="44">
        <f>(H74/VLOOKUP($A$2,'Población'!$A$1:$B$5,2,0))*100000</f>
        <v>16.30378069</v>
      </c>
      <c r="L74" s="44">
        <f t="shared" si="3"/>
        <v>1081.908349</v>
      </c>
    </row>
    <row r="75">
      <c r="A75" s="39" t="str">
        <f>IFERROR(__xludf.DUMMYFUNCTION("""COMPUTED_VALUE"""),"Mexico")</f>
        <v>Mexico</v>
      </c>
      <c r="B75" s="40">
        <f>IFERROR(__xludf.DUMMYFUNCTION("""COMPUTED_VALUE"""),44417.0)</f>
        <v>44417</v>
      </c>
      <c r="C75" s="41">
        <f>IFERROR(__xludf.DUMMYFUNCTION("""COMPUTED_VALUE"""),44423.0)</f>
        <v>44423</v>
      </c>
      <c r="D75" s="39">
        <f>IFERROR(__xludf.DUMMYFUNCTION("""COMPUTED_VALUE"""),32.0)</f>
        <v>32</v>
      </c>
      <c r="E75" s="42">
        <f>IFERROR(__xludf.DUMMYFUNCTION("""COMPUTED_VALUE"""),25423.0)</f>
        <v>25423</v>
      </c>
      <c r="F75" s="39">
        <f>IFERROR(__xludf.DUMMYFUNCTION("""COMPUTED_VALUE"""),3747.0)</f>
        <v>3747</v>
      </c>
      <c r="G75" s="43">
        <f>AVERAGEIFS('Perú pre-COVID'!$E:$E,'Méx pre-COVID'!$D:$D,D75)</f>
        <v>2151.333333</v>
      </c>
      <c r="H75" s="43">
        <f t="shared" si="1"/>
        <v>23271.66667</v>
      </c>
      <c r="I75" s="44">
        <f>(F75/VLOOKUP($A$2,'Población'!$A$1:$B$5,2,0))*100000</f>
        <v>2.876505559</v>
      </c>
      <c r="J75" s="44">
        <f t="shared" si="2"/>
        <v>187.2338733</v>
      </c>
      <c r="K75" s="44">
        <f>(H75/VLOOKUP($A$2,'Población'!$A$1:$B$5,2,0))*100000</f>
        <v>17.86524647</v>
      </c>
      <c r="L75" s="44">
        <f t="shared" si="3"/>
        <v>1099.773595</v>
      </c>
    </row>
    <row r="76">
      <c r="A76" s="39" t="str">
        <f>IFERROR(__xludf.DUMMYFUNCTION("""COMPUTED_VALUE"""),"Mexico")</f>
        <v>Mexico</v>
      </c>
      <c r="B76" s="40">
        <f>IFERROR(__xludf.DUMMYFUNCTION("""COMPUTED_VALUE"""),44424.0)</f>
        <v>44424</v>
      </c>
      <c r="C76" s="41">
        <f>IFERROR(__xludf.DUMMYFUNCTION("""COMPUTED_VALUE"""),44430.0)</f>
        <v>44430</v>
      </c>
      <c r="D76" s="39">
        <f>IFERROR(__xludf.DUMMYFUNCTION("""COMPUTED_VALUE"""),33.0)</f>
        <v>33</v>
      </c>
      <c r="E76" s="42">
        <f>IFERROR(__xludf.DUMMYFUNCTION("""COMPUTED_VALUE"""),26786.0)</f>
        <v>26786</v>
      </c>
      <c r="F76" s="39">
        <f>IFERROR(__xludf.DUMMYFUNCTION("""COMPUTED_VALUE"""),4988.0)</f>
        <v>4988</v>
      </c>
      <c r="G76" s="43">
        <f>AVERAGEIFS('Perú pre-COVID'!$E:$E,'Méx pre-COVID'!$D:$D,D76)</f>
        <v>2104.333333</v>
      </c>
      <c r="H76" s="43">
        <f t="shared" si="1"/>
        <v>24681.66667</v>
      </c>
      <c r="I76" s="44">
        <f>(F76/VLOOKUP($A$2,'Población'!$A$1:$B$5,2,0))*100000</f>
        <v>3.829199287</v>
      </c>
      <c r="J76" s="44">
        <f t="shared" si="2"/>
        <v>191.0630726</v>
      </c>
      <c r="K76" s="44">
        <f>(H76/VLOOKUP($A$2,'Población'!$A$1:$B$5,2,0))*100000</f>
        <v>18.94767851</v>
      </c>
      <c r="L76" s="44">
        <f t="shared" si="3"/>
        <v>1118.721274</v>
      </c>
    </row>
    <row r="77">
      <c r="A77" s="39" t="str">
        <f>IFERROR(__xludf.DUMMYFUNCTION("""COMPUTED_VALUE"""),"Mexico")</f>
        <v>Mexico</v>
      </c>
      <c r="B77" s="40">
        <f>IFERROR(__xludf.DUMMYFUNCTION("""COMPUTED_VALUE"""),44431.0)</f>
        <v>44431</v>
      </c>
      <c r="C77" s="41">
        <f>IFERROR(__xludf.DUMMYFUNCTION("""COMPUTED_VALUE"""),44437.0)</f>
        <v>44437</v>
      </c>
      <c r="D77" s="39">
        <f>IFERROR(__xludf.DUMMYFUNCTION("""COMPUTED_VALUE"""),34.0)</f>
        <v>34</v>
      </c>
      <c r="E77" s="42">
        <f>IFERROR(__xludf.DUMMYFUNCTION("""COMPUTED_VALUE"""),25778.0)</f>
        <v>25778</v>
      </c>
      <c r="F77" s="39">
        <f>IFERROR(__xludf.DUMMYFUNCTION("""COMPUTED_VALUE"""),5010.0)</f>
        <v>5010</v>
      </c>
      <c r="G77" s="43">
        <f>AVERAGEIFS('Perú pre-COVID'!$E:$E,'Méx pre-COVID'!$D:$D,D77)</f>
        <v>2192.333333</v>
      </c>
      <c r="H77" s="43">
        <f t="shared" si="1"/>
        <v>23585.66667</v>
      </c>
      <c r="I77" s="44">
        <f>(F77/VLOOKUP($A$2,'Población'!$A$1:$B$5,2,0))*100000</f>
        <v>3.846088298</v>
      </c>
      <c r="J77" s="44">
        <f t="shared" si="2"/>
        <v>194.9091609</v>
      </c>
      <c r="K77" s="44">
        <f>(H77/VLOOKUP($A$2,'Población'!$A$1:$B$5,2,0))*100000</f>
        <v>18.10629872</v>
      </c>
      <c r="L77" s="44">
        <f t="shared" si="3"/>
        <v>1136.827572</v>
      </c>
    </row>
    <row r="78">
      <c r="A78" s="39" t="str">
        <f>IFERROR(__xludf.DUMMYFUNCTION("""COMPUTED_VALUE"""),"Mexico")</f>
        <v>Mexico</v>
      </c>
      <c r="B78" s="40">
        <f>IFERROR(__xludf.DUMMYFUNCTION("""COMPUTED_VALUE"""),44438.0)</f>
        <v>44438</v>
      </c>
      <c r="C78" s="41">
        <f>IFERROR(__xludf.DUMMYFUNCTION("""COMPUTED_VALUE"""),44444.0)</f>
        <v>44444</v>
      </c>
      <c r="D78" s="39">
        <f>IFERROR(__xludf.DUMMYFUNCTION("""COMPUTED_VALUE"""),35.0)</f>
        <v>35</v>
      </c>
      <c r="E78" s="42">
        <f>IFERROR(__xludf.DUMMYFUNCTION("""COMPUTED_VALUE"""),25052.0)</f>
        <v>25052</v>
      </c>
      <c r="F78" s="39">
        <f>IFERROR(__xludf.DUMMYFUNCTION("""COMPUTED_VALUE"""),4975.0)</f>
        <v>4975</v>
      </c>
      <c r="G78" s="43">
        <f>AVERAGEIFS('Perú pre-COVID'!$E:$E,'Méx pre-COVID'!$D:$D,D78)</f>
        <v>2149.666667</v>
      </c>
      <c r="H78" s="43">
        <f t="shared" si="1"/>
        <v>22902.33333</v>
      </c>
      <c r="I78" s="44">
        <f>(F78/VLOOKUP($A$2,'Población'!$A$1:$B$5,2,0))*100000</f>
        <v>3.819219418</v>
      </c>
      <c r="J78" s="44">
        <f t="shared" si="2"/>
        <v>198.7283803</v>
      </c>
      <c r="K78" s="44">
        <f>(H78/VLOOKUP($A$2,'Población'!$A$1:$B$5,2,0))*100000</f>
        <v>17.58171581</v>
      </c>
      <c r="L78" s="44">
        <f t="shared" si="3"/>
        <v>1154.409288</v>
      </c>
    </row>
    <row r="79">
      <c r="A79" s="39" t="str">
        <f>IFERROR(__xludf.DUMMYFUNCTION("""COMPUTED_VALUE"""),"Mexico")</f>
        <v>Mexico</v>
      </c>
      <c r="B79" s="40">
        <f>IFERROR(__xludf.DUMMYFUNCTION("""COMPUTED_VALUE"""),44445.0)</f>
        <v>44445</v>
      </c>
      <c r="C79" s="41">
        <f>IFERROR(__xludf.DUMMYFUNCTION("""COMPUTED_VALUE"""),44451.0)</f>
        <v>44451</v>
      </c>
      <c r="D79" s="39">
        <f>IFERROR(__xludf.DUMMYFUNCTION("""COMPUTED_VALUE"""),36.0)</f>
        <v>36</v>
      </c>
      <c r="E79" s="42">
        <f>IFERROR(__xludf.DUMMYFUNCTION("""COMPUTED_VALUE"""),23022.0)</f>
        <v>23022</v>
      </c>
      <c r="F79" s="39">
        <f>IFERROR(__xludf.DUMMYFUNCTION("""COMPUTED_VALUE"""),4608.0)</f>
        <v>4608</v>
      </c>
      <c r="G79" s="43">
        <f>AVERAGEIFS('Perú pre-COVID'!$E:$E,'Méx pre-COVID'!$D:$D,D79)</f>
        <v>2164.666667</v>
      </c>
      <c r="H79" s="43">
        <f t="shared" si="1"/>
        <v>20857.33333</v>
      </c>
      <c r="I79" s="44">
        <f>(F79/VLOOKUP($A$2,'Población'!$A$1:$B$5,2,0))*100000</f>
        <v>3.537480015</v>
      </c>
      <c r="J79" s="44">
        <f t="shared" si="2"/>
        <v>202.2658604</v>
      </c>
      <c r="K79" s="44">
        <f>(H79/VLOOKUP($A$2,'Población'!$A$1:$B$5,2,0))*100000</f>
        <v>16.01180552</v>
      </c>
      <c r="L79" s="44">
        <f t="shared" si="3"/>
        <v>1170.421094</v>
      </c>
    </row>
    <row r="80">
      <c r="A80" s="39" t="str">
        <f>IFERROR(__xludf.DUMMYFUNCTION("""COMPUTED_VALUE"""),"Mexico")</f>
        <v>Mexico</v>
      </c>
      <c r="B80" s="40">
        <f>IFERROR(__xludf.DUMMYFUNCTION("""COMPUTED_VALUE"""),44452.0)</f>
        <v>44452</v>
      </c>
      <c r="C80" s="41">
        <f>IFERROR(__xludf.DUMMYFUNCTION("""COMPUTED_VALUE"""),44458.0)</f>
        <v>44458</v>
      </c>
      <c r="D80" s="39">
        <f>IFERROR(__xludf.DUMMYFUNCTION("""COMPUTED_VALUE"""),37.0)</f>
        <v>37</v>
      </c>
      <c r="E80" s="42">
        <f>IFERROR(__xludf.DUMMYFUNCTION("""COMPUTED_VALUE"""),21506.0)</f>
        <v>21506</v>
      </c>
      <c r="F80" s="39">
        <f>IFERROR(__xludf.DUMMYFUNCTION("""COMPUTED_VALUE"""),3755.0)</f>
        <v>3755</v>
      </c>
      <c r="G80" s="43">
        <f>AVERAGEIFS('Perú pre-COVID'!$E:$E,'Méx pre-COVID'!$D:$D,D80)</f>
        <v>2228</v>
      </c>
      <c r="H80" s="43">
        <f t="shared" si="1"/>
        <v>19278</v>
      </c>
      <c r="I80" s="44">
        <f>(F80/VLOOKUP($A$2,'Población'!$A$1:$B$5,2,0))*100000</f>
        <v>2.882647018</v>
      </c>
      <c r="J80" s="44">
        <f t="shared" si="2"/>
        <v>205.1485074</v>
      </c>
      <c r="K80" s="44">
        <f>(H80/VLOOKUP($A$2,'Población'!$A$1:$B$5,2,0))*100000</f>
        <v>14.79937928</v>
      </c>
      <c r="L80" s="44">
        <f t="shared" si="3"/>
        <v>1185.220473</v>
      </c>
    </row>
    <row r="81">
      <c r="A81" s="39" t="str">
        <f>IFERROR(__xludf.DUMMYFUNCTION("""COMPUTED_VALUE"""),"Mexico")</f>
        <v>Mexico</v>
      </c>
      <c r="B81" s="40">
        <f>IFERROR(__xludf.DUMMYFUNCTION("""COMPUTED_VALUE"""),44459.0)</f>
        <v>44459</v>
      </c>
      <c r="C81" s="41">
        <f>IFERROR(__xludf.DUMMYFUNCTION("""COMPUTED_VALUE"""),44465.0)</f>
        <v>44465</v>
      </c>
      <c r="D81" s="39">
        <f>IFERROR(__xludf.DUMMYFUNCTION("""COMPUTED_VALUE"""),38.0)</f>
        <v>38</v>
      </c>
      <c r="E81" s="42">
        <f>IFERROR(__xludf.DUMMYFUNCTION("""COMPUTED_VALUE"""),19587.0)</f>
        <v>19587</v>
      </c>
      <c r="F81" s="39">
        <f>IFERROR(__xludf.DUMMYFUNCTION("""COMPUTED_VALUE"""),3947.0)</f>
        <v>3947</v>
      </c>
      <c r="G81" s="43">
        <f>AVERAGEIFS('Perú pre-COVID'!$E:$E,'Méx pre-COVID'!$D:$D,D81)</f>
        <v>2195</v>
      </c>
      <c r="H81" s="43">
        <f t="shared" si="1"/>
        <v>17392</v>
      </c>
      <c r="I81" s="44">
        <f>(F81/VLOOKUP($A$2,'Población'!$A$1:$B$5,2,0))*100000</f>
        <v>3.030042018</v>
      </c>
      <c r="J81" s="44">
        <f t="shared" si="2"/>
        <v>208.1785494</v>
      </c>
      <c r="K81" s="44">
        <f>(H81/VLOOKUP($A$2,'Población'!$A$1:$B$5,2,0))*100000</f>
        <v>13.35153047</v>
      </c>
      <c r="L81" s="44">
        <f t="shared" si="3"/>
        <v>1198.572003</v>
      </c>
    </row>
    <row r="82">
      <c r="A82" s="39" t="str">
        <f>IFERROR(__xludf.DUMMYFUNCTION("""COMPUTED_VALUE"""),"Mexico")</f>
        <v>Mexico</v>
      </c>
      <c r="B82" s="40">
        <f>IFERROR(__xludf.DUMMYFUNCTION("""COMPUTED_VALUE"""),44466.0)</f>
        <v>44466</v>
      </c>
      <c r="C82" s="41">
        <f>IFERROR(__xludf.DUMMYFUNCTION("""COMPUTED_VALUE"""),44472.0)</f>
        <v>44472</v>
      </c>
      <c r="D82" s="39">
        <f>IFERROR(__xludf.DUMMYFUNCTION("""COMPUTED_VALUE"""),39.0)</f>
        <v>39</v>
      </c>
      <c r="E82" s="42">
        <f>IFERROR(__xludf.DUMMYFUNCTION("""COMPUTED_VALUE"""),17718.0)</f>
        <v>17718</v>
      </c>
      <c r="F82" s="39">
        <f>IFERROR(__xludf.DUMMYFUNCTION("""COMPUTED_VALUE"""),3142.0)</f>
        <v>3142</v>
      </c>
      <c r="G82" s="43">
        <f>AVERAGEIFS('Perú pre-COVID'!$E:$E,'Méx pre-COVID'!$D:$D,D82)</f>
        <v>2189</v>
      </c>
      <c r="H82" s="43">
        <f t="shared" si="1"/>
        <v>15529</v>
      </c>
      <c r="I82" s="44">
        <f>(F82/VLOOKUP($A$2,'Población'!$A$1:$B$5,2,0))*100000</f>
        <v>2.412057771</v>
      </c>
      <c r="J82" s="44">
        <f t="shared" si="2"/>
        <v>210.5906072</v>
      </c>
      <c r="K82" s="44">
        <f>(H82/VLOOKUP($A$2,'Población'!$A$1:$B$5,2,0))*100000</f>
        <v>11.92133836</v>
      </c>
      <c r="L82" s="44">
        <f t="shared" si="3"/>
        <v>1210.493342</v>
      </c>
    </row>
    <row r="83">
      <c r="A83" s="39" t="str">
        <f>IFERROR(__xludf.DUMMYFUNCTION("""COMPUTED_VALUE"""),"Mexico")</f>
        <v>Mexico</v>
      </c>
      <c r="B83" s="40">
        <f>IFERROR(__xludf.DUMMYFUNCTION("""COMPUTED_VALUE"""),44473.0)</f>
        <v>44473</v>
      </c>
      <c r="C83" s="41">
        <f>IFERROR(__xludf.DUMMYFUNCTION("""COMPUTED_VALUE"""),44479.0)</f>
        <v>44479</v>
      </c>
      <c r="D83" s="39">
        <f>IFERROR(__xludf.DUMMYFUNCTION("""COMPUTED_VALUE"""),40.0)</f>
        <v>40</v>
      </c>
      <c r="E83" s="42">
        <f>IFERROR(__xludf.DUMMYFUNCTION("""COMPUTED_VALUE"""),15572.0)</f>
        <v>15572</v>
      </c>
      <c r="F83" s="39">
        <f>IFERROR(__xludf.DUMMYFUNCTION("""COMPUTED_VALUE"""),3494.0)</f>
        <v>3494</v>
      </c>
      <c r="G83" s="43">
        <f>AVERAGEIFS('Perú pre-COVID'!$E:$E,'Méx pre-COVID'!$D:$D,D83)</f>
        <v>2155.666667</v>
      </c>
      <c r="H83" s="43">
        <f t="shared" si="1"/>
        <v>13416.33333</v>
      </c>
      <c r="I83" s="44">
        <f>(F83/VLOOKUP($A$2,'Población'!$A$1:$B$5,2,0))*100000</f>
        <v>2.682281939</v>
      </c>
      <c r="J83" s="44">
        <f t="shared" si="2"/>
        <v>213.2728891</v>
      </c>
      <c r="K83" s="44">
        <f>(H83/VLOOKUP($A$2,'Población'!$A$1:$B$5,2,0))*100000</f>
        <v>10.29948156</v>
      </c>
      <c r="L83" s="44">
        <f t="shared" si="3"/>
        <v>1220.792823</v>
      </c>
    </row>
    <row r="84">
      <c r="E84" s="42"/>
      <c r="G84" s="43"/>
      <c r="I84" s="44"/>
      <c r="K84" s="44"/>
      <c r="L84" s="42"/>
    </row>
    <row r="85">
      <c r="E85" s="42"/>
      <c r="G85" s="43"/>
      <c r="I85" s="44"/>
      <c r="K85" s="44"/>
      <c r="L85" s="42"/>
    </row>
    <row r="86">
      <c r="E86" s="42"/>
      <c r="G86" s="43"/>
      <c r="I86" s="44"/>
      <c r="K86" s="44"/>
      <c r="L86" s="42"/>
    </row>
    <row r="87">
      <c r="E87" s="42"/>
      <c r="G87" s="43"/>
      <c r="I87" s="44"/>
      <c r="K87" s="44"/>
      <c r="L87" s="42"/>
    </row>
    <row r="88">
      <c r="E88" s="42"/>
      <c r="G88" s="43"/>
      <c r="I88" s="44"/>
      <c r="K88" s="44"/>
      <c r="L88" s="42"/>
    </row>
    <row r="89">
      <c r="E89" s="42"/>
      <c r="G89" s="43"/>
      <c r="I89" s="44"/>
      <c r="K89" s="44"/>
      <c r="L89" s="42"/>
    </row>
    <row r="90">
      <c r="E90" s="42"/>
      <c r="G90" s="43"/>
      <c r="I90" s="44"/>
      <c r="K90" s="44"/>
      <c r="L90" s="42"/>
    </row>
    <row r="91">
      <c r="E91" s="42"/>
      <c r="G91" s="43"/>
      <c r="I91" s="44"/>
      <c r="K91" s="44"/>
      <c r="L91" s="42"/>
    </row>
    <row r="92">
      <c r="E92" s="42"/>
      <c r="G92" s="43"/>
      <c r="I92" s="44"/>
      <c r="K92" s="44"/>
      <c r="L92" s="42"/>
    </row>
    <row r="93">
      <c r="E93" s="42"/>
      <c r="G93" s="43"/>
      <c r="I93" s="44"/>
      <c r="K93" s="44"/>
      <c r="L93" s="42"/>
    </row>
    <row r="94">
      <c r="E94" s="42"/>
      <c r="G94" s="43"/>
      <c r="I94" s="44"/>
      <c r="K94" s="44"/>
      <c r="L94" s="42"/>
    </row>
    <row r="95">
      <c r="E95" s="42"/>
      <c r="G95" s="43"/>
      <c r="I95" s="44"/>
      <c r="K95" s="44"/>
      <c r="L95" s="42"/>
    </row>
    <row r="96">
      <c r="E96" s="42"/>
      <c r="G96" s="43"/>
      <c r="I96" s="44"/>
      <c r="K96" s="44"/>
      <c r="L96" s="42"/>
    </row>
    <row r="97">
      <c r="E97" s="42"/>
      <c r="G97" s="43"/>
      <c r="I97" s="44"/>
      <c r="K97" s="44"/>
      <c r="L97" s="42"/>
    </row>
    <row r="98">
      <c r="E98" s="42"/>
      <c r="G98" s="43"/>
      <c r="I98" s="44"/>
      <c r="K98" s="44"/>
      <c r="L98" s="42"/>
    </row>
    <row r="99">
      <c r="E99" s="42"/>
      <c r="G99" s="43"/>
      <c r="I99" s="44"/>
      <c r="K99" s="44"/>
      <c r="L99" s="42"/>
    </row>
    <row r="100">
      <c r="E100" s="42"/>
      <c r="G100" s="43"/>
      <c r="I100" s="44"/>
      <c r="K100" s="44"/>
      <c r="L100" s="42"/>
    </row>
    <row r="101">
      <c r="E101" s="42"/>
      <c r="G101" s="43"/>
      <c r="I101" s="44"/>
      <c r="K101" s="44"/>
      <c r="L101" s="42"/>
    </row>
    <row r="102">
      <c r="E102" s="42"/>
      <c r="G102" s="43"/>
      <c r="I102" s="44"/>
      <c r="K102" s="44"/>
      <c r="L102" s="42"/>
    </row>
    <row r="103">
      <c r="E103" s="42"/>
      <c r="G103" s="43"/>
      <c r="I103" s="44"/>
      <c r="K103" s="44"/>
      <c r="L103" s="42"/>
    </row>
    <row r="104">
      <c r="E104" s="42"/>
      <c r="G104" s="43"/>
      <c r="I104" s="44"/>
      <c r="K104" s="44"/>
      <c r="L104" s="42"/>
    </row>
    <row r="105">
      <c r="E105" s="42"/>
      <c r="G105" s="43"/>
      <c r="I105" s="44"/>
      <c r="K105" s="44"/>
      <c r="L105" s="42"/>
    </row>
    <row r="106">
      <c r="E106" s="42"/>
      <c r="G106" s="43"/>
      <c r="I106" s="44"/>
      <c r="K106" s="44"/>
      <c r="L106" s="42"/>
    </row>
    <row r="107">
      <c r="E107" s="42"/>
      <c r="G107" s="43"/>
      <c r="I107" s="44"/>
      <c r="K107" s="44"/>
      <c r="L107" s="42"/>
    </row>
    <row r="108">
      <c r="E108" s="42"/>
      <c r="G108" s="43"/>
      <c r="I108" s="44"/>
      <c r="K108" s="44"/>
      <c r="L108" s="42"/>
    </row>
    <row r="109">
      <c r="E109" s="42"/>
      <c r="G109" s="43"/>
      <c r="I109" s="44"/>
      <c r="K109" s="44"/>
      <c r="L109" s="42"/>
    </row>
    <row r="110">
      <c r="E110" s="42"/>
      <c r="G110" s="43"/>
      <c r="I110" s="44"/>
      <c r="K110" s="44"/>
      <c r="L110" s="42"/>
    </row>
    <row r="111">
      <c r="E111" s="42"/>
      <c r="G111" s="43"/>
      <c r="I111" s="44"/>
      <c r="K111" s="44"/>
      <c r="L111" s="42"/>
    </row>
    <row r="112">
      <c r="E112" s="42"/>
      <c r="G112" s="43"/>
      <c r="I112" s="44"/>
      <c r="K112" s="44"/>
      <c r="L112" s="42"/>
    </row>
    <row r="113">
      <c r="E113" s="42"/>
      <c r="G113" s="43"/>
      <c r="I113" s="44"/>
      <c r="K113" s="44"/>
      <c r="L113" s="42"/>
    </row>
    <row r="114">
      <c r="E114" s="42"/>
      <c r="G114" s="43"/>
      <c r="I114" s="44"/>
      <c r="K114" s="44"/>
      <c r="L114" s="42"/>
    </row>
    <row r="115">
      <c r="E115" s="42"/>
      <c r="G115" s="43"/>
      <c r="I115" s="44"/>
      <c r="K115" s="44"/>
      <c r="L115" s="42"/>
    </row>
    <row r="116">
      <c r="E116" s="42"/>
      <c r="G116" s="43"/>
      <c r="I116" s="44"/>
      <c r="K116" s="44"/>
      <c r="L116" s="42"/>
    </row>
    <row r="117">
      <c r="E117" s="42"/>
      <c r="G117" s="43"/>
      <c r="I117" s="44"/>
      <c r="K117" s="44"/>
      <c r="L117" s="42"/>
    </row>
    <row r="118">
      <c r="E118" s="42"/>
      <c r="G118" s="43"/>
      <c r="I118" s="44"/>
      <c r="K118" s="44"/>
      <c r="L118" s="42"/>
    </row>
    <row r="119">
      <c r="E119" s="42"/>
      <c r="G119" s="43"/>
      <c r="I119" s="44"/>
      <c r="K119" s="44"/>
      <c r="L119" s="42"/>
    </row>
    <row r="120">
      <c r="E120" s="42"/>
      <c r="G120" s="43"/>
      <c r="I120" s="44"/>
      <c r="K120" s="44"/>
      <c r="L120" s="42"/>
    </row>
    <row r="121">
      <c r="E121" s="42"/>
      <c r="G121" s="43"/>
      <c r="I121" s="44"/>
      <c r="K121" s="44"/>
      <c r="L121" s="42"/>
    </row>
    <row r="122">
      <c r="E122" s="42"/>
      <c r="G122" s="43"/>
      <c r="I122" s="44"/>
      <c r="K122" s="44"/>
      <c r="L122" s="42"/>
    </row>
    <row r="123">
      <c r="E123" s="42"/>
      <c r="G123" s="43"/>
      <c r="I123" s="44"/>
      <c r="K123" s="44"/>
      <c r="L123" s="42"/>
    </row>
    <row r="124">
      <c r="E124" s="42"/>
      <c r="G124" s="43"/>
      <c r="I124" s="44"/>
      <c r="K124" s="44"/>
      <c r="L124" s="42"/>
    </row>
    <row r="125">
      <c r="E125" s="42"/>
      <c r="G125" s="43"/>
      <c r="I125" s="44"/>
      <c r="K125" s="44"/>
      <c r="L125" s="42"/>
    </row>
    <row r="126">
      <c r="E126" s="42"/>
      <c r="G126" s="43"/>
      <c r="I126" s="44"/>
      <c r="K126" s="44"/>
      <c r="L126" s="42"/>
    </row>
    <row r="127">
      <c r="E127" s="42"/>
      <c r="G127" s="43"/>
      <c r="I127" s="44"/>
      <c r="K127" s="44"/>
      <c r="L127" s="42"/>
    </row>
    <row r="128">
      <c r="E128" s="42"/>
      <c r="G128" s="43"/>
      <c r="I128" s="44"/>
      <c r="K128" s="44"/>
      <c r="L128" s="42"/>
    </row>
    <row r="129">
      <c r="E129" s="42"/>
      <c r="G129" s="43"/>
      <c r="I129" s="44"/>
      <c r="K129" s="44"/>
      <c r="L129" s="42"/>
    </row>
    <row r="130">
      <c r="E130" s="42"/>
      <c r="G130" s="43"/>
      <c r="I130" s="44"/>
      <c r="K130" s="44"/>
      <c r="L130" s="42"/>
    </row>
    <row r="131">
      <c r="E131" s="42"/>
      <c r="G131" s="43"/>
      <c r="I131" s="44"/>
      <c r="K131" s="44"/>
      <c r="L131" s="42"/>
    </row>
    <row r="132">
      <c r="E132" s="42"/>
      <c r="G132" s="43"/>
      <c r="I132" s="44"/>
      <c r="K132" s="44"/>
      <c r="L132" s="42"/>
    </row>
    <row r="133">
      <c r="E133" s="42"/>
      <c r="G133" s="43"/>
      <c r="I133" s="44"/>
      <c r="K133" s="44"/>
      <c r="L133" s="42"/>
    </row>
    <row r="134">
      <c r="E134" s="42"/>
      <c r="G134" s="43"/>
      <c r="I134" s="44"/>
      <c r="K134" s="44"/>
      <c r="L134" s="42"/>
    </row>
    <row r="135">
      <c r="E135" s="42"/>
      <c r="G135" s="43"/>
      <c r="I135" s="44"/>
      <c r="K135" s="44"/>
      <c r="L135" s="42"/>
    </row>
    <row r="136">
      <c r="E136" s="42"/>
      <c r="G136" s="43"/>
      <c r="I136" s="44"/>
      <c r="K136" s="44"/>
      <c r="L136" s="42"/>
    </row>
    <row r="137">
      <c r="E137" s="42"/>
      <c r="G137" s="43"/>
      <c r="I137" s="44"/>
      <c r="K137" s="44"/>
      <c r="L137" s="42"/>
    </row>
    <row r="138">
      <c r="E138" s="42"/>
      <c r="G138" s="43"/>
      <c r="I138" s="44"/>
      <c r="K138" s="44"/>
      <c r="L138" s="42"/>
    </row>
    <row r="139">
      <c r="E139" s="42"/>
      <c r="G139" s="43"/>
      <c r="I139" s="44"/>
      <c r="K139" s="44"/>
      <c r="L139" s="42"/>
    </row>
    <row r="140">
      <c r="E140" s="42"/>
      <c r="G140" s="43"/>
      <c r="I140" s="44"/>
      <c r="K140" s="44"/>
      <c r="L140" s="42"/>
    </row>
    <row r="141">
      <c r="E141" s="42"/>
      <c r="G141" s="43"/>
      <c r="I141" s="44"/>
      <c r="K141" s="44"/>
      <c r="L141" s="42"/>
    </row>
    <row r="142">
      <c r="E142" s="42"/>
      <c r="G142" s="43"/>
      <c r="I142" s="44"/>
      <c r="K142" s="44"/>
      <c r="L142" s="42"/>
    </row>
    <row r="143">
      <c r="E143" s="42"/>
      <c r="G143" s="43"/>
      <c r="I143" s="44"/>
      <c r="K143" s="44"/>
      <c r="L143" s="42"/>
    </row>
    <row r="144">
      <c r="E144" s="42"/>
      <c r="G144" s="43"/>
      <c r="I144" s="44"/>
      <c r="K144" s="44"/>
      <c r="L144" s="42"/>
    </row>
    <row r="145">
      <c r="E145" s="42"/>
      <c r="G145" s="43"/>
      <c r="I145" s="44"/>
      <c r="K145" s="44"/>
      <c r="L145" s="42"/>
    </row>
    <row r="146">
      <c r="E146" s="42"/>
      <c r="G146" s="43"/>
      <c r="I146" s="44"/>
      <c r="K146" s="44"/>
      <c r="L146" s="42"/>
    </row>
    <row r="147">
      <c r="E147" s="42"/>
      <c r="G147" s="43"/>
      <c r="I147" s="44"/>
      <c r="K147" s="44"/>
      <c r="L147" s="42"/>
    </row>
    <row r="148">
      <c r="E148" s="42"/>
      <c r="G148" s="43"/>
      <c r="I148" s="44"/>
      <c r="K148" s="44"/>
      <c r="L148" s="42"/>
    </row>
    <row r="149">
      <c r="E149" s="42"/>
      <c r="G149" s="43"/>
      <c r="I149" s="44"/>
      <c r="K149" s="44"/>
      <c r="L149" s="42"/>
    </row>
    <row r="150">
      <c r="E150" s="42"/>
      <c r="G150" s="43"/>
      <c r="I150" s="44"/>
      <c r="K150" s="44"/>
      <c r="L150" s="42"/>
    </row>
    <row r="151">
      <c r="E151" s="42"/>
      <c r="G151" s="43"/>
      <c r="I151" s="44"/>
      <c r="K151" s="44"/>
      <c r="L151" s="42"/>
    </row>
    <row r="152">
      <c r="E152" s="42"/>
      <c r="G152" s="43"/>
      <c r="I152" s="44"/>
      <c r="K152" s="44"/>
      <c r="L152" s="42"/>
    </row>
    <row r="153">
      <c r="E153" s="42"/>
      <c r="G153" s="43"/>
      <c r="I153" s="44"/>
      <c r="K153" s="44"/>
      <c r="L153" s="42"/>
    </row>
    <row r="154">
      <c r="E154" s="42"/>
      <c r="G154" s="43"/>
      <c r="I154" s="44"/>
      <c r="K154" s="44"/>
      <c r="L154" s="42"/>
    </row>
    <row r="155">
      <c r="E155" s="42"/>
      <c r="G155" s="43"/>
      <c r="I155" s="44"/>
      <c r="K155" s="44"/>
      <c r="L155" s="42"/>
    </row>
    <row r="156">
      <c r="E156" s="42"/>
      <c r="G156" s="43"/>
      <c r="I156" s="44"/>
      <c r="K156" s="44"/>
      <c r="L156" s="42"/>
    </row>
    <row r="157">
      <c r="E157" s="42"/>
      <c r="G157" s="43"/>
      <c r="I157" s="44"/>
      <c r="K157" s="44"/>
      <c r="L157" s="42"/>
    </row>
    <row r="158">
      <c r="E158" s="42"/>
      <c r="G158" s="43"/>
      <c r="I158" s="44"/>
      <c r="K158" s="44"/>
      <c r="L158" s="42"/>
    </row>
    <row r="159">
      <c r="E159" s="42"/>
      <c r="G159" s="43"/>
      <c r="I159" s="44"/>
      <c r="K159" s="44"/>
      <c r="L159" s="42"/>
    </row>
    <row r="160">
      <c r="E160" s="42"/>
      <c r="G160" s="43"/>
      <c r="I160" s="44"/>
      <c r="K160" s="44"/>
      <c r="L160" s="42"/>
    </row>
    <row r="161">
      <c r="E161" s="42"/>
      <c r="G161" s="43"/>
      <c r="I161" s="44"/>
      <c r="K161" s="44"/>
      <c r="L161" s="42"/>
    </row>
    <row r="162">
      <c r="E162" s="42"/>
      <c r="G162" s="43"/>
      <c r="I162" s="44"/>
      <c r="K162" s="44"/>
      <c r="L162" s="42"/>
    </row>
    <row r="163">
      <c r="E163" s="42"/>
      <c r="G163" s="43"/>
      <c r="I163" s="44"/>
      <c r="K163" s="44"/>
      <c r="L163" s="42"/>
    </row>
    <row r="164">
      <c r="E164" s="42"/>
      <c r="G164" s="43"/>
      <c r="I164" s="44"/>
      <c r="K164" s="44"/>
      <c r="L164" s="42"/>
    </row>
    <row r="165">
      <c r="E165" s="42"/>
      <c r="G165" s="43"/>
      <c r="I165" s="44"/>
      <c r="K165" s="44"/>
      <c r="L165" s="42"/>
    </row>
    <row r="166">
      <c r="E166" s="42"/>
      <c r="G166" s="43"/>
      <c r="I166" s="44"/>
      <c r="K166" s="44"/>
      <c r="L166" s="42"/>
    </row>
    <row r="167">
      <c r="E167" s="42"/>
      <c r="G167" s="43"/>
      <c r="I167" s="44"/>
      <c r="K167" s="44"/>
      <c r="L167" s="42"/>
    </row>
    <row r="168">
      <c r="E168" s="42"/>
      <c r="G168" s="43"/>
      <c r="I168" s="44"/>
      <c r="K168" s="44"/>
      <c r="L168" s="42"/>
    </row>
    <row r="169">
      <c r="E169" s="42"/>
      <c r="G169" s="43"/>
      <c r="I169" s="44"/>
      <c r="K169" s="44"/>
      <c r="L169" s="42"/>
    </row>
    <row r="170">
      <c r="E170" s="42"/>
      <c r="G170" s="43"/>
      <c r="I170" s="44"/>
      <c r="K170" s="44"/>
      <c r="L170" s="42"/>
    </row>
    <row r="171">
      <c r="E171" s="42"/>
      <c r="G171" s="43"/>
      <c r="I171" s="44"/>
      <c r="K171" s="44"/>
      <c r="L171" s="42"/>
    </row>
    <row r="172">
      <c r="E172" s="42"/>
      <c r="G172" s="43"/>
      <c r="I172" s="44"/>
      <c r="K172" s="44"/>
      <c r="L172" s="42"/>
    </row>
    <row r="173">
      <c r="E173" s="42"/>
      <c r="G173" s="43"/>
      <c r="I173" s="44"/>
      <c r="K173" s="44"/>
      <c r="L173" s="42"/>
    </row>
    <row r="174">
      <c r="E174" s="42"/>
      <c r="G174" s="43"/>
      <c r="I174" s="44"/>
      <c r="K174" s="44"/>
      <c r="L174" s="42"/>
    </row>
    <row r="175">
      <c r="E175" s="42"/>
      <c r="G175" s="43"/>
      <c r="I175" s="44"/>
      <c r="K175" s="44"/>
      <c r="L175" s="42"/>
    </row>
    <row r="176">
      <c r="E176" s="42"/>
      <c r="G176" s="43"/>
      <c r="I176" s="44"/>
      <c r="K176" s="44"/>
      <c r="L176" s="42"/>
    </row>
    <row r="177">
      <c r="E177" s="42"/>
      <c r="G177" s="43"/>
      <c r="I177" s="44"/>
      <c r="K177" s="44"/>
      <c r="L177" s="42"/>
    </row>
    <row r="178">
      <c r="E178" s="42"/>
      <c r="G178" s="43"/>
      <c r="I178" s="44"/>
      <c r="K178" s="44"/>
      <c r="L178" s="42"/>
    </row>
    <row r="179">
      <c r="E179" s="42"/>
      <c r="G179" s="43"/>
      <c r="I179" s="44"/>
      <c r="K179" s="44"/>
      <c r="L179" s="42"/>
    </row>
    <row r="180">
      <c r="E180" s="42"/>
      <c r="G180" s="43"/>
      <c r="I180" s="44"/>
      <c r="K180" s="44"/>
      <c r="L180" s="42"/>
    </row>
    <row r="181">
      <c r="E181" s="42"/>
      <c r="G181" s="43"/>
      <c r="I181" s="44"/>
      <c r="K181" s="44"/>
      <c r="L181" s="42"/>
    </row>
    <row r="182">
      <c r="E182" s="42"/>
      <c r="G182" s="43"/>
      <c r="I182" s="44"/>
      <c r="K182" s="44"/>
      <c r="L182" s="42"/>
    </row>
    <row r="183">
      <c r="E183" s="42"/>
      <c r="G183" s="43"/>
      <c r="I183" s="44"/>
      <c r="K183" s="44"/>
      <c r="L183" s="42"/>
    </row>
    <row r="184">
      <c r="E184" s="42"/>
      <c r="G184" s="43"/>
      <c r="I184" s="44"/>
      <c r="K184" s="44"/>
      <c r="L184" s="42"/>
    </row>
    <row r="185">
      <c r="E185" s="42"/>
      <c r="G185" s="43"/>
      <c r="I185" s="44"/>
      <c r="K185" s="44"/>
      <c r="L185" s="42"/>
    </row>
    <row r="186">
      <c r="E186" s="42"/>
      <c r="G186" s="43"/>
      <c r="I186" s="44"/>
      <c r="K186" s="44"/>
      <c r="L186" s="42"/>
    </row>
    <row r="187">
      <c r="E187" s="42"/>
      <c r="G187" s="43"/>
      <c r="I187" s="44"/>
      <c r="K187" s="44"/>
      <c r="L187" s="42"/>
    </row>
    <row r="188">
      <c r="E188" s="42"/>
      <c r="G188" s="43"/>
      <c r="I188" s="44"/>
      <c r="K188" s="44"/>
      <c r="L188" s="42"/>
    </row>
    <row r="189">
      <c r="E189" s="42"/>
      <c r="G189" s="43"/>
      <c r="I189" s="44"/>
      <c r="K189" s="44"/>
      <c r="L189" s="42"/>
    </row>
    <row r="190">
      <c r="E190" s="42"/>
      <c r="G190" s="43"/>
      <c r="I190" s="44"/>
      <c r="K190" s="44"/>
      <c r="L190" s="42"/>
    </row>
    <row r="191">
      <c r="E191" s="42"/>
      <c r="G191" s="43"/>
      <c r="I191" s="44"/>
      <c r="K191" s="44"/>
      <c r="L191" s="42"/>
    </row>
    <row r="192">
      <c r="E192" s="42"/>
      <c r="G192" s="43"/>
      <c r="I192" s="44"/>
      <c r="K192" s="44"/>
      <c r="L192" s="42"/>
    </row>
    <row r="193">
      <c r="E193" s="42"/>
      <c r="G193" s="43"/>
      <c r="I193" s="44"/>
      <c r="K193" s="44"/>
      <c r="L193" s="42"/>
    </row>
    <row r="194">
      <c r="E194" s="42"/>
      <c r="G194" s="43"/>
      <c r="I194" s="44"/>
      <c r="K194" s="44"/>
      <c r="L194" s="42"/>
    </row>
    <row r="195">
      <c r="E195" s="42"/>
      <c r="G195" s="43"/>
      <c r="I195" s="44"/>
      <c r="K195" s="44"/>
      <c r="L195" s="42"/>
    </row>
    <row r="196">
      <c r="E196" s="42"/>
      <c r="G196" s="43"/>
      <c r="I196" s="44"/>
      <c r="K196" s="44"/>
      <c r="L196" s="42"/>
    </row>
    <row r="197">
      <c r="E197" s="42"/>
      <c r="G197" s="43"/>
      <c r="I197" s="44"/>
      <c r="K197" s="44"/>
      <c r="L197" s="42"/>
    </row>
    <row r="198">
      <c r="E198" s="42"/>
      <c r="G198" s="43"/>
      <c r="I198" s="44"/>
      <c r="K198" s="44"/>
      <c r="L198" s="42"/>
    </row>
    <row r="199">
      <c r="E199" s="42"/>
      <c r="G199" s="43"/>
      <c r="I199" s="44"/>
      <c r="K199" s="44"/>
      <c r="L199" s="42"/>
    </row>
    <row r="200">
      <c r="E200" s="42"/>
      <c r="G200" s="43"/>
      <c r="I200" s="44"/>
      <c r="K200" s="44"/>
      <c r="L200" s="42"/>
    </row>
    <row r="201">
      <c r="E201" s="42"/>
      <c r="G201" s="43"/>
      <c r="I201" s="44"/>
      <c r="K201" s="44"/>
      <c r="L201" s="42"/>
    </row>
    <row r="202">
      <c r="E202" s="42"/>
      <c r="G202" s="43"/>
      <c r="I202" s="44"/>
      <c r="K202" s="44"/>
      <c r="L202" s="42"/>
    </row>
    <row r="203">
      <c r="E203" s="42"/>
      <c r="G203" s="43"/>
      <c r="I203" s="44"/>
      <c r="K203" s="44"/>
      <c r="L203" s="42"/>
    </row>
    <row r="204">
      <c r="E204" s="42"/>
      <c r="G204" s="43"/>
      <c r="I204" s="44"/>
      <c r="K204" s="44"/>
      <c r="L204" s="42"/>
    </row>
    <row r="205">
      <c r="E205" s="42"/>
      <c r="G205" s="43"/>
      <c r="I205" s="44"/>
      <c r="K205" s="44"/>
      <c r="L205" s="42"/>
    </row>
    <row r="206">
      <c r="E206" s="42"/>
      <c r="G206" s="43"/>
      <c r="I206" s="44"/>
      <c r="K206" s="44"/>
      <c r="L206" s="42"/>
    </row>
    <row r="207">
      <c r="E207" s="42"/>
      <c r="G207" s="43"/>
      <c r="I207" s="44"/>
      <c r="K207" s="44"/>
      <c r="L207" s="42"/>
    </row>
    <row r="208">
      <c r="E208" s="42"/>
      <c r="G208" s="43"/>
      <c r="I208" s="44"/>
      <c r="K208" s="44"/>
      <c r="L208" s="42"/>
    </row>
    <row r="209">
      <c r="E209" s="42"/>
      <c r="G209" s="43"/>
      <c r="I209" s="44"/>
      <c r="K209" s="44"/>
      <c r="L209" s="42"/>
    </row>
    <row r="210">
      <c r="E210" s="42"/>
      <c r="G210" s="43"/>
      <c r="I210" s="44"/>
      <c r="K210" s="44"/>
      <c r="L210" s="42"/>
    </row>
    <row r="211">
      <c r="E211" s="42"/>
      <c r="G211" s="43"/>
      <c r="I211" s="44"/>
      <c r="K211" s="44"/>
      <c r="L211" s="42"/>
    </row>
    <row r="212">
      <c r="E212" s="42"/>
      <c r="G212" s="43"/>
      <c r="I212" s="44"/>
      <c r="K212" s="44"/>
      <c r="L212" s="42"/>
    </row>
    <row r="213">
      <c r="E213" s="42"/>
      <c r="G213" s="43"/>
      <c r="I213" s="44"/>
      <c r="K213" s="44"/>
      <c r="L213" s="42"/>
    </row>
    <row r="214">
      <c r="E214" s="42"/>
      <c r="G214" s="43"/>
      <c r="I214" s="44"/>
      <c r="K214" s="44"/>
      <c r="L214" s="42"/>
    </row>
    <row r="215">
      <c r="E215" s="42"/>
      <c r="G215" s="43"/>
      <c r="I215" s="44"/>
      <c r="K215" s="44"/>
      <c r="L215" s="42"/>
    </row>
    <row r="216">
      <c r="E216" s="42"/>
      <c r="G216" s="43"/>
      <c r="I216" s="44"/>
      <c r="K216" s="44"/>
      <c r="L216" s="42"/>
    </row>
    <row r="217">
      <c r="E217" s="42"/>
      <c r="G217" s="43"/>
      <c r="I217" s="44"/>
      <c r="K217" s="44"/>
      <c r="L217" s="42"/>
    </row>
    <row r="218">
      <c r="E218" s="42"/>
      <c r="G218" s="43"/>
      <c r="I218" s="44"/>
      <c r="K218" s="44"/>
      <c r="L218" s="42"/>
    </row>
    <row r="219">
      <c r="E219" s="42"/>
      <c r="G219" s="43"/>
      <c r="I219" s="44"/>
      <c r="K219" s="44"/>
      <c r="L219" s="42"/>
    </row>
    <row r="220">
      <c r="E220" s="42"/>
      <c r="G220" s="43"/>
      <c r="I220" s="44"/>
      <c r="K220" s="44"/>
      <c r="L220" s="42"/>
    </row>
    <row r="221">
      <c r="E221" s="42"/>
      <c r="G221" s="43"/>
      <c r="I221" s="44"/>
      <c r="K221" s="44"/>
      <c r="L221" s="42"/>
    </row>
    <row r="222">
      <c r="E222" s="42"/>
      <c r="G222" s="43"/>
      <c r="I222" s="44"/>
      <c r="K222" s="44"/>
      <c r="L222" s="42"/>
    </row>
    <row r="223">
      <c r="E223" s="42"/>
      <c r="G223" s="43"/>
      <c r="I223" s="44"/>
      <c r="K223" s="44"/>
      <c r="L223" s="42"/>
    </row>
    <row r="224">
      <c r="E224" s="42"/>
      <c r="G224" s="43"/>
      <c r="I224" s="44"/>
      <c r="K224" s="44"/>
      <c r="L224" s="42"/>
    </row>
    <row r="225">
      <c r="E225" s="42"/>
      <c r="G225" s="43"/>
      <c r="I225" s="44"/>
      <c r="K225" s="44"/>
      <c r="L225" s="42"/>
    </row>
    <row r="226">
      <c r="E226" s="42"/>
      <c r="G226" s="43"/>
      <c r="I226" s="44"/>
      <c r="K226" s="44"/>
      <c r="L226" s="42"/>
    </row>
    <row r="227">
      <c r="E227" s="42"/>
      <c r="G227" s="43"/>
      <c r="I227" s="44"/>
      <c r="K227" s="44"/>
      <c r="L227" s="42"/>
    </row>
    <row r="228">
      <c r="E228" s="42"/>
      <c r="G228" s="43"/>
      <c r="I228" s="44"/>
      <c r="K228" s="44"/>
      <c r="L228" s="42"/>
    </row>
    <row r="229">
      <c r="E229" s="42"/>
      <c r="G229" s="43"/>
      <c r="I229" s="44"/>
      <c r="K229" s="44"/>
      <c r="L229" s="42"/>
    </row>
    <row r="230">
      <c r="E230" s="42"/>
      <c r="G230" s="43"/>
      <c r="I230" s="44"/>
      <c r="K230" s="44"/>
      <c r="L230" s="42"/>
    </row>
    <row r="231">
      <c r="E231" s="42"/>
      <c r="G231" s="43"/>
      <c r="I231" s="44"/>
      <c r="K231" s="44"/>
      <c r="L231" s="42"/>
    </row>
    <row r="232">
      <c r="E232" s="42"/>
      <c r="G232" s="43"/>
      <c r="I232" s="44"/>
      <c r="K232" s="44"/>
      <c r="L232" s="42"/>
    </row>
    <row r="233">
      <c r="E233" s="42"/>
      <c r="G233" s="43"/>
      <c r="I233" s="44"/>
      <c r="K233" s="44"/>
      <c r="L233" s="42"/>
    </row>
    <row r="234">
      <c r="E234" s="42"/>
      <c r="G234" s="43"/>
      <c r="I234" s="44"/>
      <c r="K234" s="44"/>
      <c r="L234" s="42"/>
    </row>
    <row r="235">
      <c r="E235" s="42"/>
      <c r="G235" s="43"/>
      <c r="I235" s="44"/>
      <c r="K235" s="44"/>
      <c r="L235" s="42"/>
    </row>
    <row r="236">
      <c r="E236" s="42"/>
      <c r="G236" s="43"/>
      <c r="I236" s="44"/>
      <c r="K236" s="44"/>
      <c r="L236" s="42"/>
    </row>
    <row r="237">
      <c r="E237" s="42"/>
      <c r="G237" s="43"/>
      <c r="I237" s="44"/>
      <c r="K237" s="44"/>
      <c r="L237" s="42"/>
    </row>
    <row r="238">
      <c r="E238" s="42"/>
      <c r="G238" s="43"/>
      <c r="I238" s="44"/>
      <c r="K238" s="44"/>
      <c r="L238" s="42"/>
    </row>
    <row r="239">
      <c r="E239" s="42"/>
      <c r="G239" s="43"/>
      <c r="I239" s="44"/>
      <c r="K239" s="44"/>
      <c r="L239" s="42"/>
    </row>
    <row r="240">
      <c r="E240" s="42"/>
      <c r="G240" s="43"/>
      <c r="I240" s="44"/>
      <c r="K240" s="44"/>
      <c r="L240" s="42"/>
    </row>
    <row r="241">
      <c r="E241" s="42"/>
      <c r="G241" s="43"/>
      <c r="I241" s="44"/>
      <c r="K241" s="44"/>
      <c r="L241" s="42"/>
    </row>
    <row r="242">
      <c r="E242" s="42"/>
      <c r="G242" s="43"/>
      <c r="I242" s="44"/>
      <c r="K242" s="44"/>
      <c r="L242" s="42"/>
    </row>
    <row r="243">
      <c r="E243" s="42"/>
      <c r="G243" s="43"/>
      <c r="I243" s="44"/>
      <c r="K243" s="44"/>
      <c r="L243" s="42"/>
    </row>
    <row r="244">
      <c r="E244" s="42"/>
      <c r="G244" s="43"/>
      <c r="I244" s="44"/>
      <c r="K244" s="44"/>
      <c r="L244" s="42"/>
    </row>
    <row r="245">
      <c r="E245" s="42"/>
      <c r="G245" s="43"/>
      <c r="I245" s="44"/>
      <c r="K245" s="44"/>
      <c r="L245" s="42"/>
    </row>
    <row r="246">
      <c r="E246" s="42"/>
      <c r="G246" s="43"/>
      <c r="I246" s="44"/>
      <c r="K246" s="44"/>
      <c r="L246" s="42"/>
    </row>
    <row r="247">
      <c r="E247" s="42"/>
      <c r="G247" s="43"/>
      <c r="I247" s="44"/>
      <c r="K247" s="44"/>
      <c r="L247" s="42"/>
    </row>
    <row r="248">
      <c r="E248" s="42"/>
      <c r="G248" s="43"/>
      <c r="I248" s="44"/>
      <c r="K248" s="44"/>
      <c r="L248" s="42"/>
    </row>
    <row r="249">
      <c r="E249" s="42"/>
      <c r="G249" s="43"/>
      <c r="I249" s="44"/>
      <c r="K249" s="44"/>
      <c r="L249" s="42"/>
    </row>
    <row r="250">
      <c r="E250" s="42"/>
      <c r="G250" s="43"/>
      <c r="I250" s="44"/>
      <c r="K250" s="44"/>
      <c r="L250" s="42"/>
    </row>
    <row r="251">
      <c r="E251" s="42"/>
      <c r="G251" s="43"/>
      <c r="I251" s="44"/>
      <c r="K251" s="44"/>
      <c r="L251" s="42"/>
    </row>
    <row r="252">
      <c r="E252" s="42"/>
      <c r="G252" s="43"/>
      <c r="I252" s="44"/>
      <c r="K252" s="44"/>
      <c r="L252" s="42"/>
    </row>
    <row r="253">
      <c r="E253" s="42"/>
      <c r="G253" s="43"/>
      <c r="I253" s="44"/>
      <c r="K253" s="44"/>
      <c r="L253" s="42"/>
    </row>
    <row r="254">
      <c r="E254" s="42"/>
      <c r="G254" s="43"/>
      <c r="I254" s="44"/>
      <c r="K254" s="44"/>
      <c r="L254" s="42"/>
    </row>
    <row r="255">
      <c r="E255" s="42"/>
      <c r="G255" s="43"/>
      <c r="I255" s="44"/>
      <c r="K255" s="44"/>
      <c r="L255" s="42"/>
    </row>
    <row r="256">
      <c r="E256" s="42"/>
      <c r="G256" s="43"/>
      <c r="I256" s="44"/>
      <c r="K256" s="44"/>
      <c r="L256" s="42"/>
    </row>
    <row r="257">
      <c r="E257" s="42"/>
      <c r="G257" s="43"/>
      <c r="I257" s="44"/>
      <c r="K257" s="44"/>
      <c r="L257" s="42"/>
    </row>
    <row r="258">
      <c r="E258" s="42"/>
      <c r="G258" s="43"/>
      <c r="I258" s="44"/>
      <c r="K258" s="44"/>
      <c r="L258" s="42"/>
    </row>
    <row r="259">
      <c r="E259" s="42"/>
      <c r="G259" s="43"/>
      <c r="I259" s="44"/>
      <c r="K259" s="44"/>
      <c r="L259" s="42"/>
    </row>
    <row r="260">
      <c r="E260" s="42"/>
      <c r="G260" s="43"/>
      <c r="I260" s="44"/>
      <c r="K260" s="44"/>
      <c r="L260" s="42"/>
    </row>
    <row r="261">
      <c r="E261" s="42"/>
      <c r="G261" s="43"/>
      <c r="I261" s="44"/>
      <c r="K261" s="44"/>
      <c r="L261" s="42"/>
    </row>
    <row r="262">
      <c r="E262" s="42"/>
      <c r="G262" s="43"/>
      <c r="I262" s="44"/>
      <c r="K262" s="44"/>
      <c r="L262" s="42"/>
    </row>
    <row r="263">
      <c r="E263" s="42"/>
      <c r="G263" s="43"/>
      <c r="I263" s="44"/>
      <c r="K263" s="44"/>
      <c r="L263" s="42"/>
    </row>
    <row r="264">
      <c r="E264" s="42"/>
      <c r="G264" s="43"/>
      <c r="I264" s="44"/>
      <c r="K264" s="44"/>
      <c r="L264" s="42"/>
    </row>
    <row r="265">
      <c r="E265" s="42"/>
      <c r="G265" s="43"/>
      <c r="I265" s="44"/>
      <c r="K265" s="44"/>
      <c r="L265" s="42"/>
    </row>
    <row r="266">
      <c r="E266" s="42"/>
      <c r="G266" s="43"/>
      <c r="I266" s="44"/>
      <c r="K266" s="44"/>
      <c r="L266" s="42"/>
    </row>
    <row r="267">
      <c r="E267" s="42"/>
      <c r="G267" s="43"/>
      <c r="I267" s="44"/>
      <c r="K267" s="44"/>
      <c r="L267" s="42"/>
    </row>
    <row r="268">
      <c r="E268" s="42"/>
      <c r="G268" s="43"/>
      <c r="I268" s="44"/>
      <c r="K268" s="44"/>
      <c r="L268" s="42"/>
    </row>
    <row r="269">
      <c r="E269" s="42"/>
      <c r="G269" s="43"/>
      <c r="I269" s="44"/>
      <c r="K269" s="44"/>
      <c r="L269" s="42"/>
    </row>
    <row r="270">
      <c r="E270" s="42"/>
      <c r="G270" s="43"/>
      <c r="I270" s="44"/>
      <c r="K270" s="44"/>
      <c r="L270" s="42"/>
    </row>
    <row r="271">
      <c r="E271" s="42"/>
      <c r="G271" s="43"/>
      <c r="I271" s="44"/>
      <c r="K271" s="44"/>
      <c r="L271" s="42"/>
    </row>
    <row r="272">
      <c r="E272" s="42"/>
      <c r="G272" s="43"/>
      <c r="I272" s="44"/>
      <c r="K272" s="44"/>
      <c r="L272" s="42"/>
    </row>
    <row r="273">
      <c r="E273" s="42"/>
      <c r="G273" s="43"/>
      <c r="I273" s="44"/>
      <c r="K273" s="44"/>
      <c r="L273" s="42"/>
    </row>
    <row r="274">
      <c r="E274" s="42"/>
      <c r="G274" s="43"/>
      <c r="I274" s="44"/>
      <c r="K274" s="44"/>
      <c r="L274" s="42"/>
    </row>
    <row r="275">
      <c r="E275" s="42"/>
      <c r="G275" s="43"/>
      <c r="I275" s="44"/>
      <c r="K275" s="44"/>
      <c r="L275" s="42"/>
    </row>
    <row r="276">
      <c r="E276" s="42"/>
      <c r="G276" s="43"/>
      <c r="I276" s="44"/>
      <c r="K276" s="44"/>
      <c r="L276" s="42"/>
    </row>
    <row r="277">
      <c r="E277" s="42"/>
      <c r="G277" s="43"/>
      <c r="I277" s="44"/>
      <c r="K277" s="44"/>
      <c r="L277" s="42"/>
    </row>
    <row r="278">
      <c r="E278" s="42"/>
      <c r="G278" s="43"/>
      <c r="I278" s="44"/>
      <c r="K278" s="44"/>
      <c r="L278" s="42"/>
    </row>
    <row r="279">
      <c r="E279" s="42"/>
      <c r="G279" s="43"/>
      <c r="I279" s="44"/>
      <c r="K279" s="44"/>
      <c r="L279" s="42"/>
    </row>
    <row r="280">
      <c r="E280" s="42"/>
      <c r="G280" s="43"/>
      <c r="I280" s="44"/>
      <c r="K280" s="44"/>
      <c r="L280" s="42"/>
    </row>
    <row r="281">
      <c r="E281" s="42"/>
      <c r="G281" s="43"/>
      <c r="I281" s="44"/>
      <c r="K281" s="44"/>
      <c r="L281" s="42"/>
    </row>
    <row r="282">
      <c r="E282" s="42"/>
      <c r="G282" s="43"/>
      <c r="I282" s="44"/>
      <c r="K282" s="44"/>
      <c r="L282" s="42"/>
    </row>
    <row r="283">
      <c r="E283" s="42"/>
      <c r="G283" s="43"/>
      <c r="I283" s="44"/>
      <c r="K283" s="44"/>
      <c r="L283" s="42"/>
    </row>
    <row r="284">
      <c r="E284" s="42"/>
      <c r="G284" s="43"/>
      <c r="I284" s="44"/>
      <c r="K284" s="44"/>
      <c r="L284" s="42"/>
    </row>
    <row r="285">
      <c r="E285" s="42"/>
      <c r="G285" s="43"/>
      <c r="I285" s="44"/>
      <c r="K285" s="44"/>
      <c r="L285" s="42"/>
    </row>
    <row r="286">
      <c r="E286" s="42"/>
      <c r="G286" s="43"/>
      <c r="I286" s="44"/>
      <c r="K286" s="44"/>
      <c r="L286" s="42"/>
    </row>
    <row r="287">
      <c r="E287" s="42"/>
      <c r="G287" s="43"/>
      <c r="I287" s="44"/>
      <c r="K287" s="44"/>
      <c r="L287" s="42"/>
    </row>
    <row r="288">
      <c r="E288" s="42"/>
      <c r="G288" s="43"/>
      <c r="I288" s="44"/>
      <c r="K288" s="44"/>
      <c r="L288" s="42"/>
    </row>
    <row r="289">
      <c r="E289" s="42"/>
      <c r="G289" s="43"/>
      <c r="I289" s="44"/>
      <c r="K289" s="44"/>
      <c r="L289" s="42"/>
    </row>
    <row r="290">
      <c r="E290" s="42"/>
      <c r="G290" s="43"/>
      <c r="I290" s="44"/>
      <c r="K290" s="44"/>
      <c r="L290" s="42"/>
    </row>
    <row r="291">
      <c r="E291" s="42"/>
      <c r="G291" s="43"/>
      <c r="I291" s="44"/>
      <c r="K291" s="44"/>
      <c r="L291" s="42"/>
    </row>
    <row r="292">
      <c r="E292" s="42"/>
      <c r="G292" s="43"/>
      <c r="I292" s="44"/>
      <c r="K292" s="44"/>
      <c r="L292" s="42"/>
    </row>
    <row r="293">
      <c r="E293" s="42"/>
      <c r="G293" s="43"/>
      <c r="I293" s="44"/>
      <c r="K293" s="44"/>
      <c r="L293" s="42"/>
    </row>
    <row r="294">
      <c r="E294" s="42"/>
      <c r="G294" s="43"/>
      <c r="I294" s="44"/>
      <c r="K294" s="44"/>
      <c r="L294" s="42"/>
    </row>
    <row r="295">
      <c r="E295" s="42"/>
      <c r="G295" s="43"/>
      <c r="I295" s="44"/>
      <c r="K295" s="44"/>
      <c r="L295" s="42"/>
    </row>
    <row r="296">
      <c r="E296" s="42"/>
      <c r="G296" s="43"/>
      <c r="I296" s="44"/>
      <c r="K296" s="44"/>
      <c r="L296" s="42"/>
    </row>
    <row r="297">
      <c r="E297" s="42"/>
      <c r="G297" s="43"/>
      <c r="I297" s="44"/>
      <c r="K297" s="44"/>
      <c r="L297" s="42"/>
    </row>
    <row r="298">
      <c r="E298" s="42"/>
      <c r="G298" s="43"/>
      <c r="I298" s="44"/>
      <c r="K298" s="44"/>
      <c r="L298" s="42"/>
    </row>
    <row r="299">
      <c r="E299" s="42"/>
      <c r="G299" s="43"/>
      <c r="I299" s="44"/>
      <c r="K299" s="44"/>
      <c r="L299" s="42"/>
    </row>
    <row r="300">
      <c r="E300" s="42"/>
      <c r="G300" s="43"/>
      <c r="I300" s="44"/>
      <c r="K300" s="44"/>
      <c r="L300" s="42"/>
    </row>
    <row r="301">
      <c r="E301" s="42"/>
      <c r="G301" s="43"/>
      <c r="I301" s="44"/>
      <c r="K301" s="44"/>
      <c r="L301" s="42"/>
    </row>
    <row r="302">
      <c r="E302" s="42"/>
      <c r="G302" s="43"/>
      <c r="I302" s="44"/>
      <c r="K302" s="44"/>
      <c r="L302" s="42"/>
    </row>
    <row r="303">
      <c r="E303" s="42"/>
      <c r="G303" s="43"/>
      <c r="I303" s="44"/>
      <c r="K303" s="44"/>
      <c r="L303" s="42"/>
    </row>
    <row r="304">
      <c r="E304" s="42"/>
      <c r="G304" s="43"/>
      <c r="I304" s="44"/>
      <c r="K304" s="44"/>
      <c r="L304" s="42"/>
    </row>
    <row r="305">
      <c r="E305" s="42"/>
      <c r="G305" s="43"/>
      <c r="I305" s="44"/>
      <c r="K305" s="44"/>
      <c r="L305" s="42"/>
    </row>
    <row r="306">
      <c r="E306" s="42"/>
      <c r="G306" s="43"/>
      <c r="I306" s="44"/>
      <c r="K306" s="44"/>
      <c r="L306" s="42"/>
    </row>
    <row r="307">
      <c r="E307" s="42"/>
      <c r="G307" s="43"/>
      <c r="I307" s="44"/>
      <c r="K307" s="44"/>
      <c r="L307" s="42"/>
    </row>
    <row r="308">
      <c r="E308" s="42"/>
      <c r="G308" s="43"/>
      <c r="I308" s="44"/>
      <c r="K308" s="44"/>
      <c r="L308" s="42"/>
    </row>
    <row r="309">
      <c r="E309" s="42"/>
      <c r="G309" s="43"/>
      <c r="I309" s="44"/>
      <c r="K309" s="44"/>
      <c r="L309" s="42"/>
    </row>
    <row r="310">
      <c r="E310" s="42"/>
      <c r="G310" s="43"/>
      <c r="I310" s="44"/>
      <c r="K310" s="44"/>
      <c r="L310" s="42"/>
    </row>
    <row r="311">
      <c r="E311" s="42"/>
      <c r="G311" s="43"/>
      <c r="I311" s="44"/>
      <c r="K311" s="44"/>
      <c r="L311" s="42"/>
    </row>
    <row r="312">
      <c r="E312" s="42"/>
      <c r="G312" s="43"/>
      <c r="I312" s="44"/>
      <c r="K312" s="44"/>
      <c r="L312" s="42"/>
    </row>
    <row r="313">
      <c r="E313" s="42"/>
      <c r="G313" s="43"/>
      <c r="I313" s="44"/>
      <c r="K313" s="44"/>
      <c r="L313" s="42"/>
    </row>
    <row r="314">
      <c r="E314" s="42"/>
      <c r="G314" s="43"/>
      <c r="I314" s="44"/>
      <c r="K314" s="44"/>
      <c r="L314" s="42"/>
    </row>
    <row r="315">
      <c r="E315" s="42"/>
      <c r="G315" s="43"/>
      <c r="I315" s="44"/>
      <c r="K315" s="44"/>
      <c r="L315" s="42"/>
    </row>
    <row r="316">
      <c r="E316" s="42"/>
      <c r="G316" s="43"/>
      <c r="I316" s="44"/>
      <c r="K316" s="44"/>
      <c r="L316" s="42"/>
    </row>
    <row r="317">
      <c r="E317" s="42"/>
      <c r="G317" s="43"/>
      <c r="I317" s="44"/>
      <c r="K317" s="44"/>
      <c r="L317" s="42"/>
    </row>
    <row r="318">
      <c r="E318" s="42"/>
      <c r="G318" s="43"/>
      <c r="I318" s="44"/>
      <c r="K318" s="44"/>
      <c r="L318" s="42"/>
    </row>
    <row r="319">
      <c r="E319" s="42"/>
      <c r="G319" s="43"/>
      <c r="I319" s="44"/>
      <c r="K319" s="44"/>
      <c r="L319" s="42"/>
    </row>
    <row r="320">
      <c r="E320" s="42"/>
      <c r="G320" s="43"/>
      <c r="I320" s="44"/>
      <c r="K320" s="44"/>
      <c r="L320" s="42"/>
    </row>
    <row r="321">
      <c r="E321" s="42"/>
      <c r="G321" s="43"/>
      <c r="I321" s="44"/>
      <c r="K321" s="44"/>
      <c r="L321" s="42"/>
    </row>
    <row r="322">
      <c r="E322" s="42"/>
      <c r="G322" s="43"/>
      <c r="I322" s="44"/>
      <c r="K322" s="44"/>
      <c r="L322" s="42"/>
    </row>
    <row r="323">
      <c r="E323" s="42"/>
      <c r="G323" s="43"/>
      <c r="I323" s="44"/>
      <c r="K323" s="44"/>
      <c r="L323" s="42"/>
    </row>
    <row r="324">
      <c r="E324" s="42"/>
      <c r="G324" s="43"/>
      <c r="I324" s="44"/>
      <c r="K324" s="44"/>
      <c r="L324" s="42"/>
    </row>
    <row r="325">
      <c r="E325" s="42"/>
      <c r="G325" s="43"/>
      <c r="I325" s="44"/>
      <c r="K325" s="44"/>
      <c r="L325" s="42"/>
    </row>
    <row r="326">
      <c r="E326" s="42"/>
      <c r="G326" s="43"/>
      <c r="I326" s="44"/>
      <c r="K326" s="44"/>
      <c r="L326" s="42"/>
    </row>
    <row r="327">
      <c r="E327" s="42"/>
      <c r="G327" s="43"/>
      <c r="I327" s="44"/>
      <c r="K327" s="44"/>
      <c r="L327" s="42"/>
    </row>
    <row r="328">
      <c r="E328" s="42"/>
      <c r="G328" s="43"/>
      <c r="I328" s="44"/>
      <c r="K328" s="44"/>
      <c r="L328" s="42"/>
    </row>
    <row r="329">
      <c r="E329" s="42"/>
      <c r="G329" s="43"/>
      <c r="I329" s="44"/>
      <c r="K329" s="44"/>
      <c r="L329" s="42"/>
    </row>
    <row r="330">
      <c r="E330" s="42"/>
      <c r="G330" s="43"/>
      <c r="I330" s="44"/>
      <c r="K330" s="44"/>
      <c r="L330" s="42"/>
    </row>
    <row r="331">
      <c r="E331" s="42"/>
      <c r="G331" s="43"/>
      <c r="I331" s="44"/>
      <c r="K331" s="44"/>
      <c r="L331" s="42"/>
    </row>
    <row r="332">
      <c r="E332" s="42"/>
      <c r="G332" s="43"/>
      <c r="I332" s="44"/>
      <c r="K332" s="44"/>
      <c r="L332" s="42"/>
    </row>
    <row r="333">
      <c r="E333" s="42"/>
      <c r="G333" s="43"/>
      <c r="I333" s="44"/>
      <c r="K333" s="44"/>
      <c r="L333" s="42"/>
    </row>
    <row r="334">
      <c r="E334" s="42"/>
      <c r="G334" s="43"/>
      <c r="I334" s="44"/>
      <c r="K334" s="44"/>
      <c r="L334" s="42"/>
    </row>
    <row r="335">
      <c r="E335" s="42"/>
      <c r="G335" s="43"/>
      <c r="I335" s="44"/>
      <c r="K335" s="44"/>
      <c r="L335" s="42"/>
    </row>
    <row r="336">
      <c r="E336" s="42"/>
      <c r="G336" s="43"/>
      <c r="I336" s="44"/>
      <c r="K336" s="44"/>
      <c r="L336" s="42"/>
    </row>
    <row r="337">
      <c r="E337" s="42"/>
      <c r="G337" s="43"/>
      <c r="I337" s="44"/>
      <c r="K337" s="44"/>
      <c r="L337" s="42"/>
    </row>
    <row r="338">
      <c r="E338" s="42"/>
      <c r="G338" s="43"/>
      <c r="I338" s="44"/>
      <c r="K338" s="44"/>
      <c r="L338" s="42"/>
    </row>
    <row r="339">
      <c r="E339" s="42"/>
      <c r="G339" s="43"/>
      <c r="I339" s="44"/>
      <c r="K339" s="44"/>
      <c r="L339" s="42"/>
    </row>
    <row r="340">
      <c r="E340" s="42"/>
      <c r="G340" s="43"/>
      <c r="I340" s="44"/>
      <c r="K340" s="44"/>
      <c r="L340" s="42"/>
    </row>
    <row r="341">
      <c r="E341" s="42"/>
      <c r="G341" s="43"/>
      <c r="I341" s="44"/>
      <c r="K341" s="44"/>
      <c r="L341" s="42"/>
    </row>
    <row r="342">
      <c r="E342" s="42"/>
      <c r="G342" s="43"/>
      <c r="I342" s="44"/>
      <c r="K342" s="44"/>
      <c r="L342" s="42"/>
    </row>
    <row r="343">
      <c r="E343" s="42"/>
      <c r="G343" s="43"/>
      <c r="I343" s="44"/>
      <c r="K343" s="44"/>
      <c r="L343" s="42"/>
    </row>
    <row r="344">
      <c r="E344" s="42"/>
      <c r="G344" s="43"/>
      <c r="I344" s="44"/>
      <c r="K344" s="44"/>
      <c r="L344" s="42"/>
    </row>
    <row r="345">
      <c r="E345" s="42"/>
      <c r="G345" s="43"/>
      <c r="I345" s="44"/>
      <c r="K345" s="44"/>
      <c r="L345" s="42"/>
    </row>
    <row r="346">
      <c r="E346" s="42"/>
      <c r="G346" s="43"/>
      <c r="I346" s="44"/>
      <c r="K346" s="44"/>
      <c r="L346" s="42"/>
    </row>
    <row r="347">
      <c r="E347" s="42"/>
      <c r="G347" s="43"/>
      <c r="I347" s="44"/>
      <c r="K347" s="44"/>
      <c r="L347" s="42"/>
    </row>
    <row r="348">
      <c r="E348" s="42"/>
      <c r="G348" s="43"/>
      <c r="I348" s="44"/>
      <c r="K348" s="44"/>
      <c r="L348" s="42"/>
    </row>
    <row r="349">
      <c r="E349" s="42"/>
      <c r="G349" s="43"/>
      <c r="I349" s="44"/>
      <c r="K349" s="44"/>
      <c r="L349" s="42"/>
    </row>
    <row r="350">
      <c r="E350" s="42"/>
      <c r="G350" s="43"/>
      <c r="I350" s="44"/>
      <c r="K350" s="44"/>
      <c r="L350" s="42"/>
    </row>
    <row r="351">
      <c r="E351" s="42"/>
      <c r="G351" s="43"/>
      <c r="I351" s="44"/>
      <c r="K351" s="44"/>
      <c r="L351" s="42"/>
    </row>
    <row r="352">
      <c r="E352" s="42"/>
      <c r="G352" s="43"/>
      <c r="I352" s="44"/>
      <c r="K352" s="44"/>
      <c r="L352" s="42"/>
    </row>
    <row r="353">
      <c r="E353" s="42"/>
      <c r="G353" s="43"/>
      <c r="I353" s="44"/>
      <c r="K353" s="44"/>
      <c r="L353" s="42"/>
    </row>
    <row r="354">
      <c r="E354" s="42"/>
      <c r="G354" s="43"/>
      <c r="I354" s="44"/>
      <c r="K354" s="44"/>
      <c r="L354" s="42"/>
    </row>
    <row r="355">
      <c r="E355" s="42"/>
      <c r="G355" s="43"/>
      <c r="I355" s="44"/>
      <c r="K355" s="44"/>
      <c r="L355" s="42"/>
    </row>
    <row r="356">
      <c r="E356" s="42"/>
      <c r="G356" s="43"/>
      <c r="I356" s="44"/>
      <c r="K356" s="44"/>
      <c r="L356" s="42"/>
    </row>
    <row r="357">
      <c r="E357" s="42"/>
      <c r="G357" s="43"/>
      <c r="I357" s="44"/>
      <c r="K357" s="44"/>
      <c r="L357" s="42"/>
    </row>
    <row r="358">
      <c r="E358" s="42"/>
      <c r="G358" s="43"/>
      <c r="I358" s="44"/>
      <c r="K358" s="44"/>
      <c r="L358" s="42"/>
    </row>
    <row r="359">
      <c r="E359" s="42"/>
      <c r="G359" s="43"/>
      <c r="I359" s="44"/>
      <c r="K359" s="44"/>
      <c r="L359" s="42"/>
    </row>
    <row r="360">
      <c r="E360" s="42"/>
      <c r="G360" s="43"/>
      <c r="I360" s="44"/>
      <c r="K360" s="44"/>
      <c r="L360" s="42"/>
    </row>
    <row r="361">
      <c r="E361" s="42"/>
      <c r="G361" s="43"/>
      <c r="I361" s="44"/>
      <c r="K361" s="44"/>
      <c r="L361" s="42"/>
    </row>
    <row r="362">
      <c r="E362" s="42"/>
      <c r="G362" s="43"/>
      <c r="I362" s="44"/>
      <c r="K362" s="44"/>
      <c r="L362" s="42"/>
    </row>
    <row r="363">
      <c r="E363" s="42"/>
      <c r="G363" s="43"/>
      <c r="I363" s="44"/>
      <c r="K363" s="44"/>
      <c r="L363" s="42"/>
    </row>
    <row r="364">
      <c r="E364" s="42"/>
      <c r="G364" s="43"/>
      <c r="I364" s="44"/>
      <c r="K364" s="44"/>
      <c r="L364" s="42"/>
    </row>
    <row r="365">
      <c r="E365" s="42"/>
      <c r="G365" s="43"/>
      <c r="I365" s="44"/>
      <c r="K365" s="44"/>
      <c r="L365" s="42"/>
    </row>
    <row r="366">
      <c r="E366" s="42"/>
      <c r="G366" s="43"/>
      <c r="I366" s="44"/>
      <c r="K366" s="44"/>
      <c r="L366" s="42"/>
    </row>
    <row r="367">
      <c r="E367" s="42"/>
      <c r="G367" s="43"/>
      <c r="I367" s="44"/>
      <c r="K367" s="44"/>
      <c r="L367" s="42"/>
    </row>
    <row r="368">
      <c r="E368" s="42"/>
      <c r="G368" s="43"/>
      <c r="I368" s="44"/>
      <c r="K368" s="44"/>
      <c r="L368" s="42"/>
    </row>
    <row r="369">
      <c r="E369" s="42"/>
      <c r="G369" s="43"/>
      <c r="I369" s="44"/>
      <c r="K369" s="44"/>
      <c r="L369" s="42"/>
    </row>
    <row r="370">
      <c r="E370" s="42"/>
      <c r="G370" s="43"/>
      <c r="I370" s="44"/>
      <c r="K370" s="44"/>
      <c r="L370" s="42"/>
    </row>
    <row r="371">
      <c r="E371" s="42"/>
      <c r="G371" s="43"/>
      <c r="I371" s="44"/>
      <c r="K371" s="44"/>
      <c r="L371" s="42"/>
    </row>
    <row r="372">
      <c r="E372" s="42"/>
      <c r="G372" s="43"/>
      <c r="I372" s="44"/>
      <c r="K372" s="44"/>
      <c r="L372" s="42"/>
    </row>
    <row r="373">
      <c r="E373" s="42"/>
      <c r="G373" s="43"/>
      <c r="I373" s="44"/>
      <c r="K373" s="44"/>
      <c r="L373" s="42"/>
    </row>
    <row r="374">
      <c r="E374" s="42"/>
      <c r="G374" s="43"/>
      <c r="I374" s="44"/>
      <c r="K374" s="44"/>
      <c r="L374" s="42"/>
    </row>
    <row r="375">
      <c r="E375" s="42"/>
      <c r="G375" s="43"/>
      <c r="I375" s="44"/>
      <c r="K375" s="44"/>
      <c r="L375" s="42"/>
    </row>
    <row r="376">
      <c r="E376" s="42"/>
      <c r="G376" s="43"/>
      <c r="I376" s="44"/>
      <c r="K376" s="44"/>
      <c r="L376" s="42"/>
    </row>
    <row r="377">
      <c r="E377" s="42"/>
      <c r="G377" s="43"/>
      <c r="I377" s="44"/>
      <c r="K377" s="44"/>
      <c r="L377" s="42"/>
    </row>
    <row r="378">
      <c r="E378" s="42"/>
      <c r="G378" s="43"/>
      <c r="I378" s="44"/>
      <c r="K378" s="44"/>
      <c r="L378" s="42"/>
    </row>
    <row r="379">
      <c r="E379" s="42"/>
      <c r="G379" s="43"/>
      <c r="I379" s="44"/>
      <c r="K379" s="44"/>
      <c r="L379" s="42"/>
    </row>
    <row r="380">
      <c r="E380" s="42"/>
      <c r="G380" s="43"/>
      <c r="I380" s="44"/>
      <c r="K380" s="44"/>
      <c r="L380" s="42"/>
    </row>
    <row r="381">
      <c r="E381" s="42"/>
      <c r="G381" s="43"/>
      <c r="I381" s="44"/>
      <c r="K381" s="44"/>
      <c r="L381" s="42"/>
    </row>
    <row r="382">
      <c r="E382" s="42"/>
      <c r="G382" s="43"/>
      <c r="I382" s="44"/>
      <c r="K382" s="44"/>
      <c r="L382" s="42"/>
    </row>
    <row r="383">
      <c r="E383" s="42"/>
      <c r="G383" s="43"/>
      <c r="I383" s="44"/>
      <c r="K383" s="44"/>
      <c r="L383" s="42"/>
    </row>
    <row r="384">
      <c r="E384" s="42"/>
      <c r="G384" s="43"/>
      <c r="I384" s="44"/>
      <c r="K384" s="44"/>
      <c r="L384" s="42"/>
    </row>
    <row r="385">
      <c r="E385" s="42"/>
      <c r="G385" s="43"/>
      <c r="I385" s="44"/>
      <c r="K385" s="44"/>
      <c r="L385" s="42"/>
    </row>
    <row r="386">
      <c r="E386" s="42"/>
      <c r="G386" s="43"/>
      <c r="I386" s="44"/>
      <c r="K386" s="44"/>
      <c r="L386" s="42"/>
    </row>
    <row r="387">
      <c r="E387" s="42"/>
      <c r="G387" s="43"/>
      <c r="I387" s="44"/>
      <c r="K387" s="44"/>
      <c r="L387" s="42"/>
    </row>
    <row r="388">
      <c r="E388" s="42"/>
      <c r="G388" s="43"/>
      <c r="I388" s="44"/>
      <c r="K388" s="44"/>
      <c r="L388" s="42"/>
    </row>
    <row r="389">
      <c r="E389" s="42"/>
      <c r="G389" s="43"/>
      <c r="I389" s="44"/>
      <c r="K389" s="44"/>
      <c r="L389" s="42"/>
    </row>
    <row r="390">
      <c r="E390" s="42"/>
      <c r="G390" s="43"/>
      <c r="I390" s="44"/>
      <c r="K390" s="44"/>
      <c r="L390" s="42"/>
    </row>
    <row r="391">
      <c r="E391" s="42"/>
      <c r="G391" s="43"/>
      <c r="I391" s="44"/>
      <c r="K391" s="44"/>
      <c r="L391" s="42"/>
    </row>
    <row r="392">
      <c r="E392" s="42"/>
      <c r="G392" s="43"/>
      <c r="I392" s="44"/>
      <c r="K392" s="44"/>
      <c r="L392" s="42"/>
    </row>
    <row r="393">
      <c r="E393" s="42"/>
      <c r="G393" s="43"/>
      <c r="I393" s="44"/>
      <c r="K393" s="44"/>
      <c r="L393" s="42"/>
    </row>
    <row r="394">
      <c r="E394" s="42"/>
      <c r="G394" s="43"/>
      <c r="I394" s="44"/>
      <c r="K394" s="44"/>
      <c r="L394" s="42"/>
    </row>
    <row r="395">
      <c r="E395" s="42"/>
      <c r="G395" s="43"/>
      <c r="I395" s="44"/>
      <c r="K395" s="44"/>
      <c r="L395" s="42"/>
    </row>
    <row r="396">
      <c r="E396" s="42"/>
      <c r="G396" s="43"/>
      <c r="I396" s="44"/>
      <c r="K396" s="44"/>
      <c r="L396" s="42"/>
    </row>
    <row r="397">
      <c r="E397" s="42"/>
      <c r="G397" s="43"/>
      <c r="I397" s="44"/>
      <c r="K397" s="44"/>
      <c r="L397" s="42"/>
    </row>
    <row r="398">
      <c r="E398" s="42"/>
      <c r="G398" s="43"/>
      <c r="I398" s="44"/>
      <c r="K398" s="44"/>
      <c r="L398" s="42"/>
    </row>
    <row r="399">
      <c r="E399" s="42"/>
      <c r="G399" s="43"/>
      <c r="I399" s="44"/>
      <c r="K399" s="44"/>
      <c r="L399" s="42"/>
    </row>
    <row r="400">
      <c r="E400" s="42"/>
      <c r="G400" s="43"/>
      <c r="I400" s="44"/>
      <c r="K400" s="44"/>
      <c r="L400" s="42"/>
    </row>
    <row r="401">
      <c r="E401" s="42"/>
      <c r="G401" s="43"/>
      <c r="I401" s="44"/>
      <c r="K401" s="44"/>
      <c r="L401" s="42"/>
    </row>
    <row r="402">
      <c r="E402" s="42"/>
      <c r="G402" s="43"/>
      <c r="I402" s="44"/>
      <c r="K402" s="44"/>
      <c r="L402" s="42"/>
    </row>
    <row r="403">
      <c r="E403" s="42"/>
      <c r="G403" s="43"/>
      <c r="I403" s="44"/>
      <c r="K403" s="44"/>
      <c r="L403" s="42"/>
    </row>
    <row r="404">
      <c r="E404" s="42"/>
      <c r="G404" s="43"/>
      <c r="I404" s="44"/>
      <c r="K404" s="44"/>
      <c r="L404" s="42"/>
    </row>
    <row r="405">
      <c r="E405" s="42"/>
      <c r="G405" s="43"/>
      <c r="I405" s="44"/>
      <c r="K405" s="44"/>
      <c r="L405" s="42"/>
    </row>
    <row r="406">
      <c r="E406" s="42"/>
      <c r="G406" s="43"/>
      <c r="I406" s="44"/>
      <c r="K406" s="44"/>
      <c r="L406" s="42"/>
    </row>
    <row r="407">
      <c r="E407" s="42"/>
      <c r="G407" s="43"/>
      <c r="I407" s="44"/>
      <c r="K407" s="44"/>
      <c r="L407" s="42"/>
    </row>
    <row r="408">
      <c r="E408" s="42"/>
      <c r="G408" s="43"/>
      <c r="I408" s="44"/>
      <c r="K408" s="44"/>
      <c r="L408" s="42"/>
    </row>
    <row r="409">
      <c r="E409" s="42"/>
      <c r="G409" s="43"/>
      <c r="I409" s="44"/>
      <c r="K409" s="44"/>
      <c r="L409" s="42"/>
    </row>
    <row r="410">
      <c r="E410" s="42"/>
      <c r="G410" s="43"/>
      <c r="I410" s="44"/>
      <c r="K410" s="44"/>
      <c r="L410" s="42"/>
    </row>
    <row r="411">
      <c r="E411" s="42"/>
      <c r="G411" s="43"/>
      <c r="I411" s="44"/>
      <c r="K411" s="44"/>
      <c r="L411" s="42"/>
    </row>
    <row r="412">
      <c r="E412" s="42"/>
      <c r="G412" s="43"/>
      <c r="I412" s="44"/>
      <c r="K412" s="44"/>
      <c r="L412" s="42"/>
    </row>
    <row r="413">
      <c r="E413" s="42"/>
      <c r="G413" s="43"/>
      <c r="I413" s="44"/>
      <c r="K413" s="44"/>
      <c r="L413" s="42"/>
    </row>
    <row r="414">
      <c r="E414" s="42"/>
      <c r="G414" s="43"/>
      <c r="I414" s="44"/>
      <c r="K414" s="44"/>
      <c r="L414" s="42"/>
    </row>
    <row r="415">
      <c r="E415" s="42"/>
      <c r="G415" s="43"/>
      <c r="I415" s="44"/>
      <c r="K415" s="44"/>
      <c r="L415" s="42"/>
    </row>
    <row r="416">
      <c r="E416" s="42"/>
      <c r="G416" s="43"/>
      <c r="I416" s="44"/>
      <c r="K416" s="44"/>
      <c r="L416" s="42"/>
    </row>
    <row r="417">
      <c r="E417" s="42"/>
      <c r="G417" s="43"/>
      <c r="I417" s="44"/>
      <c r="K417" s="44"/>
      <c r="L417" s="42"/>
    </row>
    <row r="418">
      <c r="E418" s="42"/>
      <c r="G418" s="43"/>
      <c r="I418" s="44"/>
      <c r="K418" s="44"/>
      <c r="L418" s="42"/>
    </row>
    <row r="419">
      <c r="E419" s="42"/>
      <c r="G419" s="43"/>
      <c r="I419" s="44"/>
      <c r="K419" s="44"/>
      <c r="L419" s="42"/>
    </row>
    <row r="420">
      <c r="E420" s="42"/>
      <c r="G420" s="43"/>
      <c r="I420" s="44"/>
      <c r="K420" s="44"/>
      <c r="L420" s="42"/>
    </row>
    <row r="421">
      <c r="E421" s="42"/>
      <c r="G421" s="43"/>
      <c r="I421" s="44"/>
      <c r="K421" s="44"/>
      <c r="L421" s="42"/>
    </row>
    <row r="422">
      <c r="E422" s="42"/>
      <c r="G422" s="43"/>
      <c r="I422" s="44"/>
      <c r="K422" s="44"/>
      <c r="L422" s="42"/>
    </row>
    <row r="423">
      <c r="E423" s="42"/>
      <c r="G423" s="43"/>
      <c r="I423" s="44"/>
      <c r="K423" s="44"/>
      <c r="L423" s="42"/>
    </row>
    <row r="424">
      <c r="E424" s="42"/>
      <c r="G424" s="43"/>
      <c r="I424" s="44"/>
      <c r="K424" s="44"/>
      <c r="L424" s="42"/>
    </row>
    <row r="425">
      <c r="E425" s="42"/>
      <c r="G425" s="43"/>
      <c r="I425" s="44"/>
      <c r="K425" s="44"/>
      <c r="L425" s="42"/>
    </row>
    <row r="426">
      <c r="E426" s="42"/>
      <c r="G426" s="43"/>
      <c r="I426" s="44"/>
      <c r="K426" s="44"/>
      <c r="L426" s="42"/>
    </row>
    <row r="427">
      <c r="E427" s="42"/>
      <c r="G427" s="43"/>
      <c r="I427" s="44"/>
      <c r="K427" s="44"/>
      <c r="L427" s="42"/>
    </row>
    <row r="428">
      <c r="E428" s="42"/>
      <c r="G428" s="43"/>
      <c r="I428" s="44"/>
      <c r="K428" s="44"/>
      <c r="L428" s="42"/>
    </row>
    <row r="429">
      <c r="E429" s="42"/>
      <c r="G429" s="43"/>
      <c r="I429" s="44"/>
      <c r="K429" s="44"/>
      <c r="L429" s="42"/>
    </row>
    <row r="430">
      <c r="E430" s="42"/>
      <c r="G430" s="43"/>
      <c r="I430" s="44"/>
      <c r="K430" s="44"/>
      <c r="L430" s="42"/>
    </row>
    <row r="431">
      <c r="E431" s="42"/>
      <c r="G431" s="43"/>
      <c r="I431" s="44"/>
      <c r="K431" s="44"/>
      <c r="L431" s="42"/>
    </row>
    <row r="432">
      <c r="E432" s="42"/>
      <c r="G432" s="43"/>
      <c r="I432" s="44"/>
      <c r="K432" s="44"/>
      <c r="L432" s="42"/>
    </row>
    <row r="433">
      <c r="E433" s="42"/>
      <c r="G433" s="43"/>
      <c r="I433" s="44"/>
      <c r="K433" s="44"/>
      <c r="L433" s="42"/>
    </row>
    <row r="434">
      <c r="E434" s="42"/>
      <c r="G434" s="43"/>
      <c r="I434" s="44"/>
      <c r="K434" s="44"/>
      <c r="L434" s="42"/>
    </row>
    <row r="435">
      <c r="E435" s="42"/>
      <c r="G435" s="43"/>
      <c r="I435" s="44"/>
      <c r="K435" s="44"/>
      <c r="L435" s="42"/>
    </row>
    <row r="436">
      <c r="E436" s="42"/>
      <c r="G436" s="43"/>
      <c r="I436" s="44"/>
      <c r="K436" s="44"/>
      <c r="L436" s="42"/>
    </row>
    <row r="437">
      <c r="E437" s="42"/>
      <c r="G437" s="43"/>
      <c r="I437" s="44"/>
      <c r="K437" s="44"/>
      <c r="L437" s="42"/>
    </row>
    <row r="438">
      <c r="E438" s="42"/>
      <c r="G438" s="43"/>
      <c r="I438" s="44"/>
      <c r="K438" s="44"/>
      <c r="L438" s="42"/>
    </row>
    <row r="439">
      <c r="E439" s="42"/>
      <c r="G439" s="43"/>
      <c r="I439" s="44"/>
      <c r="K439" s="44"/>
      <c r="L439" s="42"/>
    </row>
    <row r="440">
      <c r="E440" s="42"/>
      <c r="G440" s="43"/>
      <c r="I440" s="44"/>
      <c r="K440" s="44"/>
      <c r="L440" s="42"/>
    </row>
    <row r="441">
      <c r="E441" s="42"/>
      <c r="G441" s="43"/>
      <c r="I441" s="44"/>
      <c r="K441" s="44"/>
      <c r="L441" s="42"/>
    </row>
    <row r="442">
      <c r="E442" s="42"/>
      <c r="G442" s="43"/>
      <c r="I442" s="44"/>
      <c r="K442" s="44"/>
      <c r="L442" s="42"/>
    </row>
    <row r="443">
      <c r="E443" s="42"/>
      <c r="G443" s="43"/>
      <c r="I443" s="44"/>
      <c r="K443" s="44"/>
      <c r="L443" s="42"/>
    </row>
    <row r="444">
      <c r="E444" s="42"/>
      <c r="G444" s="43"/>
      <c r="I444" s="44"/>
      <c r="K444" s="44"/>
      <c r="L444" s="42"/>
    </row>
    <row r="445">
      <c r="E445" s="42"/>
      <c r="G445" s="43"/>
      <c r="I445" s="44"/>
      <c r="K445" s="44"/>
      <c r="L445" s="42"/>
    </row>
    <row r="446">
      <c r="E446" s="42"/>
      <c r="G446" s="43"/>
      <c r="I446" s="44"/>
      <c r="K446" s="44"/>
      <c r="L446" s="42"/>
    </row>
    <row r="447">
      <c r="E447" s="42"/>
      <c r="G447" s="43"/>
      <c r="I447" s="44"/>
      <c r="K447" s="44"/>
      <c r="L447" s="42"/>
    </row>
    <row r="448">
      <c r="E448" s="42"/>
      <c r="G448" s="43"/>
      <c r="I448" s="44"/>
      <c r="K448" s="44"/>
      <c r="L448" s="42"/>
    </row>
    <row r="449">
      <c r="E449" s="42"/>
      <c r="G449" s="43"/>
      <c r="I449" s="44"/>
      <c r="K449" s="44"/>
      <c r="L449" s="42"/>
    </row>
    <row r="450">
      <c r="E450" s="42"/>
      <c r="G450" s="43"/>
      <c r="I450" s="44"/>
      <c r="K450" s="44"/>
      <c r="L450" s="42"/>
    </row>
    <row r="451">
      <c r="E451" s="42"/>
      <c r="G451" s="43"/>
      <c r="I451" s="44"/>
      <c r="K451" s="44"/>
      <c r="L451" s="42"/>
    </row>
    <row r="452">
      <c r="E452" s="42"/>
      <c r="G452" s="43"/>
      <c r="I452" s="44"/>
      <c r="K452" s="44"/>
      <c r="L452" s="42"/>
    </row>
    <row r="453">
      <c r="E453" s="42"/>
      <c r="G453" s="43"/>
      <c r="I453" s="44"/>
      <c r="K453" s="44"/>
      <c r="L453" s="42"/>
    </row>
    <row r="454">
      <c r="E454" s="42"/>
      <c r="G454" s="43"/>
      <c r="I454" s="44"/>
      <c r="K454" s="44"/>
      <c r="L454" s="42"/>
    </row>
    <row r="455">
      <c r="E455" s="42"/>
      <c r="G455" s="43"/>
      <c r="I455" s="44"/>
      <c r="K455" s="44"/>
      <c r="L455" s="42"/>
    </row>
    <row r="456">
      <c r="E456" s="42"/>
      <c r="G456" s="43"/>
      <c r="I456" s="44"/>
      <c r="K456" s="44"/>
      <c r="L456" s="42"/>
    </row>
    <row r="457">
      <c r="E457" s="42"/>
      <c r="G457" s="43"/>
      <c r="I457" s="44"/>
      <c r="K457" s="44"/>
      <c r="L457" s="42"/>
    </row>
    <row r="458">
      <c r="E458" s="42"/>
      <c r="G458" s="43"/>
      <c r="I458" s="44"/>
      <c r="K458" s="44"/>
      <c r="L458" s="42"/>
    </row>
    <row r="459">
      <c r="E459" s="42"/>
      <c r="G459" s="43"/>
      <c r="I459" s="44"/>
      <c r="K459" s="44"/>
      <c r="L459" s="42"/>
    </row>
    <row r="460">
      <c r="E460" s="42"/>
      <c r="G460" s="43"/>
      <c r="I460" s="44"/>
      <c r="K460" s="44"/>
      <c r="L460" s="42"/>
    </row>
    <row r="461">
      <c r="E461" s="42"/>
      <c r="G461" s="43"/>
      <c r="I461" s="44"/>
      <c r="K461" s="44"/>
      <c r="L461" s="42"/>
    </row>
    <row r="462">
      <c r="E462" s="42"/>
      <c r="G462" s="43"/>
      <c r="I462" s="44"/>
      <c r="K462" s="44"/>
      <c r="L462" s="42"/>
    </row>
    <row r="463">
      <c r="E463" s="42"/>
      <c r="G463" s="43"/>
      <c r="I463" s="44"/>
      <c r="K463" s="44"/>
      <c r="L463" s="42"/>
    </row>
    <row r="464">
      <c r="E464" s="42"/>
      <c r="G464" s="43"/>
      <c r="I464" s="44"/>
      <c r="K464" s="44"/>
      <c r="L464" s="42"/>
    </row>
    <row r="465">
      <c r="E465" s="42"/>
      <c r="G465" s="43"/>
      <c r="I465" s="44"/>
      <c r="K465" s="44"/>
      <c r="L465" s="42"/>
    </row>
    <row r="466">
      <c r="E466" s="42"/>
      <c r="G466" s="43"/>
      <c r="I466" s="44"/>
      <c r="K466" s="44"/>
      <c r="L466" s="42"/>
    </row>
    <row r="467">
      <c r="E467" s="42"/>
      <c r="G467" s="43"/>
      <c r="I467" s="44"/>
      <c r="K467" s="44"/>
      <c r="L467" s="42"/>
    </row>
    <row r="468">
      <c r="E468" s="42"/>
      <c r="G468" s="43"/>
      <c r="I468" s="44"/>
      <c r="K468" s="44"/>
      <c r="L468" s="42"/>
    </row>
    <row r="469">
      <c r="E469" s="42"/>
      <c r="G469" s="43"/>
      <c r="I469" s="44"/>
      <c r="K469" s="44"/>
      <c r="L469" s="42"/>
    </row>
    <row r="470">
      <c r="E470" s="42"/>
      <c r="G470" s="43"/>
      <c r="I470" s="44"/>
      <c r="K470" s="44"/>
      <c r="L470" s="42"/>
    </row>
    <row r="471">
      <c r="E471" s="42"/>
      <c r="G471" s="43"/>
      <c r="I471" s="44"/>
      <c r="K471" s="44"/>
      <c r="L471" s="42"/>
    </row>
    <row r="472">
      <c r="E472" s="42"/>
      <c r="G472" s="43"/>
      <c r="I472" s="44"/>
      <c r="K472" s="44"/>
      <c r="L472" s="42"/>
    </row>
    <row r="473">
      <c r="E473" s="42"/>
      <c r="G473" s="43"/>
      <c r="I473" s="44"/>
      <c r="K473" s="44"/>
      <c r="L473" s="42"/>
    </row>
    <row r="474">
      <c r="E474" s="42"/>
      <c r="G474" s="43"/>
      <c r="I474" s="44"/>
      <c r="K474" s="44"/>
      <c r="L474" s="42"/>
    </row>
    <row r="475">
      <c r="E475" s="42"/>
      <c r="G475" s="43"/>
      <c r="I475" s="44"/>
      <c r="K475" s="44"/>
      <c r="L475" s="42"/>
    </row>
    <row r="476">
      <c r="E476" s="42"/>
      <c r="G476" s="43"/>
      <c r="I476" s="44"/>
      <c r="K476" s="44"/>
      <c r="L476" s="42"/>
    </row>
    <row r="477">
      <c r="E477" s="42"/>
      <c r="G477" s="43"/>
      <c r="I477" s="44"/>
      <c r="K477" s="44"/>
      <c r="L477" s="42"/>
    </row>
    <row r="478">
      <c r="E478" s="42"/>
      <c r="G478" s="43"/>
      <c r="I478" s="44"/>
      <c r="K478" s="44"/>
      <c r="L478" s="42"/>
    </row>
    <row r="479">
      <c r="E479" s="42"/>
      <c r="G479" s="43"/>
      <c r="I479" s="44"/>
      <c r="K479" s="44"/>
      <c r="L479" s="42"/>
    </row>
    <row r="480">
      <c r="E480" s="42"/>
      <c r="G480" s="43"/>
      <c r="I480" s="44"/>
      <c r="K480" s="44"/>
      <c r="L480" s="42"/>
    </row>
    <row r="481">
      <c r="E481" s="42"/>
      <c r="G481" s="43"/>
      <c r="I481" s="44"/>
      <c r="K481" s="44"/>
      <c r="L481" s="42"/>
    </row>
    <row r="482">
      <c r="E482" s="42"/>
      <c r="G482" s="43"/>
      <c r="I482" s="44"/>
      <c r="K482" s="44"/>
      <c r="L482" s="42"/>
    </row>
    <row r="483">
      <c r="E483" s="42"/>
      <c r="G483" s="43"/>
      <c r="I483" s="44"/>
      <c r="K483" s="44"/>
      <c r="L483" s="42"/>
    </row>
    <row r="484">
      <c r="E484" s="42"/>
      <c r="G484" s="43"/>
      <c r="I484" s="44"/>
      <c r="K484" s="44"/>
      <c r="L484" s="42"/>
    </row>
    <row r="485">
      <c r="E485" s="42"/>
      <c r="G485" s="43"/>
      <c r="I485" s="44"/>
      <c r="K485" s="44"/>
      <c r="L485" s="42"/>
    </row>
    <row r="486">
      <c r="E486" s="42"/>
      <c r="G486" s="43"/>
      <c r="I486" s="44"/>
      <c r="K486" s="44"/>
      <c r="L486" s="42"/>
    </row>
    <row r="487">
      <c r="E487" s="42"/>
      <c r="G487" s="43"/>
      <c r="I487" s="44"/>
      <c r="K487" s="44"/>
      <c r="L487" s="42"/>
    </row>
    <row r="488">
      <c r="E488" s="42"/>
      <c r="G488" s="43"/>
      <c r="I488" s="44"/>
      <c r="K488" s="44"/>
      <c r="L488" s="42"/>
    </row>
    <row r="489">
      <c r="E489" s="42"/>
      <c r="G489" s="43"/>
      <c r="I489" s="44"/>
      <c r="K489" s="44"/>
      <c r="L489" s="42"/>
    </row>
    <row r="490">
      <c r="E490" s="42"/>
      <c r="G490" s="43"/>
      <c r="I490" s="44"/>
      <c r="K490" s="44"/>
      <c r="L490" s="42"/>
    </row>
    <row r="491">
      <c r="E491" s="42"/>
      <c r="G491" s="43"/>
      <c r="I491" s="44"/>
      <c r="K491" s="44"/>
      <c r="L491" s="42"/>
    </row>
    <row r="492">
      <c r="E492" s="42"/>
      <c r="G492" s="43"/>
      <c r="I492" s="44"/>
      <c r="K492" s="44"/>
      <c r="L492" s="42"/>
    </row>
    <row r="493">
      <c r="E493" s="42"/>
      <c r="G493" s="43"/>
      <c r="I493" s="44"/>
      <c r="K493" s="44"/>
      <c r="L493" s="42"/>
    </row>
    <row r="494">
      <c r="E494" s="42"/>
      <c r="G494" s="43"/>
      <c r="I494" s="44"/>
      <c r="K494" s="44"/>
      <c r="L494" s="42"/>
    </row>
    <row r="495">
      <c r="E495" s="42"/>
      <c r="G495" s="43"/>
      <c r="I495" s="44"/>
      <c r="K495" s="44"/>
      <c r="L495" s="42"/>
    </row>
    <row r="496">
      <c r="E496" s="42"/>
      <c r="G496" s="43"/>
      <c r="I496" s="44"/>
      <c r="K496" s="44"/>
      <c r="L496" s="42"/>
    </row>
    <row r="497">
      <c r="E497" s="42"/>
      <c r="G497" s="43"/>
      <c r="I497" s="44"/>
      <c r="K497" s="44"/>
      <c r="L497" s="42"/>
    </row>
    <row r="498">
      <c r="E498" s="42"/>
      <c r="G498" s="43"/>
      <c r="I498" s="44"/>
      <c r="K498" s="44"/>
      <c r="L498" s="42"/>
    </row>
    <row r="499">
      <c r="E499" s="42"/>
      <c r="G499" s="43"/>
      <c r="I499" s="44"/>
      <c r="K499" s="44"/>
      <c r="L499" s="42"/>
    </row>
    <row r="500">
      <c r="E500" s="42"/>
      <c r="G500" s="43"/>
      <c r="I500" s="44"/>
      <c r="K500" s="44"/>
      <c r="L500" s="42"/>
    </row>
    <row r="501">
      <c r="E501" s="42"/>
      <c r="G501" s="43"/>
      <c r="I501" s="44"/>
      <c r="K501" s="44"/>
      <c r="L501" s="42"/>
    </row>
    <row r="502">
      <c r="E502" s="42"/>
      <c r="G502" s="43"/>
      <c r="I502" s="44"/>
      <c r="K502" s="44"/>
      <c r="L502" s="42"/>
    </row>
    <row r="503">
      <c r="E503" s="42"/>
      <c r="G503" s="43"/>
      <c r="I503" s="44"/>
      <c r="K503" s="44"/>
      <c r="L503" s="42"/>
    </row>
    <row r="504">
      <c r="E504" s="42"/>
      <c r="G504" s="43"/>
      <c r="I504" s="44"/>
      <c r="K504" s="44"/>
      <c r="L504" s="42"/>
    </row>
    <row r="505">
      <c r="E505" s="42"/>
      <c r="G505" s="43"/>
      <c r="I505" s="44"/>
      <c r="K505" s="44"/>
      <c r="L505" s="42"/>
    </row>
    <row r="506">
      <c r="E506" s="42"/>
      <c r="G506" s="43"/>
      <c r="I506" s="44"/>
      <c r="K506" s="44"/>
      <c r="L506" s="42"/>
    </row>
    <row r="507">
      <c r="E507" s="42"/>
      <c r="G507" s="43"/>
      <c r="I507" s="44"/>
      <c r="K507" s="44"/>
      <c r="L507" s="42"/>
    </row>
    <row r="508">
      <c r="E508" s="42"/>
      <c r="G508" s="43"/>
      <c r="I508" s="44"/>
      <c r="K508" s="44"/>
      <c r="L508" s="42"/>
    </row>
    <row r="509">
      <c r="E509" s="42"/>
      <c r="G509" s="43"/>
      <c r="I509" s="44"/>
      <c r="K509" s="44"/>
      <c r="L509" s="42"/>
    </row>
    <row r="510">
      <c r="E510" s="42"/>
      <c r="G510" s="43"/>
      <c r="I510" s="44"/>
      <c r="K510" s="44"/>
      <c r="L510" s="42"/>
    </row>
    <row r="511">
      <c r="E511" s="42"/>
      <c r="G511" s="43"/>
      <c r="I511" s="44"/>
      <c r="K511" s="44"/>
      <c r="L511" s="42"/>
    </row>
    <row r="512">
      <c r="E512" s="42"/>
      <c r="G512" s="43"/>
      <c r="I512" s="44"/>
      <c r="K512" s="44"/>
      <c r="L512" s="42"/>
    </row>
    <row r="513">
      <c r="E513" s="42"/>
      <c r="G513" s="43"/>
      <c r="I513" s="44"/>
      <c r="K513" s="44"/>
      <c r="L513" s="42"/>
    </row>
    <row r="514">
      <c r="E514" s="42"/>
      <c r="G514" s="43"/>
      <c r="I514" s="44"/>
      <c r="K514" s="44"/>
      <c r="L514" s="42"/>
    </row>
    <row r="515">
      <c r="E515" s="42"/>
      <c r="G515" s="43"/>
      <c r="I515" s="44"/>
      <c r="K515" s="44"/>
      <c r="L515" s="42"/>
    </row>
    <row r="516">
      <c r="E516" s="42"/>
      <c r="G516" s="43"/>
      <c r="I516" s="44"/>
      <c r="K516" s="44"/>
      <c r="L516" s="42"/>
    </row>
    <row r="517">
      <c r="E517" s="42"/>
      <c r="G517" s="43"/>
      <c r="I517" s="44"/>
      <c r="K517" s="44"/>
      <c r="L517" s="42"/>
    </row>
    <row r="518">
      <c r="E518" s="42"/>
      <c r="G518" s="43"/>
      <c r="I518" s="44"/>
      <c r="K518" s="44"/>
      <c r="L518" s="42"/>
    </row>
    <row r="519">
      <c r="E519" s="42"/>
      <c r="G519" s="43"/>
      <c r="I519" s="44"/>
      <c r="K519" s="44"/>
      <c r="L519" s="42"/>
    </row>
    <row r="520">
      <c r="E520" s="42"/>
      <c r="G520" s="43"/>
      <c r="I520" s="44"/>
      <c r="K520" s="44"/>
      <c r="L520" s="42"/>
    </row>
    <row r="521">
      <c r="E521" s="42"/>
      <c r="G521" s="43"/>
      <c r="I521" s="44"/>
      <c r="K521" s="44"/>
      <c r="L521" s="42"/>
    </row>
    <row r="522">
      <c r="E522" s="42"/>
      <c r="G522" s="43"/>
      <c r="I522" s="44"/>
      <c r="K522" s="44"/>
      <c r="L522" s="42"/>
    </row>
    <row r="523">
      <c r="E523" s="42"/>
      <c r="G523" s="43"/>
      <c r="I523" s="44"/>
      <c r="K523" s="44"/>
      <c r="L523" s="42"/>
    </row>
    <row r="524">
      <c r="E524" s="42"/>
      <c r="G524" s="43"/>
      <c r="I524" s="44"/>
      <c r="K524" s="44"/>
      <c r="L524" s="42"/>
    </row>
    <row r="525">
      <c r="E525" s="42"/>
      <c r="G525" s="43"/>
      <c r="I525" s="44"/>
      <c r="K525" s="44"/>
      <c r="L525" s="42"/>
    </row>
    <row r="526">
      <c r="E526" s="42"/>
      <c r="G526" s="43"/>
      <c r="I526" s="44"/>
      <c r="K526" s="44"/>
      <c r="L526" s="42"/>
    </row>
    <row r="527">
      <c r="E527" s="42"/>
      <c r="G527" s="43"/>
      <c r="I527" s="44"/>
      <c r="K527" s="44"/>
      <c r="L527" s="42"/>
    </row>
    <row r="528">
      <c r="E528" s="42"/>
      <c r="G528" s="43"/>
      <c r="I528" s="44"/>
      <c r="K528" s="44"/>
      <c r="L528" s="42"/>
    </row>
    <row r="529">
      <c r="E529" s="42"/>
      <c r="G529" s="43"/>
      <c r="I529" s="44"/>
      <c r="K529" s="44"/>
      <c r="L529" s="42"/>
    </row>
    <row r="530">
      <c r="E530" s="42"/>
      <c r="G530" s="43"/>
      <c r="I530" s="44"/>
      <c r="K530" s="44"/>
      <c r="L530" s="42"/>
    </row>
    <row r="531">
      <c r="E531" s="42"/>
      <c r="G531" s="43"/>
      <c r="I531" s="44"/>
      <c r="K531" s="44"/>
      <c r="L531" s="42"/>
    </row>
    <row r="532">
      <c r="E532" s="42"/>
      <c r="G532" s="43"/>
      <c r="I532" s="44"/>
      <c r="K532" s="44"/>
      <c r="L532" s="42"/>
    </row>
    <row r="533">
      <c r="E533" s="42"/>
      <c r="G533" s="43"/>
      <c r="I533" s="44"/>
      <c r="K533" s="44"/>
      <c r="L533" s="42"/>
    </row>
    <row r="534">
      <c r="E534" s="42"/>
      <c r="G534" s="43"/>
      <c r="I534" s="44"/>
      <c r="K534" s="44"/>
      <c r="L534" s="42"/>
    </row>
    <row r="535">
      <c r="E535" s="42"/>
      <c r="G535" s="43"/>
      <c r="I535" s="44"/>
      <c r="K535" s="44"/>
      <c r="L535" s="42"/>
    </row>
    <row r="536">
      <c r="E536" s="42"/>
      <c r="G536" s="43"/>
      <c r="I536" s="44"/>
      <c r="K536" s="44"/>
      <c r="L536" s="42"/>
    </row>
    <row r="537">
      <c r="E537" s="42"/>
      <c r="G537" s="43"/>
      <c r="I537" s="44"/>
      <c r="K537" s="44"/>
      <c r="L537" s="42"/>
    </row>
    <row r="538">
      <c r="E538" s="42"/>
      <c r="G538" s="43"/>
      <c r="I538" s="44"/>
      <c r="K538" s="44"/>
      <c r="L538" s="42"/>
    </row>
    <row r="539">
      <c r="E539" s="42"/>
      <c r="G539" s="43"/>
      <c r="I539" s="44"/>
      <c r="K539" s="44"/>
      <c r="L539" s="42"/>
    </row>
    <row r="540">
      <c r="E540" s="42"/>
      <c r="G540" s="43"/>
      <c r="I540" s="44"/>
      <c r="K540" s="44"/>
      <c r="L540" s="42"/>
    </row>
    <row r="541">
      <c r="E541" s="42"/>
      <c r="G541" s="43"/>
      <c r="I541" s="44"/>
      <c r="K541" s="44"/>
      <c r="L541" s="42"/>
    </row>
    <row r="542">
      <c r="E542" s="42"/>
      <c r="G542" s="43"/>
      <c r="I542" s="44"/>
      <c r="K542" s="44"/>
      <c r="L542" s="42"/>
    </row>
    <row r="543">
      <c r="E543" s="42"/>
      <c r="G543" s="43"/>
      <c r="I543" s="44"/>
      <c r="K543" s="44"/>
      <c r="L543" s="42"/>
    </row>
    <row r="544">
      <c r="E544" s="42"/>
      <c r="G544" s="43"/>
      <c r="I544" s="44"/>
      <c r="K544" s="44"/>
      <c r="L544" s="42"/>
    </row>
    <row r="545">
      <c r="E545" s="42"/>
      <c r="G545" s="43"/>
      <c r="I545" s="44"/>
      <c r="K545" s="44"/>
      <c r="L545" s="42"/>
    </row>
    <row r="546">
      <c r="E546" s="42"/>
      <c r="G546" s="43"/>
      <c r="I546" s="44"/>
      <c r="K546" s="44"/>
      <c r="L546" s="42"/>
    </row>
    <row r="547">
      <c r="E547" s="42"/>
      <c r="G547" s="43"/>
      <c r="I547" s="44"/>
      <c r="K547" s="44"/>
      <c r="L547" s="42"/>
    </row>
    <row r="548">
      <c r="E548" s="42"/>
      <c r="G548" s="43"/>
      <c r="I548" s="44"/>
      <c r="K548" s="44"/>
      <c r="L548" s="42"/>
    </row>
    <row r="549">
      <c r="E549" s="42"/>
      <c r="G549" s="43"/>
      <c r="I549" s="44"/>
      <c r="K549" s="44"/>
      <c r="L549" s="42"/>
    </row>
    <row r="550">
      <c r="E550" s="42"/>
      <c r="G550" s="43"/>
      <c r="I550" s="44"/>
      <c r="K550" s="44"/>
      <c r="L550" s="42"/>
    </row>
    <row r="551">
      <c r="E551" s="42"/>
      <c r="G551" s="43"/>
      <c r="I551" s="44"/>
      <c r="K551" s="44"/>
      <c r="L551" s="42"/>
    </row>
    <row r="552">
      <c r="E552" s="42"/>
      <c r="G552" s="43"/>
      <c r="I552" s="44"/>
      <c r="K552" s="44"/>
      <c r="L552" s="42"/>
    </row>
    <row r="553">
      <c r="E553" s="42"/>
      <c r="G553" s="43"/>
      <c r="I553" s="44"/>
      <c r="K553" s="44"/>
      <c r="L553" s="42"/>
    </row>
    <row r="554">
      <c r="E554" s="42"/>
      <c r="G554" s="43"/>
      <c r="I554" s="44"/>
      <c r="K554" s="44"/>
      <c r="L554" s="42"/>
    </row>
    <row r="555">
      <c r="E555" s="42"/>
      <c r="G555" s="43"/>
      <c r="I555" s="44"/>
      <c r="K555" s="44"/>
      <c r="L555" s="42"/>
    </row>
    <row r="556">
      <c r="E556" s="42"/>
      <c r="G556" s="43"/>
      <c r="I556" s="44"/>
      <c r="K556" s="44"/>
      <c r="L556" s="42"/>
    </row>
    <row r="557">
      <c r="E557" s="42"/>
      <c r="G557" s="43"/>
      <c r="I557" s="44"/>
      <c r="K557" s="44"/>
      <c r="L557" s="42"/>
    </row>
    <row r="558">
      <c r="E558" s="42"/>
      <c r="G558" s="43"/>
      <c r="I558" s="44"/>
      <c r="K558" s="44"/>
      <c r="L558" s="42"/>
    </row>
    <row r="559">
      <c r="E559" s="42"/>
      <c r="G559" s="43"/>
      <c r="I559" s="44"/>
      <c r="K559" s="44"/>
      <c r="L559" s="42"/>
    </row>
    <row r="560">
      <c r="E560" s="42"/>
      <c r="G560" s="43"/>
      <c r="I560" s="44"/>
      <c r="K560" s="44"/>
      <c r="L560" s="42"/>
    </row>
    <row r="561">
      <c r="E561" s="42"/>
      <c r="G561" s="43"/>
      <c r="I561" s="44"/>
      <c r="K561" s="44"/>
      <c r="L561" s="42"/>
    </row>
    <row r="562">
      <c r="E562" s="42"/>
      <c r="G562" s="43"/>
      <c r="I562" s="44"/>
      <c r="K562" s="44"/>
      <c r="L562" s="42"/>
    </row>
    <row r="563">
      <c r="E563" s="42"/>
      <c r="G563" s="43"/>
      <c r="I563" s="44"/>
      <c r="K563" s="44"/>
      <c r="L563" s="42"/>
    </row>
    <row r="564">
      <c r="E564" s="42"/>
      <c r="G564" s="43"/>
      <c r="I564" s="44"/>
      <c r="K564" s="44"/>
      <c r="L564" s="42"/>
    </row>
    <row r="565">
      <c r="E565" s="42"/>
      <c r="G565" s="43"/>
      <c r="I565" s="44"/>
      <c r="K565" s="44"/>
      <c r="L565" s="42"/>
    </row>
    <row r="566">
      <c r="E566" s="42"/>
      <c r="G566" s="43"/>
      <c r="I566" s="44"/>
      <c r="K566" s="44"/>
      <c r="L566" s="42"/>
    </row>
    <row r="567">
      <c r="E567" s="42"/>
      <c r="G567" s="43"/>
      <c r="I567" s="44"/>
      <c r="K567" s="44"/>
      <c r="L567" s="42"/>
    </row>
    <row r="568">
      <c r="E568" s="42"/>
      <c r="G568" s="43"/>
      <c r="I568" s="44"/>
      <c r="K568" s="44"/>
      <c r="L568" s="42"/>
    </row>
    <row r="569">
      <c r="E569" s="42"/>
      <c r="G569" s="43"/>
      <c r="I569" s="44"/>
      <c r="K569" s="44"/>
      <c r="L569" s="42"/>
    </row>
    <row r="570">
      <c r="E570" s="42"/>
      <c r="G570" s="43"/>
      <c r="I570" s="44"/>
      <c r="K570" s="44"/>
      <c r="L570" s="42"/>
    </row>
    <row r="571">
      <c r="E571" s="42"/>
      <c r="G571" s="43"/>
      <c r="I571" s="44"/>
      <c r="K571" s="44"/>
      <c r="L571" s="42"/>
    </row>
    <row r="572">
      <c r="E572" s="42"/>
      <c r="G572" s="43"/>
      <c r="I572" s="44"/>
      <c r="K572" s="44"/>
      <c r="L572" s="42"/>
    </row>
    <row r="573">
      <c r="E573" s="42"/>
      <c r="G573" s="43"/>
      <c r="I573" s="44"/>
      <c r="K573" s="44"/>
      <c r="L573" s="42"/>
    </row>
    <row r="574">
      <c r="E574" s="42"/>
      <c r="G574" s="43"/>
      <c r="I574" s="44"/>
      <c r="K574" s="44"/>
      <c r="L574" s="42"/>
    </row>
    <row r="575">
      <c r="E575" s="42"/>
      <c r="G575" s="43"/>
      <c r="I575" s="44"/>
      <c r="K575" s="44"/>
      <c r="L575" s="42"/>
    </row>
    <row r="576">
      <c r="E576" s="42"/>
      <c r="G576" s="43"/>
      <c r="I576" s="44"/>
      <c r="K576" s="44"/>
      <c r="L576" s="42"/>
    </row>
    <row r="577">
      <c r="E577" s="42"/>
      <c r="G577" s="43"/>
      <c r="I577" s="44"/>
      <c r="K577" s="44"/>
      <c r="L577" s="42"/>
    </row>
    <row r="578">
      <c r="E578" s="42"/>
      <c r="G578" s="43"/>
      <c r="I578" s="44"/>
      <c r="K578" s="44"/>
      <c r="L578" s="42"/>
    </row>
    <row r="579">
      <c r="E579" s="42"/>
      <c r="G579" s="43"/>
      <c r="I579" s="44"/>
      <c r="K579" s="44"/>
      <c r="L579" s="42"/>
    </row>
    <row r="580">
      <c r="E580" s="42"/>
      <c r="G580" s="43"/>
      <c r="I580" s="44"/>
      <c r="K580" s="44"/>
      <c r="L580" s="42"/>
    </row>
    <row r="581">
      <c r="E581" s="42"/>
      <c r="G581" s="43"/>
      <c r="I581" s="44"/>
      <c r="K581" s="44"/>
      <c r="L581" s="42"/>
    </row>
    <row r="582">
      <c r="E582" s="42"/>
      <c r="G582" s="43"/>
      <c r="I582" s="44"/>
      <c r="K582" s="44"/>
      <c r="L582" s="42"/>
    </row>
    <row r="583">
      <c r="E583" s="42"/>
      <c r="G583" s="43"/>
      <c r="I583" s="44"/>
      <c r="K583" s="44"/>
      <c r="L583" s="42"/>
    </row>
    <row r="584">
      <c r="E584" s="42"/>
      <c r="G584" s="43"/>
      <c r="I584" s="44"/>
      <c r="K584" s="44"/>
      <c r="L584" s="42"/>
    </row>
    <row r="585">
      <c r="E585" s="42"/>
      <c r="G585" s="43"/>
      <c r="I585" s="44"/>
      <c r="K585" s="44"/>
      <c r="L585" s="42"/>
    </row>
    <row r="586">
      <c r="E586" s="42"/>
      <c r="G586" s="43"/>
      <c r="I586" s="44"/>
      <c r="K586" s="44"/>
      <c r="L586" s="42"/>
    </row>
    <row r="587">
      <c r="E587" s="42"/>
      <c r="G587" s="43"/>
      <c r="I587" s="44"/>
      <c r="K587" s="44"/>
      <c r="L587" s="42"/>
    </row>
    <row r="588">
      <c r="E588" s="42"/>
      <c r="G588" s="43"/>
      <c r="I588" s="44"/>
      <c r="K588" s="44"/>
      <c r="L588" s="42"/>
    </row>
    <row r="589">
      <c r="E589" s="42"/>
      <c r="G589" s="43"/>
      <c r="I589" s="44"/>
      <c r="K589" s="44"/>
      <c r="L589" s="42"/>
    </row>
    <row r="590">
      <c r="E590" s="42"/>
      <c r="G590" s="43"/>
      <c r="I590" s="44"/>
      <c r="K590" s="44"/>
      <c r="L590" s="42"/>
    </row>
    <row r="591">
      <c r="E591" s="42"/>
      <c r="G591" s="43"/>
      <c r="I591" s="44"/>
      <c r="K591" s="44"/>
      <c r="L591" s="42"/>
    </row>
    <row r="592">
      <c r="E592" s="42"/>
      <c r="G592" s="43"/>
      <c r="I592" s="44"/>
      <c r="K592" s="44"/>
      <c r="L592" s="42"/>
    </row>
    <row r="593">
      <c r="E593" s="42"/>
      <c r="G593" s="43"/>
      <c r="I593" s="44"/>
      <c r="K593" s="44"/>
      <c r="L593" s="42"/>
    </row>
    <row r="594">
      <c r="E594" s="42"/>
      <c r="G594" s="43"/>
      <c r="I594" s="44"/>
      <c r="K594" s="44"/>
      <c r="L594" s="42"/>
    </row>
    <row r="595">
      <c r="E595" s="42"/>
      <c r="G595" s="43"/>
      <c r="I595" s="44"/>
      <c r="K595" s="44"/>
      <c r="L595" s="42"/>
    </row>
    <row r="596">
      <c r="E596" s="42"/>
      <c r="G596" s="43"/>
      <c r="I596" s="44"/>
      <c r="K596" s="44"/>
      <c r="L596" s="42"/>
    </row>
    <row r="597">
      <c r="E597" s="42"/>
      <c r="G597" s="43"/>
      <c r="I597" s="44"/>
      <c r="K597" s="44"/>
      <c r="L597" s="42"/>
    </row>
    <row r="598">
      <c r="E598" s="42"/>
      <c r="G598" s="43"/>
      <c r="I598" s="44"/>
      <c r="K598" s="44"/>
      <c r="L598" s="42"/>
    </row>
    <row r="599">
      <c r="E599" s="42"/>
      <c r="G599" s="43"/>
      <c r="I599" s="44"/>
      <c r="K599" s="44"/>
      <c r="L599" s="42"/>
    </row>
    <row r="600">
      <c r="E600" s="42"/>
      <c r="G600" s="43"/>
      <c r="I600" s="44"/>
      <c r="K600" s="44"/>
      <c r="L600" s="42"/>
    </row>
    <row r="601">
      <c r="E601" s="42"/>
      <c r="G601" s="43"/>
      <c r="I601" s="44"/>
      <c r="K601" s="44"/>
      <c r="L601" s="42"/>
    </row>
    <row r="602">
      <c r="E602" s="42"/>
      <c r="G602" s="43"/>
      <c r="I602" s="44"/>
      <c r="K602" s="44"/>
      <c r="L602" s="42"/>
    </row>
    <row r="603">
      <c r="E603" s="42"/>
      <c r="G603" s="43"/>
      <c r="I603" s="44"/>
      <c r="K603" s="44"/>
      <c r="L603" s="42"/>
    </row>
    <row r="604">
      <c r="E604" s="42"/>
      <c r="G604" s="43"/>
      <c r="I604" s="44"/>
      <c r="K604" s="44"/>
      <c r="L604" s="42"/>
    </row>
    <row r="605">
      <c r="E605" s="42"/>
      <c r="G605" s="43"/>
      <c r="I605" s="44"/>
      <c r="K605" s="44"/>
      <c r="L605" s="42"/>
    </row>
    <row r="606">
      <c r="E606" s="42"/>
      <c r="G606" s="43"/>
      <c r="I606" s="44"/>
      <c r="K606" s="44"/>
      <c r="L606" s="42"/>
    </row>
    <row r="607">
      <c r="E607" s="42"/>
      <c r="G607" s="43"/>
      <c r="I607" s="44"/>
      <c r="K607" s="44"/>
      <c r="L607" s="42"/>
    </row>
    <row r="608">
      <c r="E608" s="42"/>
      <c r="G608" s="43"/>
      <c r="I608" s="44"/>
      <c r="K608" s="44"/>
      <c r="L608" s="42"/>
    </row>
    <row r="609">
      <c r="E609" s="42"/>
      <c r="G609" s="43"/>
      <c r="I609" s="44"/>
      <c r="K609" s="44"/>
      <c r="L609" s="42"/>
    </row>
    <row r="610">
      <c r="E610" s="42"/>
      <c r="G610" s="43"/>
      <c r="I610" s="44"/>
      <c r="K610" s="44"/>
      <c r="L610" s="42"/>
    </row>
    <row r="611">
      <c r="E611" s="42"/>
      <c r="G611" s="43"/>
      <c r="I611" s="44"/>
      <c r="K611" s="44"/>
      <c r="L611" s="42"/>
    </row>
    <row r="612">
      <c r="E612" s="42"/>
      <c r="G612" s="43"/>
      <c r="I612" s="44"/>
      <c r="K612" s="44"/>
      <c r="L612" s="42"/>
    </row>
    <row r="613">
      <c r="E613" s="42"/>
      <c r="G613" s="43"/>
      <c r="I613" s="44"/>
      <c r="K613" s="44"/>
      <c r="L613" s="42"/>
    </row>
    <row r="614">
      <c r="E614" s="42"/>
      <c r="G614" s="43"/>
      <c r="I614" s="44"/>
      <c r="K614" s="44"/>
      <c r="L614" s="42"/>
    </row>
    <row r="615">
      <c r="E615" s="42"/>
      <c r="G615" s="43"/>
      <c r="I615" s="44"/>
      <c r="K615" s="44"/>
      <c r="L615" s="42"/>
    </row>
    <row r="616">
      <c r="E616" s="42"/>
      <c r="G616" s="43"/>
      <c r="I616" s="44"/>
      <c r="K616" s="44"/>
      <c r="L616" s="42"/>
    </row>
    <row r="617">
      <c r="E617" s="42"/>
      <c r="G617" s="43"/>
      <c r="I617" s="44"/>
      <c r="K617" s="44"/>
      <c r="L617" s="42"/>
    </row>
    <row r="618">
      <c r="E618" s="42"/>
      <c r="G618" s="43"/>
      <c r="I618" s="44"/>
      <c r="K618" s="44"/>
      <c r="L618" s="42"/>
    </row>
    <row r="619">
      <c r="E619" s="42"/>
      <c r="G619" s="43"/>
      <c r="I619" s="44"/>
      <c r="K619" s="44"/>
      <c r="L619" s="42"/>
    </row>
    <row r="620">
      <c r="E620" s="42"/>
      <c r="G620" s="43"/>
      <c r="I620" s="44"/>
      <c r="K620" s="44"/>
      <c r="L620" s="42"/>
    </row>
    <row r="621">
      <c r="E621" s="42"/>
      <c r="G621" s="43"/>
      <c r="I621" s="44"/>
      <c r="K621" s="44"/>
      <c r="L621" s="42"/>
    </row>
    <row r="622">
      <c r="E622" s="42"/>
      <c r="G622" s="43"/>
      <c r="I622" s="44"/>
      <c r="K622" s="44"/>
      <c r="L622" s="42"/>
    </row>
    <row r="623">
      <c r="E623" s="42"/>
      <c r="G623" s="43"/>
      <c r="I623" s="44"/>
      <c r="K623" s="44"/>
      <c r="L623" s="42"/>
    </row>
    <row r="624">
      <c r="E624" s="42"/>
      <c r="G624" s="43"/>
      <c r="I624" s="44"/>
      <c r="K624" s="44"/>
      <c r="L624" s="42"/>
    </row>
    <row r="625">
      <c r="E625" s="42"/>
      <c r="G625" s="43"/>
      <c r="I625" s="44"/>
      <c r="K625" s="44"/>
      <c r="L625" s="42"/>
    </row>
    <row r="626">
      <c r="E626" s="42"/>
      <c r="G626" s="43"/>
      <c r="I626" s="44"/>
      <c r="K626" s="44"/>
      <c r="L626" s="42"/>
    </row>
    <row r="627">
      <c r="E627" s="42"/>
      <c r="G627" s="43"/>
      <c r="I627" s="44"/>
      <c r="K627" s="44"/>
      <c r="L627" s="42"/>
    </row>
    <row r="628">
      <c r="E628" s="42"/>
      <c r="G628" s="43"/>
      <c r="I628" s="44"/>
      <c r="K628" s="44"/>
      <c r="L628" s="42"/>
    </row>
    <row r="629">
      <c r="E629" s="42"/>
      <c r="G629" s="43"/>
      <c r="I629" s="44"/>
      <c r="K629" s="44"/>
      <c r="L629" s="42"/>
    </row>
    <row r="630">
      <c r="E630" s="42"/>
      <c r="G630" s="43"/>
      <c r="I630" s="44"/>
      <c r="K630" s="44"/>
      <c r="L630" s="42"/>
    </row>
    <row r="631">
      <c r="E631" s="42"/>
      <c r="G631" s="43"/>
      <c r="I631" s="44"/>
      <c r="K631" s="44"/>
      <c r="L631" s="42"/>
    </row>
    <row r="632">
      <c r="E632" s="42"/>
      <c r="G632" s="43"/>
      <c r="I632" s="44"/>
      <c r="K632" s="44"/>
      <c r="L632" s="42"/>
    </row>
    <row r="633">
      <c r="E633" s="42"/>
      <c r="G633" s="43"/>
      <c r="I633" s="44"/>
      <c r="K633" s="44"/>
      <c r="L633" s="42"/>
    </row>
    <row r="634">
      <c r="E634" s="42"/>
      <c r="G634" s="43"/>
      <c r="I634" s="44"/>
      <c r="K634" s="44"/>
      <c r="L634" s="42"/>
    </row>
    <row r="635">
      <c r="E635" s="42"/>
      <c r="G635" s="43"/>
      <c r="I635" s="44"/>
      <c r="K635" s="44"/>
      <c r="L635" s="42"/>
    </row>
    <row r="636">
      <c r="E636" s="42"/>
      <c r="G636" s="43"/>
      <c r="I636" s="44"/>
      <c r="K636" s="44"/>
      <c r="L636" s="42"/>
    </row>
    <row r="637">
      <c r="E637" s="42"/>
      <c r="G637" s="43"/>
      <c r="I637" s="44"/>
      <c r="K637" s="44"/>
      <c r="L637" s="42"/>
    </row>
    <row r="638">
      <c r="E638" s="42"/>
      <c r="G638" s="43"/>
      <c r="I638" s="44"/>
      <c r="K638" s="44"/>
      <c r="L638" s="42"/>
    </row>
    <row r="639">
      <c r="E639" s="42"/>
      <c r="G639" s="43"/>
      <c r="I639" s="44"/>
      <c r="K639" s="44"/>
      <c r="L639" s="42"/>
    </row>
    <row r="640">
      <c r="E640" s="42"/>
      <c r="G640" s="43"/>
      <c r="I640" s="44"/>
      <c r="K640" s="44"/>
      <c r="L640" s="42"/>
    </row>
    <row r="641">
      <c r="E641" s="42"/>
      <c r="G641" s="43"/>
      <c r="I641" s="44"/>
      <c r="K641" s="44"/>
      <c r="L641" s="42"/>
    </row>
    <row r="642">
      <c r="E642" s="42"/>
      <c r="G642" s="43"/>
      <c r="I642" s="44"/>
      <c r="K642" s="44"/>
      <c r="L642" s="42"/>
    </row>
    <row r="643">
      <c r="E643" s="42"/>
      <c r="G643" s="43"/>
      <c r="I643" s="44"/>
      <c r="K643" s="44"/>
      <c r="L643" s="42"/>
    </row>
    <row r="644">
      <c r="E644" s="42"/>
      <c r="G644" s="43"/>
      <c r="I644" s="44"/>
      <c r="K644" s="44"/>
      <c r="L644" s="42"/>
    </row>
    <row r="645">
      <c r="E645" s="42"/>
      <c r="G645" s="43"/>
      <c r="I645" s="44"/>
      <c r="K645" s="44"/>
      <c r="L645" s="42"/>
    </row>
    <row r="646">
      <c r="E646" s="42"/>
      <c r="G646" s="43"/>
      <c r="I646" s="44"/>
      <c r="K646" s="44"/>
      <c r="L646" s="42"/>
    </row>
    <row r="647">
      <c r="E647" s="42"/>
      <c r="G647" s="43"/>
      <c r="I647" s="44"/>
      <c r="K647" s="44"/>
      <c r="L647" s="42"/>
    </row>
    <row r="648">
      <c r="E648" s="42"/>
      <c r="G648" s="43"/>
      <c r="I648" s="44"/>
      <c r="K648" s="44"/>
      <c r="L648" s="42"/>
    </row>
    <row r="649">
      <c r="E649" s="42"/>
      <c r="G649" s="43"/>
      <c r="I649" s="44"/>
      <c r="K649" s="44"/>
      <c r="L649" s="42"/>
    </row>
    <row r="650">
      <c r="E650" s="42"/>
      <c r="G650" s="43"/>
      <c r="I650" s="44"/>
      <c r="K650" s="44"/>
      <c r="L650" s="42"/>
    </row>
    <row r="651">
      <c r="E651" s="42"/>
      <c r="G651" s="43"/>
      <c r="I651" s="44"/>
      <c r="K651" s="44"/>
      <c r="L651" s="42"/>
    </row>
    <row r="652">
      <c r="E652" s="42"/>
      <c r="G652" s="43"/>
      <c r="I652" s="44"/>
      <c r="K652" s="44"/>
      <c r="L652" s="42"/>
    </row>
    <row r="653">
      <c r="E653" s="42"/>
      <c r="G653" s="43"/>
      <c r="I653" s="44"/>
      <c r="K653" s="44"/>
      <c r="L653" s="42"/>
    </row>
    <row r="654">
      <c r="E654" s="42"/>
      <c r="G654" s="43"/>
      <c r="I654" s="44"/>
      <c r="K654" s="44"/>
      <c r="L654" s="42"/>
    </row>
    <row r="655">
      <c r="E655" s="42"/>
      <c r="G655" s="43"/>
      <c r="I655" s="44"/>
      <c r="K655" s="44"/>
      <c r="L655" s="42"/>
    </row>
    <row r="656">
      <c r="E656" s="42"/>
      <c r="G656" s="43"/>
      <c r="I656" s="44"/>
      <c r="K656" s="44"/>
      <c r="L656" s="42"/>
    </row>
    <row r="657">
      <c r="E657" s="42"/>
      <c r="G657" s="43"/>
      <c r="I657" s="44"/>
      <c r="K657" s="44"/>
      <c r="L657" s="42"/>
    </row>
    <row r="658">
      <c r="E658" s="42"/>
      <c r="G658" s="43"/>
      <c r="I658" s="44"/>
      <c r="K658" s="44"/>
      <c r="L658" s="42"/>
    </row>
    <row r="659">
      <c r="E659" s="42"/>
      <c r="G659" s="43"/>
      <c r="I659" s="44"/>
      <c r="K659" s="44"/>
      <c r="L659" s="42"/>
    </row>
    <row r="660">
      <c r="E660" s="42"/>
      <c r="G660" s="43"/>
      <c r="I660" s="44"/>
      <c r="K660" s="44"/>
      <c r="L660" s="42"/>
    </row>
    <row r="661">
      <c r="E661" s="42"/>
      <c r="G661" s="43"/>
      <c r="I661" s="44"/>
      <c r="K661" s="44"/>
      <c r="L661" s="42"/>
    </row>
    <row r="662">
      <c r="E662" s="42"/>
      <c r="G662" s="43"/>
      <c r="I662" s="44"/>
      <c r="K662" s="44"/>
      <c r="L662" s="42"/>
    </row>
    <row r="663">
      <c r="E663" s="42"/>
      <c r="G663" s="43"/>
      <c r="I663" s="44"/>
      <c r="K663" s="44"/>
      <c r="L663" s="42"/>
    </row>
    <row r="664">
      <c r="E664" s="42"/>
      <c r="G664" s="43"/>
      <c r="I664" s="44"/>
      <c r="K664" s="44"/>
      <c r="L664" s="42"/>
    </row>
    <row r="665">
      <c r="E665" s="42"/>
      <c r="G665" s="43"/>
      <c r="I665" s="44"/>
      <c r="K665" s="44"/>
      <c r="L665" s="42"/>
    </row>
    <row r="666">
      <c r="E666" s="42"/>
      <c r="G666" s="43"/>
      <c r="I666" s="44"/>
      <c r="K666" s="44"/>
      <c r="L666" s="42"/>
    </row>
    <row r="667">
      <c r="E667" s="42"/>
      <c r="G667" s="43"/>
      <c r="I667" s="44"/>
      <c r="K667" s="44"/>
      <c r="L667" s="42"/>
    </row>
    <row r="668">
      <c r="E668" s="42"/>
      <c r="G668" s="43"/>
      <c r="I668" s="44"/>
      <c r="K668" s="44"/>
      <c r="L668" s="42"/>
    </row>
    <row r="669">
      <c r="E669" s="42"/>
      <c r="G669" s="43"/>
      <c r="I669" s="44"/>
      <c r="K669" s="44"/>
      <c r="L669" s="42"/>
    </row>
    <row r="670">
      <c r="E670" s="42"/>
      <c r="G670" s="43"/>
      <c r="I670" s="44"/>
      <c r="K670" s="44"/>
      <c r="L670" s="42"/>
    </row>
    <row r="671">
      <c r="E671" s="42"/>
      <c r="G671" s="43"/>
      <c r="I671" s="44"/>
      <c r="K671" s="44"/>
      <c r="L671" s="42"/>
    </row>
    <row r="672">
      <c r="E672" s="42"/>
      <c r="G672" s="43"/>
      <c r="I672" s="44"/>
      <c r="K672" s="44"/>
      <c r="L672" s="42"/>
    </row>
    <row r="673">
      <c r="E673" s="42"/>
      <c r="G673" s="43"/>
      <c r="I673" s="44"/>
      <c r="K673" s="44"/>
      <c r="L673" s="42"/>
    </row>
    <row r="674">
      <c r="E674" s="42"/>
      <c r="G674" s="43"/>
      <c r="I674" s="44"/>
      <c r="K674" s="44"/>
      <c r="L674" s="42"/>
    </row>
    <row r="675">
      <c r="E675" s="42"/>
      <c r="G675" s="43"/>
      <c r="I675" s="44"/>
      <c r="K675" s="44"/>
      <c r="L675" s="42"/>
    </row>
    <row r="676">
      <c r="E676" s="42"/>
      <c r="G676" s="43"/>
      <c r="I676" s="44"/>
      <c r="K676" s="44"/>
      <c r="L676" s="42"/>
    </row>
    <row r="677">
      <c r="E677" s="42"/>
      <c r="G677" s="43"/>
      <c r="I677" s="44"/>
      <c r="K677" s="44"/>
      <c r="L677" s="42"/>
    </row>
    <row r="678">
      <c r="E678" s="42"/>
      <c r="G678" s="43"/>
      <c r="I678" s="44"/>
      <c r="K678" s="44"/>
      <c r="L678" s="42"/>
    </row>
    <row r="679">
      <c r="E679" s="42"/>
      <c r="G679" s="43"/>
      <c r="I679" s="44"/>
      <c r="K679" s="44"/>
      <c r="L679" s="42"/>
    </row>
    <row r="680">
      <c r="E680" s="42"/>
      <c r="G680" s="43"/>
      <c r="I680" s="44"/>
      <c r="K680" s="44"/>
      <c r="L680" s="42"/>
    </row>
    <row r="681">
      <c r="E681" s="42"/>
      <c r="G681" s="43"/>
      <c r="I681" s="44"/>
      <c r="K681" s="44"/>
      <c r="L681" s="42"/>
    </row>
    <row r="682">
      <c r="E682" s="42"/>
      <c r="G682" s="43"/>
      <c r="I682" s="44"/>
      <c r="K682" s="44"/>
      <c r="L682" s="42"/>
    </row>
    <row r="683">
      <c r="E683" s="42"/>
      <c r="G683" s="43"/>
      <c r="I683" s="44"/>
      <c r="K683" s="44"/>
      <c r="L683" s="42"/>
    </row>
    <row r="684">
      <c r="E684" s="42"/>
      <c r="G684" s="43"/>
      <c r="I684" s="44"/>
      <c r="K684" s="44"/>
      <c r="L684" s="42"/>
    </row>
    <row r="685">
      <c r="E685" s="42"/>
      <c r="G685" s="43"/>
      <c r="I685" s="44"/>
      <c r="K685" s="44"/>
      <c r="L685" s="42"/>
    </row>
    <row r="686">
      <c r="E686" s="42"/>
      <c r="G686" s="43"/>
      <c r="I686" s="44"/>
      <c r="K686" s="44"/>
      <c r="L686" s="42"/>
    </row>
    <row r="687">
      <c r="E687" s="42"/>
      <c r="G687" s="43"/>
      <c r="I687" s="44"/>
      <c r="K687" s="44"/>
      <c r="L687" s="42"/>
    </row>
    <row r="688">
      <c r="E688" s="42"/>
      <c r="G688" s="43"/>
      <c r="I688" s="44"/>
      <c r="K688" s="44"/>
      <c r="L688" s="42"/>
    </row>
    <row r="689">
      <c r="E689" s="42"/>
      <c r="G689" s="43"/>
      <c r="I689" s="44"/>
      <c r="K689" s="44"/>
      <c r="L689" s="42"/>
    </row>
    <row r="690">
      <c r="E690" s="42"/>
      <c r="G690" s="43"/>
      <c r="I690" s="44"/>
      <c r="K690" s="44"/>
      <c r="L690" s="42"/>
    </row>
    <row r="691">
      <c r="E691" s="42"/>
      <c r="G691" s="43"/>
      <c r="I691" s="44"/>
      <c r="K691" s="44"/>
      <c r="L691" s="42"/>
    </row>
    <row r="692">
      <c r="E692" s="42"/>
      <c r="G692" s="43"/>
      <c r="I692" s="44"/>
      <c r="K692" s="44"/>
      <c r="L692" s="42"/>
    </row>
    <row r="693">
      <c r="E693" s="42"/>
      <c r="G693" s="43"/>
      <c r="I693" s="44"/>
      <c r="K693" s="44"/>
      <c r="L693" s="42"/>
    </row>
    <row r="694">
      <c r="E694" s="42"/>
      <c r="G694" s="43"/>
      <c r="I694" s="44"/>
      <c r="K694" s="44"/>
      <c r="L694" s="42"/>
    </row>
    <row r="695">
      <c r="E695" s="42"/>
      <c r="G695" s="43"/>
      <c r="I695" s="44"/>
      <c r="K695" s="44"/>
      <c r="L695" s="42"/>
    </row>
    <row r="696">
      <c r="E696" s="42"/>
      <c r="G696" s="43"/>
      <c r="I696" s="44"/>
      <c r="K696" s="44"/>
      <c r="L696" s="42"/>
    </row>
    <row r="697">
      <c r="E697" s="42"/>
      <c r="G697" s="43"/>
      <c r="I697" s="44"/>
      <c r="K697" s="44"/>
      <c r="L697" s="42"/>
    </row>
    <row r="698">
      <c r="E698" s="42"/>
      <c r="G698" s="43"/>
      <c r="I698" s="44"/>
      <c r="K698" s="44"/>
      <c r="L698" s="42"/>
    </row>
    <row r="699">
      <c r="E699" s="42"/>
      <c r="G699" s="43"/>
      <c r="I699" s="44"/>
      <c r="K699" s="44"/>
      <c r="L699" s="42"/>
    </row>
    <row r="700">
      <c r="E700" s="42"/>
      <c r="G700" s="43"/>
      <c r="I700" s="44"/>
      <c r="K700" s="44"/>
      <c r="L700" s="42"/>
    </row>
    <row r="701">
      <c r="E701" s="42"/>
      <c r="G701" s="43"/>
      <c r="I701" s="44"/>
      <c r="K701" s="44"/>
      <c r="L701" s="42"/>
    </row>
    <row r="702">
      <c r="E702" s="42"/>
      <c r="G702" s="43"/>
      <c r="I702" s="44"/>
      <c r="K702" s="44"/>
      <c r="L702" s="42"/>
    </row>
    <row r="703">
      <c r="E703" s="42"/>
      <c r="G703" s="43"/>
      <c r="I703" s="44"/>
      <c r="K703" s="44"/>
      <c r="L703" s="42"/>
    </row>
    <row r="704">
      <c r="E704" s="42"/>
      <c r="G704" s="43"/>
      <c r="I704" s="44"/>
      <c r="K704" s="44"/>
      <c r="L704" s="42"/>
    </row>
    <row r="705">
      <c r="E705" s="42"/>
      <c r="G705" s="43"/>
      <c r="I705" s="44"/>
      <c r="K705" s="44"/>
      <c r="L705" s="42"/>
    </row>
    <row r="706">
      <c r="E706" s="42"/>
      <c r="G706" s="43"/>
      <c r="I706" s="44"/>
      <c r="K706" s="44"/>
      <c r="L706" s="42"/>
    </row>
    <row r="707">
      <c r="E707" s="42"/>
      <c r="G707" s="43"/>
      <c r="I707" s="44"/>
      <c r="K707" s="44"/>
      <c r="L707" s="42"/>
    </row>
    <row r="708">
      <c r="E708" s="42"/>
      <c r="G708" s="43"/>
      <c r="I708" s="44"/>
      <c r="K708" s="44"/>
      <c r="L708" s="42"/>
    </row>
    <row r="709">
      <c r="E709" s="42"/>
      <c r="G709" s="43"/>
      <c r="I709" s="44"/>
      <c r="K709" s="44"/>
      <c r="L709" s="42"/>
    </row>
    <row r="710">
      <c r="E710" s="42"/>
      <c r="G710" s="43"/>
      <c r="I710" s="44"/>
      <c r="K710" s="44"/>
      <c r="L710" s="42"/>
    </row>
    <row r="711">
      <c r="E711" s="42"/>
      <c r="G711" s="43"/>
      <c r="I711" s="44"/>
      <c r="K711" s="44"/>
      <c r="L711" s="42"/>
    </row>
    <row r="712">
      <c r="E712" s="42"/>
      <c r="G712" s="43"/>
      <c r="I712" s="44"/>
      <c r="K712" s="44"/>
      <c r="L712" s="42"/>
    </row>
    <row r="713">
      <c r="E713" s="42"/>
      <c r="G713" s="43"/>
      <c r="I713" s="44"/>
      <c r="K713" s="44"/>
      <c r="L713" s="42"/>
    </row>
    <row r="714">
      <c r="E714" s="42"/>
      <c r="G714" s="43"/>
      <c r="I714" s="44"/>
      <c r="K714" s="44"/>
      <c r="L714" s="42"/>
    </row>
    <row r="715">
      <c r="E715" s="42"/>
      <c r="G715" s="43"/>
      <c r="I715" s="44"/>
      <c r="K715" s="44"/>
      <c r="L715" s="42"/>
    </row>
    <row r="716">
      <c r="E716" s="42"/>
      <c r="G716" s="43"/>
      <c r="I716" s="44"/>
      <c r="K716" s="44"/>
      <c r="L716" s="42"/>
    </row>
    <row r="717">
      <c r="E717" s="42"/>
      <c r="G717" s="43"/>
      <c r="I717" s="44"/>
      <c r="K717" s="44"/>
      <c r="L717" s="42"/>
    </row>
    <row r="718">
      <c r="E718" s="42"/>
      <c r="G718" s="43"/>
      <c r="I718" s="44"/>
      <c r="K718" s="44"/>
      <c r="L718" s="42"/>
    </row>
    <row r="719">
      <c r="E719" s="42"/>
      <c r="G719" s="43"/>
      <c r="I719" s="44"/>
      <c r="K719" s="44"/>
      <c r="L719" s="42"/>
    </row>
    <row r="720">
      <c r="E720" s="42"/>
      <c r="G720" s="43"/>
      <c r="I720" s="44"/>
      <c r="K720" s="44"/>
      <c r="L720" s="42"/>
    </row>
    <row r="721">
      <c r="E721" s="42"/>
      <c r="G721" s="43"/>
      <c r="I721" s="44"/>
      <c r="K721" s="44"/>
      <c r="L721" s="42"/>
    </row>
    <row r="722">
      <c r="E722" s="42"/>
      <c r="G722" s="43"/>
      <c r="I722" s="44"/>
      <c r="K722" s="44"/>
      <c r="L722" s="42"/>
    </row>
    <row r="723">
      <c r="E723" s="42"/>
      <c r="G723" s="43"/>
      <c r="I723" s="44"/>
      <c r="K723" s="44"/>
      <c r="L723" s="42"/>
    </row>
    <row r="724">
      <c r="E724" s="42"/>
      <c r="G724" s="43"/>
      <c r="I724" s="44"/>
      <c r="K724" s="44"/>
      <c r="L724" s="42"/>
    </row>
    <row r="725">
      <c r="E725" s="42"/>
      <c r="G725" s="43"/>
      <c r="I725" s="44"/>
      <c r="K725" s="44"/>
      <c r="L725" s="42"/>
    </row>
    <row r="726">
      <c r="E726" s="42"/>
      <c r="G726" s="43"/>
      <c r="I726" s="44"/>
      <c r="K726" s="44"/>
      <c r="L726" s="42"/>
    </row>
    <row r="727">
      <c r="E727" s="42"/>
      <c r="G727" s="43"/>
      <c r="I727" s="44"/>
      <c r="K727" s="44"/>
      <c r="L727" s="42"/>
    </row>
    <row r="728">
      <c r="E728" s="42"/>
      <c r="G728" s="43"/>
      <c r="I728" s="44"/>
      <c r="K728" s="44"/>
      <c r="L728" s="42"/>
    </row>
    <row r="729">
      <c r="E729" s="42"/>
      <c r="G729" s="43"/>
      <c r="I729" s="44"/>
      <c r="K729" s="44"/>
      <c r="L729" s="42"/>
    </row>
    <row r="730">
      <c r="E730" s="42"/>
      <c r="G730" s="43"/>
      <c r="I730" s="44"/>
      <c r="K730" s="44"/>
      <c r="L730" s="42"/>
    </row>
    <row r="731">
      <c r="E731" s="42"/>
      <c r="G731" s="43"/>
      <c r="I731" s="44"/>
      <c r="K731" s="44"/>
      <c r="L731" s="42"/>
    </row>
    <row r="732">
      <c r="E732" s="42"/>
      <c r="G732" s="43"/>
      <c r="I732" s="44"/>
      <c r="K732" s="44"/>
      <c r="L732" s="42"/>
    </row>
    <row r="733">
      <c r="E733" s="42"/>
      <c r="G733" s="43"/>
      <c r="I733" s="44"/>
      <c r="K733" s="44"/>
      <c r="L733" s="42"/>
    </row>
    <row r="734">
      <c r="E734" s="42"/>
      <c r="G734" s="43"/>
      <c r="I734" s="44"/>
      <c r="K734" s="44"/>
      <c r="L734" s="42"/>
    </row>
    <row r="735">
      <c r="E735" s="42"/>
      <c r="G735" s="43"/>
      <c r="I735" s="44"/>
      <c r="K735" s="44"/>
      <c r="L735" s="42"/>
    </row>
    <row r="736">
      <c r="E736" s="42"/>
      <c r="G736" s="43"/>
      <c r="I736" s="44"/>
      <c r="K736" s="44"/>
      <c r="L736" s="42"/>
    </row>
    <row r="737">
      <c r="E737" s="42"/>
      <c r="G737" s="43"/>
      <c r="I737" s="44"/>
      <c r="K737" s="44"/>
      <c r="L737" s="42"/>
    </row>
    <row r="738">
      <c r="E738" s="42"/>
      <c r="G738" s="43"/>
      <c r="I738" s="44"/>
      <c r="K738" s="44"/>
      <c r="L738" s="42"/>
    </row>
    <row r="739">
      <c r="E739" s="42"/>
      <c r="G739" s="43"/>
      <c r="I739" s="44"/>
      <c r="K739" s="44"/>
      <c r="L739" s="42"/>
    </row>
    <row r="740">
      <c r="E740" s="42"/>
      <c r="G740" s="43"/>
      <c r="I740" s="44"/>
      <c r="K740" s="44"/>
      <c r="L740" s="42"/>
    </row>
    <row r="741">
      <c r="E741" s="42"/>
      <c r="G741" s="43"/>
      <c r="I741" s="44"/>
      <c r="K741" s="44"/>
      <c r="L741" s="42"/>
    </row>
    <row r="742">
      <c r="E742" s="42"/>
      <c r="G742" s="43"/>
      <c r="I742" s="44"/>
      <c r="K742" s="44"/>
      <c r="L742" s="42"/>
    </row>
    <row r="743">
      <c r="E743" s="42"/>
      <c r="G743" s="43"/>
      <c r="I743" s="44"/>
      <c r="K743" s="44"/>
      <c r="L743" s="42"/>
    </row>
    <row r="744">
      <c r="E744" s="42"/>
      <c r="G744" s="43"/>
      <c r="I744" s="44"/>
      <c r="K744" s="44"/>
      <c r="L744" s="42"/>
    </row>
    <row r="745">
      <c r="E745" s="42"/>
      <c r="G745" s="43"/>
      <c r="I745" s="44"/>
      <c r="K745" s="44"/>
      <c r="L745" s="42"/>
    </row>
    <row r="746">
      <c r="E746" s="42"/>
      <c r="G746" s="43"/>
      <c r="I746" s="44"/>
      <c r="K746" s="44"/>
      <c r="L746" s="42"/>
    </row>
    <row r="747">
      <c r="E747" s="42"/>
      <c r="G747" s="43"/>
      <c r="I747" s="44"/>
      <c r="K747" s="44"/>
      <c r="L747" s="42"/>
    </row>
    <row r="748">
      <c r="E748" s="42"/>
      <c r="G748" s="43"/>
      <c r="I748" s="44"/>
      <c r="K748" s="44"/>
      <c r="L748" s="42"/>
    </row>
    <row r="749">
      <c r="E749" s="42"/>
      <c r="G749" s="43"/>
      <c r="I749" s="44"/>
      <c r="K749" s="44"/>
      <c r="L749" s="42"/>
    </row>
    <row r="750">
      <c r="E750" s="42"/>
      <c r="G750" s="43"/>
      <c r="I750" s="44"/>
      <c r="K750" s="44"/>
      <c r="L750" s="42"/>
    </row>
    <row r="751">
      <c r="E751" s="42"/>
      <c r="G751" s="43"/>
      <c r="I751" s="44"/>
      <c r="K751" s="44"/>
      <c r="L751" s="42"/>
    </row>
    <row r="752">
      <c r="E752" s="42"/>
      <c r="G752" s="43"/>
      <c r="I752" s="44"/>
      <c r="K752" s="44"/>
      <c r="L752" s="42"/>
    </row>
    <row r="753">
      <c r="E753" s="42"/>
      <c r="G753" s="43"/>
      <c r="I753" s="44"/>
      <c r="K753" s="44"/>
      <c r="L753" s="42"/>
    </row>
    <row r="754">
      <c r="E754" s="42"/>
      <c r="G754" s="43"/>
      <c r="I754" s="44"/>
      <c r="K754" s="44"/>
      <c r="L754" s="42"/>
    </row>
    <row r="755">
      <c r="E755" s="42"/>
      <c r="G755" s="43"/>
      <c r="I755" s="44"/>
      <c r="K755" s="44"/>
      <c r="L755" s="42"/>
    </row>
    <row r="756">
      <c r="E756" s="42"/>
      <c r="G756" s="43"/>
      <c r="I756" s="44"/>
      <c r="K756" s="44"/>
      <c r="L756" s="42"/>
    </row>
    <row r="757">
      <c r="E757" s="42"/>
      <c r="G757" s="43"/>
      <c r="I757" s="44"/>
      <c r="K757" s="44"/>
      <c r="L757" s="42"/>
    </row>
    <row r="758">
      <c r="E758" s="42"/>
      <c r="G758" s="43"/>
      <c r="I758" s="44"/>
      <c r="K758" s="44"/>
      <c r="L758" s="42"/>
    </row>
    <row r="759">
      <c r="E759" s="42"/>
      <c r="G759" s="43"/>
      <c r="I759" s="44"/>
      <c r="K759" s="44"/>
      <c r="L759" s="42"/>
    </row>
    <row r="760">
      <c r="E760" s="42"/>
      <c r="G760" s="43"/>
      <c r="I760" s="44"/>
      <c r="K760" s="44"/>
      <c r="L760" s="42"/>
    </row>
    <row r="761">
      <c r="E761" s="42"/>
      <c r="G761" s="43"/>
      <c r="I761" s="44"/>
      <c r="K761" s="44"/>
      <c r="L761" s="42"/>
    </row>
    <row r="762">
      <c r="E762" s="42"/>
      <c r="G762" s="43"/>
      <c r="I762" s="44"/>
      <c r="K762" s="44"/>
      <c r="L762" s="42"/>
    </row>
    <row r="763">
      <c r="E763" s="42"/>
      <c r="G763" s="43"/>
      <c r="I763" s="44"/>
      <c r="K763" s="44"/>
      <c r="L763" s="42"/>
    </row>
    <row r="764">
      <c r="E764" s="42"/>
      <c r="G764" s="43"/>
      <c r="I764" s="44"/>
      <c r="K764" s="44"/>
      <c r="L764" s="42"/>
    </row>
    <row r="765">
      <c r="E765" s="42"/>
      <c r="G765" s="43"/>
      <c r="I765" s="44"/>
      <c r="K765" s="44"/>
      <c r="L765" s="42"/>
    </row>
    <row r="766">
      <c r="E766" s="42"/>
      <c r="G766" s="43"/>
      <c r="I766" s="44"/>
      <c r="K766" s="44"/>
      <c r="L766" s="42"/>
    </row>
    <row r="767">
      <c r="E767" s="42"/>
      <c r="G767" s="43"/>
      <c r="I767" s="44"/>
      <c r="K767" s="44"/>
      <c r="L767" s="42"/>
    </row>
    <row r="768">
      <c r="E768" s="42"/>
      <c r="G768" s="43"/>
      <c r="I768" s="44"/>
      <c r="K768" s="44"/>
      <c r="L768" s="42"/>
    </row>
    <row r="769">
      <c r="E769" s="42"/>
      <c r="G769" s="43"/>
      <c r="I769" s="44"/>
      <c r="K769" s="44"/>
      <c r="L769" s="42"/>
    </row>
    <row r="770">
      <c r="E770" s="42"/>
      <c r="G770" s="43"/>
      <c r="I770" s="44"/>
      <c r="K770" s="44"/>
      <c r="L770" s="42"/>
    </row>
    <row r="771">
      <c r="E771" s="42"/>
      <c r="G771" s="43"/>
      <c r="I771" s="44"/>
      <c r="K771" s="44"/>
      <c r="L771" s="42"/>
    </row>
    <row r="772">
      <c r="E772" s="42"/>
      <c r="G772" s="43"/>
      <c r="I772" s="44"/>
      <c r="K772" s="44"/>
      <c r="L772" s="42"/>
    </row>
    <row r="773">
      <c r="E773" s="42"/>
      <c r="G773" s="43"/>
      <c r="I773" s="44"/>
      <c r="K773" s="44"/>
      <c r="L773" s="42"/>
    </row>
    <row r="774">
      <c r="E774" s="42"/>
      <c r="G774" s="43"/>
      <c r="I774" s="44"/>
      <c r="K774" s="44"/>
      <c r="L774" s="42"/>
    </row>
    <row r="775">
      <c r="E775" s="42"/>
      <c r="G775" s="43"/>
      <c r="I775" s="44"/>
      <c r="K775" s="44"/>
      <c r="L775" s="42"/>
    </row>
    <row r="776">
      <c r="E776" s="42"/>
      <c r="G776" s="43"/>
      <c r="I776" s="44"/>
      <c r="K776" s="44"/>
      <c r="L776" s="42"/>
    </row>
    <row r="777">
      <c r="E777" s="42"/>
      <c r="G777" s="43"/>
      <c r="I777" s="44"/>
      <c r="K777" s="44"/>
      <c r="L777" s="42"/>
    </row>
    <row r="778">
      <c r="E778" s="42"/>
      <c r="G778" s="43"/>
      <c r="I778" s="44"/>
      <c r="K778" s="44"/>
      <c r="L778" s="42"/>
    </row>
    <row r="779">
      <c r="E779" s="42"/>
      <c r="G779" s="43"/>
      <c r="I779" s="44"/>
      <c r="K779" s="44"/>
      <c r="L779" s="42"/>
    </row>
    <row r="780">
      <c r="E780" s="42"/>
      <c r="G780" s="43"/>
      <c r="I780" s="44"/>
      <c r="K780" s="44"/>
      <c r="L780" s="42"/>
    </row>
    <row r="781">
      <c r="E781" s="42"/>
      <c r="G781" s="43"/>
      <c r="I781" s="44"/>
      <c r="K781" s="44"/>
      <c r="L781" s="42"/>
    </row>
    <row r="782">
      <c r="E782" s="42"/>
      <c r="G782" s="43"/>
      <c r="I782" s="44"/>
      <c r="K782" s="44"/>
      <c r="L782" s="42"/>
    </row>
    <row r="783">
      <c r="E783" s="42"/>
      <c r="G783" s="43"/>
      <c r="I783" s="44"/>
      <c r="K783" s="44"/>
      <c r="L783" s="42"/>
    </row>
    <row r="784">
      <c r="E784" s="42"/>
      <c r="G784" s="43"/>
      <c r="I784" s="44"/>
      <c r="K784" s="44"/>
      <c r="L784" s="42"/>
    </row>
    <row r="785">
      <c r="E785" s="42"/>
      <c r="G785" s="43"/>
      <c r="I785" s="44"/>
      <c r="K785" s="44"/>
      <c r="L785" s="42"/>
    </row>
    <row r="786">
      <c r="E786" s="42"/>
      <c r="G786" s="43"/>
      <c r="I786" s="44"/>
      <c r="K786" s="44"/>
      <c r="L786" s="42"/>
    </row>
    <row r="787">
      <c r="E787" s="42"/>
      <c r="G787" s="43"/>
      <c r="I787" s="44"/>
      <c r="K787" s="44"/>
      <c r="L787" s="42"/>
    </row>
    <row r="788">
      <c r="E788" s="42"/>
      <c r="G788" s="43"/>
      <c r="I788" s="44"/>
      <c r="K788" s="44"/>
      <c r="L788" s="42"/>
    </row>
    <row r="789">
      <c r="E789" s="42"/>
      <c r="G789" s="43"/>
      <c r="I789" s="44"/>
      <c r="K789" s="44"/>
      <c r="L789" s="42"/>
    </row>
    <row r="790">
      <c r="E790" s="42"/>
      <c r="G790" s="43"/>
      <c r="I790" s="44"/>
      <c r="K790" s="44"/>
      <c r="L790" s="42"/>
    </row>
    <row r="791">
      <c r="E791" s="42"/>
      <c r="G791" s="43"/>
      <c r="I791" s="44"/>
      <c r="K791" s="44"/>
      <c r="L791" s="42"/>
    </row>
    <row r="792">
      <c r="E792" s="42"/>
      <c r="G792" s="43"/>
      <c r="I792" s="44"/>
      <c r="K792" s="44"/>
      <c r="L792" s="42"/>
    </row>
    <row r="793">
      <c r="E793" s="42"/>
      <c r="G793" s="43"/>
      <c r="I793" s="44"/>
      <c r="K793" s="44"/>
      <c r="L793" s="42"/>
    </row>
    <row r="794">
      <c r="E794" s="42"/>
      <c r="G794" s="43"/>
      <c r="I794" s="44"/>
      <c r="K794" s="44"/>
      <c r="L794" s="42"/>
    </row>
    <row r="795">
      <c r="E795" s="42"/>
      <c r="G795" s="43"/>
      <c r="I795" s="44"/>
      <c r="K795" s="44"/>
      <c r="L795" s="42"/>
    </row>
    <row r="796">
      <c r="E796" s="42"/>
      <c r="G796" s="43"/>
      <c r="I796" s="44"/>
      <c r="K796" s="44"/>
      <c r="L796" s="42"/>
    </row>
    <row r="797">
      <c r="E797" s="42"/>
      <c r="G797" s="43"/>
      <c r="I797" s="44"/>
      <c r="K797" s="44"/>
      <c r="L797" s="42"/>
    </row>
    <row r="798">
      <c r="E798" s="42"/>
      <c r="G798" s="43"/>
      <c r="I798" s="44"/>
      <c r="K798" s="44"/>
      <c r="L798" s="42"/>
    </row>
    <row r="799">
      <c r="E799" s="42"/>
      <c r="G799" s="43"/>
      <c r="I799" s="44"/>
      <c r="K799" s="44"/>
      <c r="L799" s="42"/>
    </row>
    <row r="800">
      <c r="E800" s="42"/>
      <c r="G800" s="43"/>
      <c r="I800" s="44"/>
      <c r="K800" s="44"/>
      <c r="L800" s="42"/>
    </row>
    <row r="801">
      <c r="E801" s="42"/>
      <c r="G801" s="43"/>
      <c r="I801" s="44"/>
      <c r="K801" s="44"/>
      <c r="L801" s="42"/>
    </row>
    <row r="802">
      <c r="E802" s="42"/>
      <c r="G802" s="43"/>
      <c r="I802" s="44"/>
      <c r="K802" s="44"/>
      <c r="L802" s="42"/>
    </row>
    <row r="803">
      <c r="E803" s="42"/>
      <c r="G803" s="43"/>
      <c r="I803" s="44"/>
      <c r="K803" s="44"/>
      <c r="L803" s="42"/>
    </row>
    <row r="804">
      <c r="E804" s="42"/>
      <c r="G804" s="43"/>
      <c r="I804" s="44"/>
      <c r="K804" s="44"/>
      <c r="L804" s="42"/>
    </row>
    <row r="805">
      <c r="E805" s="42"/>
      <c r="G805" s="43"/>
      <c r="I805" s="44"/>
      <c r="K805" s="44"/>
      <c r="L805" s="42"/>
    </row>
    <row r="806">
      <c r="E806" s="42"/>
      <c r="G806" s="43"/>
      <c r="I806" s="44"/>
      <c r="K806" s="44"/>
      <c r="L806" s="42"/>
    </row>
    <row r="807">
      <c r="E807" s="42"/>
      <c r="G807" s="43"/>
      <c r="I807" s="44"/>
      <c r="K807" s="44"/>
      <c r="L807" s="42"/>
    </row>
    <row r="808">
      <c r="E808" s="42"/>
      <c r="G808" s="43"/>
      <c r="I808" s="44"/>
      <c r="K808" s="44"/>
      <c r="L808" s="42"/>
    </row>
    <row r="809">
      <c r="E809" s="42"/>
      <c r="G809" s="43"/>
      <c r="I809" s="44"/>
      <c r="K809" s="44"/>
      <c r="L809" s="42"/>
    </row>
    <row r="810">
      <c r="E810" s="42"/>
      <c r="G810" s="43"/>
      <c r="I810" s="44"/>
      <c r="K810" s="44"/>
      <c r="L810" s="42"/>
    </row>
    <row r="811">
      <c r="E811" s="42"/>
      <c r="G811" s="43"/>
      <c r="I811" s="44"/>
      <c r="K811" s="44"/>
      <c r="L811" s="42"/>
    </row>
    <row r="812">
      <c r="E812" s="42"/>
      <c r="G812" s="43"/>
      <c r="I812" s="44"/>
      <c r="K812" s="44"/>
      <c r="L812" s="42"/>
    </row>
    <row r="813">
      <c r="E813" s="42"/>
      <c r="G813" s="43"/>
      <c r="I813" s="44"/>
      <c r="K813" s="44"/>
      <c r="L813" s="42"/>
    </row>
    <row r="814">
      <c r="E814" s="42"/>
      <c r="G814" s="43"/>
      <c r="I814" s="44"/>
      <c r="K814" s="44"/>
      <c r="L814" s="42"/>
    </row>
    <row r="815">
      <c r="E815" s="42"/>
      <c r="G815" s="43"/>
      <c r="I815" s="44"/>
      <c r="K815" s="44"/>
      <c r="L815" s="42"/>
    </row>
    <row r="816">
      <c r="E816" s="42"/>
      <c r="G816" s="43"/>
      <c r="I816" s="44"/>
      <c r="K816" s="44"/>
      <c r="L816" s="42"/>
    </row>
    <row r="817">
      <c r="E817" s="42"/>
      <c r="G817" s="43"/>
      <c r="I817" s="44"/>
      <c r="K817" s="44"/>
      <c r="L817" s="42"/>
    </row>
    <row r="818">
      <c r="E818" s="42"/>
      <c r="G818" s="43"/>
      <c r="I818" s="44"/>
      <c r="K818" s="44"/>
      <c r="L818" s="42"/>
    </row>
    <row r="819">
      <c r="E819" s="42"/>
      <c r="G819" s="43"/>
      <c r="I819" s="44"/>
      <c r="K819" s="44"/>
      <c r="L819" s="42"/>
    </row>
    <row r="820">
      <c r="E820" s="42"/>
      <c r="G820" s="43"/>
      <c r="I820" s="44"/>
      <c r="K820" s="44"/>
      <c r="L820" s="42"/>
    </row>
    <row r="821">
      <c r="E821" s="42"/>
      <c r="G821" s="43"/>
      <c r="I821" s="44"/>
      <c r="K821" s="44"/>
      <c r="L821" s="42"/>
    </row>
    <row r="822">
      <c r="E822" s="42"/>
      <c r="G822" s="43"/>
      <c r="I822" s="44"/>
      <c r="K822" s="44"/>
      <c r="L822" s="42"/>
    </row>
    <row r="823">
      <c r="E823" s="42"/>
      <c r="G823" s="43"/>
      <c r="I823" s="44"/>
      <c r="K823" s="44"/>
      <c r="L823" s="42"/>
    </row>
    <row r="824">
      <c r="E824" s="42"/>
      <c r="G824" s="43"/>
      <c r="I824" s="44"/>
      <c r="K824" s="44"/>
      <c r="L824" s="42"/>
    </row>
    <row r="825">
      <c r="E825" s="42"/>
      <c r="G825" s="43"/>
      <c r="I825" s="44"/>
      <c r="K825" s="44"/>
      <c r="L825" s="42"/>
    </row>
    <row r="826">
      <c r="E826" s="42"/>
      <c r="G826" s="43"/>
      <c r="I826" s="44"/>
      <c r="K826" s="44"/>
      <c r="L826" s="42"/>
    </row>
    <row r="827">
      <c r="E827" s="42"/>
      <c r="G827" s="43"/>
      <c r="I827" s="44"/>
      <c r="K827" s="44"/>
      <c r="L827" s="42"/>
    </row>
    <row r="828">
      <c r="E828" s="42"/>
      <c r="G828" s="43"/>
      <c r="I828" s="44"/>
      <c r="K828" s="44"/>
      <c r="L828" s="42"/>
    </row>
    <row r="829">
      <c r="E829" s="42"/>
      <c r="G829" s="43"/>
      <c r="I829" s="44"/>
      <c r="K829" s="44"/>
      <c r="L829" s="42"/>
    </row>
    <row r="830">
      <c r="E830" s="42"/>
      <c r="G830" s="43"/>
      <c r="I830" s="44"/>
      <c r="K830" s="44"/>
      <c r="L830" s="42"/>
    </row>
    <row r="831">
      <c r="E831" s="42"/>
      <c r="G831" s="43"/>
      <c r="I831" s="44"/>
      <c r="K831" s="44"/>
      <c r="L831" s="42"/>
    </row>
    <row r="832">
      <c r="E832" s="42"/>
      <c r="G832" s="43"/>
      <c r="I832" s="44"/>
      <c r="K832" s="44"/>
      <c r="L832" s="42"/>
    </row>
    <row r="833">
      <c r="E833" s="42"/>
      <c r="G833" s="43"/>
      <c r="I833" s="44"/>
      <c r="K833" s="44"/>
      <c r="L833" s="42"/>
    </row>
    <row r="834">
      <c r="E834" s="42"/>
      <c r="G834" s="43"/>
      <c r="I834" s="44"/>
      <c r="K834" s="44"/>
      <c r="L834" s="42"/>
    </row>
    <row r="835">
      <c r="E835" s="42"/>
      <c r="G835" s="43"/>
      <c r="I835" s="44"/>
      <c r="K835" s="44"/>
      <c r="L835" s="42"/>
    </row>
    <row r="836">
      <c r="E836" s="42"/>
      <c r="G836" s="43"/>
      <c r="I836" s="44"/>
      <c r="K836" s="44"/>
      <c r="L836" s="42"/>
    </row>
    <row r="837">
      <c r="E837" s="42"/>
      <c r="G837" s="43"/>
      <c r="I837" s="44"/>
      <c r="K837" s="44"/>
      <c r="L837" s="42"/>
    </row>
    <row r="838">
      <c r="E838" s="42"/>
      <c r="G838" s="43"/>
      <c r="I838" s="44"/>
      <c r="K838" s="44"/>
      <c r="L838" s="42"/>
    </row>
    <row r="839">
      <c r="E839" s="42"/>
      <c r="G839" s="43"/>
      <c r="I839" s="44"/>
      <c r="K839" s="44"/>
      <c r="L839" s="42"/>
    </row>
    <row r="840">
      <c r="E840" s="42"/>
      <c r="G840" s="43"/>
      <c r="I840" s="44"/>
      <c r="K840" s="44"/>
      <c r="L840" s="42"/>
    </row>
    <row r="841">
      <c r="E841" s="42"/>
      <c r="G841" s="43"/>
      <c r="I841" s="44"/>
      <c r="K841" s="44"/>
      <c r="L841" s="42"/>
    </row>
    <row r="842">
      <c r="E842" s="42"/>
      <c r="G842" s="43"/>
      <c r="I842" s="44"/>
      <c r="K842" s="44"/>
      <c r="L842" s="42"/>
    </row>
    <row r="843">
      <c r="E843" s="42"/>
      <c r="G843" s="43"/>
      <c r="I843" s="44"/>
      <c r="K843" s="44"/>
      <c r="L843" s="42"/>
    </row>
    <row r="844">
      <c r="E844" s="42"/>
      <c r="G844" s="43"/>
      <c r="I844" s="44"/>
      <c r="K844" s="44"/>
      <c r="L844" s="42"/>
    </row>
    <row r="845">
      <c r="E845" s="42"/>
      <c r="G845" s="43"/>
      <c r="I845" s="44"/>
      <c r="K845" s="44"/>
      <c r="L845" s="42"/>
    </row>
    <row r="846">
      <c r="E846" s="42"/>
      <c r="G846" s="43"/>
      <c r="I846" s="44"/>
      <c r="K846" s="44"/>
      <c r="L846" s="42"/>
    </row>
    <row r="847">
      <c r="E847" s="42"/>
      <c r="G847" s="43"/>
      <c r="I847" s="44"/>
      <c r="K847" s="44"/>
      <c r="L847" s="42"/>
    </row>
    <row r="848">
      <c r="E848" s="42"/>
      <c r="G848" s="43"/>
      <c r="I848" s="44"/>
      <c r="K848" s="44"/>
      <c r="L848" s="42"/>
    </row>
    <row r="849">
      <c r="E849" s="42"/>
      <c r="G849" s="43"/>
      <c r="I849" s="44"/>
      <c r="K849" s="44"/>
      <c r="L849" s="42"/>
    </row>
    <row r="850">
      <c r="E850" s="42"/>
      <c r="G850" s="43"/>
      <c r="I850" s="44"/>
      <c r="K850" s="44"/>
      <c r="L850" s="42"/>
    </row>
    <row r="851">
      <c r="E851" s="42"/>
      <c r="G851" s="43"/>
      <c r="I851" s="44"/>
      <c r="K851" s="44"/>
      <c r="L851" s="42"/>
    </row>
    <row r="852">
      <c r="E852" s="42"/>
      <c r="G852" s="43"/>
      <c r="I852" s="44"/>
      <c r="K852" s="44"/>
      <c r="L852" s="42"/>
    </row>
    <row r="853">
      <c r="E853" s="42"/>
      <c r="G853" s="43"/>
      <c r="I853" s="44"/>
      <c r="K853" s="44"/>
      <c r="L853" s="42"/>
    </row>
    <row r="854">
      <c r="E854" s="42"/>
      <c r="G854" s="43"/>
      <c r="I854" s="44"/>
      <c r="K854" s="44"/>
      <c r="L854" s="42"/>
    </row>
    <row r="855">
      <c r="E855" s="42"/>
      <c r="G855" s="43"/>
      <c r="I855" s="44"/>
      <c r="K855" s="44"/>
      <c r="L855" s="42"/>
    </row>
    <row r="856">
      <c r="E856" s="42"/>
      <c r="G856" s="43"/>
      <c r="I856" s="44"/>
      <c r="K856" s="44"/>
      <c r="L856" s="42"/>
    </row>
    <row r="857">
      <c r="E857" s="42"/>
      <c r="G857" s="43"/>
      <c r="I857" s="44"/>
      <c r="K857" s="44"/>
      <c r="L857" s="42"/>
    </row>
    <row r="858">
      <c r="E858" s="42"/>
      <c r="G858" s="43"/>
      <c r="I858" s="44"/>
      <c r="K858" s="44"/>
      <c r="L858" s="42"/>
    </row>
    <row r="859">
      <c r="E859" s="42"/>
      <c r="G859" s="43"/>
      <c r="I859" s="44"/>
      <c r="K859" s="44"/>
      <c r="L859" s="42"/>
    </row>
    <row r="860">
      <c r="E860" s="42"/>
      <c r="G860" s="43"/>
      <c r="I860" s="44"/>
      <c r="K860" s="44"/>
      <c r="L860" s="42"/>
    </row>
    <row r="861">
      <c r="E861" s="42"/>
      <c r="G861" s="43"/>
      <c r="I861" s="44"/>
      <c r="K861" s="44"/>
      <c r="L861" s="42"/>
    </row>
    <row r="862">
      <c r="E862" s="42"/>
      <c r="G862" s="43"/>
      <c r="I862" s="44"/>
      <c r="K862" s="44"/>
      <c r="L862" s="42"/>
    </row>
    <row r="863">
      <c r="E863" s="42"/>
      <c r="G863" s="43"/>
      <c r="I863" s="44"/>
      <c r="K863" s="44"/>
      <c r="L863" s="42"/>
    </row>
    <row r="864">
      <c r="E864" s="42"/>
      <c r="G864" s="43"/>
      <c r="I864" s="44"/>
      <c r="K864" s="44"/>
      <c r="L864" s="42"/>
    </row>
    <row r="865">
      <c r="E865" s="42"/>
      <c r="G865" s="43"/>
      <c r="I865" s="44"/>
      <c r="K865" s="44"/>
      <c r="L865" s="42"/>
    </row>
    <row r="866">
      <c r="E866" s="42"/>
      <c r="G866" s="43"/>
      <c r="I866" s="44"/>
      <c r="K866" s="44"/>
      <c r="L866" s="42"/>
    </row>
    <row r="867">
      <c r="E867" s="42"/>
      <c r="G867" s="43"/>
      <c r="I867" s="44"/>
      <c r="K867" s="44"/>
      <c r="L867" s="42"/>
    </row>
    <row r="868">
      <c r="E868" s="42"/>
      <c r="G868" s="43"/>
      <c r="I868" s="44"/>
      <c r="K868" s="44"/>
      <c r="L868" s="42"/>
    </row>
    <row r="869">
      <c r="E869" s="42"/>
      <c r="G869" s="43"/>
      <c r="I869" s="44"/>
      <c r="K869" s="44"/>
      <c r="L869" s="42"/>
    </row>
    <row r="870">
      <c r="E870" s="42"/>
      <c r="G870" s="43"/>
      <c r="I870" s="44"/>
      <c r="K870" s="44"/>
      <c r="L870" s="42"/>
    </row>
    <row r="871">
      <c r="E871" s="42"/>
      <c r="G871" s="43"/>
      <c r="I871" s="44"/>
      <c r="K871" s="44"/>
      <c r="L871" s="42"/>
    </row>
    <row r="872">
      <c r="E872" s="42"/>
      <c r="G872" s="43"/>
      <c r="I872" s="44"/>
      <c r="K872" s="44"/>
      <c r="L872" s="42"/>
    </row>
    <row r="873">
      <c r="E873" s="42"/>
      <c r="G873" s="43"/>
      <c r="I873" s="44"/>
      <c r="K873" s="44"/>
      <c r="L873" s="42"/>
    </row>
    <row r="874">
      <c r="E874" s="42"/>
      <c r="G874" s="43"/>
      <c r="I874" s="44"/>
      <c r="K874" s="44"/>
      <c r="L874" s="42"/>
    </row>
    <row r="875">
      <c r="E875" s="42"/>
      <c r="G875" s="43"/>
      <c r="I875" s="44"/>
      <c r="K875" s="44"/>
      <c r="L875" s="42"/>
    </row>
    <row r="876">
      <c r="E876" s="42"/>
      <c r="G876" s="43"/>
      <c r="I876" s="44"/>
      <c r="K876" s="44"/>
      <c r="L876" s="42"/>
    </row>
    <row r="877">
      <c r="E877" s="42"/>
      <c r="G877" s="43"/>
      <c r="I877" s="44"/>
      <c r="K877" s="44"/>
      <c r="L877" s="42"/>
    </row>
    <row r="878">
      <c r="E878" s="42"/>
      <c r="G878" s="43"/>
      <c r="I878" s="44"/>
      <c r="K878" s="44"/>
      <c r="L878" s="42"/>
    </row>
    <row r="879">
      <c r="E879" s="42"/>
      <c r="G879" s="43"/>
      <c r="I879" s="44"/>
      <c r="K879" s="44"/>
      <c r="L879" s="42"/>
    </row>
    <row r="880">
      <c r="E880" s="42"/>
      <c r="G880" s="43"/>
      <c r="I880" s="44"/>
      <c r="K880" s="44"/>
      <c r="L880" s="42"/>
    </row>
    <row r="881">
      <c r="E881" s="42"/>
      <c r="G881" s="43"/>
      <c r="I881" s="44"/>
      <c r="K881" s="44"/>
      <c r="L881" s="42"/>
    </row>
    <row r="882">
      <c r="E882" s="42"/>
      <c r="G882" s="43"/>
      <c r="I882" s="44"/>
      <c r="K882" s="44"/>
      <c r="L882" s="42"/>
    </row>
    <row r="883">
      <c r="E883" s="42"/>
      <c r="G883" s="43"/>
      <c r="I883" s="44"/>
      <c r="K883" s="44"/>
      <c r="L883" s="42"/>
    </row>
    <row r="884">
      <c r="E884" s="42"/>
      <c r="G884" s="43"/>
      <c r="I884" s="44"/>
      <c r="K884" s="44"/>
      <c r="L884" s="42"/>
    </row>
    <row r="885">
      <c r="E885" s="42"/>
      <c r="G885" s="43"/>
      <c r="I885" s="44"/>
      <c r="K885" s="44"/>
      <c r="L885" s="42"/>
    </row>
    <row r="886">
      <c r="E886" s="42"/>
      <c r="G886" s="43"/>
      <c r="I886" s="44"/>
      <c r="K886" s="44"/>
      <c r="L886" s="42"/>
    </row>
    <row r="887">
      <c r="E887" s="42"/>
      <c r="G887" s="43"/>
      <c r="I887" s="44"/>
      <c r="K887" s="44"/>
      <c r="L887" s="42"/>
    </row>
    <row r="888">
      <c r="E888" s="42"/>
      <c r="G888" s="43"/>
      <c r="I888" s="44"/>
      <c r="K888" s="44"/>
      <c r="L888" s="42"/>
    </row>
    <row r="889">
      <c r="E889" s="42"/>
      <c r="G889" s="43"/>
      <c r="I889" s="44"/>
      <c r="K889" s="44"/>
      <c r="L889" s="42"/>
    </row>
    <row r="890">
      <c r="E890" s="42"/>
      <c r="G890" s="43"/>
      <c r="I890" s="44"/>
      <c r="K890" s="44"/>
      <c r="L890" s="42"/>
    </row>
    <row r="891">
      <c r="E891" s="42"/>
      <c r="G891" s="43"/>
      <c r="I891" s="44"/>
      <c r="K891" s="44"/>
      <c r="L891" s="42"/>
    </row>
    <row r="892">
      <c r="E892" s="42"/>
      <c r="G892" s="43"/>
      <c r="I892" s="44"/>
      <c r="K892" s="44"/>
      <c r="L892" s="42"/>
    </row>
    <row r="893">
      <c r="E893" s="42"/>
      <c r="G893" s="43"/>
      <c r="I893" s="44"/>
      <c r="K893" s="44"/>
      <c r="L893" s="42"/>
    </row>
    <row r="894">
      <c r="E894" s="42"/>
      <c r="G894" s="43"/>
      <c r="I894" s="44"/>
      <c r="K894" s="44"/>
      <c r="L894" s="42"/>
    </row>
    <row r="895">
      <c r="E895" s="42"/>
      <c r="G895" s="43"/>
      <c r="I895" s="44"/>
      <c r="K895" s="44"/>
      <c r="L895" s="42"/>
    </row>
    <row r="896">
      <c r="E896" s="42"/>
      <c r="G896" s="43"/>
      <c r="I896" s="44"/>
      <c r="K896" s="44"/>
      <c r="L896" s="42"/>
    </row>
    <row r="897">
      <c r="E897" s="42"/>
      <c r="G897" s="43"/>
      <c r="I897" s="44"/>
      <c r="K897" s="44"/>
      <c r="L897" s="42"/>
    </row>
    <row r="898">
      <c r="E898" s="42"/>
      <c r="G898" s="43"/>
      <c r="I898" s="44"/>
      <c r="K898" s="44"/>
      <c r="L898" s="42"/>
    </row>
    <row r="899">
      <c r="E899" s="42"/>
      <c r="G899" s="43"/>
      <c r="I899" s="44"/>
      <c r="K899" s="44"/>
      <c r="L899" s="42"/>
    </row>
    <row r="900">
      <c r="E900" s="42"/>
      <c r="G900" s="43"/>
      <c r="I900" s="44"/>
      <c r="K900" s="44"/>
      <c r="L900" s="42"/>
    </row>
    <row r="901">
      <c r="E901" s="42"/>
      <c r="G901" s="43"/>
      <c r="I901" s="44"/>
      <c r="K901" s="44"/>
      <c r="L901" s="42"/>
    </row>
    <row r="902">
      <c r="E902" s="42"/>
      <c r="G902" s="43"/>
      <c r="I902" s="44"/>
      <c r="K902" s="44"/>
      <c r="L902" s="42"/>
    </row>
    <row r="903">
      <c r="E903" s="42"/>
      <c r="G903" s="43"/>
      <c r="I903" s="44"/>
      <c r="K903" s="44"/>
      <c r="L903" s="42"/>
    </row>
    <row r="904">
      <c r="E904" s="42"/>
      <c r="G904" s="43"/>
      <c r="I904" s="44"/>
      <c r="K904" s="44"/>
      <c r="L904" s="42"/>
    </row>
    <row r="905">
      <c r="E905" s="42"/>
      <c r="G905" s="43"/>
      <c r="I905" s="44"/>
      <c r="K905" s="44"/>
      <c r="L905" s="42"/>
    </row>
    <row r="906">
      <c r="E906" s="42"/>
      <c r="G906" s="43"/>
      <c r="I906" s="44"/>
      <c r="K906" s="44"/>
      <c r="L906" s="42"/>
    </row>
    <row r="907">
      <c r="E907" s="42"/>
      <c r="G907" s="43"/>
      <c r="I907" s="44"/>
      <c r="K907" s="44"/>
      <c r="L907" s="42"/>
    </row>
    <row r="908">
      <c r="E908" s="42"/>
      <c r="G908" s="43"/>
      <c r="I908" s="44"/>
      <c r="K908" s="44"/>
      <c r="L908" s="42"/>
    </row>
    <row r="909">
      <c r="E909" s="42"/>
      <c r="G909" s="43"/>
      <c r="I909" s="44"/>
      <c r="K909" s="44"/>
      <c r="L909" s="42"/>
    </row>
    <row r="910">
      <c r="E910" s="42"/>
      <c r="G910" s="43"/>
      <c r="I910" s="44"/>
      <c r="K910" s="44"/>
      <c r="L910" s="42"/>
    </row>
    <row r="911">
      <c r="E911" s="42"/>
      <c r="G911" s="43"/>
      <c r="I911" s="44"/>
      <c r="K911" s="44"/>
      <c r="L911" s="42"/>
    </row>
    <row r="912">
      <c r="E912" s="42"/>
      <c r="G912" s="43"/>
      <c r="I912" s="44"/>
      <c r="K912" s="44"/>
      <c r="L912" s="42"/>
    </row>
    <row r="913">
      <c r="E913" s="42"/>
      <c r="G913" s="43"/>
      <c r="I913" s="44"/>
      <c r="K913" s="44"/>
      <c r="L913" s="42"/>
    </row>
    <row r="914">
      <c r="E914" s="42"/>
      <c r="G914" s="43"/>
      <c r="I914" s="44"/>
      <c r="K914" s="44"/>
      <c r="L914" s="42"/>
    </row>
    <row r="915">
      <c r="E915" s="42"/>
      <c r="G915" s="43"/>
      <c r="I915" s="44"/>
      <c r="K915" s="44"/>
      <c r="L915" s="42"/>
    </row>
    <row r="916">
      <c r="E916" s="42"/>
      <c r="G916" s="43"/>
      <c r="I916" s="44"/>
      <c r="K916" s="44"/>
      <c r="L916" s="42"/>
    </row>
    <row r="917">
      <c r="E917" s="42"/>
      <c r="G917" s="43"/>
      <c r="I917" s="44"/>
      <c r="K917" s="44"/>
      <c r="L917" s="42"/>
    </row>
    <row r="918">
      <c r="E918" s="42"/>
      <c r="G918" s="43"/>
      <c r="I918" s="44"/>
      <c r="K918" s="44"/>
      <c r="L918" s="42"/>
    </row>
    <row r="919">
      <c r="E919" s="42"/>
      <c r="G919" s="43"/>
      <c r="I919" s="44"/>
      <c r="K919" s="44"/>
      <c r="L919" s="42"/>
    </row>
    <row r="920">
      <c r="E920" s="42"/>
      <c r="G920" s="43"/>
      <c r="I920" s="44"/>
      <c r="K920" s="44"/>
      <c r="L920" s="42"/>
    </row>
    <row r="921">
      <c r="E921" s="42"/>
      <c r="G921" s="43"/>
      <c r="I921" s="44"/>
      <c r="K921" s="44"/>
      <c r="L921" s="42"/>
    </row>
    <row r="922">
      <c r="E922" s="42"/>
      <c r="G922" s="43"/>
      <c r="I922" s="44"/>
      <c r="K922" s="44"/>
      <c r="L922" s="42"/>
    </row>
    <row r="923">
      <c r="E923" s="42"/>
      <c r="G923" s="43"/>
      <c r="I923" s="44"/>
      <c r="K923" s="44"/>
      <c r="L923" s="42"/>
    </row>
    <row r="924">
      <c r="E924" s="42"/>
      <c r="G924" s="43"/>
      <c r="I924" s="44"/>
      <c r="K924" s="44"/>
      <c r="L924" s="42"/>
    </row>
    <row r="925">
      <c r="E925" s="42"/>
      <c r="G925" s="43"/>
      <c r="I925" s="44"/>
      <c r="K925" s="44"/>
      <c r="L925" s="42"/>
    </row>
    <row r="926">
      <c r="E926" s="42"/>
      <c r="G926" s="43"/>
      <c r="I926" s="44"/>
      <c r="K926" s="44"/>
      <c r="L926" s="42"/>
    </row>
    <row r="927">
      <c r="E927" s="42"/>
      <c r="G927" s="43"/>
      <c r="I927" s="44"/>
      <c r="K927" s="44"/>
      <c r="L927" s="42"/>
    </row>
    <row r="928">
      <c r="E928" s="42"/>
      <c r="G928" s="43"/>
      <c r="I928" s="44"/>
      <c r="K928" s="44"/>
      <c r="L928" s="42"/>
    </row>
    <row r="929">
      <c r="E929" s="42"/>
      <c r="G929" s="43"/>
      <c r="I929" s="44"/>
      <c r="K929" s="44"/>
      <c r="L929" s="42"/>
    </row>
    <row r="930">
      <c r="E930" s="42"/>
      <c r="G930" s="43"/>
      <c r="I930" s="44"/>
      <c r="K930" s="44"/>
      <c r="L930" s="42"/>
    </row>
    <row r="931">
      <c r="E931" s="42"/>
      <c r="G931" s="43"/>
      <c r="I931" s="44"/>
      <c r="K931" s="44"/>
      <c r="L931" s="42"/>
    </row>
    <row r="932">
      <c r="E932" s="42"/>
      <c r="G932" s="43"/>
      <c r="I932" s="44"/>
      <c r="K932" s="44"/>
      <c r="L932" s="42"/>
    </row>
    <row r="933">
      <c r="E933" s="42"/>
      <c r="G933" s="43"/>
      <c r="I933" s="44"/>
      <c r="K933" s="44"/>
      <c r="L933" s="42"/>
    </row>
    <row r="934">
      <c r="E934" s="42"/>
      <c r="G934" s="43"/>
      <c r="I934" s="44"/>
      <c r="K934" s="44"/>
      <c r="L934" s="42"/>
    </row>
    <row r="935">
      <c r="E935" s="42"/>
      <c r="G935" s="43"/>
      <c r="I935" s="44"/>
      <c r="K935" s="44"/>
      <c r="L935" s="42"/>
    </row>
    <row r="936">
      <c r="E936" s="42"/>
      <c r="G936" s="43"/>
      <c r="I936" s="44"/>
      <c r="K936" s="44"/>
      <c r="L936" s="42"/>
    </row>
    <row r="937">
      <c r="E937" s="42"/>
      <c r="G937" s="43"/>
      <c r="I937" s="44"/>
      <c r="K937" s="44"/>
      <c r="L937" s="42"/>
    </row>
    <row r="938">
      <c r="E938" s="42"/>
      <c r="G938" s="43"/>
      <c r="I938" s="44"/>
      <c r="K938" s="44"/>
      <c r="L938" s="42"/>
    </row>
    <row r="939">
      <c r="E939" s="42"/>
      <c r="G939" s="43"/>
      <c r="I939" s="44"/>
      <c r="K939" s="44"/>
      <c r="L939" s="42"/>
    </row>
    <row r="940">
      <c r="E940" s="42"/>
      <c r="G940" s="43"/>
      <c r="I940" s="44"/>
      <c r="K940" s="44"/>
      <c r="L940" s="42"/>
    </row>
    <row r="941">
      <c r="E941" s="42"/>
      <c r="G941" s="43"/>
      <c r="I941" s="44"/>
      <c r="K941" s="44"/>
      <c r="L941" s="42"/>
    </row>
    <row r="942">
      <c r="E942" s="42"/>
      <c r="G942" s="43"/>
      <c r="I942" s="44"/>
      <c r="K942" s="44"/>
      <c r="L942" s="42"/>
    </row>
    <row r="943">
      <c r="E943" s="42"/>
      <c r="G943" s="43"/>
      <c r="I943" s="44"/>
      <c r="K943" s="44"/>
      <c r="L943" s="42"/>
    </row>
    <row r="944">
      <c r="E944" s="42"/>
      <c r="G944" s="43"/>
      <c r="I944" s="44"/>
      <c r="K944" s="44"/>
      <c r="L944" s="42"/>
    </row>
    <row r="945">
      <c r="E945" s="42"/>
      <c r="G945" s="43"/>
      <c r="I945" s="44"/>
      <c r="K945" s="44"/>
      <c r="L945" s="42"/>
    </row>
    <row r="946">
      <c r="E946" s="42"/>
      <c r="G946" s="43"/>
      <c r="I946" s="44"/>
      <c r="K946" s="44"/>
      <c r="L946" s="42"/>
    </row>
    <row r="947">
      <c r="E947" s="42"/>
      <c r="G947" s="43"/>
      <c r="I947" s="44"/>
      <c r="K947" s="44"/>
      <c r="L947" s="42"/>
    </row>
    <row r="948">
      <c r="E948" s="42"/>
      <c r="G948" s="43"/>
      <c r="I948" s="44"/>
      <c r="K948" s="44"/>
      <c r="L948" s="42"/>
    </row>
    <row r="949">
      <c r="E949" s="42"/>
      <c r="G949" s="43"/>
      <c r="I949" s="44"/>
      <c r="K949" s="44"/>
      <c r="L949" s="42"/>
    </row>
    <row r="950">
      <c r="E950" s="42"/>
      <c r="G950" s="43"/>
      <c r="I950" s="44"/>
      <c r="K950" s="44"/>
      <c r="L950" s="42"/>
    </row>
    <row r="951">
      <c r="E951" s="42"/>
      <c r="G951" s="43"/>
      <c r="I951" s="44"/>
      <c r="K951" s="44"/>
      <c r="L951" s="42"/>
    </row>
    <row r="952">
      <c r="E952" s="42"/>
      <c r="G952" s="43"/>
      <c r="I952" s="44"/>
      <c r="K952" s="44"/>
      <c r="L952" s="42"/>
    </row>
    <row r="953">
      <c r="E953" s="42"/>
      <c r="G953" s="43"/>
      <c r="I953" s="44"/>
      <c r="K953" s="44"/>
      <c r="L953" s="42"/>
    </row>
    <row r="954">
      <c r="E954" s="42"/>
      <c r="G954" s="43"/>
      <c r="I954" s="44"/>
      <c r="K954" s="44"/>
      <c r="L954" s="42"/>
    </row>
    <row r="955">
      <c r="E955" s="42"/>
      <c r="G955" s="43"/>
      <c r="I955" s="44"/>
      <c r="K955" s="44"/>
      <c r="L955" s="42"/>
    </row>
    <row r="956">
      <c r="E956" s="42"/>
      <c r="G956" s="43"/>
      <c r="I956" s="44"/>
      <c r="K956" s="44"/>
      <c r="L956" s="42"/>
    </row>
    <row r="957">
      <c r="E957" s="42"/>
      <c r="G957" s="43"/>
      <c r="I957" s="44"/>
      <c r="K957" s="44"/>
      <c r="L957" s="42"/>
    </row>
    <row r="958">
      <c r="E958" s="42"/>
      <c r="G958" s="43"/>
      <c r="I958" s="44"/>
      <c r="K958" s="44"/>
      <c r="L958" s="42"/>
    </row>
    <row r="959">
      <c r="E959" s="42"/>
      <c r="G959" s="43"/>
      <c r="I959" s="44"/>
      <c r="K959" s="44"/>
      <c r="L959" s="42"/>
    </row>
    <row r="960">
      <c r="E960" s="42"/>
      <c r="G960" s="43"/>
      <c r="I960" s="44"/>
      <c r="K960" s="44"/>
      <c r="L960" s="42"/>
    </row>
    <row r="961">
      <c r="E961" s="42"/>
      <c r="G961" s="43"/>
      <c r="I961" s="44"/>
      <c r="K961" s="44"/>
      <c r="L961" s="42"/>
    </row>
    <row r="962">
      <c r="E962" s="42"/>
      <c r="G962" s="43"/>
      <c r="I962" s="44"/>
      <c r="K962" s="44"/>
      <c r="L962" s="42"/>
    </row>
    <row r="963">
      <c r="E963" s="42"/>
      <c r="G963" s="43"/>
      <c r="I963" s="44"/>
      <c r="K963" s="44"/>
      <c r="L963" s="42"/>
    </row>
    <row r="964">
      <c r="E964" s="42"/>
      <c r="G964" s="43"/>
      <c r="I964" s="44"/>
      <c r="K964" s="44"/>
      <c r="L964" s="42"/>
    </row>
    <row r="965">
      <c r="E965" s="42"/>
      <c r="G965" s="43"/>
      <c r="I965" s="44"/>
      <c r="K965" s="44"/>
      <c r="L965" s="42"/>
    </row>
    <row r="966">
      <c r="E966" s="42"/>
      <c r="G966" s="43"/>
      <c r="I966" s="44"/>
      <c r="K966" s="44"/>
      <c r="L966" s="42"/>
    </row>
    <row r="967">
      <c r="E967" s="42"/>
      <c r="G967" s="43"/>
      <c r="I967" s="44"/>
      <c r="K967" s="44"/>
      <c r="L967" s="42"/>
    </row>
    <row r="968">
      <c r="E968" s="42"/>
      <c r="G968" s="43"/>
      <c r="I968" s="44"/>
      <c r="K968" s="44"/>
      <c r="L968" s="42"/>
    </row>
    <row r="969">
      <c r="E969" s="42"/>
      <c r="G969" s="43"/>
      <c r="I969" s="44"/>
      <c r="K969" s="44"/>
      <c r="L969" s="42"/>
    </row>
    <row r="970">
      <c r="E970" s="42"/>
      <c r="G970" s="43"/>
      <c r="I970" s="44"/>
      <c r="K970" s="44"/>
      <c r="L970" s="42"/>
    </row>
    <row r="971">
      <c r="E971" s="42"/>
      <c r="G971" s="43"/>
      <c r="I971" s="44"/>
      <c r="K971" s="44"/>
      <c r="L971" s="42"/>
    </row>
    <row r="972">
      <c r="E972" s="42"/>
      <c r="G972" s="43"/>
      <c r="I972" s="44"/>
      <c r="K972" s="44"/>
      <c r="L972" s="42"/>
    </row>
    <row r="973">
      <c r="E973" s="42"/>
      <c r="G973" s="43"/>
      <c r="I973" s="44"/>
      <c r="K973" s="44"/>
      <c r="L973" s="42"/>
    </row>
    <row r="974">
      <c r="E974" s="42"/>
      <c r="G974" s="43"/>
      <c r="I974" s="44"/>
      <c r="K974" s="44"/>
      <c r="L974" s="42"/>
    </row>
    <row r="975">
      <c r="E975" s="42"/>
      <c r="G975" s="43"/>
      <c r="I975" s="44"/>
      <c r="K975" s="44"/>
      <c r="L975" s="42"/>
    </row>
    <row r="976">
      <c r="E976" s="42"/>
      <c r="G976" s="43"/>
      <c r="I976" s="44"/>
      <c r="K976" s="44"/>
      <c r="L976" s="42"/>
    </row>
    <row r="977">
      <c r="E977" s="42"/>
      <c r="G977" s="43"/>
      <c r="I977" s="44"/>
      <c r="K977" s="44"/>
      <c r="L977" s="42"/>
    </row>
    <row r="978">
      <c r="E978" s="42"/>
      <c r="G978" s="43"/>
      <c r="I978" s="44"/>
      <c r="K978" s="44"/>
      <c r="L978" s="42"/>
    </row>
    <row r="979">
      <c r="E979" s="42"/>
      <c r="G979" s="43"/>
      <c r="I979" s="44"/>
      <c r="K979" s="44"/>
      <c r="L979" s="42"/>
    </row>
    <row r="980">
      <c r="E980" s="42"/>
      <c r="G980" s="43"/>
      <c r="I980" s="44"/>
      <c r="K980" s="44"/>
      <c r="L980" s="42"/>
    </row>
    <row r="981">
      <c r="E981" s="42"/>
      <c r="G981" s="43"/>
      <c r="I981" s="44"/>
      <c r="K981" s="44"/>
      <c r="L981" s="42"/>
    </row>
    <row r="982">
      <c r="E982" s="42"/>
      <c r="G982" s="43"/>
      <c r="I982" s="44"/>
      <c r="K982" s="44"/>
      <c r="L982" s="42"/>
    </row>
    <row r="983">
      <c r="E983" s="42"/>
      <c r="G983" s="43"/>
      <c r="I983" s="44"/>
      <c r="K983" s="44"/>
      <c r="L983" s="42"/>
    </row>
    <row r="984">
      <c r="E984" s="42"/>
      <c r="G984" s="43"/>
      <c r="I984" s="44"/>
      <c r="K984" s="44"/>
      <c r="L984" s="42"/>
    </row>
    <row r="985">
      <c r="E985" s="42"/>
      <c r="G985" s="43"/>
      <c r="I985" s="44"/>
      <c r="K985" s="44"/>
      <c r="L985" s="42"/>
    </row>
    <row r="986">
      <c r="E986" s="42"/>
      <c r="G986" s="43"/>
      <c r="I986" s="44"/>
      <c r="K986" s="44"/>
      <c r="L986" s="42"/>
    </row>
    <row r="987">
      <c r="E987" s="42"/>
      <c r="G987" s="43"/>
      <c r="I987" s="44"/>
      <c r="K987" s="44"/>
      <c r="L987" s="42"/>
    </row>
    <row r="988">
      <c r="E988" s="42"/>
      <c r="G988" s="43"/>
      <c r="I988" s="44"/>
      <c r="K988" s="44"/>
      <c r="L988" s="42"/>
    </row>
    <row r="989">
      <c r="E989" s="42"/>
      <c r="G989" s="43"/>
      <c r="I989" s="44"/>
      <c r="K989" s="44"/>
      <c r="L989" s="42"/>
    </row>
    <row r="990">
      <c r="E990" s="42"/>
      <c r="G990" s="43"/>
      <c r="I990" s="44"/>
      <c r="K990" s="44"/>
      <c r="L990" s="42"/>
    </row>
    <row r="991">
      <c r="E991" s="42"/>
      <c r="G991" s="43"/>
      <c r="I991" s="44"/>
      <c r="K991" s="44"/>
      <c r="L991" s="42"/>
    </row>
    <row r="992">
      <c r="E992" s="42"/>
      <c r="G992" s="43"/>
      <c r="I992" s="44"/>
      <c r="K992" s="44"/>
      <c r="L992" s="42"/>
    </row>
    <row r="993">
      <c r="E993" s="42"/>
      <c r="G993" s="43"/>
      <c r="I993" s="44"/>
      <c r="K993" s="44"/>
      <c r="L993" s="42"/>
    </row>
    <row r="994">
      <c r="E994" s="42"/>
      <c r="G994" s="43"/>
      <c r="I994" s="44"/>
      <c r="K994" s="44"/>
      <c r="L994" s="42"/>
    </row>
    <row r="995">
      <c r="E995" s="42"/>
      <c r="G995" s="43"/>
      <c r="I995" s="44"/>
      <c r="K995" s="44"/>
      <c r="L995" s="42"/>
    </row>
    <row r="996">
      <c r="E996" s="42"/>
      <c r="G996" s="43"/>
      <c r="I996" s="44"/>
      <c r="K996" s="44"/>
      <c r="L996" s="42"/>
    </row>
    <row r="997">
      <c r="E997" s="42"/>
      <c r="G997" s="43"/>
      <c r="I997" s="44"/>
      <c r="K997" s="44"/>
      <c r="L997" s="42"/>
    </row>
    <row r="998">
      <c r="E998" s="42"/>
      <c r="G998" s="43"/>
      <c r="I998" s="44"/>
      <c r="K998" s="44"/>
      <c r="L998" s="42"/>
    </row>
    <row r="999">
      <c r="E999" s="42"/>
      <c r="G999" s="43"/>
      <c r="I999" s="44"/>
      <c r="K999" s="44"/>
      <c r="L999" s="42"/>
    </row>
    <row r="1000">
      <c r="E1000" s="42"/>
      <c r="G1000" s="43"/>
      <c r="I1000" s="44"/>
      <c r="K1000" s="44"/>
      <c r="L1000" s="4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 ht="37.5" customHeight="1">
      <c r="A1" s="28" t="str">
        <f>IFERROR(__xludf.DUMMYFUNCTION("QUERY(DATASET!A:F, ""SELECT A,B,C,D,E,F WHERE A='Peru' AND C&gt; date '2020-03-01' "")"),"País")</f>
        <v>País</v>
      </c>
      <c r="B1" s="28" t="str">
        <f>IFERROR(__xludf.DUMMYFUNCTION("""COMPUTED_VALUE"""),"Fecha de Inicio")</f>
        <v>Fecha de Inicio</v>
      </c>
      <c r="C1" s="28" t="str">
        <f>IFERROR(__xludf.DUMMYFUNCTION("""COMPUTED_VALUE"""),"Fecha Fin")</f>
        <v>Fecha Fin</v>
      </c>
      <c r="D1" s="28" t="str">
        <f>IFERROR(__xludf.DUMMYFUNCTION("""COMPUTED_VALUE"""),"Semana")</f>
        <v>Semana</v>
      </c>
      <c r="E1" s="28" t="str">
        <f>IFERROR(__xludf.DUMMYFUNCTION("""COMPUTED_VALUE"""),"Total de Muertes Reportadas")</f>
        <v>Total de Muertes Reportadas</v>
      </c>
      <c r="F1" s="30" t="str">
        <f>IFERROR(__xludf.DUMMYFUNCTION("""COMPUTED_VALUE"""),"Total de Muertes por COVID")</f>
        <v>Total de Muertes por COVID</v>
      </c>
      <c r="G1" s="31" t="s">
        <v>12</v>
      </c>
      <c r="H1" s="32" t="s">
        <v>13</v>
      </c>
      <c r="I1" s="33" t="s">
        <v>14</v>
      </c>
      <c r="J1" s="34" t="s">
        <v>15</v>
      </c>
      <c r="K1" s="35" t="s">
        <v>16</v>
      </c>
      <c r="L1" s="35" t="s">
        <v>17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tr">
        <f>IFERROR(__xludf.DUMMYFUNCTION("""COMPUTED_VALUE"""),"Peru")</f>
        <v>Peru</v>
      </c>
      <c r="B2" s="40">
        <f>IFERROR(__xludf.DUMMYFUNCTION("""COMPUTED_VALUE"""),43892.0)</f>
        <v>43892</v>
      </c>
      <c r="C2" s="41">
        <f>IFERROR(__xludf.DUMMYFUNCTION("""COMPUTED_VALUE"""),43898.0)</f>
        <v>43898</v>
      </c>
      <c r="D2" s="39">
        <f>IFERROR(__xludf.DUMMYFUNCTION("""COMPUTED_VALUE"""),10.0)</f>
        <v>10</v>
      </c>
      <c r="E2" s="39">
        <f>IFERROR(__xludf.DUMMYFUNCTION("""COMPUTED_VALUE"""),2409.0)</f>
        <v>2409</v>
      </c>
      <c r="F2" s="39">
        <f>IFERROR(__xludf.DUMMYFUNCTION("""COMPUTED_VALUE"""),2.0)</f>
        <v>2</v>
      </c>
      <c r="G2" s="43">
        <f>AVERAGEIFS('Perú pre-COVID'!$E:$E,'Perú pre-COVID'!$D:$D,D2)</f>
        <v>2008.333333</v>
      </c>
      <c r="H2" s="43">
        <f t="shared" ref="H2:H89" si="1">E2-G2</f>
        <v>400.6666667</v>
      </c>
      <c r="I2" s="44">
        <f>(F2/VLOOKUP($A$2,'Población'!$A$1:$B$5,2,0))*100000</f>
        <v>0.00599530897</v>
      </c>
      <c r="J2" s="44">
        <f>I2</f>
        <v>0.00599530897</v>
      </c>
      <c r="K2" s="44">
        <f>(H2/VLOOKUP($A$2,'Población'!$A$1:$B$5,2,0))*100000</f>
        <v>1.20106023</v>
      </c>
      <c r="L2" s="44">
        <f>K2</f>
        <v>1.20106023</v>
      </c>
    </row>
    <row r="3">
      <c r="A3" s="39" t="str">
        <f>IFERROR(__xludf.DUMMYFUNCTION("""COMPUTED_VALUE"""),"Peru")</f>
        <v>Peru</v>
      </c>
      <c r="B3" s="40">
        <f>IFERROR(__xludf.DUMMYFUNCTION("""COMPUTED_VALUE"""),43899.0)</f>
        <v>43899</v>
      </c>
      <c r="C3" s="41">
        <f>IFERROR(__xludf.DUMMYFUNCTION("""COMPUTED_VALUE"""),43905.0)</f>
        <v>43905</v>
      </c>
      <c r="D3" s="39">
        <f>IFERROR(__xludf.DUMMYFUNCTION("""COMPUTED_VALUE"""),11.0)</f>
        <v>11</v>
      </c>
      <c r="E3" s="39">
        <f>IFERROR(__xludf.DUMMYFUNCTION("""COMPUTED_VALUE"""),2469.0)</f>
        <v>2469</v>
      </c>
      <c r="F3" s="39">
        <f>IFERROR(__xludf.DUMMYFUNCTION("""COMPUTED_VALUE"""),3.0)</f>
        <v>3</v>
      </c>
      <c r="G3" s="43">
        <f>AVERAGEIFS('Perú pre-COVID'!$E:$E,'Perú pre-COVID'!$D:$D,D3)</f>
        <v>2051.666667</v>
      </c>
      <c r="H3" s="43">
        <f t="shared" si="1"/>
        <v>417.3333333</v>
      </c>
      <c r="I3" s="44">
        <f>(F3/VLOOKUP($A$2,'Población'!$A$1:$B$5,2,0))*100000</f>
        <v>0.008992963456</v>
      </c>
      <c r="J3" s="44">
        <f t="shared" ref="J3:J89" si="2">I3+J2</f>
        <v>0.01498827243</v>
      </c>
      <c r="K3" s="44">
        <f>(H3/VLOOKUP($A$2,'Población'!$A$1:$B$5,2,0))*100000</f>
        <v>1.251021139</v>
      </c>
      <c r="L3" s="44">
        <f t="shared" ref="L3:L89" si="3">K3+L2</f>
        <v>2.452081369</v>
      </c>
    </row>
    <row r="4">
      <c r="A4" s="39" t="str">
        <f>IFERROR(__xludf.DUMMYFUNCTION("""COMPUTED_VALUE"""),"Peru")</f>
        <v>Peru</v>
      </c>
      <c r="B4" s="40">
        <f>IFERROR(__xludf.DUMMYFUNCTION("""COMPUTED_VALUE"""),43906.0)</f>
        <v>43906</v>
      </c>
      <c r="C4" s="41">
        <f>IFERROR(__xludf.DUMMYFUNCTION("""COMPUTED_VALUE"""),43912.0)</f>
        <v>43912</v>
      </c>
      <c r="D4" s="39">
        <f>IFERROR(__xludf.DUMMYFUNCTION("""COMPUTED_VALUE"""),12.0)</f>
        <v>12</v>
      </c>
      <c r="E4" s="39">
        <f>IFERROR(__xludf.DUMMYFUNCTION("""COMPUTED_VALUE"""),2185.0)</f>
        <v>2185</v>
      </c>
      <c r="F4" s="39">
        <f>IFERROR(__xludf.DUMMYFUNCTION("""COMPUTED_VALUE"""),29.0)</f>
        <v>29</v>
      </c>
      <c r="G4" s="43">
        <f>AVERAGEIFS('Perú pre-COVID'!$E:$E,'Perú pre-COVID'!$D:$D,D4)</f>
        <v>1996</v>
      </c>
      <c r="H4" s="43">
        <f t="shared" si="1"/>
        <v>189</v>
      </c>
      <c r="I4" s="44">
        <f>(F4/VLOOKUP($A$2,'Población'!$A$1:$B$5,2,0))*100000</f>
        <v>0.08693198007</v>
      </c>
      <c r="J4" s="44">
        <f t="shared" si="2"/>
        <v>0.1019202525</v>
      </c>
      <c r="K4" s="44">
        <f>(H4/VLOOKUP($A$2,'Población'!$A$1:$B$5,2,0))*100000</f>
        <v>0.5665566977</v>
      </c>
      <c r="L4" s="44">
        <f t="shared" si="3"/>
        <v>3.018638067</v>
      </c>
    </row>
    <row r="5">
      <c r="A5" s="39" t="str">
        <f>IFERROR(__xludf.DUMMYFUNCTION("""COMPUTED_VALUE"""),"Peru")</f>
        <v>Peru</v>
      </c>
      <c r="B5" s="40">
        <f>IFERROR(__xludf.DUMMYFUNCTION("""COMPUTED_VALUE"""),43913.0)</f>
        <v>43913</v>
      </c>
      <c r="C5" s="41">
        <f>IFERROR(__xludf.DUMMYFUNCTION("""COMPUTED_VALUE"""),43919.0)</f>
        <v>43919</v>
      </c>
      <c r="D5" s="39">
        <f>IFERROR(__xludf.DUMMYFUNCTION("""COMPUTED_VALUE"""),13.0)</f>
        <v>13</v>
      </c>
      <c r="E5" s="39">
        <f>IFERROR(__xludf.DUMMYFUNCTION("""COMPUTED_VALUE"""),2150.0)</f>
        <v>2150</v>
      </c>
      <c r="F5" s="39">
        <f>IFERROR(__xludf.DUMMYFUNCTION("""COMPUTED_VALUE"""),61.0)</f>
        <v>61</v>
      </c>
      <c r="G5" s="43">
        <f>AVERAGEIFS('Perú pre-COVID'!$E:$E,'Perú pre-COVID'!$D:$D,D5)</f>
        <v>1960</v>
      </c>
      <c r="H5" s="43">
        <f t="shared" si="1"/>
        <v>190</v>
      </c>
      <c r="I5" s="44">
        <f>(F5/VLOOKUP($A$2,'Población'!$A$1:$B$5,2,0))*100000</f>
        <v>0.1828569236</v>
      </c>
      <c r="J5" s="44">
        <f t="shared" si="2"/>
        <v>0.2847771761</v>
      </c>
      <c r="K5" s="44">
        <f>(H5/VLOOKUP($A$2,'Población'!$A$1:$B$5,2,0))*100000</f>
        <v>0.5695543522</v>
      </c>
      <c r="L5" s="44">
        <f t="shared" si="3"/>
        <v>3.588192419</v>
      </c>
    </row>
    <row r="6">
      <c r="A6" s="39" t="str">
        <f>IFERROR(__xludf.DUMMYFUNCTION("""COMPUTED_VALUE"""),"Peru")</f>
        <v>Peru</v>
      </c>
      <c r="B6" s="40">
        <f>IFERROR(__xludf.DUMMYFUNCTION("""COMPUTED_VALUE"""),43920.0)</f>
        <v>43920</v>
      </c>
      <c r="C6" s="41">
        <f>IFERROR(__xludf.DUMMYFUNCTION("""COMPUTED_VALUE"""),43926.0)</f>
        <v>43926</v>
      </c>
      <c r="D6" s="39">
        <f>IFERROR(__xludf.DUMMYFUNCTION("""COMPUTED_VALUE"""),14.0)</f>
        <v>14</v>
      </c>
      <c r="E6" s="39">
        <f>IFERROR(__xludf.DUMMYFUNCTION("""COMPUTED_VALUE"""),2390.0)</f>
        <v>2390</v>
      </c>
      <c r="F6" s="39">
        <f>IFERROR(__xludf.DUMMYFUNCTION("""COMPUTED_VALUE"""),222.0)</f>
        <v>222</v>
      </c>
      <c r="G6" s="43">
        <f>AVERAGEIFS('Perú pre-COVID'!$E:$E,'Perú pre-COVID'!$D:$D,D6)</f>
        <v>1968</v>
      </c>
      <c r="H6" s="43">
        <f t="shared" si="1"/>
        <v>422</v>
      </c>
      <c r="I6" s="44">
        <f>(F6/VLOOKUP($A$2,'Población'!$A$1:$B$5,2,0))*100000</f>
        <v>0.6654792957</v>
      </c>
      <c r="J6" s="44">
        <f t="shared" si="2"/>
        <v>0.9502564718</v>
      </c>
      <c r="K6" s="44">
        <f>(H6/VLOOKUP($A$2,'Población'!$A$1:$B$5,2,0))*100000</f>
        <v>1.265010193</v>
      </c>
      <c r="L6" s="44">
        <f t="shared" si="3"/>
        <v>4.853202612</v>
      </c>
    </row>
    <row r="7">
      <c r="A7" s="39" t="str">
        <f>IFERROR(__xludf.DUMMYFUNCTION("""COMPUTED_VALUE"""),"Peru")</f>
        <v>Peru</v>
      </c>
      <c r="B7" s="40">
        <f>IFERROR(__xludf.DUMMYFUNCTION("""COMPUTED_VALUE"""),43927.0)</f>
        <v>43927</v>
      </c>
      <c r="C7" s="41">
        <f>IFERROR(__xludf.DUMMYFUNCTION("""COMPUTED_VALUE"""),43933.0)</f>
        <v>43933</v>
      </c>
      <c r="D7" s="39">
        <f>IFERROR(__xludf.DUMMYFUNCTION("""COMPUTED_VALUE"""),15.0)</f>
        <v>15</v>
      </c>
      <c r="E7" s="39">
        <f>IFERROR(__xludf.DUMMYFUNCTION("""COMPUTED_VALUE"""),2514.0)</f>
        <v>2514</v>
      </c>
      <c r="F7" s="39">
        <f>IFERROR(__xludf.DUMMYFUNCTION("""COMPUTED_VALUE"""),529.0)</f>
        <v>529</v>
      </c>
      <c r="G7" s="43">
        <f>AVERAGEIFS('Perú pre-COVID'!$E:$E,'Perú pre-COVID'!$D:$D,D7)</f>
        <v>1896.333333</v>
      </c>
      <c r="H7" s="43">
        <f t="shared" si="1"/>
        <v>617.6666667</v>
      </c>
      <c r="I7" s="44">
        <f>(F7/VLOOKUP($A$2,'Población'!$A$1:$B$5,2,0))*100000</f>
        <v>1.585759223</v>
      </c>
      <c r="J7" s="44">
        <f t="shared" si="2"/>
        <v>2.536015695</v>
      </c>
      <c r="K7" s="44">
        <f>(H7/VLOOKUP($A$2,'Población'!$A$1:$B$5,2,0))*100000</f>
        <v>1.851551254</v>
      </c>
      <c r="L7" s="44">
        <f t="shared" si="3"/>
        <v>6.704753865</v>
      </c>
    </row>
    <row r="8">
      <c r="A8" s="39" t="str">
        <f>IFERROR(__xludf.DUMMYFUNCTION("""COMPUTED_VALUE"""),"Peru")</f>
        <v>Peru</v>
      </c>
      <c r="B8" s="40">
        <f>IFERROR(__xludf.DUMMYFUNCTION("""COMPUTED_VALUE"""),43934.0)</f>
        <v>43934</v>
      </c>
      <c r="C8" s="41">
        <f>IFERROR(__xludf.DUMMYFUNCTION("""COMPUTED_VALUE"""),43940.0)</f>
        <v>43940</v>
      </c>
      <c r="D8" s="39">
        <f>IFERROR(__xludf.DUMMYFUNCTION("""COMPUTED_VALUE"""),16.0)</f>
        <v>16</v>
      </c>
      <c r="E8" s="39">
        <f>IFERROR(__xludf.DUMMYFUNCTION("""COMPUTED_VALUE"""),3096.0)</f>
        <v>3096</v>
      </c>
      <c r="F8" s="39">
        <f>IFERROR(__xludf.DUMMYFUNCTION("""COMPUTED_VALUE"""),940.0)</f>
        <v>940</v>
      </c>
      <c r="G8" s="43">
        <f>AVERAGEIFS('Perú pre-COVID'!$E:$E,'Perú pre-COVID'!$D:$D,D8)</f>
        <v>1976</v>
      </c>
      <c r="H8" s="43">
        <f t="shared" si="1"/>
        <v>1120</v>
      </c>
      <c r="I8" s="44">
        <f>(F8/VLOOKUP($A$2,'Población'!$A$1:$B$5,2,0))*100000</f>
        <v>2.817795216</v>
      </c>
      <c r="J8" s="44">
        <f t="shared" si="2"/>
        <v>5.353810911</v>
      </c>
      <c r="K8" s="44">
        <f>(H8/VLOOKUP($A$2,'Población'!$A$1:$B$5,2,0))*100000</f>
        <v>3.357373023</v>
      </c>
      <c r="L8" s="44">
        <f t="shared" si="3"/>
        <v>10.06212689</v>
      </c>
    </row>
    <row r="9">
      <c r="A9" s="39" t="str">
        <f>IFERROR(__xludf.DUMMYFUNCTION("""COMPUTED_VALUE"""),"Peru")</f>
        <v>Peru</v>
      </c>
      <c r="B9" s="40">
        <f>IFERROR(__xludf.DUMMYFUNCTION("""COMPUTED_VALUE"""),43941.0)</f>
        <v>43941</v>
      </c>
      <c r="C9" s="41">
        <f>IFERROR(__xludf.DUMMYFUNCTION("""COMPUTED_VALUE"""),43947.0)</f>
        <v>43947</v>
      </c>
      <c r="D9" s="39">
        <f>IFERROR(__xludf.DUMMYFUNCTION("""COMPUTED_VALUE"""),17.0)</f>
        <v>17</v>
      </c>
      <c r="E9" s="39">
        <f>IFERROR(__xludf.DUMMYFUNCTION("""COMPUTED_VALUE"""),3881.0)</f>
        <v>3881</v>
      </c>
      <c r="F9" s="39">
        <f>IFERROR(__xludf.DUMMYFUNCTION("""COMPUTED_VALUE"""),1702.0)</f>
        <v>1702</v>
      </c>
      <c r="G9" s="43">
        <f>AVERAGEIFS('Perú pre-COVID'!$E:$E,'Perú pre-COVID'!$D:$D,D9)</f>
        <v>1899.666667</v>
      </c>
      <c r="H9" s="43">
        <f t="shared" si="1"/>
        <v>1981.333333</v>
      </c>
      <c r="I9" s="44">
        <f>(F9/VLOOKUP($A$2,'Población'!$A$1:$B$5,2,0))*100000</f>
        <v>5.102007934</v>
      </c>
      <c r="J9" s="44">
        <f t="shared" si="2"/>
        <v>10.45581884</v>
      </c>
      <c r="K9" s="44">
        <f>(H9/VLOOKUP($A$2,'Población'!$A$1:$B$5,2,0))*100000</f>
        <v>5.939352753</v>
      </c>
      <c r="L9" s="44">
        <f t="shared" si="3"/>
        <v>16.00147964</v>
      </c>
    </row>
    <row r="10">
      <c r="A10" s="39" t="str">
        <f>IFERROR(__xludf.DUMMYFUNCTION("""COMPUTED_VALUE"""),"Peru")</f>
        <v>Peru</v>
      </c>
      <c r="B10" s="40">
        <f>IFERROR(__xludf.DUMMYFUNCTION("""COMPUTED_VALUE"""),43948.0)</f>
        <v>43948</v>
      </c>
      <c r="C10" s="41">
        <f>IFERROR(__xludf.DUMMYFUNCTION("""COMPUTED_VALUE"""),43954.0)</f>
        <v>43954</v>
      </c>
      <c r="D10" s="39">
        <f>IFERROR(__xludf.DUMMYFUNCTION("""COMPUTED_VALUE"""),18.0)</f>
        <v>18</v>
      </c>
      <c r="E10" s="39">
        <f>IFERROR(__xludf.DUMMYFUNCTION("""COMPUTED_VALUE"""),4752.0)</f>
        <v>4752</v>
      </c>
      <c r="F10" s="39">
        <f>IFERROR(__xludf.DUMMYFUNCTION("""COMPUTED_VALUE"""),2516.0)</f>
        <v>2516</v>
      </c>
      <c r="G10" s="43">
        <f>AVERAGEIFS('Perú pre-COVID'!$E:$E,'Perú pre-COVID'!$D:$D,D10)</f>
        <v>1983.666667</v>
      </c>
      <c r="H10" s="43">
        <f t="shared" si="1"/>
        <v>2768.333333</v>
      </c>
      <c r="I10" s="44">
        <f>(F10/VLOOKUP($A$2,'Población'!$A$1:$B$5,2,0))*100000</f>
        <v>7.542098685</v>
      </c>
      <c r="J10" s="44">
        <f t="shared" si="2"/>
        <v>17.99791753</v>
      </c>
      <c r="K10" s="44">
        <f>(H10/VLOOKUP($A$2,'Población'!$A$1:$B$5,2,0))*100000</f>
        <v>8.298506833</v>
      </c>
      <c r="L10" s="44">
        <f t="shared" si="3"/>
        <v>24.29998648</v>
      </c>
    </row>
    <row r="11">
      <c r="A11" s="39" t="str">
        <f>IFERROR(__xludf.DUMMYFUNCTION("""COMPUTED_VALUE"""),"Peru")</f>
        <v>Peru</v>
      </c>
      <c r="B11" s="40">
        <f>IFERROR(__xludf.DUMMYFUNCTION("""COMPUTED_VALUE"""),43955.0)</f>
        <v>43955</v>
      </c>
      <c r="C11" s="41">
        <f>IFERROR(__xludf.DUMMYFUNCTION("""COMPUTED_VALUE"""),43961.0)</f>
        <v>43961</v>
      </c>
      <c r="D11" s="39">
        <f>IFERROR(__xludf.DUMMYFUNCTION("""COMPUTED_VALUE"""),19.0)</f>
        <v>19</v>
      </c>
      <c r="E11" s="39">
        <f>IFERROR(__xludf.DUMMYFUNCTION("""COMPUTED_VALUE"""),5451.0)</f>
        <v>5451</v>
      </c>
      <c r="F11" s="39">
        <f>IFERROR(__xludf.DUMMYFUNCTION("""COMPUTED_VALUE"""),3254.0)</f>
        <v>3254</v>
      </c>
      <c r="G11" s="43">
        <f>AVERAGEIFS('Perú pre-COVID'!$E:$E,'Perú pre-COVID'!$D:$D,D11)</f>
        <v>1911</v>
      </c>
      <c r="H11" s="43">
        <f t="shared" si="1"/>
        <v>3540</v>
      </c>
      <c r="I11" s="44">
        <f>(F11/VLOOKUP($A$2,'Población'!$A$1:$B$5,2,0))*100000</f>
        <v>9.754367695</v>
      </c>
      <c r="J11" s="44">
        <f t="shared" si="2"/>
        <v>27.75228522</v>
      </c>
      <c r="K11" s="44">
        <f>(H11/VLOOKUP($A$2,'Población'!$A$1:$B$5,2,0))*100000</f>
        <v>10.61169688</v>
      </c>
      <c r="L11" s="44">
        <f t="shared" si="3"/>
        <v>34.91168335</v>
      </c>
    </row>
    <row r="12">
      <c r="A12" s="39" t="str">
        <f>IFERROR(__xludf.DUMMYFUNCTION("""COMPUTED_VALUE"""),"Peru")</f>
        <v>Peru</v>
      </c>
      <c r="B12" s="40">
        <f>IFERROR(__xludf.DUMMYFUNCTION("""COMPUTED_VALUE"""),43962.0)</f>
        <v>43962</v>
      </c>
      <c r="C12" s="41">
        <f>IFERROR(__xludf.DUMMYFUNCTION("""COMPUTED_VALUE"""),43968.0)</f>
        <v>43968</v>
      </c>
      <c r="D12" s="39">
        <f>IFERROR(__xludf.DUMMYFUNCTION("""COMPUTED_VALUE"""),20.0)</f>
        <v>20</v>
      </c>
      <c r="E12" s="39">
        <f>IFERROR(__xludf.DUMMYFUNCTION("""COMPUTED_VALUE"""),5967.0)</f>
        <v>5967</v>
      </c>
      <c r="F12" s="39">
        <f>IFERROR(__xludf.DUMMYFUNCTION("""COMPUTED_VALUE"""),3577.0)</f>
        <v>3577</v>
      </c>
      <c r="G12" s="43">
        <f>AVERAGEIFS('Perú pre-COVID'!$E:$E,'Perú pre-COVID'!$D:$D,D12)</f>
        <v>1984</v>
      </c>
      <c r="H12" s="43">
        <f t="shared" si="1"/>
        <v>3983</v>
      </c>
      <c r="I12" s="44">
        <f>(F12/VLOOKUP($A$2,'Población'!$A$1:$B$5,2,0))*100000</f>
        <v>10.72261009</v>
      </c>
      <c r="J12" s="44">
        <f t="shared" si="2"/>
        <v>38.47489532</v>
      </c>
      <c r="K12" s="44">
        <f>(H12/VLOOKUP($A$2,'Población'!$A$1:$B$5,2,0))*100000</f>
        <v>11.93965781</v>
      </c>
      <c r="L12" s="44">
        <f t="shared" si="3"/>
        <v>46.85134117</v>
      </c>
    </row>
    <row r="13">
      <c r="A13" s="39" t="str">
        <f>IFERROR(__xludf.DUMMYFUNCTION("""COMPUTED_VALUE"""),"Peru")</f>
        <v>Peru</v>
      </c>
      <c r="B13" s="40">
        <f>IFERROR(__xludf.DUMMYFUNCTION("""COMPUTED_VALUE"""),43969.0)</f>
        <v>43969</v>
      </c>
      <c r="C13" s="41">
        <f>IFERROR(__xludf.DUMMYFUNCTION("""COMPUTED_VALUE"""),43975.0)</f>
        <v>43975</v>
      </c>
      <c r="D13" s="39">
        <f>IFERROR(__xludf.DUMMYFUNCTION("""COMPUTED_VALUE"""),21.0)</f>
        <v>21</v>
      </c>
      <c r="E13" s="39">
        <f>IFERROR(__xludf.DUMMYFUNCTION("""COMPUTED_VALUE"""),6347.0)</f>
        <v>6347</v>
      </c>
      <c r="F13" s="39">
        <f>IFERROR(__xludf.DUMMYFUNCTION("""COMPUTED_VALUE"""),3809.0)</f>
        <v>3809</v>
      </c>
      <c r="G13" s="43">
        <f>AVERAGEIFS('Perú pre-COVID'!$E:$E,'Perú pre-COVID'!$D:$D,D13)</f>
        <v>2034</v>
      </c>
      <c r="H13" s="43">
        <f t="shared" si="1"/>
        <v>4313</v>
      </c>
      <c r="I13" s="44">
        <f>(F13/VLOOKUP($A$2,'Población'!$A$1:$B$5,2,0))*100000</f>
        <v>11.41806593</v>
      </c>
      <c r="J13" s="44">
        <f t="shared" si="2"/>
        <v>49.89296125</v>
      </c>
      <c r="K13" s="44">
        <f>(H13/VLOOKUP($A$2,'Población'!$A$1:$B$5,2,0))*100000</f>
        <v>12.92888379</v>
      </c>
      <c r="L13" s="44">
        <f t="shared" si="3"/>
        <v>59.78022496</v>
      </c>
    </row>
    <row r="14">
      <c r="A14" s="39" t="str">
        <f>IFERROR(__xludf.DUMMYFUNCTION("""COMPUTED_VALUE"""),"Peru")</f>
        <v>Peru</v>
      </c>
      <c r="B14" s="40">
        <f>IFERROR(__xludf.DUMMYFUNCTION("""COMPUTED_VALUE"""),43976.0)</f>
        <v>43976</v>
      </c>
      <c r="C14" s="41">
        <f>IFERROR(__xludf.DUMMYFUNCTION("""COMPUTED_VALUE"""),43982.0)</f>
        <v>43982</v>
      </c>
      <c r="D14" s="39">
        <f>IFERROR(__xludf.DUMMYFUNCTION("""COMPUTED_VALUE"""),22.0)</f>
        <v>22</v>
      </c>
      <c r="E14" s="39">
        <f>IFERROR(__xludf.DUMMYFUNCTION("""COMPUTED_VALUE"""),6554.0)</f>
        <v>6554</v>
      </c>
      <c r="F14" s="39">
        <f>IFERROR(__xludf.DUMMYFUNCTION("""COMPUTED_VALUE"""),4066.0)</f>
        <v>4066</v>
      </c>
      <c r="G14" s="43">
        <f>AVERAGEIFS('Perú pre-COVID'!$E:$E,'Perú pre-COVID'!$D:$D,D14)</f>
        <v>2050</v>
      </c>
      <c r="H14" s="43">
        <f t="shared" si="1"/>
        <v>4504</v>
      </c>
      <c r="I14" s="44">
        <f>(F14/VLOOKUP($A$2,'Población'!$A$1:$B$5,2,0))*100000</f>
        <v>12.18846314</v>
      </c>
      <c r="J14" s="44">
        <f t="shared" si="2"/>
        <v>62.08142439</v>
      </c>
      <c r="K14" s="44">
        <f>(H14/VLOOKUP($A$2,'Población'!$A$1:$B$5,2,0))*100000</f>
        <v>13.5014358</v>
      </c>
      <c r="L14" s="44">
        <f t="shared" si="3"/>
        <v>73.28166076</v>
      </c>
    </row>
    <row r="15">
      <c r="A15" s="39" t="str">
        <f>IFERROR(__xludf.DUMMYFUNCTION("""COMPUTED_VALUE"""),"Peru")</f>
        <v>Peru</v>
      </c>
      <c r="B15" s="40">
        <f>IFERROR(__xludf.DUMMYFUNCTION("""COMPUTED_VALUE"""),43983.0)</f>
        <v>43983</v>
      </c>
      <c r="C15" s="41">
        <f>IFERROR(__xludf.DUMMYFUNCTION("""COMPUTED_VALUE"""),43989.0)</f>
        <v>43989</v>
      </c>
      <c r="D15" s="39">
        <f>IFERROR(__xludf.DUMMYFUNCTION("""COMPUTED_VALUE"""),23.0)</f>
        <v>23</v>
      </c>
      <c r="E15" s="39">
        <f>IFERROR(__xludf.DUMMYFUNCTION("""COMPUTED_VALUE"""),6647.0)</f>
        <v>6647</v>
      </c>
      <c r="F15" s="39">
        <f>IFERROR(__xludf.DUMMYFUNCTION("""COMPUTED_VALUE"""),4124.0)</f>
        <v>4124</v>
      </c>
      <c r="G15" s="43">
        <f>AVERAGEIFS('Perú pre-COVID'!$E:$E,'Perú pre-COVID'!$D:$D,D15)</f>
        <v>2135</v>
      </c>
      <c r="H15" s="43">
        <f t="shared" si="1"/>
        <v>4512</v>
      </c>
      <c r="I15" s="44">
        <f>(F15/VLOOKUP($A$2,'Población'!$A$1:$B$5,2,0))*100000</f>
        <v>12.3623271</v>
      </c>
      <c r="J15" s="44">
        <f t="shared" si="2"/>
        <v>74.44375149</v>
      </c>
      <c r="K15" s="44">
        <f>(H15/VLOOKUP($A$2,'Población'!$A$1:$B$5,2,0))*100000</f>
        <v>13.52541704</v>
      </c>
      <c r="L15" s="44">
        <f t="shared" si="3"/>
        <v>86.8070778</v>
      </c>
    </row>
    <row r="16">
      <c r="A16" s="39" t="str">
        <f>IFERROR(__xludf.DUMMYFUNCTION("""COMPUTED_VALUE"""),"Peru")</f>
        <v>Peru</v>
      </c>
      <c r="B16" s="40">
        <f>IFERROR(__xludf.DUMMYFUNCTION("""COMPUTED_VALUE"""),43990.0)</f>
        <v>43990</v>
      </c>
      <c r="C16" s="41">
        <f>IFERROR(__xludf.DUMMYFUNCTION("""COMPUTED_VALUE"""),43996.0)</f>
        <v>43996</v>
      </c>
      <c r="D16" s="39">
        <f>IFERROR(__xludf.DUMMYFUNCTION("""COMPUTED_VALUE"""),24.0)</f>
        <v>24</v>
      </c>
      <c r="E16" s="39">
        <f>IFERROR(__xludf.DUMMYFUNCTION("""COMPUTED_VALUE"""),6725.0)</f>
        <v>6725</v>
      </c>
      <c r="F16" s="39">
        <f>IFERROR(__xludf.DUMMYFUNCTION("""COMPUTED_VALUE"""),4176.0)</f>
        <v>4176</v>
      </c>
      <c r="G16" s="43">
        <f>AVERAGEIFS('Perú pre-COVID'!$E:$E,'Perú pre-COVID'!$D:$D,D16)</f>
        <v>2150</v>
      </c>
      <c r="H16" s="43">
        <f t="shared" si="1"/>
        <v>4575</v>
      </c>
      <c r="I16" s="44">
        <f>(F16/VLOOKUP($A$2,'Población'!$A$1:$B$5,2,0))*100000</f>
        <v>12.51820513</v>
      </c>
      <c r="J16" s="44">
        <f t="shared" si="2"/>
        <v>86.96195662</v>
      </c>
      <c r="K16" s="44">
        <f>(H16/VLOOKUP($A$2,'Población'!$A$1:$B$5,2,0))*100000</f>
        <v>13.71426927</v>
      </c>
      <c r="L16" s="44">
        <f t="shared" si="3"/>
        <v>100.5213471</v>
      </c>
    </row>
    <row r="17">
      <c r="A17" s="39" t="str">
        <f>IFERROR(__xludf.DUMMYFUNCTION("""COMPUTED_VALUE"""),"Peru")</f>
        <v>Peru</v>
      </c>
      <c r="B17" s="40">
        <f>IFERROR(__xludf.DUMMYFUNCTION("""COMPUTED_VALUE"""),43997.0)</f>
        <v>43997</v>
      </c>
      <c r="C17" s="41">
        <f>IFERROR(__xludf.DUMMYFUNCTION("""COMPUTED_VALUE"""),44003.0)</f>
        <v>44003</v>
      </c>
      <c r="D17" s="39">
        <f>IFERROR(__xludf.DUMMYFUNCTION("""COMPUTED_VALUE"""),25.0)</f>
        <v>25</v>
      </c>
      <c r="E17" s="39">
        <f>IFERROR(__xludf.DUMMYFUNCTION("""COMPUTED_VALUE"""),6593.0)</f>
        <v>6593</v>
      </c>
      <c r="F17" s="39">
        <f>IFERROR(__xludf.DUMMYFUNCTION("""COMPUTED_VALUE"""),4330.0)</f>
        <v>4330</v>
      </c>
      <c r="G17" s="43">
        <f>AVERAGEIFS('Perú pre-COVID'!$E:$E,'Perú pre-COVID'!$D:$D,D17)</f>
        <v>2223.333333</v>
      </c>
      <c r="H17" s="43">
        <f t="shared" si="1"/>
        <v>4369.666667</v>
      </c>
      <c r="I17" s="44">
        <f>(F17/VLOOKUP($A$2,'Población'!$A$1:$B$5,2,0))*100000</f>
        <v>12.97984392</v>
      </c>
      <c r="J17" s="44">
        <f t="shared" si="2"/>
        <v>99.94180054</v>
      </c>
      <c r="K17" s="44">
        <f>(H17/VLOOKUP($A$2,'Población'!$A$1:$B$5,2,0))*100000</f>
        <v>13.09875088</v>
      </c>
      <c r="L17" s="44">
        <f t="shared" si="3"/>
        <v>113.620098</v>
      </c>
    </row>
    <row r="18">
      <c r="A18" s="39" t="str">
        <f>IFERROR(__xludf.DUMMYFUNCTION("""COMPUTED_VALUE"""),"Peru")</f>
        <v>Peru</v>
      </c>
      <c r="B18" s="40">
        <f>IFERROR(__xludf.DUMMYFUNCTION("""COMPUTED_VALUE"""),44004.0)</f>
        <v>44004</v>
      </c>
      <c r="C18" s="41">
        <f>IFERROR(__xludf.DUMMYFUNCTION("""COMPUTED_VALUE"""),44010.0)</f>
        <v>44010</v>
      </c>
      <c r="D18" s="39">
        <f>IFERROR(__xludf.DUMMYFUNCTION("""COMPUTED_VALUE"""),26.0)</f>
        <v>26</v>
      </c>
      <c r="E18" s="39">
        <f>IFERROR(__xludf.DUMMYFUNCTION("""COMPUTED_VALUE"""),6159.0)</f>
        <v>6159</v>
      </c>
      <c r="F18" s="39">
        <f>IFERROR(__xludf.DUMMYFUNCTION("""COMPUTED_VALUE"""),3530.0)</f>
        <v>3530</v>
      </c>
      <c r="G18" s="43">
        <f>AVERAGEIFS('Perú pre-COVID'!$E:$E,'Perú pre-COVID'!$D:$D,D18)</f>
        <v>2200.333333</v>
      </c>
      <c r="H18" s="43">
        <f t="shared" si="1"/>
        <v>3958.666667</v>
      </c>
      <c r="I18" s="44">
        <f>(F18/VLOOKUP($A$2,'Población'!$A$1:$B$5,2,0))*100000</f>
        <v>10.58172033</v>
      </c>
      <c r="J18" s="44">
        <f t="shared" si="2"/>
        <v>110.5235209</v>
      </c>
      <c r="K18" s="44">
        <f>(H18/VLOOKUP($A$2,'Población'!$A$1:$B$5,2,0))*100000</f>
        <v>11.86671489</v>
      </c>
      <c r="L18" s="44">
        <f t="shared" si="3"/>
        <v>125.4868128</v>
      </c>
    </row>
    <row r="19">
      <c r="A19" s="39" t="str">
        <f>IFERROR(__xludf.DUMMYFUNCTION("""COMPUTED_VALUE"""),"Peru")</f>
        <v>Peru</v>
      </c>
      <c r="B19" s="40">
        <f>IFERROR(__xludf.DUMMYFUNCTION("""COMPUTED_VALUE"""),44011.0)</f>
        <v>44011</v>
      </c>
      <c r="C19" s="41">
        <f>IFERROR(__xludf.DUMMYFUNCTION("""COMPUTED_VALUE"""),44017.0)</f>
        <v>44017</v>
      </c>
      <c r="D19" s="39">
        <f>IFERROR(__xludf.DUMMYFUNCTION("""COMPUTED_VALUE"""),27.0)</f>
        <v>27</v>
      </c>
      <c r="E19" s="39">
        <f>IFERROR(__xludf.DUMMYFUNCTION("""COMPUTED_VALUE"""),6237.0)</f>
        <v>6237</v>
      </c>
      <c r="F19" s="39">
        <f>IFERROR(__xludf.DUMMYFUNCTION("""COMPUTED_VALUE"""),3755.0)</f>
        <v>3755</v>
      </c>
      <c r="G19" s="43">
        <f>AVERAGEIFS('Perú pre-COVID'!$E:$E,'Perú pre-COVID'!$D:$D,D19)</f>
        <v>2240</v>
      </c>
      <c r="H19" s="43">
        <f t="shared" si="1"/>
        <v>3997</v>
      </c>
      <c r="I19" s="44">
        <f>(F19/VLOOKUP($A$2,'Población'!$A$1:$B$5,2,0))*100000</f>
        <v>11.25619259</v>
      </c>
      <c r="J19" s="44">
        <f t="shared" si="2"/>
        <v>121.7797135</v>
      </c>
      <c r="K19" s="44">
        <f>(H19/VLOOKUP($A$2,'Población'!$A$1:$B$5,2,0))*100000</f>
        <v>11.98162498</v>
      </c>
      <c r="L19" s="44">
        <f t="shared" si="3"/>
        <v>137.4684378</v>
      </c>
    </row>
    <row r="20">
      <c r="A20" s="39" t="str">
        <f>IFERROR(__xludf.DUMMYFUNCTION("""COMPUTED_VALUE"""),"Peru")</f>
        <v>Peru</v>
      </c>
      <c r="B20" s="40">
        <f>IFERROR(__xludf.DUMMYFUNCTION("""COMPUTED_VALUE"""),44018.0)</f>
        <v>44018</v>
      </c>
      <c r="C20" s="41">
        <f>IFERROR(__xludf.DUMMYFUNCTION("""COMPUTED_VALUE"""),44024.0)</f>
        <v>44024</v>
      </c>
      <c r="D20" s="39">
        <f>IFERROR(__xludf.DUMMYFUNCTION("""COMPUTED_VALUE"""),28.0)</f>
        <v>28</v>
      </c>
      <c r="E20" s="39">
        <f>IFERROR(__xludf.DUMMYFUNCTION("""COMPUTED_VALUE"""),6493.0)</f>
        <v>6493</v>
      </c>
      <c r="F20" s="39">
        <f>IFERROR(__xludf.DUMMYFUNCTION("""COMPUTED_VALUE"""),3903.0)</f>
        <v>3903</v>
      </c>
      <c r="G20" s="43">
        <f>AVERAGEIFS('Perú pre-COVID'!$E:$E,'Perú pre-COVID'!$D:$D,D20)</f>
        <v>2141.666667</v>
      </c>
      <c r="H20" s="43">
        <f t="shared" si="1"/>
        <v>4351.333333</v>
      </c>
      <c r="I20" s="44">
        <f>(F20/VLOOKUP($A$2,'Población'!$A$1:$B$5,2,0))*100000</f>
        <v>11.69984546</v>
      </c>
      <c r="J20" s="44">
        <f t="shared" si="2"/>
        <v>133.4795589</v>
      </c>
      <c r="K20" s="44">
        <f>(H20/VLOOKUP($A$2,'Población'!$A$1:$B$5,2,0))*100000</f>
        <v>13.04379388</v>
      </c>
      <c r="L20" s="44">
        <f t="shared" si="3"/>
        <v>150.5122317</v>
      </c>
    </row>
    <row r="21">
      <c r="A21" s="39" t="str">
        <f>IFERROR(__xludf.DUMMYFUNCTION("""COMPUTED_VALUE"""),"Peru")</f>
        <v>Peru</v>
      </c>
      <c r="B21" s="40">
        <f>IFERROR(__xludf.DUMMYFUNCTION("""COMPUTED_VALUE"""),44025.0)</f>
        <v>44025</v>
      </c>
      <c r="C21" s="41">
        <f>IFERROR(__xludf.DUMMYFUNCTION("""COMPUTED_VALUE"""),44031.0)</f>
        <v>44031</v>
      </c>
      <c r="D21" s="39">
        <f>IFERROR(__xludf.DUMMYFUNCTION("""COMPUTED_VALUE"""),29.0)</f>
        <v>29</v>
      </c>
      <c r="E21" s="39">
        <f>IFERROR(__xludf.DUMMYFUNCTION("""COMPUTED_VALUE"""),6763.0)</f>
        <v>6763</v>
      </c>
      <c r="F21" s="39">
        <f>IFERROR(__xludf.DUMMYFUNCTION("""COMPUTED_VALUE"""),4901.0)</f>
        <v>4901</v>
      </c>
      <c r="G21" s="43">
        <f>AVERAGEIFS('Perú pre-COVID'!$E:$E,'Perú pre-COVID'!$D:$D,D21)</f>
        <v>2199.666667</v>
      </c>
      <c r="H21" s="43">
        <f t="shared" si="1"/>
        <v>4563.333333</v>
      </c>
      <c r="I21" s="44">
        <f>(F21/VLOOKUP($A$2,'Población'!$A$1:$B$5,2,0))*100000</f>
        <v>14.69150463</v>
      </c>
      <c r="J21" s="44">
        <f t="shared" si="2"/>
        <v>148.1710636</v>
      </c>
      <c r="K21" s="44">
        <f>(H21/VLOOKUP($A$2,'Población'!$A$1:$B$5,2,0))*100000</f>
        <v>13.67929663</v>
      </c>
      <c r="L21" s="44">
        <f t="shared" si="3"/>
        <v>164.1915283</v>
      </c>
    </row>
    <row r="22">
      <c r="A22" s="39" t="str">
        <f>IFERROR(__xludf.DUMMYFUNCTION("""COMPUTED_VALUE"""),"Peru")</f>
        <v>Peru</v>
      </c>
      <c r="B22" s="40">
        <f>IFERROR(__xludf.DUMMYFUNCTION("""COMPUTED_VALUE"""),44032.0)</f>
        <v>44032</v>
      </c>
      <c r="C22" s="41">
        <f>IFERROR(__xludf.DUMMYFUNCTION("""COMPUTED_VALUE"""),44038.0)</f>
        <v>44038</v>
      </c>
      <c r="D22" s="39">
        <f>IFERROR(__xludf.DUMMYFUNCTION("""COMPUTED_VALUE"""),30.0)</f>
        <v>30</v>
      </c>
      <c r="E22" s="39">
        <f>IFERROR(__xludf.DUMMYFUNCTION("""COMPUTED_VALUE"""),6778.0)</f>
        <v>6778</v>
      </c>
      <c r="F22" s="39">
        <f>IFERROR(__xludf.DUMMYFUNCTION("""COMPUTED_VALUE"""),3480.0)</f>
        <v>3480</v>
      </c>
      <c r="G22" s="43">
        <f>AVERAGEIFS('Perú pre-COVID'!$E:$E,'Perú pre-COVID'!$D:$D,D22)</f>
        <v>2215.333333</v>
      </c>
      <c r="H22" s="43">
        <f t="shared" si="1"/>
        <v>4562.666667</v>
      </c>
      <c r="I22" s="44">
        <f>(F22/VLOOKUP($A$2,'Población'!$A$1:$B$5,2,0))*100000</f>
        <v>10.43183761</v>
      </c>
      <c r="J22" s="44">
        <f t="shared" si="2"/>
        <v>158.6029012</v>
      </c>
      <c r="K22" s="44">
        <f>(H22/VLOOKUP($A$2,'Población'!$A$1:$B$5,2,0))*100000</f>
        <v>13.6772982</v>
      </c>
      <c r="L22" s="44">
        <f t="shared" si="3"/>
        <v>177.8688265</v>
      </c>
    </row>
    <row r="23">
      <c r="A23" s="39" t="str">
        <f>IFERROR(__xludf.DUMMYFUNCTION("""COMPUTED_VALUE"""),"Peru")</f>
        <v>Peru</v>
      </c>
      <c r="B23" s="40">
        <f>IFERROR(__xludf.DUMMYFUNCTION("""COMPUTED_VALUE"""),44039.0)</f>
        <v>44039</v>
      </c>
      <c r="C23" s="41">
        <f>IFERROR(__xludf.DUMMYFUNCTION("""COMPUTED_VALUE"""),44045.0)</f>
        <v>44045</v>
      </c>
      <c r="D23" s="39">
        <f>IFERROR(__xludf.DUMMYFUNCTION("""COMPUTED_VALUE"""),31.0)</f>
        <v>31</v>
      </c>
      <c r="E23" s="39">
        <f>IFERROR(__xludf.DUMMYFUNCTION("""COMPUTED_VALUE"""),6918.0)</f>
        <v>6918</v>
      </c>
      <c r="F23" s="39">
        <f>IFERROR(__xludf.DUMMYFUNCTION("""COMPUTED_VALUE"""),4376.0)</f>
        <v>4376</v>
      </c>
      <c r="G23" s="43">
        <f>AVERAGEIFS('Perú pre-COVID'!$E:$E,'Perú pre-COVID'!$D:$D,D23)</f>
        <v>2182.666667</v>
      </c>
      <c r="H23" s="43">
        <f t="shared" si="1"/>
        <v>4735.333333</v>
      </c>
      <c r="I23" s="44">
        <f>(F23/VLOOKUP($A$2,'Población'!$A$1:$B$5,2,0))*100000</f>
        <v>13.11773603</v>
      </c>
      <c r="J23" s="44">
        <f t="shared" si="2"/>
        <v>171.7206372</v>
      </c>
      <c r="K23" s="44">
        <f>(H23/VLOOKUP($A$2,'Población'!$A$1:$B$5,2,0))*100000</f>
        <v>14.19489321</v>
      </c>
      <c r="L23" s="44">
        <f t="shared" si="3"/>
        <v>192.0637197</v>
      </c>
    </row>
    <row r="24">
      <c r="A24" s="39" t="str">
        <f>IFERROR(__xludf.DUMMYFUNCTION("""COMPUTED_VALUE"""),"Peru")</f>
        <v>Peru</v>
      </c>
      <c r="B24" s="40">
        <f>IFERROR(__xludf.DUMMYFUNCTION("""COMPUTED_VALUE"""),44046.0)</f>
        <v>44046</v>
      </c>
      <c r="C24" s="41">
        <f>IFERROR(__xludf.DUMMYFUNCTION("""COMPUTED_VALUE"""),44052.0)</f>
        <v>44052</v>
      </c>
      <c r="D24" s="39">
        <f>IFERROR(__xludf.DUMMYFUNCTION("""COMPUTED_VALUE"""),32.0)</f>
        <v>32</v>
      </c>
      <c r="E24" s="39">
        <f>IFERROR(__xludf.DUMMYFUNCTION("""COMPUTED_VALUE"""),7120.0)</f>
        <v>7120</v>
      </c>
      <c r="F24" s="39">
        <f>IFERROR(__xludf.DUMMYFUNCTION("""COMPUTED_VALUE"""),4433.0)</f>
        <v>4433</v>
      </c>
      <c r="G24" s="43">
        <f>AVERAGEIFS('Perú pre-COVID'!$E:$E,'Perú pre-COVID'!$D:$D,D24)</f>
        <v>2230.333333</v>
      </c>
      <c r="H24" s="43">
        <f t="shared" si="1"/>
        <v>4889.666667</v>
      </c>
      <c r="I24" s="44">
        <f>(F24/VLOOKUP($A$2,'Población'!$A$1:$B$5,2,0))*100000</f>
        <v>13.28860233</v>
      </c>
      <c r="J24" s="44">
        <f t="shared" si="2"/>
        <v>185.0092395</v>
      </c>
      <c r="K24" s="44">
        <f>(H24/VLOOKUP($A$2,'Población'!$A$1:$B$5,2,0))*100000</f>
        <v>14.65753121</v>
      </c>
      <c r="L24" s="44">
        <f t="shared" si="3"/>
        <v>206.721251</v>
      </c>
    </row>
    <row r="25">
      <c r="A25" s="39" t="str">
        <f>IFERROR(__xludf.DUMMYFUNCTION("""COMPUTED_VALUE"""),"Peru")</f>
        <v>Peru</v>
      </c>
      <c r="B25" s="40">
        <f>IFERROR(__xludf.DUMMYFUNCTION("""COMPUTED_VALUE"""),44053.0)</f>
        <v>44053</v>
      </c>
      <c r="C25" s="41">
        <f>IFERROR(__xludf.DUMMYFUNCTION("""COMPUTED_VALUE"""),44059.0)</f>
        <v>44059</v>
      </c>
      <c r="D25" s="39">
        <f>IFERROR(__xludf.DUMMYFUNCTION("""COMPUTED_VALUE"""),33.0)</f>
        <v>33</v>
      </c>
      <c r="E25" s="39">
        <f>IFERROR(__xludf.DUMMYFUNCTION("""COMPUTED_VALUE"""),6717.0)</f>
        <v>6717</v>
      </c>
      <c r="F25" s="39">
        <f>IFERROR(__xludf.DUMMYFUNCTION("""COMPUTED_VALUE"""),4322.0)</f>
        <v>4322</v>
      </c>
      <c r="G25" s="43">
        <f>AVERAGEIFS('Perú pre-COVID'!$E:$E,'Perú pre-COVID'!$D:$D,D25)</f>
        <v>2135</v>
      </c>
      <c r="H25" s="43">
        <f t="shared" si="1"/>
        <v>4582</v>
      </c>
      <c r="I25" s="44">
        <f>(F25/VLOOKUP($A$2,'Población'!$A$1:$B$5,2,0))*100000</f>
        <v>12.95586269</v>
      </c>
      <c r="J25" s="44">
        <f t="shared" si="2"/>
        <v>197.9651022</v>
      </c>
      <c r="K25" s="44">
        <f>(H25/VLOOKUP($A$2,'Población'!$A$1:$B$5,2,0))*100000</f>
        <v>13.73525285</v>
      </c>
      <c r="L25" s="44">
        <f t="shared" si="3"/>
        <v>220.4565038</v>
      </c>
    </row>
    <row r="26">
      <c r="A26" s="39" t="str">
        <f>IFERROR(__xludf.DUMMYFUNCTION("""COMPUTED_VALUE"""),"Peru")</f>
        <v>Peru</v>
      </c>
      <c r="B26" s="40">
        <f>IFERROR(__xludf.DUMMYFUNCTION("""COMPUTED_VALUE"""),44060.0)</f>
        <v>44060</v>
      </c>
      <c r="C26" s="41">
        <f>IFERROR(__xludf.DUMMYFUNCTION("""COMPUTED_VALUE"""),44066.0)</f>
        <v>44066</v>
      </c>
      <c r="D26" s="39">
        <f>IFERROR(__xludf.DUMMYFUNCTION("""COMPUTED_VALUE"""),34.0)</f>
        <v>34</v>
      </c>
      <c r="E26" s="39">
        <f>IFERROR(__xludf.DUMMYFUNCTION("""COMPUTED_VALUE"""),6128.0)</f>
        <v>6128</v>
      </c>
      <c r="F26" s="39">
        <f>IFERROR(__xludf.DUMMYFUNCTION("""COMPUTED_VALUE"""),3786.0)</f>
        <v>3786</v>
      </c>
      <c r="G26" s="43">
        <f>AVERAGEIFS('Perú pre-COVID'!$E:$E,'Perú pre-COVID'!$D:$D,D26)</f>
        <v>2123</v>
      </c>
      <c r="H26" s="43">
        <f t="shared" si="1"/>
        <v>4005</v>
      </c>
      <c r="I26" s="44">
        <f>(F26/VLOOKUP($A$2,'Población'!$A$1:$B$5,2,0))*100000</f>
        <v>11.34911988</v>
      </c>
      <c r="J26" s="44">
        <f t="shared" si="2"/>
        <v>209.3142221</v>
      </c>
      <c r="K26" s="44">
        <f>(H26/VLOOKUP($A$2,'Población'!$A$1:$B$5,2,0))*100000</f>
        <v>12.00560621</v>
      </c>
      <c r="L26" s="44">
        <f t="shared" si="3"/>
        <v>232.46211</v>
      </c>
    </row>
    <row r="27">
      <c r="A27" s="39" t="str">
        <f>IFERROR(__xludf.DUMMYFUNCTION("""COMPUTED_VALUE"""),"Peru")</f>
        <v>Peru</v>
      </c>
      <c r="B27" s="40">
        <f>IFERROR(__xludf.DUMMYFUNCTION("""COMPUTED_VALUE"""),44067.0)</f>
        <v>44067</v>
      </c>
      <c r="C27" s="41">
        <f>IFERROR(__xludf.DUMMYFUNCTION("""COMPUTED_VALUE"""),44073.0)</f>
        <v>44073</v>
      </c>
      <c r="D27" s="39">
        <f>IFERROR(__xludf.DUMMYFUNCTION("""COMPUTED_VALUE"""),35.0)</f>
        <v>35</v>
      </c>
      <c r="E27" s="39">
        <f>IFERROR(__xludf.DUMMYFUNCTION("""COMPUTED_VALUE"""),5578.0)</f>
        <v>5578</v>
      </c>
      <c r="F27" s="39">
        <f>IFERROR(__xludf.DUMMYFUNCTION("""COMPUTED_VALUE"""),3401.0)</f>
        <v>3401</v>
      </c>
      <c r="G27" s="43">
        <f>AVERAGEIFS('Perú pre-COVID'!$E:$E,'Perú pre-COVID'!$D:$D,D27)</f>
        <v>2193.333333</v>
      </c>
      <c r="H27" s="43">
        <f t="shared" si="1"/>
        <v>3384.666667</v>
      </c>
      <c r="I27" s="44">
        <f>(F27/VLOOKUP($A$2,'Población'!$A$1:$B$5,2,0))*100000</f>
        <v>10.1950229</v>
      </c>
      <c r="J27" s="44">
        <f t="shared" si="2"/>
        <v>219.509245</v>
      </c>
      <c r="K27" s="44">
        <f>(H27/VLOOKUP($A$2,'Población'!$A$1:$B$5,2,0))*100000</f>
        <v>10.14606121</v>
      </c>
      <c r="L27" s="44">
        <f t="shared" si="3"/>
        <v>242.6081712</v>
      </c>
    </row>
    <row r="28">
      <c r="A28" s="39" t="str">
        <f>IFERROR(__xludf.DUMMYFUNCTION("""COMPUTED_VALUE"""),"Peru")</f>
        <v>Peru</v>
      </c>
      <c r="B28" s="40">
        <f>IFERROR(__xludf.DUMMYFUNCTION("""COMPUTED_VALUE"""),44074.0)</f>
        <v>44074</v>
      </c>
      <c r="C28" s="41">
        <f>IFERROR(__xludf.DUMMYFUNCTION("""COMPUTED_VALUE"""),44080.0)</f>
        <v>44080</v>
      </c>
      <c r="D28" s="39">
        <f>IFERROR(__xludf.DUMMYFUNCTION("""COMPUTED_VALUE"""),36.0)</f>
        <v>36</v>
      </c>
      <c r="E28" s="39">
        <f>IFERROR(__xludf.DUMMYFUNCTION("""COMPUTED_VALUE"""),4730.0)</f>
        <v>4730</v>
      </c>
      <c r="F28" s="39">
        <f>IFERROR(__xludf.DUMMYFUNCTION("""COMPUTED_VALUE"""),2674.0)</f>
        <v>2674</v>
      </c>
      <c r="G28" s="43">
        <f>AVERAGEIFS('Perú pre-COVID'!$E:$E,'Perú pre-COVID'!$D:$D,D28)</f>
        <v>2168</v>
      </c>
      <c r="H28" s="43">
        <f t="shared" si="1"/>
        <v>2562</v>
      </c>
      <c r="I28" s="44">
        <f>(F28/VLOOKUP($A$2,'Población'!$A$1:$B$5,2,0))*100000</f>
        <v>8.015728094</v>
      </c>
      <c r="J28" s="44">
        <f t="shared" si="2"/>
        <v>227.5249731</v>
      </c>
      <c r="K28" s="44">
        <f>(H28/VLOOKUP($A$2,'Población'!$A$1:$B$5,2,0))*100000</f>
        <v>7.679990791</v>
      </c>
      <c r="L28" s="44">
        <f t="shared" si="3"/>
        <v>250.288162</v>
      </c>
    </row>
    <row r="29">
      <c r="A29" s="39" t="str">
        <f>IFERROR(__xludf.DUMMYFUNCTION("""COMPUTED_VALUE"""),"Peru")</f>
        <v>Peru</v>
      </c>
      <c r="B29" s="40">
        <f>IFERROR(__xludf.DUMMYFUNCTION("""COMPUTED_VALUE"""),44081.0)</f>
        <v>44081</v>
      </c>
      <c r="C29" s="41">
        <f>IFERROR(__xludf.DUMMYFUNCTION("""COMPUTED_VALUE"""),44087.0)</f>
        <v>44087</v>
      </c>
      <c r="D29" s="39">
        <f>IFERROR(__xludf.DUMMYFUNCTION("""COMPUTED_VALUE"""),37.0)</f>
        <v>37</v>
      </c>
      <c r="E29" s="39">
        <f>IFERROR(__xludf.DUMMYFUNCTION("""COMPUTED_VALUE"""),4275.0)</f>
        <v>4275</v>
      </c>
      <c r="F29" s="39">
        <f>IFERROR(__xludf.DUMMYFUNCTION("""COMPUTED_VALUE"""),2214.0)</f>
        <v>2214</v>
      </c>
      <c r="G29" s="43">
        <f>AVERAGEIFS('Perú pre-COVID'!$E:$E,'Perú pre-COVID'!$D:$D,D29)</f>
        <v>2175</v>
      </c>
      <c r="H29" s="43">
        <f t="shared" si="1"/>
        <v>2100</v>
      </c>
      <c r="I29" s="44">
        <f>(F29/VLOOKUP($A$2,'Población'!$A$1:$B$5,2,0))*100000</f>
        <v>6.63680703</v>
      </c>
      <c r="J29" s="44">
        <f t="shared" si="2"/>
        <v>234.1617801</v>
      </c>
      <c r="K29" s="44">
        <f>(H29/VLOOKUP($A$2,'Población'!$A$1:$B$5,2,0))*100000</f>
        <v>6.295074419</v>
      </c>
      <c r="L29" s="44">
        <f t="shared" si="3"/>
        <v>256.5832364</v>
      </c>
    </row>
    <row r="30">
      <c r="A30" s="39" t="str">
        <f>IFERROR(__xludf.DUMMYFUNCTION("""COMPUTED_VALUE"""),"Peru")</f>
        <v>Peru</v>
      </c>
      <c r="B30" s="40">
        <f>IFERROR(__xludf.DUMMYFUNCTION("""COMPUTED_VALUE"""),44088.0)</f>
        <v>44088</v>
      </c>
      <c r="C30" s="41">
        <f>IFERROR(__xludf.DUMMYFUNCTION("""COMPUTED_VALUE"""),44094.0)</f>
        <v>44094</v>
      </c>
      <c r="D30" s="39">
        <f>IFERROR(__xludf.DUMMYFUNCTION("""COMPUTED_VALUE"""),38.0)</f>
        <v>38</v>
      </c>
      <c r="E30" s="39">
        <f>IFERROR(__xludf.DUMMYFUNCTION("""COMPUTED_VALUE"""),3885.0)</f>
        <v>3885</v>
      </c>
      <c r="F30" s="39">
        <f>IFERROR(__xludf.DUMMYFUNCTION("""COMPUTED_VALUE"""),1889.0)</f>
        <v>1889</v>
      </c>
      <c r="G30" s="43">
        <f>AVERAGEIFS('Perú pre-COVID'!$E:$E,'Perú pre-COVID'!$D:$D,D30)</f>
        <v>2213.333333</v>
      </c>
      <c r="H30" s="43">
        <f t="shared" si="1"/>
        <v>1671.666667</v>
      </c>
      <c r="I30" s="44">
        <f>(F30/VLOOKUP($A$2,'Población'!$A$1:$B$5,2,0))*100000</f>
        <v>5.662569323</v>
      </c>
      <c r="J30" s="44">
        <f t="shared" si="2"/>
        <v>239.8243494</v>
      </c>
      <c r="K30" s="44">
        <f>(H30/VLOOKUP($A$2,'Población'!$A$1:$B$5,2,0))*100000</f>
        <v>5.011079081</v>
      </c>
      <c r="L30" s="44">
        <f t="shared" si="3"/>
        <v>261.5943155</v>
      </c>
    </row>
    <row r="31">
      <c r="A31" s="39" t="str">
        <f>IFERROR(__xludf.DUMMYFUNCTION("""COMPUTED_VALUE"""),"Peru")</f>
        <v>Peru</v>
      </c>
      <c r="B31" s="40">
        <f>IFERROR(__xludf.DUMMYFUNCTION("""COMPUTED_VALUE"""),44095.0)</f>
        <v>44095</v>
      </c>
      <c r="C31" s="41">
        <f>IFERROR(__xludf.DUMMYFUNCTION("""COMPUTED_VALUE"""),44101.0)</f>
        <v>44101</v>
      </c>
      <c r="D31" s="39">
        <f>IFERROR(__xludf.DUMMYFUNCTION("""COMPUTED_VALUE"""),39.0)</f>
        <v>39</v>
      </c>
      <c r="E31" s="39">
        <f>IFERROR(__xludf.DUMMYFUNCTION("""COMPUTED_VALUE"""),3483.0)</f>
        <v>3483</v>
      </c>
      <c r="F31" s="39">
        <f>IFERROR(__xludf.DUMMYFUNCTION("""COMPUTED_VALUE"""),1591.0)</f>
        <v>1591</v>
      </c>
      <c r="G31" s="43">
        <f>AVERAGEIFS('Perú pre-COVID'!$E:$E,'Perú pre-COVID'!$D:$D,D31)</f>
        <v>2217.333333</v>
      </c>
      <c r="H31" s="43">
        <f t="shared" si="1"/>
        <v>1265.666667</v>
      </c>
      <c r="I31" s="44">
        <f>(F31/VLOOKUP($A$2,'Población'!$A$1:$B$5,2,0))*100000</f>
        <v>4.769268286</v>
      </c>
      <c r="J31" s="44">
        <f t="shared" si="2"/>
        <v>244.5936177</v>
      </c>
      <c r="K31" s="44">
        <f>(H31/VLOOKUP($A$2,'Población'!$A$1:$B$5,2,0))*100000</f>
        <v>3.79403136</v>
      </c>
      <c r="L31" s="44">
        <f t="shared" si="3"/>
        <v>265.3883469</v>
      </c>
    </row>
    <row r="32">
      <c r="A32" s="39" t="str">
        <f>IFERROR(__xludf.DUMMYFUNCTION("""COMPUTED_VALUE"""),"Peru")</f>
        <v>Peru</v>
      </c>
      <c r="B32" s="40">
        <f>IFERROR(__xludf.DUMMYFUNCTION("""COMPUTED_VALUE"""),44102.0)</f>
        <v>44102</v>
      </c>
      <c r="C32" s="41">
        <f>IFERROR(__xludf.DUMMYFUNCTION("""COMPUTED_VALUE"""),44108.0)</f>
        <v>44108</v>
      </c>
      <c r="D32" s="39">
        <f>IFERROR(__xludf.DUMMYFUNCTION("""COMPUTED_VALUE"""),40.0)</f>
        <v>40</v>
      </c>
      <c r="E32" s="39">
        <f>IFERROR(__xludf.DUMMYFUNCTION("""COMPUTED_VALUE"""),3235.0)</f>
        <v>3235</v>
      </c>
      <c r="F32" s="39">
        <f>IFERROR(__xludf.DUMMYFUNCTION("""COMPUTED_VALUE"""),1213.0)</f>
        <v>1213</v>
      </c>
      <c r="G32" s="43">
        <f>AVERAGEIFS('Perú pre-COVID'!$E:$E,'Perú pre-COVID'!$D:$D,D32)</f>
        <v>2151.666667</v>
      </c>
      <c r="H32" s="43">
        <f t="shared" si="1"/>
        <v>1083.333333</v>
      </c>
      <c r="I32" s="44">
        <f>(F32/VLOOKUP($A$2,'Población'!$A$1:$B$5,2,0))*100000</f>
        <v>3.636154891</v>
      </c>
      <c r="J32" s="44">
        <f t="shared" si="2"/>
        <v>248.2297726</v>
      </c>
      <c r="K32" s="44">
        <f>(H32/VLOOKUP($A$2,'Población'!$A$1:$B$5,2,0))*100000</f>
        <v>3.247459026</v>
      </c>
      <c r="L32" s="44">
        <f t="shared" si="3"/>
        <v>268.6358059</v>
      </c>
    </row>
    <row r="33">
      <c r="A33" s="39" t="str">
        <f>IFERROR(__xludf.DUMMYFUNCTION("""COMPUTED_VALUE"""),"Peru")</f>
        <v>Peru</v>
      </c>
      <c r="B33" s="40">
        <f>IFERROR(__xludf.DUMMYFUNCTION("""COMPUTED_VALUE"""),44109.0)</f>
        <v>44109</v>
      </c>
      <c r="C33" s="41">
        <f>IFERROR(__xludf.DUMMYFUNCTION("""COMPUTED_VALUE"""),44115.0)</f>
        <v>44115</v>
      </c>
      <c r="D33" s="39">
        <f>IFERROR(__xludf.DUMMYFUNCTION("""COMPUTED_VALUE"""),41.0)</f>
        <v>41</v>
      </c>
      <c r="E33" s="39">
        <f>IFERROR(__xludf.DUMMYFUNCTION("""COMPUTED_VALUE"""),3147.0)</f>
        <v>3147</v>
      </c>
      <c r="F33" s="39">
        <f>IFERROR(__xludf.DUMMYFUNCTION("""COMPUTED_VALUE"""),1170.0)</f>
        <v>1170</v>
      </c>
      <c r="G33" s="43">
        <f>AVERAGEIFS('Perú pre-COVID'!$E:$E,'Perú pre-COVID'!$D:$D,D33)</f>
        <v>2191.666667</v>
      </c>
      <c r="H33" s="43">
        <f t="shared" si="1"/>
        <v>955.3333333</v>
      </c>
      <c r="I33" s="44">
        <f>(F33/VLOOKUP($A$2,'Población'!$A$1:$B$5,2,0))*100000</f>
        <v>3.507255748</v>
      </c>
      <c r="J33" s="44">
        <f t="shared" si="2"/>
        <v>251.7370284</v>
      </c>
      <c r="K33" s="44">
        <f>(H33/VLOOKUP($A$2,'Población'!$A$1:$B$5,2,0))*100000</f>
        <v>2.863759252</v>
      </c>
      <c r="L33" s="44">
        <f t="shared" si="3"/>
        <v>271.4995652</v>
      </c>
    </row>
    <row r="34">
      <c r="A34" s="39" t="str">
        <f>IFERROR(__xludf.DUMMYFUNCTION("""COMPUTED_VALUE"""),"Peru")</f>
        <v>Peru</v>
      </c>
      <c r="B34" s="40">
        <f>IFERROR(__xludf.DUMMYFUNCTION("""COMPUTED_VALUE"""),44116.0)</f>
        <v>44116</v>
      </c>
      <c r="C34" s="41">
        <f>IFERROR(__xludf.DUMMYFUNCTION("""COMPUTED_VALUE"""),44122.0)</f>
        <v>44122</v>
      </c>
      <c r="D34" s="39">
        <f>IFERROR(__xludf.DUMMYFUNCTION("""COMPUTED_VALUE"""),42.0)</f>
        <v>42</v>
      </c>
      <c r="E34" s="39">
        <f>IFERROR(__xludf.DUMMYFUNCTION("""COMPUTED_VALUE"""),3001.0)</f>
        <v>3001</v>
      </c>
      <c r="F34" s="39">
        <f>IFERROR(__xludf.DUMMYFUNCTION("""COMPUTED_VALUE"""),978.0)</f>
        <v>978</v>
      </c>
      <c r="G34" s="43">
        <f>AVERAGEIFS('Perú pre-COVID'!$E:$E,'Perú pre-COVID'!$D:$D,D34)</f>
        <v>2233</v>
      </c>
      <c r="H34" s="43">
        <f t="shared" si="1"/>
        <v>768</v>
      </c>
      <c r="I34" s="44">
        <f>(F34/VLOOKUP($A$2,'Población'!$A$1:$B$5,2,0))*100000</f>
        <v>2.931706087</v>
      </c>
      <c r="J34" s="44">
        <f t="shared" si="2"/>
        <v>254.6687344</v>
      </c>
      <c r="K34" s="44">
        <f>(H34/VLOOKUP($A$2,'Población'!$A$1:$B$5,2,0))*100000</f>
        <v>2.302198645</v>
      </c>
      <c r="L34" s="44">
        <f t="shared" si="3"/>
        <v>273.8017638</v>
      </c>
    </row>
    <row r="35">
      <c r="A35" s="39" t="str">
        <f>IFERROR(__xludf.DUMMYFUNCTION("""COMPUTED_VALUE"""),"Peru")</f>
        <v>Peru</v>
      </c>
      <c r="B35" s="40">
        <f>IFERROR(__xludf.DUMMYFUNCTION("""COMPUTED_VALUE"""),44123.0)</f>
        <v>44123</v>
      </c>
      <c r="C35" s="41">
        <f>IFERROR(__xludf.DUMMYFUNCTION("""COMPUTED_VALUE"""),44129.0)</f>
        <v>44129</v>
      </c>
      <c r="D35" s="39">
        <f>IFERROR(__xludf.DUMMYFUNCTION("""COMPUTED_VALUE"""),43.0)</f>
        <v>43</v>
      </c>
      <c r="E35" s="39">
        <f>IFERROR(__xludf.DUMMYFUNCTION("""COMPUTED_VALUE"""),2961.0)</f>
        <v>2961</v>
      </c>
      <c r="F35" s="39">
        <f>IFERROR(__xludf.DUMMYFUNCTION("""COMPUTED_VALUE"""),860.0)</f>
        <v>860</v>
      </c>
      <c r="G35" s="43">
        <f>AVERAGEIFS('Perú pre-COVID'!$E:$E,'Perú pre-COVID'!$D:$D,D35)</f>
        <v>2185.666667</v>
      </c>
      <c r="H35" s="43">
        <f t="shared" si="1"/>
        <v>775.3333333</v>
      </c>
      <c r="I35" s="44">
        <f>(F35/VLOOKUP($A$2,'Población'!$A$1:$B$5,2,0))*100000</f>
        <v>2.577982857</v>
      </c>
      <c r="J35" s="44">
        <f t="shared" si="2"/>
        <v>257.2467173</v>
      </c>
      <c r="K35" s="44">
        <f>(H35/VLOOKUP($A$2,'Población'!$A$1:$B$5,2,0))*100000</f>
        <v>2.324181444</v>
      </c>
      <c r="L35" s="44">
        <f t="shared" si="3"/>
        <v>276.1259453</v>
      </c>
    </row>
    <row r="36">
      <c r="A36" s="39" t="str">
        <f>IFERROR(__xludf.DUMMYFUNCTION("""COMPUTED_VALUE"""),"Peru")</f>
        <v>Peru</v>
      </c>
      <c r="B36" s="40">
        <f>IFERROR(__xludf.DUMMYFUNCTION("""COMPUTED_VALUE"""),44130.0)</f>
        <v>44130</v>
      </c>
      <c r="C36" s="41">
        <f>IFERROR(__xludf.DUMMYFUNCTION("""COMPUTED_VALUE"""),44136.0)</f>
        <v>44136</v>
      </c>
      <c r="D36" s="39">
        <f>IFERROR(__xludf.DUMMYFUNCTION("""COMPUTED_VALUE"""),44.0)</f>
        <v>44</v>
      </c>
      <c r="E36" s="39">
        <f>IFERROR(__xludf.DUMMYFUNCTION("""COMPUTED_VALUE"""),2794.0)</f>
        <v>2794</v>
      </c>
      <c r="F36" s="39">
        <f>IFERROR(__xludf.DUMMYFUNCTION("""COMPUTED_VALUE"""),772.0)</f>
        <v>772</v>
      </c>
      <c r="G36" s="43">
        <f>AVERAGEIFS('Perú pre-COVID'!$E:$E,'Perú pre-COVID'!$D:$D,D36)</f>
        <v>2205</v>
      </c>
      <c r="H36" s="43">
        <f t="shared" si="1"/>
        <v>589</v>
      </c>
      <c r="I36" s="44">
        <f>(F36/VLOOKUP($A$2,'Población'!$A$1:$B$5,2,0))*100000</f>
        <v>2.314189263</v>
      </c>
      <c r="J36" s="44">
        <f t="shared" si="2"/>
        <v>259.5609066</v>
      </c>
      <c r="K36" s="44">
        <f>(H36/VLOOKUP($A$2,'Población'!$A$1:$B$5,2,0))*100000</f>
        <v>1.765618492</v>
      </c>
      <c r="L36" s="44">
        <f t="shared" si="3"/>
        <v>277.8915637</v>
      </c>
    </row>
    <row r="37">
      <c r="A37" s="39" t="str">
        <f>IFERROR(__xludf.DUMMYFUNCTION("""COMPUTED_VALUE"""),"Peru")</f>
        <v>Peru</v>
      </c>
      <c r="B37" s="40">
        <f>IFERROR(__xludf.DUMMYFUNCTION("""COMPUTED_VALUE"""),44137.0)</f>
        <v>44137</v>
      </c>
      <c r="C37" s="41">
        <f>IFERROR(__xludf.DUMMYFUNCTION("""COMPUTED_VALUE"""),44143.0)</f>
        <v>44143</v>
      </c>
      <c r="D37" s="39">
        <f>IFERROR(__xludf.DUMMYFUNCTION("""COMPUTED_VALUE"""),45.0)</f>
        <v>45</v>
      </c>
      <c r="E37" s="39">
        <f>IFERROR(__xludf.DUMMYFUNCTION("""COMPUTED_VALUE"""),2861.0)</f>
        <v>2861</v>
      </c>
      <c r="F37" s="39">
        <f>IFERROR(__xludf.DUMMYFUNCTION("""COMPUTED_VALUE"""),739.0)</f>
        <v>739</v>
      </c>
      <c r="G37" s="43">
        <f>AVERAGEIFS('Perú pre-COVID'!$E:$E,'Perú pre-COVID'!$D:$D,D37)</f>
        <v>2168</v>
      </c>
      <c r="H37" s="43">
        <f t="shared" si="1"/>
        <v>693</v>
      </c>
      <c r="I37" s="44">
        <f>(F37/VLOOKUP($A$2,'Población'!$A$1:$B$5,2,0))*100000</f>
        <v>2.215266665</v>
      </c>
      <c r="J37" s="44">
        <f t="shared" si="2"/>
        <v>261.7761732</v>
      </c>
      <c r="K37" s="44">
        <f>(H37/VLOOKUP($A$2,'Población'!$A$1:$B$5,2,0))*100000</f>
        <v>2.077374558</v>
      </c>
      <c r="L37" s="44">
        <f t="shared" si="3"/>
        <v>279.9689383</v>
      </c>
    </row>
    <row r="38">
      <c r="A38" s="39" t="str">
        <f>IFERROR(__xludf.DUMMYFUNCTION("""COMPUTED_VALUE"""),"Peru")</f>
        <v>Peru</v>
      </c>
      <c r="B38" s="40">
        <f>IFERROR(__xludf.DUMMYFUNCTION("""COMPUTED_VALUE"""),44144.0)</f>
        <v>44144</v>
      </c>
      <c r="C38" s="41">
        <f>IFERROR(__xludf.DUMMYFUNCTION("""COMPUTED_VALUE"""),44150.0)</f>
        <v>44150</v>
      </c>
      <c r="D38" s="39">
        <f>IFERROR(__xludf.DUMMYFUNCTION("""COMPUTED_VALUE"""),46.0)</f>
        <v>46</v>
      </c>
      <c r="E38" s="39">
        <f>IFERROR(__xludf.DUMMYFUNCTION("""COMPUTED_VALUE"""),2850.0)</f>
        <v>2850</v>
      </c>
      <c r="F38" s="39">
        <f>IFERROR(__xludf.DUMMYFUNCTION("""COMPUTED_VALUE"""),730.0)</f>
        <v>730</v>
      </c>
      <c r="G38" s="43">
        <f>AVERAGEIFS('Perú pre-COVID'!$E:$E,'Perú pre-COVID'!$D:$D,D38)</f>
        <v>2057.666667</v>
      </c>
      <c r="H38" s="43">
        <f t="shared" si="1"/>
        <v>792.3333333</v>
      </c>
      <c r="I38" s="44">
        <f>(F38/VLOOKUP($A$2,'Población'!$A$1:$B$5,2,0))*100000</f>
        <v>2.188287774</v>
      </c>
      <c r="J38" s="44">
        <f t="shared" si="2"/>
        <v>263.964461</v>
      </c>
      <c r="K38" s="44">
        <f>(H38/VLOOKUP($A$2,'Población'!$A$1:$B$5,2,0))*100000</f>
        <v>2.37514157</v>
      </c>
      <c r="L38" s="44">
        <f t="shared" si="3"/>
        <v>282.3440799</v>
      </c>
    </row>
    <row r="39">
      <c r="A39" s="39" t="str">
        <f>IFERROR(__xludf.DUMMYFUNCTION("""COMPUTED_VALUE"""),"Peru")</f>
        <v>Peru</v>
      </c>
      <c r="B39" s="40">
        <f>IFERROR(__xludf.DUMMYFUNCTION("""COMPUTED_VALUE"""),44151.0)</f>
        <v>44151</v>
      </c>
      <c r="C39" s="41">
        <f>IFERROR(__xludf.DUMMYFUNCTION("""COMPUTED_VALUE"""),44157.0)</f>
        <v>44157</v>
      </c>
      <c r="D39" s="39">
        <f>IFERROR(__xludf.DUMMYFUNCTION("""COMPUTED_VALUE"""),47.0)</f>
        <v>47</v>
      </c>
      <c r="E39" s="39">
        <f>IFERROR(__xludf.DUMMYFUNCTION("""COMPUTED_VALUE"""),2755.0)</f>
        <v>2755</v>
      </c>
      <c r="F39" s="39">
        <f>IFERROR(__xludf.DUMMYFUNCTION("""COMPUTED_VALUE"""),646.0)</f>
        <v>646</v>
      </c>
      <c r="G39" s="43">
        <f>AVERAGEIFS('Perú pre-COVID'!$E:$E,'Perú pre-COVID'!$D:$D,D39)</f>
        <v>2082.666667</v>
      </c>
      <c r="H39" s="43">
        <f t="shared" si="1"/>
        <v>672.3333333</v>
      </c>
      <c r="I39" s="44">
        <f>(F39/VLOOKUP($A$2,'Población'!$A$1:$B$5,2,0))*100000</f>
        <v>1.936484797</v>
      </c>
      <c r="J39" s="44">
        <f t="shared" si="2"/>
        <v>265.9009458</v>
      </c>
      <c r="K39" s="44">
        <f>(H39/VLOOKUP($A$2,'Población'!$A$1:$B$5,2,0))*100000</f>
        <v>2.015423032</v>
      </c>
      <c r="L39" s="44">
        <f t="shared" si="3"/>
        <v>284.3595029</v>
      </c>
    </row>
    <row r="40">
      <c r="A40" s="39" t="str">
        <f>IFERROR(__xludf.DUMMYFUNCTION("""COMPUTED_VALUE"""),"Peru")</f>
        <v>Peru</v>
      </c>
      <c r="B40" s="40">
        <f>IFERROR(__xludf.DUMMYFUNCTION("""COMPUTED_VALUE"""),44158.0)</f>
        <v>44158</v>
      </c>
      <c r="C40" s="41">
        <f>IFERROR(__xludf.DUMMYFUNCTION("""COMPUTED_VALUE"""),44164.0)</f>
        <v>44164</v>
      </c>
      <c r="D40" s="39">
        <f>IFERROR(__xludf.DUMMYFUNCTION("""COMPUTED_VALUE"""),48.0)</f>
        <v>48</v>
      </c>
      <c r="E40" s="39">
        <f>IFERROR(__xludf.DUMMYFUNCTION("""COMPUTED_VALUE"""),2635.0)</f>
        <v>2635</v>
      </c>
      <c r="F40" s="39">
        <f>IFERROR(__xludf.DUMMYFUNCTION("""COMPUTED_VALUE"""),661.0)</f>
        <v>661</v>
      </c>
      <c r="G40" s="43">
        <f>AVERAGEIFS('Perú pre-COVID'!$E:$E,'Perú pre-COVID'!$D:$D,D40)</f>
        <v>2059</v>
      </c>
      <c r="H40" s="43">
        <f t="shared" si="1"/>
        <v>576</v>
      </c>
      <c r="I40" s="44">
        <f>(F40/VLOOKUP($A$2,'Población'!$A$1:$B$5,2,0))*100000</f>
        <v>1.981449615</v>
      </c>
      <c r="J40" s="44">
        <f t="shared" si="2"/>
        <v>267.8823954</v>
      </c>
      <c r="K40" s="44">
        <f>(H40/VLOOKUP($A$2,'Población'!$A$1:$B$5,2,0))*100000</f>
        <v>1.726648984</v>
      </c>
      <c r="L40" s="44">
        <f t="shared" si="3"/>
        <v>286.0861519</v>
      </c>
    </row>
    <row r="41">
      <c r="A41" s="39" t="str">
        <f>IFERROR(__xludf.DUMMYFUNCTION("""COMPUTED_VALUE"""),"Peru")</f>
        <v>Peru</v>
      </c>
      <c r="B41" s="40">
        <f>IFERROR(__xludf.DUMMYFUNCTION("""COMPUTED_VALUE"""),44165.0)</f>
        <v>44165</v>
      </c>
      <c r="C41" s="41">
        <f>IFERROR(__xludf.DUMMYFUNCTION("""COMPUTED_VALUE"""),44171.0)</f>
        <v>44171</v>
      </c>
      <c r="D41" s="39">
        <f>IFERROR(__xludf.DUMMYFUNCTION("""COMPUTED_VALUE"""),49.0)</f>
        <v>49</v>
      </c>
      <c r="E41" s="39">
        <f>IFERROR(__xludf.DUMMYFUNCTION("""COMPUTED_VALUE"""),2800.0)</f>
        <v>2800</v>
      </c>
      <c r="F41" s="39">
        <f>IFERROR(__xludf.DUMMYFUNCTION("""COMPUTED_VALUE"""),686.0)</f>
        <v>686</v>
      </c>
      <c r="G41" s="43">
        <f>AVERAGEIFS('Perú pre-COVID'!$E:$E,'Perú pre-COVID'!$D:$D,D41)</f>
        <v>2088.666667</v>
      </c>
      <c r="H41" s="43">
        <f t="shared" si="1"/>
        <v>711.3333333</v>
      </c>
      <c r="I41" s="44">
        <f>(F41/VLOOKUP($A$2,'Población'!$A$1:$B$5,2,0))*100000</f>
        <v>2.056390977</v>
      </c>
      <c r="J41" s="44">
        <f t="shared" si="2"/>
        <v>269.9387864</v>
      </c>
      <c r="K41" s="44">
        <f>(H41/VLOOKUP($A$2,'Población'!$A$1:$B$5,2,0))*100000</f>
        <v>2.132331557</v>
      </c>
      <c r="L41" s="44">
        <f t="shared" si="3"/>
        <v>288.2184834</v>
      </c>
    </row>
    <row r="42">
      <c r="A42" s="39" t="str">
        <f>IFERROR(__xludf.DUMMYFUNCTION("""COMPUTED_VALUE"""),"Peru")</f>
        <v>Peru</v>
      </c>
      <c r="B42" s="40">
        <f>IFERROR(__xludf.DUMMYFUNCTION("""COMPUTED_VALUE"""),44172.0)</f>
        <v>44172</v>
      </c>
      <c r="C42" s="41">
        <f>IFERROR(__xludf.DUMMYFUNCTION("""COMPUTED_VALUE"""),44178.0)</f>
        <v>44178</v>
      </c>
      <c r="D42" s="39">
        <f>IFERROR(__xludf.DUMMYFUNCTION("""COMPUTED_VALUE"""),50.0)</f>
        <v>50</v>
      </c>
      <c r="E42" s="39">
        <f>IFERROR(__xludf.DUMMYFUNCTION("""COMPUTED_VALUE"""),2964.0)</f>
        <v>2964</v>
      </c>
      <c r="F42" s="39">
        <f>IFERROR(__xludf.DUMMYFUNCTION("""COMPUTED_VALUE"""),747.0)</f>
        <v>747</v>
      </c>
      <c r="G42" s="43">
        <f>AVERAGEIFS('Perú pre-COVID'!$E:$E,'Perú pre-COVID'!$D:$D,D42)</f>
        <v>2114.666667</v>
      </c>
      <c r="H42" s="43">
        <f t="shared" si="1"/>
        <v>849.3333333</v>
      </c>
      <c r="I42" s="44">
        <f>(F42/VLOOKUP($A$2,'Población'!$A$1:$B$5,2,0))*100000</f>
        <v>2.2392479</v>
      </c>
      <c r="J42" s="44">
        <f t="shared" si="2"/>
        <v>272.1780343</v>
      </c>
      <c r="K42" s="44">
        <f>(H42/VLOOKUP($A$2,'Población'!$A$1:$B$5,2,0))*100000</f>
        <v>2.546007876</v>
      </c>
      <c r="L42" s="44">
        <f t="shared" si="3"/>
        <v>290.7644913</v>
      </c>
    </row>
    <row r="43">
      <c r="A43" s="39" t="str">
        <f>IFERROR(__xludf.DUMMYFUNCTION("""COMPUTED_VALUE"""),"Peru")</f>
        <v>Peru</v>
      </c>
      <c r="B43" s="40">
        <f>IFERROR(__xludf.DUMMYFUNCTION("""COMPUTED_VALUE"""),44179.0)</f>
        <v>44179</v>
      </c>
      <c r="C43" s="41">
        <f>IFERROR(__xludf.DUMMYFUNCTION("""COMPUTED_VALUE"""),44185.0)</f>
        <v>44185</v>
      </c>
      <c r="D43" s="39">
        <f>IFERROR(__xludf.DUMMYFUNCTION("""COMPUTED_VALUE"""),51.0)</f>
        <v>51</v>
      </c>
      <c r="E43" s="39">
        <f>IFERROR(__xludf.DUMMYFUNCTION("""COMPUTED_VALUE"""),3151.0)</f>
        <v>3151</v>
      </c>
      <c r="F43" s="39">
        <f>IFERROR(__xludf.DUMMYFUNCTION("""COMPUTED_VALUE"""),816.0)</f>
        <v>816</v>
      </c>
      <c r="G43" s="43">
        <f>AVERAGEIFS('Perú pre-COVID'!$E:$E,'Perú pre-COVID'!$D:$D,D43)</f>
        <v>2100.666667</v>
      </c>
      <c r="H43" s="43">
        <f t="shared" si="1"/>
        <v>1050.333333</v>
      </c>
      <c r="I43" s="44">
        <f>(F43/VLOOKUP($A$2,'Población'!$A$1:$B$5,2,0))*100000</f>
        <v>2.44608606</v>
      </c>
      <c r="J43" s="44">
        <f t="shared" si="2"/>
        <v>274.6241204</v>
      </c>
      <c r="K43" s="44">
        <f>(H43/VLOOKUP($A$2,'Población'!$A$1:$B$5,2,0))*100000</f>
        <v>3.148536428</v>
      </c>
      <c r="L43" s="44">
        <f t="shared" si="3"/>
        <v>293.9130278</v>
      </c>
    </row>
    <row r="44">
      <c r="A44" s="39" t="str">
        <f>IFERROR(__xludf.DUMMYFUNCTION("""COMPUTED_VALUE"""),"Peru")</f>
        <v>Peru</v>
      </c>
      <c r="B44" s="40">
        <f>IFERROR(__xludf.DUMMYFUNCTION("""COMPUTED_VALUE"""),44186.0)</f>
        <v>44186</v>
      </c>
      <c r="C44" s="41">
        <f>IFERROR(__xludf.DUMMYFUNCTION("""COMPUTED_VALUE"""),44192.0)</f>
        <v>44192</v>
      </c>
      <c r="D44" s="39">
        <f>IFERROR(__xludf.DUMMYFUNCTION("""COMPUTED_VALUE"""),52.0)</f>
        <v>52</v>
      </c>
      <c r="E44" s="39">
        <f>IFERROR(__xludf.DUMMYFUNCTION("""COMPUTED_VALUE"""),3253.0)</f>
        <v>3253</v>
      </c>
      <c r="F44" s="39">
        <f>IFERROR(__xludf.DUMMYFUNCTION("""COMPUTED_VALUE"""),880.0)</f>
        <v>880</v>
      </c>
      <c r="G44" s="43">
        <f>AVERAGEIFS('Perú pre-COVID'!$E:$E,'Perú pre-COVID'!$D:$D,D44)</f>
        <v>2159</v>
      </c>
      <c r="H44" s="43">
        <f t="shared" si="1"/>
        <v>1094</v>
      </c>
      <c r="I44" s="44">
        <f>(F44/VLOOKUP($A$2,'Población'!$A$1:$B$5,2,0))*100000</f>
        <v>2.637935947</v>
      </c>
      <c r="J44" s="44">
        <f t="shared" si="2"/>
        <v>277.2620563</v>
      </c>
      <c r="K44" s="44">
        <f>(H44/VLOOKUP($A$2,'Población'!$A$1:$B$5,2,0))*100000</f>
        <v>3.279434007</v>
      </c>
      <c r="L44" s="44">
        <f t="shared" si="3"/>
        <v>297.1924618</v>
      </c>
    </row>
    <row r="45">
      <c r="A45" s="15" t="str">
        <f>IFERROR(__xludf.DUMMYFUNCTION("""COMPUTED_VALUE"""),"Peru")</f>
        <v>Peru</v>
      </c>
      <c r="B45" s="45">
        <f>IFERROR(__xludf.DUMMYFUNCTION("""COMPUTED_VALUE"""),44193.0)</f>
        <v>44193</v>
      </c>
      <c r="C45" s="46">
        <f>IFERROR(__xludf.DUMMYFUNCTION("""COMPUTED_VALUE"""),44199.0)</f>
        <v>44199</v>
      </c>
      <c r="D45" s="15">
        <f>IFERROR(__xludf.DUMMYFUNCTION("""COMPUTED_VALUE"""),53.0)</f>
        <v>53</v>
      </c>
      <c r="E45" s="15">
        <f>IFERROR(__xludf.DUMMYFUNCTION("""COMPUTED_VALUE"""),3502.0)</f>
        <v>3502</v>
      </c>
      <c r="F45" s="15">
        <f>IFERROR(__xludf.DUMMYFUNCTION("""COMPUTED_VALUE"""),1082.0)</f>
        <v>1082</v>
      </c>
      <c r="G45" s="47">
        <f>IFERROR(AVERAGEIFS('Perú pre-COVID'!$E:$E,'Perú pre-COVID'!$D:$D,D45),G44)</f>
        <v>2159</v>
      </c>
      <c r="H45" s="48">
        <f t="shared" si="1"/>
        <v>1343</v>
      </c>
      <c r="I45" s="49">
        <f>(F45/VLOOKUP($A$2,'Población'!$A$1:$B$5,2,0))*100000</f>
        <v>3.243462153</v>
      </c>
      <c r="J45" s="49">
        <f t="shared" si="2"/>
        <v>280.5055185</v>
      </c>
      <c r="K45" s="49">
        <f>(H45/VLOOKUP($A$2,'Población'!$A$1:$B$5,2,0))*100000</f>
        <v>4.025849974</v>
      </c>
      <c r="L45" s="49">
        <f t="shared" si="3"/>
        <v>301.2183117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39" t="str">
        <f>IFERROR(__xludf.DUMMYFUNCTION("""COMPUTED_VALUE"""),"Peru")</f>
        <v>Peru</v>
      </c>
      <c r="B46" s="40">
        <f>IFERROR(__xludf.DUMMYFUNCTION("""COMPUTED_VALUE"""),44200.0)</f>
        <v>44200</v>
      </c>
      <c r="C46" s="41">
        <f>IFERROR(__xludf.DUMMYFUNCTION("""COMPUTED_VALUE"""),44206.0)</f>
        <v>44206</v>
      </c>
      <c r="D46" s="39">
        <f>IFERROR(__xludf.DUMMYFUNCTION("""COMPUTED_VALUE"""),1.0)</f>
        <v>1</v>
      </c>
      <c r="E46" s="39">
        <f>IFERROR(__xludf.DUMMYFUNCTION("""COMPUTED_VALUE"""),3985.0)</f>
        <v>3985</v>
      </c>
      <c r="F46" s="39">
        <f>IFERROR(__xludf.DUMMYFUNCTION("""COMPUTED_VALUE"""),1401.0)</f>
        <v>1401</v>
      </c>
      <c r="G46" s="43">
        <f>AVERAGEIFS('Perú pre-COVID'!$E:$E,'Perú pre-COVID'!$D:$D,D46)</f>
        <v>2054.5</v>
      </c>
      <c r="H46" s="43">
        <f t="shared" si="1"/>
        <v>1930.5</v>
      </c>
      <c r="I46" s="44">
        <f>(F46/VLOOKUP($A$2,'Población'!$A$1:$B$5,2,0))*100000</f>
        <v>4.199713934</v>
      </c>
      <c r="J46" s="44">
        <f t="shared" si="2"/>
        <v>284.7052324</v>
      </c>
      <c r="K46" s="44">
        <f>(H46/VLOOKUP($A$2,'Población'!$A$1:$B$5,2,0))*100000</f>
        <v>5.786971984</v>
      </c>
      <c r="L46" s="44">
        <f t="shared" si="3"/>
        <v>307.0052837</v>
      </c>
    </row>
    <row r="47">
      <c r="A47" s="39" t="str">
        <f>IFERROR(__xludf.DUMMYFUNCTION("""COMPUTED_VALUE"""),"Peru")</f>
        <v>Peru</v>
      </c>
      <c r="B47" s="40">
        <f>IFERROR(__xludf.DUMMYFUNCTION("""COMPUTED_VALUE"""),44207.0)</f>
        <v>44207</v>
      </c>
      <c r="C47" s="41">
        <f>IFERROR(__xludf.DUMMYFUNCTION("""COMPUTED_VALUE"""),44213.0)</f>
        <v>44213</v>
      </c>
      <c r="D47" s="39">
        <f>IFERROR(__xludf.DUMMYFUNCTION("""COMPUTED_VALUE"""),2.0)</f>
        <v>2</v>
      </c>
      <c r="E47" s="39">
        <f>IFERROR(__xludf.DUMMYFUNCTION("""COMPUTED_VALUE"""),4638.0)</f>
        <v>4638</v>
      </c>
      <c r="F47" s="39">
        <f>IFERROR(__xludf.DUMMYFUNCTION("""COMPUTED_VALUE"""),2027.0)</f>
        <v>2027</v>
      </c>
      <c r="G47" s="43">
        <f>AVERAGEIFS('Perú pre-COVID'!$E:$E,'Perú pre-COVID'!$D:$D,D47)</f>
        <v>2051.5</v>
      </c>
      <c r="H47" s="43">
        <f t="shared" si="1"/>
        <v>2586.5</v>
      </c>
      <c r="I47" s="44">
        <f>(F47/VLOOKUP($A$2,'Población'!$A$1:$B$5,2,0))*100000</f>
        <v>6.076245642</v>
      </c>
      <c r="J47" s="44">
        <f t="shared" si="2"/>
        <v>290.781478</v>
      </c>
      <c r="K47" s="44">
        <f>(H47/VLOOKUP($A$2,'Población'!$A$1:$B$5,2,0))*100000</f>
        <v>7.753433326</v>
      </c>
      <c r="L47" s="44">
        <f t="shared" si="3"/>
        <v>314.758717</v>
      </c>
    </row>
    <row r="48">
      <c r="A48" s="39" t="str">
        <f>IFERROR(__xludf.DUMMYFUNCTION("""COMPUTED_VALUE"""),"Peru")</f>
        <v>Peru</v>
      </c>
      <c r="B48" s="40">
        <f>IFERROR(__xludf.DUMMYFUNCTION("""COMPUTED_VALUE"""),44214.0)</f>
        <v>44214</v>
      </c>
      <c r="C48" s="41">
        <f>IFERROR(__xludf.DUMMYFUNCTION("""COMPUTED_VALUE"""),44220.0)</f>
        <v>44220</v>
      </c>
      <c r="D48" s="39">
        <f>IFERROR(__xludf.DUMMYFUNCTION("""COMPUTED_VALUE"""),3.0)</f>
        <v>3</v>
      </c>
      <c r="E48" s="39">
        <f>IFERROR(__xludf.DUMMYFUNCTION("""COMPUTED_VALUE"""),5704.0)</f>
        <v>5704</v>
      </c>
      <c r="F48" s="39">
        <f>IFERROR(__xludf.DUMMYFUNCTION("""COMPUTED_VALUE"""),2907.0)</f>
        <v>2907</v>
      </c>
      <c r="G48" s="43">
        <f>AVERAGEIFS('Perú pre-COVID'!$E:$E,'Perú pre-COVID'!$D:$D,D48)</f>
        <v>2030.75</v>
      </c>
      <c r="H48" s="43">
        <f t="shared" si="1"/>
        <v>3673.25</v>
      </c>
      <c r="I48" s="44">
        <f>(F48/VLOOKUP($A$2,'Población'!$A$1:$B$5,2,0))*100000</f>
        <v>8.714181589</v>
      </c>
      <c r="J48" s="44">
        <f t="shared" si="2"/>
        <v>299.4956596</v>
      </c>
      <c r="K48" s="44">
        <f>(H48/VLOOKUP($A$2,'Población'!$A$1:$B$5,2,0))*100000</f>
        <v>11.01113434</v>
      </c>
      <c r="L48" s="44">
        <f t="shared" si="3"/>
        <v>325.7698514</v>
      </c>
    </row>
    <row r="49">
      <c r="A49" s="39" t="str">
        <f>IFERROR(__xludf.DUMMYFUNCTION("""COMPUTED_VALUE"""),"Peru")</f>
        <v>Peru</v>
      </c>
      <c r="B49" s="40">
        <f>IFERROR(__xludf.DUMMYFUNCTION("""COMPUTED_VALUE"""),44221.0)</f>
        <v>44221</v>
      </c>
      <c r="C49" s="41">
        <f>IFERROR(__xludf.DUMMYFUNCTION("""COMPUTED_VALUE"""),44227.0)</f>
        <v>44227</v>
      </c>
      <c r="D49" s="39">
        <f>IFERROR(__xludf.DUMMYFUNCTION("""COMPUTED_VALUE"""),4.0)</f>
        <v>4</v>
      </c>
      <c r="E49" s="39">
        <f>IFERROR(__xludf.DUMMYFUNCTION("""COMPUTED_VALUE"""),6707.0)</f>
        <v>6707</v>
      </c>
      <c r="F49" s="39">
        <f>IFERROR(__xludf.DUMMYFUNCTION("""COMPUTED_VALUE"""),3900.0)</f>
        <v>3900</v>
      </c>
      <c r="G49" s="43">
        <f>AVERAGEIFS('Perú pre-COVID'!$E:$E,'Perú pre-COVID'!$D:$D,D49)</f>
        <v>2049.25</v>
      </c>
      <c r="H49" s="43">
        <f t="shared" si="1"/>
        <v>4657.75</v>
      </c>
      <c r="I49" s="44">
        <f>(F49/VLOOKUP($A$2,'Población'!$A$1:$B$5,2,0))*100000</f>
        <v>11.69085249</v>
      </c>
      <c r="J49" s="44">
        <f t="shared" si="2"/>
        <v>311.1865121</v>
      </c>
      <c r="K49" s="44">
        <f>(H49/VLOOKUP($A$2,'Población'!$A$1:$B$5,2,0))*100000</f>
        <v>13.96232518</v>
      </c>
      <c r="L49" s="44">
        <f t="shared" si="3"/>
        <v>339.7321766</v>
      </c>
    </row>
    <row r="50">
      <c r="A50" s="39" t="str">
        <f>IFERROR(__xludf.DUMMYFUNCTION("""COMPUTED_VALUE"""),"Peru")</f>
        <v>Peru</v>
      </c>
      <c r="B50" s="40">
        <f>IFERROR(__xludf.DUMMYFUNCTION("""COMPUTED_VALUE"""),44228.0)</f>
        <v>44228</v>
      </c>
      <c r="C50" s="41">
        <f>IFERROR(__xludf.DUMMYFUNCTION("""COMPUTED_VALUE"""),44234.0)</f>
        <v>44234</v>
      </c>
      <c r="D50" s="39">
        <f>IFERROR(__xludf.DUMMYFUNCTION("""COMPUTED_VALUE"""),5.0)</f>
        <v>5</v>
      </c>
      <c r="E50" s="39">
        <f>IFERROR(__xludf.DUMMYFUNCTION("""COMPUTED_VALUE"""),7021.0)</f>
        <v>7021</v>
      </c>
      <c r="F50" s="39">
        <f>IFERROR(__xludf.DUMMYFUNCTION("""COMPUTED_VALUE"""),4052.0)</f>
        <v>4052</v>
      </c>
      <c r="G50" s="43">
        <f>AVERAGEIFS('Perú pre-COVID'!$E:$E,'Perú pre-COVID'!$D:$D,D50)</f>
        <v>2092.25</v>
      </c>
      <c r="H50" s="43">
        <f t="shared" si="1"/>
        <v>4928.75</v>
      </c>
      <c r="I50" s="44">
        <f>(F50/VLOOKUP($A$2,'Población'!$A$1:$B$5,2,0))*100000</f>
        <v>12.14649597</v>
      </c>
      <c r="J50" s="44">
        <f t="shared" si="2"/>
        <v>323.3330081</v>
      </c>
      <c r="K50" s="44">
        <f>(H50/VLOOKUP($A$2,'Población'!$A$1:$B$5,2,0))*100000</f>
        <v>14.77468954</v>
      </c>
      <c r="L50" s="44">
        <f t="shared" si="3"/>
        <v>354.5068661</v>
      </c>
    </row>
    <row r="51">
      <c r="A51" s="39" t="str">
        <f>IFERROR(__xludf.DUMMYFUNCTION("""COMPUTED_VALUE"""),"Peru")</f>
        <v>Peru</v>
      </c>
      <c r="B51" s="40">
        <f>IFERROR(__xludf.DUMMYFUNCTION("""COMPUTED_VALUE"""),44235.0)</f>
        <v>44235</v>
      </c>
      <c r="C51" s="41">
        <f>IFERROR(__xludf.DUMMYFUNCTION("""COMPUTED_VALUE"""),44241.0)</f>
        <v>44241</v>
      </c>
      <c r="D51" s="39">
        <f>IFERROR(__xludf.DUMMYFUNCTION("""COMPUTED_VALUE"""),6.0)</f>
        <v>6</v>
      </c>
      <c r="E51" s="39">
        <f>IFERROR(__xludf.DUMMYFUNCTION("""COMPUTED_VALUE"""),7687.0)</f>
        <v>7687</v>
      </c>
      <c r="F51" s="39">
        <f>IFERROR(__xludf.DUMMYFUNCTION("""COMPUTED_VALUE"""),4761.0)</f>
        <v>4761</v>
      </c>
      <c r="G51" s="43">
        <f>AVERAGEIFS('Perú pre-COVID'!$E:$E,'Perú pre-COVID'!$D:$D,D51)</f>
        <v>2058.25</v>
      </c>
      <c r="H51" s="43">
        <f t="shared" si="1"/>
        <v>5628.75</v>
      </c>
      <c r="I51" s="44">
        <f>(F51/VLOOKUP($A$2,'Población'!$A$1:$B$5,2,0))*100000</f>
        <v>14.271833</v>
      </c>
      <c r="J51" s="44">
        <f t="shared" si="2"/>
        <v>337.6048411</v>
      </c>
      <c r="K51" s="44">
        <f>(H51/VLOOKUP($A$2,'Población'!$A$1:$B$5,2,0))*100000</f>
        <v>16.87304768</v>
      </c>
      <c r="L51" s="44">
        <f t="shared" si="3"/>
        <v>371.3799138</v>
      </c>
    </row>
    <row r="52">
      <c r="A52" s="39" t="str">
        <f>IFERROR(__xludf.DUMMYFUNCTION("""COMPUTED_VALUE"""),"Peru")</f>
        <v>Peru</v>
      </c>
      <c r="B52" s="40">
        <f>IFERROR(__xludf.DUMMYFUNCTION("""COMPUTED_VALUE"""),44242.0)</f>
        <v>44242</v>
      </c>
      <c r="C52" s="41">
        <f>IFERROR(__xludf.DUMMYFUNCTION("""COMPUTED_VALUE"""),44248.0)</f>
        <v>44248</v>
      </c>
      <c r="D52" s="39">
        <f>IFERROR(__xludf.DUMMYFUNCTION("""COMPUTED_VALUE"""),7.0)</f>
        <v>7</v>
      </c>
      <c r="E52" s="39">
        <f>IFERROR(__xludf.DUMMYFUNCTION("""COMPUTED_VALUE"""),7711.0)</f>
        <v>7711</v>
      </c>
      <c r="F52" s="39">
        <f>IFERROR(__xludf.DUMMYFUNCTION("""COMPUTED_VALUE"""),5122.0)</f>
        <v>5122</v>
      </c>
      <c r="G52" s="43">
        <f>AVERAGEIFS('Perú pre-COVID'!$E:$E,'Perú pre-COVID'!$D:$D,D52)</f>
        <v>2086</v>
      </c>
      <c r="H52" s="43">
        <f t="shared" si="1"/>
        <v>5625</v>
      </c>
      <c r="I52" s="44">
        <f>(F52/VLOOKUP($A$2,'Población'!$A$1:$B$5,2,0))*100000</f>
        <v>15.35398627</v>
      </c>
      <c r="J52" s="44">
        <f t="shared" si="2"/>
        <v>352.9588274</v>
      </c>
      <c r="K52" s="44">
        <f>(H52/VLOOKUP($A$2,'Población'!$A$1:$B$5,2,0))*100000</f>
        <v>16.86180648</v>
      </c>
      <c r="L52" s="44">
        <f t="shared" si="3"/>
        <v>388.2417203</v>
      </c>
    </row>
    <row r="53">
      <c r="A53" s="39" t="str">
        <f>IFERROR(__xludf.DUMMYFUNCTION("""COMPUTED_VALUE"""),"Peru")</f>
        <v>Peru</v>
      </c>
      <c r="B53" s="40">
        <f>IFERROR(__xludf.DUMMYFUNCTION("""COMPUTED_VALUE"""),44249.0)</f>
        <v>44249</v>
      </c>
      <c r="C53" s="41">
        <f>IFERROR(__xludf.DUMMYFUNCTION("""COMPUTED_VALUE"""),44255.0)</f>
        <v>44255</v>
      </c>
      <c r="D53" s="39">
        <f>IFERROR(__xludf.DUMMYFUNCTION("""COMPUTED_VALUE"""),8.0)</f>
        <v>8</v>
      </c>
      <c r="E53" s="39">
        <f>IFERROR(__xludf.DUMMYFUNCTION("""COMPUTED_VALUE"""),7393.0)</f>
        <v>7393</v>
      </c>
      <c r="F53" s="39">
        <f>IFERROR(__xludf.DUMMYFUNCTION("""COMPUTED_VALUE"""),4757.0)</f>
        <v>4757</v>
      </c>
      <c r="G53" s="43">
        <f>AVERAGEIFS('Perú pre-COVID'!$E:$E,'Perú pre-COVID'!$D:$D,D53)</f>
        <v>2136</v>
      </c>
      <c r="H53" s="43">
        <f t="shared" si="1"/>
        <v>5257</v>
      </c>
      <c r="I53" s="44">
        <f>(F53/VLOOKUP($A$2,'Población'!$A$1:$B$5,2,0))*100000</f>
        <v>14.25984239</v>
      </c>
      <c r="J53" s="44">
        <f t="shared" si="2"/>
        <v>367.2186698</v>
      </c>
      <c r="K53" s="44">
        <f>(H53/VLOOKUP($A$2,'Población'!$A$1:$B$5,2,0))*100000</f>
        <v>15.75866963</v>
      </c>
      <c r="L53" s="44">
        <f t="shared" si="3"/>
        <v>404.0003899</v>
      </c>
    </row>
    <row r="54">
      <c r="A54" s="39" t="str">
        <f>IFERROR(__xludf.DUMMYFUNCTION("""COMPUTED_VALUE"""),"Peru")</f>
        <v>Peru</v>
      </c>
      <c r="B54" s="40">
        <f>IFERROR(__xludf.DUMMYFUNCTION("""COMPUTED_VALUE"""),44256.0)</f>
        <v>44256</v>
      </c>
      <c r="C54" s="41">
        <f>IFERROR(__xludf.DUMMYFUNCTION("""COMPUTED_VALUE"""),44262.0)</f>
        <v>44262</v>
      </c>
      <c r="D54" s="39">
        <f>IFERROR(__xludf.DUMMYFUNCTION("""COMPUTED_VALUE"""),9.0)</f>
        <v>9</v>
      </c>
      <c r="E54" s="39">
        <f>IFERROR(__xludf.DUMMYFUNCTION("""COMPUTED_VALUE"""),7500.0)</f>
        <v>7500</v>
      </c>
      <c r="F54" s="39">
        <f>IFERROR(__xludf.DUMMYFUNCTION("""COMPUTED_VALUE"""),4737.0)</f>
        <v>4737</v>
      </c>
      <c r="G54" s="43">
        <f>AVERAGEIFS('Perú pre-COVID'!$E:$E,'Perú pre-COVID'!$D:$D,D54)</f>
        <v>2197</v>
      </c>
      <c r="H54" s="43">
        <f t="shared" si="1"/>
        <v>5303</v>
      </c>
      <c r="I54" s="44">
        <f>(F54/VLOOKUP($A$2,'Población'!$A$1:$B$5,2,0))*100000</f>
        <v>14.1998893</v>
      </c>
      <c r="J54" s="44">
        <f t="shared" si="2"/>
        <v>381.418559</v>
      </c>
      <c r="K54" s="44">
        <f>(H54/VLOOKUP($A$2,'Población'!$A$1:$B$5,2,0))*100000</f>
        <v>15.89656174</v>
      </c>
      <c r="L54" s="44">
        <f t="shared" si="3"/>
        <v>419.8969516</v>
      </c>
    </row>
    <row r="55">
      <c r="A55" s="39" t="str">
        <f>IFERROR(__xludf.DUMMYFUNCTION("""COMPUTED_VALUE"""),"Peru")</f>
        <v>Peru</v>
      </c>
      <c r="B55" s="40">
        <f>IFERROR(__xludf.DUMMYFUNCTION("""COMPUTED_VALUE"""),44263.0)</f>
        <v>44263</v>
      </c>
      <c r="C55" s="41">
        <f>IFERROR(__xludf.DUMMYFUNCTION("""COMPUTED_VALUE"""),44269.0)</f>
        <v>44269</v>
      </c>
      <c r="D55" s="39">
        <f>IFERROR(__xludf.DUMMYFUNCTION("""COMPUTED_VALUE"""),10.0)</f>
        <v>10</v>
      </c>
      <c r="E55" s="39">
        <f>IFERROR(__xludf.DUMMYFUNCTION("""COMPUTED_VALUE"""),7379.0)</f>
        <v>7379</v>
      </c>
      <c r="F55" s="39">
        <f>IFERROR(__xludf.DUMMYFUNCTION("""COMPUTED_VALUE"""),4296.0)</f>
        <v>4296</v>
      </c>
      <c r="G55" s="43">
        <f>AVERAGEIFS('Perú pre-COVID'!$E:$E,'Perú pre-COVID'!$D:$D,D55)</f>
        <v>2008.333333</v>
      </c>
      <c r="H55" s="43">
        <f t="shared" si="1"/>
        <v>5370.666667</v>
      </c>
      <c r="I55" s="44">
        <f>(F55/VLOOKUP($A$2,'Población'!$A$1:$B$5,2,0))*100000</f>
        <v>12.87792367</v>
      </c>
      <c r="J55" s="44">
        <f t="shared" si="2"/>
        <v>394.2964827</v>
      </c>
      <c r="K55" s="44">
        <f>(H55/VLOOKUP($A$2,'Población'!$A$1:$B$5,2,0))*100000</f>
        <v>16.09940302</v>
      </c>
      <c r="L55" s="44">
        <f t="shared" si="3"/>
        <v>435.9963547</v>
      </c>
    </row>
    <row r="56">
      <c r="A56" s="39" t="str">
        <f>IFERROR(__xludf.DUMMYFUNCTION("""COMPUTED_VALUE"""),"Peru")</f>
        <v>Peru</v>
      </c>
      <c r="B56" s="40">
        <f>IFERROR(__xludf.DUMMYFUNCTION("""COMPUTED_VALUE"""),44270.0)</f>
        <v>44270</v>
      </c>
      <c r="C56" s="41">
        <f>IFERROR(__xludf.DUMMYFUNCTION("""COMPUTED_VALUE"""),44276.0)</f>
        <v>44276</v>
      </c>
      <c r="D56" s="39">
        <f>IFERROR(__xludf.DUMMYFUNCTION("""COMPUTED_VALUE"""),11.0)</f>
        <v>11</v>
      </c>
      <c r="E56" s="39">
        <f>IFERROR(__xludf.DUMMYFUNCTION("""COMPUTED_VALUE"""),7427.0)</f>
        <v>7427</v>
      </c>
      <c r="F56" s="39">
        <f>IFERROR(__xludf.DUMMYFUNCTION("""COMPUTED_VALUE"""),4741.0)</f>
        <v>4741</v>
      </c>
      <c r="G56" s="43">
        <f>AVERAGEIFS('Perú pre-COVID'!$E:$E,'Perú pre-COVID'!$D:$D,D56)</f>
        <v>2051.666667</v>
      </c>
      <c r="H56" s="43">
        <f t="shared" si="1"/>
        <v>5375.333333</v>
      </c>
      <c r="I56" s="44">
        <f>(F56/VLOOKUP($A$2,'Población'!$A$1:$B$5,2,0))*100000</f>
        <v>14.21187991</v>
      </c>
      <c r="J56" s="44">
        <f t="shared" si="2"/>
        <v>408.5083626</v>
      </c>
      <c r="K56" s="44">
        <f>(H56/VLOOKUP($A$2,'Población'!$A$1:$B$5,2,0))*100000</f>
        <v>16.11339208</v>
      </c>
      <c r="L56" s="44">
        <f t="shared" si="3"/>
        <v>452.1097467</v>
      </c>
    </row>
    <row r="57">
      <c r="A57" s="39" t="str">
        <f>IFERROR(__xludf.DUMMYFUNCTION("""COMPUTED_VALUE"""),"Peru")</f>
        <v>Peru</v>
      </c>
      <c r="B57" s="40">
        <f>IFERROR(__xludf.DUMMYFUNCTION("""COMPUTED_VALUE"""),44277.0)</f>
        <v>44277</v>
      </c>
      <c r="C57" s="41">
        <f>IFERROR(__xludf.DUMMYFUNCTION("""COMPUTED_VALUE"""),44283.0)</f>
        <v>44283</v>
      </c>
      <c r="D57" s="39">
        <f>IFERROR(__xludf.DUMMYFUNCTION("""COMPUTED_VALUE"""),12.0)</f>
        <v>12</v>
      </c>
      <c r="E57" s="39">
        <f>IFERROR(__xludf.DUMMYFUNCTION("""COMPUTED_VALUE"""),7570.0)</f>
        <v>7570</v>
      </c>
      <c r="F57" s="39">
        <f>IFERROR(__xludf.DUMMYFUNCTION("""COMPUTED_VALUE"""),4994.0)</f>
        <v>4994</v>
      </c>
      <c r="G57" s="43">
        <f>AVERAGEIFS('Perú pre-COVID'!$E:$E,'Perú pre-COVID'!$D:$D,D57)</f>
        <v>1996</v>
      </c>
      <c r="H57" s="43">
        <f t="shared" si="1"/>
        <v>5574</v>
      </c>
      <c r="I57" s="44">
        <f>(F57/VLOOKUP($A$2,'Población'!$A$1:$B$5,2,0))*100000</f>
        <v>14.9702865</v>
      </c>
      <c r="J57" s="44">
        <f t="shared" si="2"/>
        <v>423.4786491</v>
      </c>
      <c r="K57" s="44">
        <f>(H57/VLOOKUP($A$2,'Población'!$A$1:$B$5,2,0))*100000</f>
        <v>16.7089261</v>
      </c>
      <c r="L57" s="44">
        <f t="shared" si="3"/>
        <v>468.8186728</v>
      </c>
    </row>
    <row r="58">
      <c r="A58" s="39" t="str">
        <f>IFERROR(__xludf.DUMMYFUNCTION("""COMPUTED_VALUE"""),"Peru")</f>
        <v>Peru</v>
      </c>
      <c r="B58" s="40">
        <f>IFERROR(__xludf.DUMMYFUNCTION("""COMPUTED_VALUE"""),44284.0)</f>
        <v>44284</v>
      </c>
      <c r="C58" s="41">
        <f>IFERROR(__xludf.DUMMYFUNCTION("""COMPUTED_VALUE"""),44290.0)</f>
        <v>44290</v>
      </c>
      <c r="D58" s="39">
        <f>IFERROR(__xludf.DUMMYFUNCTION("""COMPUTED_VALUE"""),13.0)</f>
        <v>13</v>
      </c>
      <c r="E58" s="39">
        <f>IFERROR(__xludf.DUMMYFUNCTION("""COMPUTED_VALUE"""),7900.0)</f>
        <v>7900</v>
      </c>
      <c r="F58" s="39">
        <f>IFERROR(__xludf.DUMMYFUNCTION("""COMPUTED_VALUE"""),5157.0)</f>
        <v>5157</v>
      </c>
      <c r="G58" s="43">
        <f>AVERAGEIFS('Perú pre-COVID'!$E:$E,'Perú pre-COVID'!$D:$D,D58)</f>
        <v>1960</v>
      </c>
      <c r="H58" s="43">
        <f t="shared" si="1"/>
        <v>5940</v>
      </c>
      <c r="I58" s="44">
        <f>(F58/VLOOKUP($A$2,'Población'!$A$1:$B$5,2,0))*100000</f>
        <v>15.45890418</v>
      </c>
      <c r="J58" s="44">
        <f t="shared" si="2"/>
        <v>438.9375533</v>
      </c>
      <c r="K58" s="44">
        <f>(H58/VLOOKUP($A$2,'Población'!$A$1:$B$5,2,0))*100000</f>
        <v>17.80606764</v>
      </c>
      <c r="L58" s="44">
        <f t="shared" si="3"/>
        <v>486.6247405</v>
      </c>
    </row>
    <row r="59">
      <c r="A59" s="39" t="str">
        <f>IFERROR(__xludf.DUMMYFUNCTION("""COMPUTED_VALUE"""),"Peru")</f>
        <v>Peru</v>
      </c>
      <c r="B59" s="40">
        <f>IFERROR(__xludf.DUMMYFUNCTION("""COMPUTED_VALUE"""),44291.0)</f>
        <v>44291</v>
      </c>
      <c r="C59" s="41">
        <f>IFERROR(__xludf.DUMMYFUNCTION("""COMPUTED_VALUE"""),44297.0)</f>
        <v>44297</v>
      </c>
      <c r="D59" s="39">
        <f>IFERROR(__xludf.DUMMYFUNCTION("""COMPUTED_VALUE"""),14.0)</f>
        <v>14</v>
      </c>
      <c r="E59" s="39">
        <f>IFERROR(__xludf.DUMMYFUNCTION("""COMPUTED_VALUE"""),8468.0)</f>
        <v>8468</v>
      </c>
      <c r="F59" s="39">
        <f>IFERROR(__xludf.DUMMYFUNCTION("""COMPUTED_VALUE"""),5460.0)</f>
        <v>5460</v>
      </c>
      <c r="G59" s="43">
        <f>AVERAGEIFS('Perú pre-COVID'!$E:$E,'Perú pre-COVID'!$D:$D,D59)</f>
        <v>1968</v>
      </c>
      <c r="H59" s="43">
        <f t="shared" si="1"/>
        <v>6500</v>
      </c>
      <c r="I59" s="44">
        <f>(F59/VLOOKUP($A$2,'Población'!$A$1:$B$5,2,0))*100000</f>
        <v>16.36719349</v>
      </c>
      <c r="J59" s="44">
        <f t="shared" si="2"/>
        <v>455.3047468</v>
      </c>
      <c r="K59" s="44">
        <f>(H59/VLOOKUP($A$2,'Población'!$A$1:$B$5,2,0))*100000</f>
        <v>19.48475415</v>
      </c>
      <c r="L59" s="44">
        <f t="shared" si="3"/>
        <v>506.1094946</v>
      </c>
    </row>
    <row r="60">
      <c r="A60" s="39" t="str">
        <f>IFERROR(__xludf.DUMMYFUNCTION("""COMPUTED_VALUE"""),"Peru")</f>
        <v>Peru</v>
      </c>
      <c r="B60" s="40">
        <f>IFERROR(__xludf.DUMMYFUNCTION("""COMPUTED_VALUE"""),44298.0)</f>
        <v>44298</v>
      </c>
      <c r="C60" s="41">
        <f>IFERROR(__xludf.DUMMYFUNCTION("""COMPUTED_VALUE"""),44304.0)</f>
        <v>44304</v>
      </c>
      <c r="D60" s="39">
        <f>IFERROR(__xludf.DUMMYFUNCTION("""COMPUTED_VALUE"""),15.0)</f>
        <v>15</v>
      </c>
      <c r="E60" s="39">
        <f>IFERROR(__xludf.DUMMYFUNCTION("""COMPUTED_VALUE"""),8426.0)</f>
        <v>8426</v>
      </c>
      <c r="F60" s="39">
        <f>IFERROR(__xludf.DUMMYFUNCTION("""COMPUTED_VALUE"""),5356.0)</f>
        <v>5356</v>
      </c>
      <c r="G60" s="43">
        <f>AVERAGEIFS('Perú pre-COVID'!$E:$E,'Perú pre-COVID'!$D:$D,D60)</f>
        <v>1896.333333</v>
      </c>
      <c r="H60" s="43">
        <f t="shared" si="1"/>
        <v>6529.666667</v>
      </c>
      <c r="I60" s="44">
        <f>(F60/VLOOKUP($A$2,'Población'!$A$1:$B$5,2,0))*100000</f>
        <v>16.05543742</v>
      </c>
      <c r="J60" s="44">
        <f t="shared" si="2"/>
        <v>471.3601842</v>
      </c>
      <c r="K60" s="44">
        <f>(H60/VLOOKUP($A$2,'Población'!$A$1:$B$5,2,0))*100000</f>
        <v>19.57368457</v>
      </c>
      <c r="L60" s="44">
        <f t="shared" si="3"/>
        <v>525.6831792</v>
      </c>
    </row>
    <row r="61">
      <c r="A61" s="39" t="str">
        <f>IFERROR(__xludf.DUMMYFUNCTION("""COMPUTED_VALUE"""),"Peru")</f>
        <v>Peru</v>
      </c>
      <c r="B61" s="40">
        <f>IFERROR(__xludf.DUMMYFUNCTION("""COMPUTED_VALUE"""),44305.0)</f>
        <v>44305</v>
      </c>
      <c r="C61" s="41">
        <f>IFERROR(__xludf.DUMMYFUNCTION("""COMPUTED_VALUE"""),44311.0)</f>
        <v>44311</v>
      </c>
      <c r="D61" s="39">
        <f>IFERROR(__xludf.DUMMYFUNCTION("""COMPUTED_VALUE"""),16.0)</f>
        <v>16</v>
      </c>
      <c r="E61" s="39">
        <f>IFERROR(__xludf.DUMMYFUNCTION("""COMPUTED_VALUE"""),8246.0)</f>
        <v>8246</v>
      </c>
      <c r="F61" s="39">
        <f>IFERROR(__xludf.DUMMYFUNCTION("""COMPUTED_VALUE"""),5963.0)</f>
        <v>5963</v>
      </c>
      <c r="G61" s="43">
        <f>AVERAGEIFS('Perú pre-COVID'!$E:$E,'Perú pre-COVID'!$D:$D,D61)</f>
        <v>1976</v>
      </c>
      <c r="H61" s="43">
        <f t="shared" si="1"/>
        <v>6270</v>
      </c>
      <c r="I61" s="44">
        <f>(F61/VLOOKUP($A$2,'Población'!$A$1:$B$5,2,0))*100000</f>
        <v>17.8750137</v>
      </c>
      <c r="J61" s="44">
        <f t="shared" si="2"/>
        <v>489.2351979</v>
      </c>
      <c r="K61" s="44">
        <f>(H61/VLOOKUP($A$2,'Población'!$A$1:$B$5,2,0))*100000</f>
        <v>18.79529362</v>
      </c>
      <c r="L61" s="44">
        <f t="shared" si="3"/>
        <v>544.4784728</v>
      </c>
    </row>
    <row r="62">
      <c r="A62" s="39" t="str">
        <f>IFERROR(__xludf.DUMMYFUNCTION("""COMPUTED_VALUE"""),"Peru")</f>
        <v>Peru</v>
      </c>
      <c r="B62" s="40">
        <f>IFERROR(__xludf.DUMMYFUNCTION("""COMPUTED_VALUE"""),44312.0)</f>
        <v>44312</v>
      </c>
      <c r="C62" s="41">
        <f>IFERROR(__xludf.DUMMYFUNCTION("""COMPUTED_VALUE"""),44318.0)</f>
        <v>44318</v>
      </c>
      <c r="D62" s="39">
        <f>IFERROR(__xludf.DUMMYFUNCTION("""COMPUTED_VALUE"""),17.0)</f>
        <v>17</v>
      </c>
      <c r="E62" s="39">
        <f>IFERROR(__xludf.DUMMYFUNCTION("""COMPUTED_VALUE"""),7695.0)</f>
        <v>7695</v>
      </c>
      <c r="F62" s="39">
        <f>IFERROR(__xludf.DUMMYFUNCTION("""COMPUTED_VALUE"""),4914.0)</f>
        <v>4914</v>
      </c>
      <c r="G62" s="43">
        <f>AVERAGEIFS('Perú pre-COVID'!$E:$E,'Perú pre-COVID'!$D:$D,D62)</f>
        <v>1899.666667</v>
      </c>
      <c r="H62" s="43">
        <f t="shared" si="1"/>
        <v>5795.333333</v>
      </c>
      <c r="I62" s="44">
        <f>(F62/VLOOKUP($A$2,'Población'!$A$1:$B$5,2,0))*100000</f>
        <v>14.73047414</v>
      </c>
      <c r="J62" s="44">
        <f t="shared" si="2"/>
        <v>503.9656721</v>
      </c>
      <c r="K62" s="44">
        <f>(H62/VLOOKUP($A$2,'Población'!$A$1:$B$5,2,0))*100000</f>
        <v>17.37240696</v>
      </c>
      <c r="L62" s="44">
        <f t="shared" si="3"/>
        <v>561.8508798</v>
      </c>
    </row>
    <row r="63">
      <c r="A63" s="39" t="str">
        <f>IFERROR(__xludf.DUMMYFUNCTION("""COMPUTED_VALUE"""),"Peru")</f>
        <v>Peru</v>
      </c>
      <c r="B63" s="40">
        <f>IFERROR(__xludf.DUMMYFUNCTION("""COMPUTED_VALUE"""),44319.0)</f>
        <v>44319</v>
      </c>
      <c r="C63" s="41">
        <f>IFERROR(__xludf.DUMMYFUNCTION("""COMPUTED_VALUE"""),44325.0)</f>
        <v>44325</v>
      </c>
      <c r="D63" s="39">
        <f>IFERROR(__xludf.DUMMYFUNCTION("""COMPUTED_VALUE"""),18.0)</f>
        <v>18</v>
      </c>
      <c r="E63" s="39">
        <f>IFERROR(__xludf.DUMMYFUNCTION("""COMPUTED_VALUE"""),7171.0)</f>
        <v>7171</v>
      </c>
      <c r="F63" s="39">
        <f>IFERROR(__xludf.DUMMYFUNCTION("""COMPUTED_VALUE"""),4983.0)</f>
        <v>4983</v>
      </c>
      <c r="G63" s="43">
        <f>AVERAGEIFS('Perú pre-COVID'!$E:$E,'Perú pre-COVID'!$D:$D,D63)</f>
        <v>1983.666667</v>
      </c>
      <c r="H63" s="43">
        <f t="shared" si="1"/>
        <v>5187.333333</v>
      </c>
      <c r="I63" s="44">
        <f>(F63/VLOOKUP($A$2,'Población'!$A$1:$B$5,2,0))*100000</f>
        <v>14.9373123</v>
      </c>
      <c r="J63" s="44">
        <f t="shared" si="2"/>
        <v>518.9029844</v>
      </c>
      <c r="K63" s="44">
        <f>(H63/VLOOKUP($A$2,'Población'!$A$1:$B$5,2,0))*100000</f>
        <v>15.54983303</v>
      </c>
      <c r="L63" s="44">
        <f t="shared" si="3"/>
        <v>577.4007128</v>
      </c>
    </row>
    <row r="64">
      <c r="A64" s="39" t="str">
        <f>IFERROR(__xludf.DUMMYFUNCTION("""COMPUTED_VALUE"""),"Peru")</f>
        <v>Peru</v>
      </c>
      <c r="B64" s="40">
        <f>IFERROR(__xludf.DUMMYFUNCTION("""COMPUTED_VALUE"""),44326.0)</f>
        <v>44326</v>
      </c>
      <c r="C64" s="41">
        <f>IFERROR(__xludf.DUMMYFUNCTION("""COMPUTED_VALUE"""),44332.0)</f>
        <v>44332</v>
      </c>
      <c r="D64" s="39">
        <f>IFERROR(__xludf.DUMMYFUNCTION("""COMPUTED_VALUE"""),19.0)</f>
        <v>19</v>
      </c>
      <c r="E64" s="39">
        <f>IFERROR(__xludf.DUMMYFUNCTION("""COMPUTED_VALUE"""),6533.0)</f>
        <v>6533</v>
      </c>
      <c r="F64" s="39">
        <f>IFERROR(__xludf.DUMMYFUNCTION("""COMPUTED_VALUE"""),4093.0)</f>
        <v>4093</v>
      </c>
      <c r="G64" s="43">
        <f>AVERAGEIFS('Perú pre-COVID'!$E:$E,'Perú pre-COVID'!$D:$D,D64)</f>
        <v>1911</v>
      </c>
      <c r="H64" s="43">
        <f t="shared" si="1"/>
        <v>4622</v>
      </c>
      <c r="I64" s="44">
        <f>(F64/VLOOKUP($A$2,'Población'!$A$1:$B$5,2,0))*100000</f>
        <v>12.26939981</v>
      </c>
      <c r="J64" s="44">
        <f t="shared" si="2"/>
        <v>531.1723842</v>
      </c>
      <c r="K64" s="44">
        <f>(H64/VLOOKUP($A$2,'Población'!$A$1:$B$5,2,0))*100000</f>
        <v>13.85515903</v>
      </c>
      <c r="L64" s="44">
        <f t="shared" si="3"/>
        <v>591.2558718</v>
      </c>
    </row>
    <row r="65">
      <c r="A65" s="39" t="str">
        <f>IFERROR(__xludf.DUMMYFUNCTION("""COMPUTED_VALUE"""),"Peru")</f>
        <v>Peru</v>
      </c>
      <c r="B65" s="40">
        <f>IFERROR(__xludf.DUMMYFUNCTION("""COMPUTED_VALUE"""),44333.0)</f>
        <v>44333</v>
      </c>
      <c r="C65" s="41">
        <f>IFERROR(__xludf.DUMMYFUNCTION("""COMPUTED_VALUE"""),44339.0)</f>
        <v>44339</v>
      </c>
      <c r="D65" s="39">
        <f>IFERROR(__xludf.DUMMYFUNCTION("""COMPUTED_VALUE"""),20.0)</f>
        <v>20</v>
      </c>
      <c r="E65" s="39">
        <f>IFERROR(__xludf.DUMMYFUNCTION("""COMPUTED_VALUE"""),6053.0)</f>
        <v>6053</v>
      </c>
      <c r="F65" s="39">
        <f>IFERROR(__xludf.DUMMYFUNCTION("""COMPUTED_VALUE"""),3409.0)</f>
        <v>3409</v>
      </c>
      <c r="G65" s="43">
        <f>AVERAGEIFS('Perú pre-COVID'!$E:$E,'Perú pre-COVID'!$D:$D,D65)</f>
        <v>1984</v>
      </c>
      <c r="H65" s="43">
        <f t="shared" si="1"/>
        <v>4069</v>
      </c>
      <c r="I65" s="44">
        <f>(F65/VLOOKUP($A$2,'Población'!$A$1:$B$5,2,0))*100000</f>
        <v>10.21900414</v>
      </c>
      <c r="J65" s="44">
        <f t="shared" si="2"/>
        <v>541.3913883</v>
      </c>
      <c r="K65" s="44">
        <f>(H65/VLOOKUP($A$2,'Población'!$A$1:$B$5,2,0))*100000</f>
        <v>12.1974561</v>
      </c>
      <c r="L65" s="44">
        <f t="shared" si="3"/>
        <v>603.4533279</v>
      </c>
    </row>
    <row r="66">
      <c r="A66" s="39" t="str">
        <f>IFERROR(__xludf.DUMMYFUNCTION("""COMPUTED_VALUE"""),"Peru")</f>
        <v>Peru</v>
      </c>
      <c r="B66" s="40">
        <f>IFERROR(__xludf.DUMMYFUNCTION("""COMPUTED_VALUE"""),44340.0)</f>
        <v>44340</v>
      </c>
      <c r="C66" s="41">
        <f>IFERROR(__xludf.DUMMYFUNCTION("""COMPUTED_VALUE"""),44346.0)</f>
        <v>44346</v>
      </c>
      <c r="D66" s="39">
        <f>IFERROR(__xludf.DUMMYFUNCTION("""COMPUTED_VALUE"""),21.0)</f>
        <v>21</v>
      </c>
      <c r="E66" s="39">
        <f>IFERROR(__xludf.DUMMYFUNCTION("""COMPUTED_VALUE"""),5629.0)</f>
        <v>5629</v>
      </c>
      <c r="F66" s="39">
        <f>IFERROR(__xludf.DUMMYFUNCTION("""COMPUTED_VALUE"""),2786.0)</f>
        <v>2786</v>
      </c>
      <c r="G66" s="43">
        <f>AVERAGEIFS('Perú pre-COVID'!$E:$E,'Perú pre-COVID'!$D:$D,D66)</f>
        <v>2034</v>
      </c>
      <c r="H66" s="43">
        <f t="shared" si="1"/>
        <v>3595</v>
      </c>
      <c r="I66" s="44">
        <f>(F66/VLOOKUP($A$2,'Población'!$A$1:$B$5,2,0))*100000</f>
        <v>8.351465396</v>
      </c>
      <c r="J66" s="44">
        <f t="shared" si="2"/>
        <v>549.7428537</v>
      </c>
      <c r="K66" s="44">
        <f>(H66/VLOOKUP($A$2,'Población'!$A$1:$B$5,2,0))*100000</f>
        <v>10.77656787</v>
      </c>
      <c r="L66" s="44">
        <f t="shared" si="3"/>
        <v>614.2298958</v>
      </c>
    </row>
    <row r="67">
      <c r="A67" s="39" t="str">
        <f>IFERROR(__xludf.DUMMYFUNCTION("""COMPUTED_VALUE"""),"Peru")</f>
        <v>Peru</v>
      </c>
      <c r="B67" s="40">
        <f>IFERROR(__xludf.DUMMYFUNCTION("""COMPUTED_VALUE"""),44347.0)</f>
        <v>44347</v>
      </c>
      <c r="C67" s="41">
        <f>IFERROR(__xludf.DUMMYFUNCTION("""COMPUTED_VALUE"""),44353.0)</f>
        <v>44353</v>
      </c>
      <c r="D67" s="39">
        <f>IFERROR(__xludf.DUMMYFUNCTION("""COMPUTED_VALUE"""),22.0)</f>
        <v>22</v>
      </c>
      <c r="E67" s="39">
        <f>IFERROR(__xludf.DUMMYFUNCTION("""COMPUTED_VALUE"""),5291.0)</f>
        <v>5291</v>
      </c>
      <c r="F67" s="39">
        <f>IFERROR(__xludf.DUMMYFUNCTION("""COMPUTED_VALUE"""),2682.0)</f>
        <v>2682</v>
      </c>
      <c r="G67" s="43">
        <f>AVERAGEIFS('Perú pre-COVID'!$E:$E,'Perú pre-COVID'!$D:$D,D67)</f>
        <v>2050</v>
      </c>
      <c r="H67" s="43">
        <f t="shared" si="1"/>
        <v>3241</v>
      </c>
      <c r="I67" s="44">
        <f>(F67/VLOOKUP($A$2,'Población'!$A$1:$B$5,2,0))*100000</f>
        <v>8.039709329</v>
      </c>
      <c r="J67" s="44">
        <f t="shared" si="2"/>
        <v>557.782563</v>
      </c>
      <c r="K67" s="44">
        <f>(H67/VLOOKUP($A$2,'Población'!$A$1:$B$5,2,0))*100000</f>
        <v>9.715398187</v>
      </c>
      <c r="L67" s="44">
        <f t="shared" si="3"/>
        <v>623.945294</v>
      </c>
    </row>
    <row r="68">
      <c r="A68" s="39" t="str">
        <f>IFERROR(__xludf.DUMMYFUNCTION("""COMPUTED_VALUE"""),"Peru")</f>
        <v>Peru</v>
      </c>
      <c r="B68" s="40">
        <f>IFERROR(__xludf.DUMMYFUNCTION("""COMPUTED_VALUE"""),44354.0)</f>
        <v>44354</v>
      </c>
      <c r="C68" s="41">
        <f>IFERROR(__xludf.DUMMYFUNCTION("""COMPUTED_VALUE"""),44360.0)</f>
        <v>44360</v>
      </c>
      <c r="D68" s="39">
        <f>IFERROR(__xludf.DUMMYFUNCTION("""COMPUTED_VALUE"""),23.0)</f>
        <v>23</v>
      </c>
      <c r="E68" s="39">
        <f>IFERROR(__xludf.DUMMYFUNCTION("""COMPUTED_VALUE"""),4726.0)</f>
        <v>4726</v>
      </c>
      <c r="F68" s="39">
        <f>IFERROR(__xludf.DUMMYFUNCTION("""COMPUTED_VALUE"""),2635.0)</f>
        <v>2635</v>
      </c>
      <c r="G68" s="43">
        <f>AVERAGEIFS('Perú pre-COVID'!$E:$E,'Perú pre-COVID'!$D:$D,D68)</f>
        <v>2135</v>
      </c>
      <c r="H68" s="43">
        <f t="shared" si="1"/>
        <v>2591</v>
      </c>
      <c r="I68" s="44">
        <f>(F68/VLOOKUP($A$2,'Población'!$A$1:$B$5,2,0))*100000</f>
        <v>7.898819569</v>
      </c>
      <c r="J68" s="44">
        <f t="shared" si="2"/>
        <v>565.6813826</v>
      </c>
      <c r="K68" s="44">
        <f>(H68/VLOOKUP($A$2,'Población'!$A$1:$B$5,2,0))*100000</f>
        <v>7.766922771</v>
      </c>
      <c r="L68" s="44">
        <f t="shared" si="3"/>
        <v>631.7122168</v>
      </c>
    </row>
    <row r="69">
      <c r="A69" s="39" t="str">
        <f>IFERROR(__xludf.DUMMYFUNCTION("""COMPUTED_VALUE"""),"Peru")</f>
        <v>Peru</v>
      </c>
      <c r="B69" s="40">
        <f>IFERROR(__xludf.DUMMYFUNCTION("""COMPUTED_VALUE"""),44361.0)</f>
        <v>44361</v>
      </c>
      <c r="C69" s="41">
        <f>IFERROR(__xludf.DUMMYFUNCTION("""COMPUTED_VALUE"""),44367.0)</f>
        <v>44367</v>
      </c>
      <c r="D69" s="39">
        <f>IFERROR(__xludf.DUMMYFUNCTION("""COMPUTED_VALUE"""),24.0)</f>
        <v>24</v>
      </c>
      <c r="E69" s="39">
        <f>IFERROR(__xludf.DUMMYFUNCTION("""COMPUTED_VALUE"""),4333.0)</f>
        <v>4333</v>
      </c>
      <c r="F69" s="39">
        <f>IFERROR(__xludf.DUMMYFUNCTION("""COMPUTED_VALUE"""),1494.0)</f>
        <v>1494</v>
      </c>
      <c r="G69" s="43">
        <f>AVERAGEIFS('Perú pre-COVID'!$E:$E,'Perú pre-COVID'!$D:$D,D69)</f>
        <v>2150</v>
      </c>
      <c r="H69" s="43">
        <f t="shared" si="1"/>
        <v>2183</v>
      </c>
      <c r="I69" s="44">
        <f>(F69/VLOOKUP($A$2,'Población'!$A$1:$B$5,2,0))*100000</f>
        <v>4.478495801</v>
      </c>
      <c r="J69" s="44">
        <f t="shared" si="2"/>
        <v>570.1598784</v>
      </c>
      <c r="K69" s="44">
        <f>(H69/VLOOKUP($A$2,'Población'!$A$1:$B$5,2,0))*100000</f>
        <v>6.543879741</v>
      </c>
      <c r="L69" s="44">
        <f t="shared" si="3"/>
        <v>638.2560965</v>
      </c>
    </row>
    <row r="70">
      <c r="A70" s="39" t="str">
        <f>IFERROR(__xludf.DUMMYFUNCTION("""COMPUTED_VALUE"""),"Peru")</f>
        <v>Peru</v>
      </c>
      <c r="B70" s="40">
        <f>IFERROR(__xludf.DUMMYFUNCTION("""COMPUTED_VALUE"""),44368.0)</f>
        <v>44368</v>
      </c>
      <c r="C70" s="41">
        <f>IFERROR(__xludf.DUMMYFUNCTION("""COMPUTED_VALUE"""),44374.0)</f>
        <v>44374</v>
      </c>
      <c r="D70" s="39">
        <f>IFERROR(__xludf.DUMMYFUNCTION("""COMPUTED_VALUE"""),25.0)</f>
        <v>25</v>
      </c>
      <c r="E70" s="39">
        <f>IFERROR(__xludf.DUMMYFUNCTION("""COMPUTED_VALUE"""),4024.0)</f>
        <v>4024</v>
      </c>
      <c r="F70" s="39">
        <f>IFERROR(__xludf.DUMMYFUNCTION("""COMPUTED_VALUE"""),1382.0)</f>
        <v>1382</v>
      </c>
      <c r="G70" s="43">
        <f>AVERAGEIFS('Perú pre-COVID'!$E:$E,'Perú pre-COVID'!$D:$D,D70)</f>
        <v>2223.333333</v>
      </c>
      <c r="H70" s="43">
        <f t="shared" si="1"/>
        <v>1800.666667</v>
      </c>
      <c r="I70" s="44">
        <f>(F70/VLOOKUP($A$2,'Población'!$A$1:$B$5,2,0))*100000</f>
        <v>4.142758499</v>
      </c>
      <c r="J70" s="44">
        <f t="shared" si="2"/>
        <v>574.3026369</v>
      </c>
      <c r="K70" s="44">
        <f>(H70/VLOOKUP($A$2,'Población'!$A$1:$B$5,2,0))*100000</f>
        <v>5.39777651</v>
      </c>
      <c r="L70" s="44">
        <f t="shared" si="3"/>
        <v>643.653873</v>
      </c>
    </row>
    <row r="71">
      <c r="A71" s="39" t="str">
        <f>IFERROR(__xludf.DUMMYFUNCTION("""COMPUTED_VALUE"""),"Peru")</f>
        <v>Peru</v>
      </c>
      <c r="B71" s="40">
        <f>IFERROR(__xludf.DUMMYFUNCTION("""COMPUTED_VALUE"""),44375.0)</f>
        <v>44375</v>
      </c>
      <c r="C71" s="41">
        <f>IFERROR(__xludf.DUMMYFUNCTION("""COMPUTED_VALUE"""),44381.0)</f>
        <v>44381</v>
      </c>
      <c r="D71" s="39">
        <f>IFERROR(__xludf.DUMMYFUNCTION("""COMPUTED_VALUE"""),26.0)</f>
        <v>26</v>
      </c>
      <c r="E71" s="39">
        <f>IFERROR(__xludf.DUMMYFUNCTION("""COMPUTED_VALUE"""),3816.0)</f>
        <v>3816</v>
      </c>
      <c r="F71" s="39">
        <f>IFERROR(__xludf.DUMMYFUNCTION("""COMPUTED_VALUE"""),1646.0)</f>
        <v>1646</v>
      </c>
      <c r="G71" s="43">
        <f>AVERAGEIFS('Perú pre-COVID'!$E:$E,'Perú pre-COVID'!$D:$D,D71)</f>
        <v>2200.333333</v>
      </c>
      <c r="H71" s="43">
        <f t="shared" si="1"/>
        <v>1615.666667</v>
      </c>
      <c r="I71" s="44">
        <f>(F71/VLOOKUP($A$2,'Población'!$A$1:$B$5,2,0))*100000</f>
        <v>4.934139283</v>
      </c>
      <c r="J71" s="44">
        <f t="shared" si="2"/>
        <v>579.2367762</v>
      </c>
      <c r="K71" s="44">
        <f>(H71/VLOOKUP($A$2,'Población'!$A$1:$B$5,2,0))*100000</f>
        <v>4.84321043</v>
      </c>
      <c r="L71" s="44">
        <f t="shared" si="3"/>
        <v>648.4970835</v>
      </c>
    </row>
    <row r="72">
      <c r="A72" s="39" t="str">
        <f>IFERROR(__xludf.DUMMYFUNCTION("""COMPUTED_VALUE"""),"Peru")</f>
        <v>Peru</v>
      </c>
      <c r="B72" s="40">
        <f>IFERROR(__xludf.DUMMYFUNCTION("""COMPUTED_VALUE"""),44382.0)</f>
        <v>44382</v>
      </c>
      <c r="C72" s="41">
        <f>IFERROR(__xludf.DUMMYFUNCTION("""COMPUTED_VALUE"""),44388.0)</f>
        <v>44388</v>
      </c>
      <c r="D72" s="39">
        <f>IFERROR(__xludf.DUMMYFUNCTION("""COMPUTED_VALUE"""),27.0)</f>
        <v>27</v>
      </c>
      <c r="E72" s="39">
        <f>IFERROR(__xludf.DUMMYFUNCTION("""COMPUTED_VALUE"""),3599.0)</f>
        <v>3599</v>
      </c>
      <c r="F72" s="39">
        <f>IFERROR(__xludf.DUMMYFUNCTION("""COMPUTED_VALUE"""),1157.0)</f>
        <v>1157</v>
      </c>
      <c r="G72" s="43">
        <f>AVERAGEIFS('Perú pre-COVID'!$E:$E,'Perú pre-COVID'!$D:$D,D72)</f>
        <v>2240</v>
      </c>
      <c r="H72" s="43">
        <f t="shared" si="1"/>
        <v>1359</v>
      </c>
      <c r="I72" s="44">
        <f>(F72/VLOOKUP($A$2,'Población'!$A$1:$B$5,2,0))*100000</f>
        <v>3.468286239</v>
      </c>
      <c r="J72" s="44">
        <f t="shared" si="2"/>
        <v>582.7050624</v>
      </c>
      <c r="K72" s="44">
        <f>(H72/VLOOKUP($A$2,'Población'!$A$1:$B$5,2,0))*100000</f>
        <v>4.073812445</v>
      </c>
      <c r="L72" s="44">
        <f t="shared" si="3"/>
        <v>652.5708959</v>
      </c>
    </row>
    <row r="73">
      <c r="A73" s="39" t="str">
        <f>IFERROR(__xludf.DUMMYFUNCTION("""COMPUTED_VALUE"""),"Peru")</f>
        <v>Peru</v>
      </c>
      <c r="B73" s="40">
        <f>IFERROR(__xludf.DUMMYFUNCTION("""COMPUTED_VALUE"""),44389.0)</f>
        <v>44389</v>
      </c>
      <c r="C73" s="41">
        <f>IFERROR(__xludf.DUMMYFUNCTION("""COMPUTED_VALUE"""),44395.0)</f>
        <v>44395</v>
      </c>
      <c r="D73" s="39">
        <f>IFERROR(__xludf.DUMMYFUNCTION("""COMPUTED_VALUE"""),28.0)</f>
        <v>28</v>
      </c>
      <c r="E73" s="39">
        <f>IFERROR(__xludf.DUMMYFUNCTION("""COMPUTED_VALUE"""),3333.0)</f>
        <v>3333</v>
      </c>
      <c r="F73" s="39">
        <f>IFERROR(__xludf.DUMMYFUNCTION("""COMPUTED_VALUE"""),759.0)</f>
        <v>759</v>
      </c>
      <c r="G73" s="43">
        <f>AVERAGEIFS('Perú pre-COVID'!$E:$E,'Perú pre-COVID'!$D:$D,D73)</f>
        <v>2141.666667</v>
      </c>
      <c r="H73" s="43">
        <f t="shared" si="1"/>
        <v>1191.333333</v>
      </c>
      <c r="I73" s="44">
        <f>(F73/VLOOKUP($A$2,'Población'!$A$1:$B$5,2,0))*100000</f>
        <v>2.275219754</v>
      </c>
      <c r="J73" s="44">
        <f t="shared" si="2"/>
        <v>584.9802822</v>
      </c>
      <c r="K73" s="44">
        <f>(H73/VLOOKUP($A$2,'Población'!$A$1:$B$5,2,0))*100000</f>
        <v>3.57120571</v>
      </c>
      <c r="L73" s="44">
        <f t="shared" si="3"/>
        <v>656.1421016</v>
      </c>
    </row>
    <row r="74">
      <c r="A74" s="39" t="str">
        <f>IFERROR(__xludf.DUMMYFUNCTION("""COMPUTED_VALUE"""),"Peru")</f>
        <v>Peru</v>
      </c>
      <c r="B74" s="40">
        <f>IFERROR(__xludf.DUMMYFUNCTION("""COMPUTED_VALUE"""),44396.0)</f>
        <v>44396</v>
      </c>
      <c r="C74" s="41">
        <f>IFERROR(__xludf.DUMMYFUNCTION("""COMPUTED_VALUE"""),44402.0)</f>
        <v>44402</v>
      </c>
      <c r="D74" s="39">
        <f>IFERROR(__xludf.DUMMYFUNCTION("""COMPUTED_VALUE"""),29.0)</f>
        <v>29</v>
      </c>
      <c r="E74" s="39">
        <f>IFERROR(__xludf.DUMMYFUNCTION("""COMPUTED_VALUE"""),3250.0)</f>
        <v>3250</v>
      </c>
      <c r="F74" s="39">
        <f>IFERROR(__xludf.DUMMYFUNCTION("""COMPUTED_VALUE"""),744.0)</f>
        <v>744</v>
      </c>
      <c r="G74" s="43">
        <f>AVERAGEIFS('Perú pre-COVID'!$E:$E,'Perú pre-COVID'!$D:$D,D74)</f>
        <v>2199.666667</v>
      </c>
      <c r="H74" s="43">
        <f t="shared" si="1"/>
        <v>1050.333333</v>
      </c>
      <c r="I74" s="44">
        <f>(F74/VLOOKUP($A$2,'Población'!$A$1:$B$5,2,0))*100000</f>
        <v>2.230254937</v>
      </c>
      <c r="J74" s="44">
        <f t="shared" si="2"/>
        <v>587.2105371</v>
      </c>
      <c r="K74" s="44">
        <f>(H74/VLOOKUP($A$2,'Población'!$A$1:$B$5,2,0))*100000</f>
        <v>3.148536428</v>
      </c>
      <c r="L74" s="44">
        <f t="shared" si="3"/>
        <v>659.290638</v>
      </c>
    </row>
    <row r="75">
      <c r="A75" s="39" t="str">
        <f>IFERROR(__xludf.DUMMYFUNCTION("""COMPUTED_VALUE"""),"Peru")</f>
        <v>Peru</v>
      </c>
      <c r="B75" s="40">
        <f>IFERROR(__xludf.DUMMYFUNCTION("""COMPUTED_VALUE"""),44403.0)</f>
        <v>44403</v>
      </c>
      <c r="C75" s="41">
        <f>IFERROR(__xludf.DUMMYFUNCTION("""COMPUTED_VALUE"""),44409.0)</f>
        <v>44409</v>
      </c>
      <c r="D75" s="39">
        <f>IFERROR(__xludf.DUMMYFUNCTION("""COMPUTED_VALUE"""),30.0)</f>
        <v>30</v>
      </c>
      <c r="E75" s="39">
        <f>IFERROR(__xludf.DUMMYFUNCTION("""COMPUTED_VALUE"""),3164.0)</f>
        <v>3164</v>
      </c>
      <c r="F75" s="39">
        <f>IFERROR(__xludf.DUMMYFUNCTION("""COMPUTED_VALUE"""),548.0)</f>
        <v>548</v>
      </c>
      <c r="G75" s="43">
        <f>AVERAGEIFS('Perú pre-COVID'!$E:$E,'Perú pre-COVID'!$D:$D,D75)</f>
        <v>2215.333333</v>
      </c>
      <c r="H75" s="43">
        <f t="shared" si="1"/>
        <v>948.6666667</v>
      </c>
      <c r="I75" s="44">
        <f>(F75/VLOOKUP($A$2,'Población'!$A$1:$B$5,2,0))*100000</f>
        <v>1.642714658</v>
      </c>
      <c r="J75" s="44">
        <f t="shared" si="2"/>
        <v>588.8532518</v>
      </c>
      <c r="K75" s="44">
        <f>(H75/VLOOKUP($A$2,'Población'!$A$1:$B$5,2,0))*100000</f>
        <v>2.843774888</v>
      </c>
      <c r="L75" s="44">
        <f t="shared" si="3"/>
        <v>662.1344129</v>
      </c>
    </row>
    <row r="76">
      <c r="A76" s="39" t="str">
        <f>IFERROR(__xludf.DUMMYFUNCTION("""COMPUTED_VALUE"""),"Peru")</f>
        <v>Peru</v>
      </c>
      <c r="B76" s="40">
        <f>IFERROR(__xludf.DUMMYFUNCTION("""COMPUTED_VALUE"""),44410.0)</f>
        <v>44410</v>
      </c>
      <c r="C76" s="41">
        <f>IFERROR(__xludf.DUMMYFUNCTION("""COMPUTED_VALUE"""),44416.0)</f>
        <v>44416</v>
      </c>
      <c r="D76" s="39">
        <f>IFERROR(__xludf.DUMMYFUNCTION("""COMPUTED_VALUE"""),31.0)</f>
        <v>31</v>
      </c>
      <c r="E76" s="39">
        <f>IFERROR(__xludf.DUMMYFUNCTION("""COMPUTED_VALUE"""),3062.0)</f>
        <v>3062</v>
      </c>
      <c r="F76" s="39">
        <f>IFERROR(__xludf.DUMMYFUNCTION("""COMPUTED_VALUE"""),512.0)</f>
        <v>512</v>
      </c>
      <c r="G76" s="43">
        <f>AVERAGEIFS('Perú pre-COVID'!$E:$E,'Perú pre-COVID'!$D:$D,D76)</f>
        <v>2182.666667</v>
      </c>
      <c r="H76" s="43">
        <f t="shared" si="1"/>
        <v>879.3333333</v>
      </c>
      <c r="I76" s="44">
        <f>(F76/VLOOKUP($A$2,'Población'!$A$1:$B$5,2,0))*100000</f>
        <v>1.534799096</v>
      </c>
      <c r="J76" s="44">
        <f t="shared" si="2"/>
        <v>590.3880509</v>
      </c>
      <c r="K76" s="44">
        <f>(H76/VLOOKUP($A$2,'Población'!$A$1:$B$5,2,0))*100000</f>
        <v>2.635937511</v>
      </c>
      <c r="L76" s="44">
        <f t="shared" si="3"/>
        <v>664.7703504</v>
      </c>
    </row>
    <row r="77">
      <c r="A77" s="39" t="str">
        <f>IFERROR(__xludf.DUMMYFUNCTION("""COMPUTED_VALUE"""),"Peru")</f>
        <v>Peru</v>
      </c>
      <c r="B77" s="40">
        <f>IFERROR(__xludf.DUMMYFUNCTION("""COMPUTED_VALUE"""),44417.0)</f>
        <v>44417</v>
      </c>
      <c r="C77" s="41">
        <f>IFERROR(__xludf.DUMMYFUNCTION("""COMPUTED_VALUE"""),44423.0)</f>
        <v>44423</v>
      </c>
      <c r="D77" s="39">
        <f>IFERROR(__xludf.DUMMYFUNCTION("""COMPUTED_VALUE"""),32.0)</f>
        <v>32</v>
      </c>
      <c r="E77" s="39">
        <f>IFERROR(__xludf.DUMMYFUNCTION("""COMPUTED_VALUE"""),3112.0)</f>
        <v>3112</v>
      </c>
      <c r="F77" s="39">
        <f>IFERROR(__xludf.DUMMYFUNCTION("""COMPUTED_VALUE"""),443.0)</f>
        <v>443</v>
      </c>
      <c r="G77" s="43">
        <f>AVERAGEIFS('Perú pre-COVID'!$E:$E,'Perú pre-COVID'!$D:$D,D77)</f>
        <v>2230.333333</v>
      </c>
      <c r="H77" s="43">
        <f t="shared" si="1"/>
        <v>881.6666667</v>
      </c>
      <c r="I77" s="44">
        <f>(F77/VLOOKUP($A$2,'Población'!$A$1:$B$5,2,0))*100000</f>
        <v>1.327960937</v>
      </c>
      <c r="J77" s="44">
        <f t="shared" si="2"/>
        <v>591.7160118</v>
      </c>
      <c r="K77" s="44">
        <f>(H77/VLOOKUP($A$2,'Población'!$A$1:$B$5,2,0))*100000</f>
        <v>2.642932038</v>
      </c>
      <c r="L77" s="44">
        <f t="shared" si="3"/>
        <v>667.4132825</v>
      </c>
    </row>
    <row r="78">
      <c r="A78" s="39" t="str">
        <f>IFERROR(__xludf.DUMMYFUNCTION("""COMPUTED_VALUE"""),"Peru")</f>
        <v>Peru</v>
      </c>
      <c r="B78" s="40">
        <f>IFERROR(__xludf.DUMMYFUNCTION("""COMPUTED_VALUE"""),44424.0)</f>
        <v>44424</v>
      </c>
      <c r="C78" s="41">
        <f>IFERROR(__xludf.DUMMYFUNCTION("""COMPUTED_VALUE"""),44430.0)</f>
        <v>44430</v>
      </c>
      <c r="D78" s="39">
        <f>IFERROR(__xludf.DUMMYFUNCTION("""COMPUTED_VALUE"""),33.0)</f>
        <v>33</v>
      </c>
      <c r="E78" s="39">
        <f>IFERROR(__xludf.DUMMYFUNCTION("""COMPUTED_VALUE"""),2936.0)</f>
        <v>2936</v>
      </c>
      <c r="F78" s="39">
        <f>IFERROR(__xludf.DUMMYFUNCTION("""COMPUTED_VALUE"""),486.0)</f>
        <v>486</v>
      </c>
      <c r="G78" s="43">
        <f>AVERAGEIFS('Perú pre-COVID'!$E:$E,'Perú pre-COVID'!$D:$D,D78)</f>
        <v>2135</v>
      </c>
      <c r="H78" s="43">
        <f t="shared" si="1"/>
        <v>801</v>
      </c>
      <c r="I78" s="44">
        <f>(F78/VLOOKUP($A$2,'Población'!$A$1:$B$5,2,0))*100000</f>
        <v>1.45686008</v>
      </c>
      <c r="J78" s="44">
        <f t="shared" si="2"/>
        <v>593.1728719</v>
      </c>
      <c r="K78" s="44">
        <f>(H78/VLOOKUP($A$2,'Población'!$A$1:$B$5,2,0))*100000</f>
        <v>2.401121243</v>
      </c>
      <c r="L78" s="44">
        <f t="shared" si="3"/>
        <v>669.8144037</v>
      </c>
    </row>
    <row r="79">
      <c r="A79" s="39" t="str">
        <f>IFERROR(__xludf.DUMMYFUNCTION("""COMPUTED_VALUE"""),"Peru")</f>
        <v>Peru</v>
      </c>
      <c r="B79" s="40">
        <f>IFERROR(__xludf.DUMMYFUNCTION("""COMPUTED_VALUE"""),44431.0)</f>
        <v>44431</v>
      </c>
      <c r="C79" s="41">
        <f>IFERROR(__xludf.DUMMYFUNCTION("""COMPUTED_VALUE"""),44437.0)</f>
        <v>44437</v>
      </c>
      <c r="D79" s="39">
        <f>IFERROR(__xludf.DUMMYFUNCTION("""COMPUTED_VALUE"""),34.0)</f>
        <v>34</v>
      </c>
      <c r="E79" s="39">
        <f>IFERROR(__xludf.DUMMYFUNCTION("""COMPUTED_VALUE"""),3107.0)</f>
        <v>3107</v>
      </c>
      <c r="F79" s="39">
        <f>IFERROR(__xludf.DUMMYFUNCTION("""COMPUTED_VALUE"""),236.0)</f>
        <v>236</v>
      </c>
      <c r="G79" s="43">
        <f>AVERAGEIFS('Perú pre-COVID'!$E:$E,'Perú pre-COVID'!$D:$D,D79)</f>
        <v>2123</v>
      </c>
      <c r="H79" s="43">
        <f t="shared" si="1"/>
        <v>984</v>
      </c>
      <c r="I79" s="44">
        <f>(F79/VLOOKUP($A$2,'Población'!$A$1:$B$5,2,0))*100000</f>
        <v>0.7074464585</v>
      </c>
      <c r="J79" s="44">
        <f t="shared" si="2"/>
        <v>593.8803183</v>
      </c>
      <c r="K79" s="44">
        <f>(H79/VLOOKUP($A$2,'Población'!$A$1:$B$5,2,0))*100000</f>
        <v>2.949692013</v>
      </c>
      <c r="L79" s="44">
        <f t="shared" si="3"/>
        <v>672.7640957</v>
      </c>
    </row>
    <row r="80">
      <c r="A80" s="39" t="str">
        <f>IFERROR(__xludf.DUMMYFUNCTION("""COMPUTED_VALUE"""),"Peru")</f>
        <v>Peru</v>
      </c>
      <c r="B80" s="40">
        <f>IFERROR(__xludf.DUMMYFUNCTION("""COMPUTED_VALUE"""),44438.0)</f>
        <v>44438</v>
      </c>
      <c r="C80" s="41">
        <f>IFERROR(__xludf.DUMMYFUNCTION("""COMPUTED_VALUE"""),44444.0)</f>
        <v>44444</v>
      </c>
      <c r="D80" s="39">
        <f>IFERROR(__xludf.DUMMYFUNCTION("""COMPUTED_VALUE"""),35.0)</f>
        <v>35</v>
      </c>
      <c r="E80" s="39">
        <f>IFERROR(__xludf.DUMMYFUNCTION("""COMPUTED_VALUE"""),2983.0)</f>
        <v>2983</v>
      </c>
      <c r="F80" s="39">
        <f>IFERROR(__xludf.DUMMYFUNCTION("""COMPUTED_VALUE"""),373.0)</f>
        <v>373</v>
      </c>
      <c r="G80" s="43">
        <f>AVERAGEIFS('Perú pre-COVID'!$E:$E,'Perú pre-COVID'!$D:$D,D80)</f>
        <v>2193.333333</v>
      </c>
      <c r="H80" s="43">
        <f t="shared" si="1"/>
        <v>789.6666667</v>
      </c>
      <c r="I80" s="44">
        <f>(F80/VLOOKUP($A$2,'Población'!$A$1:$B$5,2,0))*100000</f>
        <v>1.118125123</v>
      </c>
      <c r="J80" s="44">
        <f t="shared" si="2"/>
        <v>594.9984435</v>
      </c>
      <c r="K80" s="44">
        <f>(H80/VLOOKUP($A$2,'Población'!$A$1:$B$5,2,0))*100000</f>
        <v>2.367147825</v>
      </c>
      <c r="L80" s="44">
        <f t="shared" si="3"/>
        <v>675.1312436</v>
      </c>
    </row>
    <row r="81">
      <c r="A81" s="39" t="str">
        <f>IFERROR(__xludf.DUMMYFUNCTION("""COMPUTED_VALUE"""),"Peru")</f>
        <v>Peru</v>
      </c>
      <c r="B81" s="40">
        <f>IFERROR(__xludf.DUMMYFUNCTION("""COMPUTED_VALUE"""),44445.0)</f>
        <v>44445</v>
      </c>
      <c r="C81" s="41">
        <f>IFERROR(__xludf.DUMMYFUNCTION("""COMPUTED_VALUE"""),44451.0)</f>
        <v>44451</v>
      </c>
      <c r="D81" s="39">
        <f>IFERROR(__xludf.DUMMYFUNCTION("""COMPUTED_VALUE"""),36.0)</f>
        <v>36</v>
      </c>
      <c r="E81" s="39">
        <f>IFERROR(__xludf.DUMMYFUNCTION("""COMPUTED_VALUE"""),2887.0)</f>
        <v>2887</v>
      </c>
      <c r="F81" s="39">
        <f>IFERROR(__xludf.DUMMYFUNCTION("""COMPUTED_VALUE"""),276.0)</f>
        <v>276</v>
      </c>
      <c r="G81" s="43">
        <f>AVERAGEIFS('Perú pre-COVID'!$E:$E,'Perú pre-COVID'!$D:$D,D81)</f>
        <v>2168</v>
      </c>
      <c r="H81" s="43">
        <f t="shared" si="1"/>
        <v>719</v>
      </c>
      <c r="I81" s="44">
        <f>(F81/VLOOKUP($A$2,'Población'!$A$1:$B$5,2,0))*100000</f>
        <v>0.8273526379</v>
      </c>
      <c r="J81" s="44">
        <f t="shared" si="2"/>
        <v>595.8257961</v>
      </c>
      <c r="K81" s="44">
        <f>(H81/VLOOKUP($A$2,'Población'!$A$1:$B$5,2,0))*100000</f>
        <v>2.155313575</v>
      </c>
      <c r="L81" s="44">
        <f t="shared" si="3"/>
        <v>677.2865571</v>
      </c>
    </row>
    <row r="82">
      <c r="A82" s="39" t="str">
        <f>IFERROR(__xludf.DUMMYFUNCTION("""COMPUTED_VALUE"""),"Peru")</f>
        <v>Peru</v>
      </c>
      <c r="B82" s="40">
        <f>IFERROR(__xludf.DUMMYFUNCTION("""COMPUTED_VALUE"""),44452.0)</f>
        <v>44452</v>
      </c>
      <c r="C82" s="41">
        <f>IFERROR(__xludf.DUMMYFUNCTION("""COMPUTED_VALUE"""),44458.0)</f>
        <v>44458</v>
      </c>
      <c r="D82" s="39">
        <f>IFERROR(__xludf.DUMMYFUNCTION("""COMPUTED_VALUE"""),37.0)</f>
        <v>37</v>
      </c>
      <c r="E82" s="39">
        <f>IFERROR(__xludf.DUMMYFUNCTION("""COMPUTED_VALUE"""),2890.0)</f>
        <v>2890</v>
      </c>
      <c r="F82" s="39">
        <f>IFERROR(__xludf.DUMMYFUNCTION("""COMPUTED_VALUE"""),302.0)</f>
        <v>302</v>
      </c>
      <c r="G82" s="43">
        <f>AVERAGEIFS('Perú pre-COVID'!$E:$E,'Perú pre-COVID'!$D:$D,D82)</f>
        <v>2175</v>
      </c>
      <c r="H82" s="43">
        <f t="shared" si="1"/>
        <v>715</v>
      </c>
      <c r="I82" s="44">
        <f>(F82/VLOOKUP($A$2,'Población'!$A$1:$B$5,2,0))*100000</f>
        <v>0.9052916545</v>
      </c>
      <c r="J82" s="44">
        <f t="shared" si="2"/>
        <v>596.7310878</v>
      </c>
      <c r="K82" s="44">
        <f>(H82/VLOOKUP($A$2,'Población'!$A$1:$B$5,2,0))*100000</f>
        <v>2.143322957</v>
      </c>
      <c r="L82" s="44">
        <f t="shared" si="3"/>
        <v>679.4298801</v>
      </c>
    </row>
    <row r="83">
      <c r="A83" s="39" t="str">
        <f>IFERROR(__xludf.DUMMYFUNCTION("""COMPUTED_VALUE"""),"Peru")</f>
        <v>Peru</v>
      </c>
      <c r="B83" s="40">
        <f>IFERROR(__xludf.DUMMYFUNCTION("""COMPUTED_VALUE"""),44459.0)</f>
        <v>44459</v>
      </c>
      <c r="C83" s="41">
        <f>IFERROR(__xludf.DUMMYFUNCTION("""COMPUTED_VALUE"""),44465.0)</f>
        <v>44465</v>
      </c>
      <c r="D83" s="39">
        <f>IFERROR(__xludf.DUMMYFUNCTION("""COMPUTED_VALUE"""),38.0)</f>
        <v>38</v>
      </c>
      <c r="E83" s="39">
        <f>IFERROR(__xludf.DUMMYFUNCTION("""COMPUTED_VALUE"""),2945.0)</f>
        <v>2945</v>
      </c>
      <c r="F83" s="39">
        <f>IFERROR(__xludf.DUMMYFUNCTION("""COMPUTED_VALUE"""),226.0)</f>
        <v>226</v>
      </c>
      <c r="G83" s="43">
        <f>AVERAGEIFS('Perú pre-COVID'!$E:$E,'Perú pre-COVID'!$D:$D,D83)</f>
        <v>2213.333333</v>
      </c>
      <c r="H83" s="43">
        <f t="shared" si="1"/>
        <v>731.6666667</v>
      </c>
      <c r="I83" s="44">
        <f>(F83/VLOOKUP($A$2,'Población'!$A$1:$B$5,2,0))*100000</f>
        <v>0.6774699137</v>
      </c>
      <c r="J83" s="44">
        <f t="shared" si="2"/>
        <v>597.4085577</v>
      </c>
      <c r="K83" s="44">
        <f>(H83/VLOOKUP($A$2,'Población'!$A$1:$B$5,2,0))*100000</f>
        <v>2.193283865</v>
      </c>
      <c r="L83" s="44">
        <f t="shared" si="3"/>
        <v>681.623164</v>
      </c>
    </row>
    <row r="84">
      <c r="A84" s="39" t="str">
        <f>IFERROR(__xludf.DUMMYFUNCTION("""COMPUTED_VALUE"""),"Peru")</f>
        <v>Peru</v>
      </c>
      <c r="B84" s="40">
        <f>IFERROR(__xludf.DUMMYFUNCTION("""COMPUTED_VALUE"""),44466.0)</f>
        <v>44466</v>
      </c>
      <c r="C84" s="41">
        <f>IFERROR(__xludf.DUMMYFUNCTION("""COMPUTED_VALUE"""),44472.0)</f>
        <v>44472</v>
      </c>
      <c r="D84" s="39">
        <f>IFERROR(__xludf.DUMMYFUNCTION("""COMPUTED_VALUE"""),39.0)</f>
        <v>39</v>
      </c>
      <c r="E84" s="39">
        <f>IFERROR(__xludf.DUMMYFUNCTION("""COMPUTED_VALUE"""),2875.0)</f>
        <v>2875</v>
      </c>
      <c r="F84" s="39">
        <f>IFERROR(__xludf.DUMMYFUNCTION("""COMPUTED_VALUE"""),193.0)</f>
        <v>193</v>
      </c>
      <c r="G84" s="43">
        <f>AVERAGEIFS('Perú pre-COVID'!$E:$E,'Perú pre-COVID'!$D:$D,D84)</f>
        <v>2217.333333</v>
      </c>
      <c r="H84" s="43">
        <f t="shared" si="1"/>
        <v>657.6666667</v>
      </c>
      <c r="I84" s="44">
        <f>(F84/VLOOKUP($A$2,'Población'!$A$1:$B$5,2,0))*100000</f>
        <v>0.5785473157</v>
      </c>
      <c r="J84" s="44">
        <f t="shared" si="2"/>
        <v>597.987105</v>
      </c>
      <c r="K84" s="44">
        <f>(H84/VLOOKUP($A$2,'Población'!$A$1:$B$5,2,0))*100000</f>
        <v>1.971457433</v>
      </c>
      <c r="L84" s="44">
        <f t="shared" si="3"/>
        <v>683.5946214</v>
      </c>
    </row>
    <row r="85">
      <c r="A85" s="39" t="str">
        <f>IFERROR(__xludf.DUMMYFUNCTION("""COMPUTED_VALUE"""),"Peru")</f>
        <v>Peru</v>
      </c>
      <c r="B85" s="40">
        <f>IFERROR(__xludf.DUMMYFUNCTION("""COMPUTED_VALUE"""),44473.0)</f>
        <v>44473</v>
      </c>
      <c r="C85" s="41">
        <f>IFERROR(__xludf.DUMMYFUNCTION("""COMPUTED_VALUE"""),44479.0)</f>
        <v>44479</v>
      </c>
      <c r="D85" s="39">
        <f>IFERROR(__xludf.DUMMYFUNCTION("""COMPUTED_VALUE"""),40.0)</f>
        <v>40</v>
      </c>
      <c r="E85" s="39">
        <f>IFERROR(__xludf.DUMMYFUNCTION("""COMPUTED_VALUE"""),2951.0)</f>
        <v>2951</v>
      </c>
      <c r="F85" s="39">
        <f>IFERROR(__xludf.DUMMYFUNCTION("""COMPUTED_VALUE"""),190.0)</f>
        <v>190</v>
      </c>
      <c r="G85" s="43">
        <f>AVERAGEIFS('Perú pre-COVID'!$E:$E,'Perú pre-COVID'!$D:$D,D85)</f>
        <v>2151.666667</v>
      </c>
      <c r="H85" s="43">
        <f t="shared" si="1"/>
        <v>799.3333333</v>
      </c>
      <c r="I85" s="44">
        <f>(F85/VLOOKUP($A$2,'Población'!$A$1:$B$5,2,0))*100000</f>
        <v>0.5695543522</v>
      </c>
      <c r="J85" s="44">
        <f t="shared" si="2"/>
        <v>598.5566593</v>
      </c>
      <c r="K85" s="44">
        <f>(H85/VLOOKUP($A$2,'Población'!$A$1:$B$5,2,0))*100000</f>
        <v>2.396125152</v>
      </c>
      <c r="L85" s="44">
        <f t="shared" si="3"/>
        <v>685.9907465</v>
      </c>
    </row>
    <row r="86">
      <c r="A86" s="39" t="str">
        <f>IFERROR(__xludf.DUMMYFUNCTION("""COMPUTED_VALUE"""),"Peru")</f>
        <v>Peru</v>
      </c>
      <c r="B86" s="40">
        <f>IFERROR(__xludf.DUMMYFUNCTION("""COMPUTED_VALUE"""),44480.0)</f>
        <v>44480</v>
      </c>
      <c r="C86" s="41">
        <f>IFERROR(__xludf.DUMMYFUNCTION("""COMPUTED_VALUE"""),44486.0)</f>
        <v>44486</v>
      </c>
      <c r="D86" s="39">
        <f>IFERROR(__xludf.DUMMYFUNCTION("""COMPUTED_VALUE"""),41.0)</f>
        <v>41</v>
      </c>
      <c r="E86" s="39">
        <f>IFERROR(__xludf.DUMMYFUNCTION("""COMPUTED_VALUE"""),2855.0)</f>
        <v>2855</v>
      </c>
      <c r="F86" s="39">
        <f>IFERROR(__xludf.DUMMYFUNCTION("""COMPUTED_VALUE"""),168.0)</f>
        <v>168</v>
      </c>
      <c r="G86" s="43">
        <f>AVERAGEIFS('Perú pre-COVID'!$E:$E,'Perú pre-COVID'!$D:$D,D86)</f>
        <v>2191.666667</v>
      </c>
      <c r="H86" s="43">
        <f t="shared" si="1"/>
        <v>663.3333333</v>
      </c>
      <c r="I86" s="44">
        <f>(F86/VLOOKUP($A$2,'Población'!$A$1:$B$5,2,0))*100000</f>
        <v>0.5036059535</v>
      </c>
      <c r="J86" s="44">
        <f t="shared" si="2"/>
        <v>599.0602653</v>
      </c>
      <c r="K86" s="44">
        <f>(H86/VLOOKUP($A$2,'Población'!$A$1:$B$5,2,0))*100000</f>
        <v>1.988444142</v>
      </c>
      <c r="L86" s="44">
        <f t="shared" si="3"/>
        <v>687.9791907</v>
      </c>
    </row>
    <row r="87">
      <c r="A87" s="39" t="str">
        <f>IFERROR(__xludf.DUMMYFUNCTION("""COMPUTED_VALUE"""),"Peru")</f>
        <v>Peru</v>
      </c>
      <c r="B87" s="40">
        <f>IFERROR(__xludf.DUMMYFUNCTION("""COMPUTED_VALUE"""),44487.0)</f>
        <v>44487</v>
      </c>
      <c r="C87" s="41">
        <f>IFERROR(__xludf.DUMMYFUNCTION("""COMPUTED_VALUE"""),44493.0)</f>
        <v>44493</v>
      </c>
      <c r="D87" s="39">
        <f>IFERROR(__xludf.DUMMYFUNCTION("""COMPUTED_VALUE"""),42.0)</f>
        <v>42</v>
      </c>
      <c r="E87" s="39">
        <f>IFERROR(__xludf.DUMMYFUNCTION("""COMPUTED_VALUE"""),2831.0)</f>
        <v>2831</v>
      </c>
      <c r="F87" s="39">
        <f>IFERROR(__xludf.DUMMYFUNCTION("""COMPUTED_VALUE"""),209.0)</f>
        <v>209</v>
      </c>
      <c r="G87" s="43">
        <f>AVERAGEIFS('Perú pre-COVID'!$E:$E,'Perú pre-COVID'!$D:$D,D87)</f>
        <v>2233</v>
      </c>
      <c r="H87" s="43">
        <f t="shared" si="1"/>
        <v>598</v>
      </c>
      <c r="I87" s="44">
        <f>(F87/VLOOKUP($A$2,'Población'!$A$1:$B$5,2,0))*100000</f>
        <v>0.6265097874</v>
      </c>
      <c r="J87" s="44">
        <f t="shared" si="2"/>
        <v>599.6867751</v>
      </c>
      <c r="K87" s="44">
        <f>(H87/VLOOKUP($A$2,'Población'!$A$1:$B$5,2,0))*100000</f>
        <v>1.792597382</v>
      </c>
      <c r="L87" s="44">
        <f t="shared" si="3"/>
        <v>689.7717881</v>
      </c>
    </row>
    <row r="88">
      <c r="A88" s="39" t="str">
        <f>IFERROR(__xludf.DUMMYFUNCTION("""COMPUTED_VALUE"""),"Peru")</f>
        <v>Peru</v>
      </c>
      <c r="B88" s="40">
        <f>IFERROR(__xludf.DUMMYFUNCTION("""COMPUTED_VALUE"""),44494.0)</f>
        <v>44494</v>
      </c>
      <c r="C88" s="41">
        <f>IFERROR(__xludf.DUMMYFUNCTION("""COMPUTED_VALUE"""),44500.0)</f>
        <v>44500</v>
      </c>
      <c r="D88" s="39">
        <f>IFERROR(__xludf.DUMMYFUNCTION("""COMPUTED_VALUE"""),43.0)</f>
        <v>43</v>
      </c>
      <c r="E88" s="39">
        <f>IFERROR(__xludf.DUMMYFUNCTION("""COMPUTED_VALUE"""),2754.0)</f>
        <v>2754</v>
      </c>
      <c r="F88" s="39">
        <f>IFERROR(__xludf.DUMMYFUNCTION("""COMPUTED_VALUE"""),194.0)</f>
        <v>194</v>
      </c>
      <c r="G88" s="43">
        <f>AVERAGEIFS('Perú pre-COVID'!$E:$E,'Perú pre-COVID'!$D:$D,D88)</f>
        <v>2185.666667</v>
      </c>
      <c r="H88" s="43">
        <f t="shared" si="1"/>
        <v>568.3333333</v>
      </c>
      <c r="I88" s="44">
        <f>(F88/VLOOKUP($A$2,'Población'!$A$1:$B$5,2,0))*100000</f>
        <v>0.5815449701</v>
      </c>
      <c r="J88" s="44">
        <f t="shared" si="2"/>
        <v>600.2683201</v>
      </c>
      <c r="K88" s="44">
        <f>(H88/VLOOKUP($A$2,'Población'!$A$1:$B$5,2,0))*100000</f>
        <v>1.703666966</v>
      </c>
      <c r="L88" s="44">
        <f t="shared" si="3"/>
        <v>691.475455</v>
      </c>
    </row>
    <row r="89">
      <c r="A89" s="39" t="str">
        <f>IFERROR(__xludf.DUMMYFUNCTION("""COMPUTED_VALUE"""),"Peru")</f>
        <v>Peru</v>
      </c>
      <c r="B89" s="40">
        <f>IFERROR(__xludf.DUMMYFUNCTION("""COMPUTED_VALUE"""),44501.0)</f>
        <v>44501</v>
      </c>
      <c r="C89" s="41">
        <f>IFERROR(__xludf.DUMMYFUNCTION("""COMPUTED_VALUE"""),44507.0)</f>
        <v>44507</v>
      </c>
      <c r="D89" s="39">
        <f>IFERROR(__xludf.DUMMYFUNCTION("""COMPUTED_VALUE"""),44.0)</f>
        <v>44</v>
      </c>
      <c r="E89" s="39">
        <f>IFERROR(__xludf.DUMMYFUNCTION("""COMPUTED_VALUE"""),2834.0)</f>
        <v>2834</v>
      </c>
      <c r="F89" s="39">
        <f>IFERROR(__xludf.DUMMYFUNCTION("""COMPUTED_VALUE"""),184.0)</f>
        <v>184</v>
      </c>
      <c r="G89" s="43">
        <f>AVERAGEIFS('Perú pre-COVID'!$E:$E,'Perú pre-COVID'!$D:$D,D89)</f>
        <v>2205</v>
      </c>
      <c r="H89" s="43">
        <f t="shared" si="1"/>
        <v>629</v>
      </c>
      <c r="I89" s="44">
        <f>(F89/VLOOKUP($A$2,'Población'!$A$1:$B$5,2,0))*100000</f>
        <v>0.5515684253</v>
      </c>
      <c r="J89" s="44">
        <f t="shared" si="2"/>
        <v>600.8198885</v>
      </c>
      <c r="K89" s="44">
        <f>(H89/VLOOKUP($A$2,'Población'!$A$1:$B$5,2,0))*100000</f>
        <v>1.885524671</v>
      </c>
      <c r="L89" s="44">
        <f t="shared" si="3"/>
        <v>693.3609797</v>
      </c>
    </row>
    <row r="90">
      <c r="G90" s="43"/>
      <c r="I90" s="44"/>
      <c r="K90" s="44"/>
    </row>
    <row r="91">
      <c r="G91" s="43"/>
      <c r="I91" s="44"/>
      <c r="K91" s="44"/>
    </row>
    <row r="92">
      <c r="G92" s="43"/>
      <c r="I92" s="44"/>
      <c r="K92" s="44"/>
    </row>
    <row r="93">
      <c r="G93" s="43"/>
      <c r="I93" s="44"/>
      <c r="K93" s="44"/>
    </row>
    <row r="94">
      <c r="G94" s="43"/>
      <c r="I94" s="44"/>
      <c r="K94" s="44"/>
    </row>
    <row r="95">
      <c r="G95" s="43"/>
      <c r="I95" s="44"/>
      <c r="K95" s="44"/>
    </row>
    <row r="96">
      <c r="G96" s="43"/>
      <c r="I96" s="44"/>
      <c r="K96" s="44"/>
    </row>
    <row r="97">
      <c r="G97" s="43"/>
      <c r="I97" s="44"/>
      <c r="K97" s="44"/>
    </row>
    <row r="98">
      <c r="G98" s="43"/>
      <c r="I98" s="44"/>
      <c r="K98" s="44"/>
    </row>
    <row r="99">
      <c r="G99" s="43"/>
      <c r="I99" s="44"/>
      <c r="K99" s="44"/>
    </row>
    <row r="100">
      <c r="G100" s="43"/>
      <c r="I100" s="44"/>
      <c r="K100" s="44"/>
    </row>
    <row r="101">
      <c r="G101" s="43"/>
      <c r="I101" s="44"/>
      <c r="K101" s="44"/>
    </row>
    <row r="102">
      <c r="G102" s="43"/>
      <c r="I102" s="44"/>
      <c r="K102" s="44"/>
    </row>
    <row r="103">
      <c r="G103" s="43"/>
      <c r="I103" s="44"/>
      <c r="K103" s="44"/>
    </row>
    <row r="104">
      <c r="G104" s="43"/>
      <c r="I104" s="44"/>
      <c r="K104" s="44"/>
    </row>
    <row r="105">
      <c r="G105" s="43"/>
      <c r="I105" s="44"/>
      <c r="K105" s="44"/>
    </row>
    <row r="106">
      <c r="G106" s="43"/>
      <c r="I106" s="44"/>
      <c r="K106" s="44"/>
    </row>
    <row r="107">
      <c r="G107" s="43"/>
      <c r="I107" s="44"/>
      <c r="K107" s="44"/>
    </row>
    <row r="108">
      <c r="G108" s="43"/>
      <c r="I108" s="44"/>
      <c r="K108" s="44"/>
    </row>
    <row r="109">
      <c r="G109" s="43"/>
      <c r="I109" s="44"/>
      <c r="K109" s="44"/>
    </row>
    <row r="110">
      <c r="G110" s="43"/>
      <c r="I110" s="44"/>
      <c r="K110" s="44"/>
    </row>
    <row r="111">
      <c r="G111" s="43"/>
      <c r="I111" s="44"/>
      <c r="K111" s="44"/>
    </row>
    <row r="112">
      <c r="G112" s="43"/>
      <c r="I112" s="44"/>
      <c r="K112" s="44"/>
    </row>
    <row r="113">
      <c r="G113" s="43"/>
      <c r="I113" s="44"/>
      <c r="K113" s="44"/>
    </row>
    <row r="114">
      <c r="G114" s="43"/>
      <c r="I114" s="44"/>
      <c r="K114" s="44"/>
    </row>
    <row r="115">
      <c r="G115" s="43"/>
      <c r="I115" s="44"/>
      <c r="K115" s="44"/>
    </row>
    <row r="116">
      <c r="G116" s="43"/>
      <c r="I116" s="44"/>
      <c r="K116" s="44"/>
    </row>
    <row r="117">
      <c r="G117" s="43"/>
      <c r="I117" s="44"/>
      <c r="K117" s="44"/>
    </row>
    <row r="118">
      <c r="G118" s="43"/>
      <c r="I118" s="44"/>
      <c r="K118" s="44"/>
    </row>
    <row r="119">
      <c r="G119" s="43"/>
      <c r="I119" s="44"/>
      <c r="K119" s="44"/>
    </row>
    <row r="120">
      <c r="G120" s="43"/>
      <c r="I120" s="44"/>
      <c r="K120" s="44"/>
    </row>
    <row r="121">
      <c r="G121" s="43"/>
      <c r="I121" s="44"/>
      <c r="K121" s="44"/>
    </row>
    <row r="122">
      <c r="G122" s="43"/>
      <c r="I122" s="44"/>
      <c r="K122" s="44"/>
    </row>
    <row r="123">
      <c r="G123" s="43"/>
      <c r="I123" s="44"/>
      <c r="K123" s="44"/>
    </row>
    <row r="124">
      <c r="G124" s="43"/>
      <c r="I124" s="44"/>
      <c r="K124" s="44"/>
    </row>
    <row r="125">
      <c r="G125" s="43"/>
      <c r="I125" s="44"/>
      <c r="K125" s="44"/>
    </row>
    <row r="126">
      <c r="G126" s="43"/>
      <c r="I126" s="44"/>
      <c r="K126" s="44"/>
    </row>
    <row r="127">
      <c r="G127" s="43"/>
      <c r="I127" s="44"/>
      <c r="K127" s="44"/>
    </row>
    <row r="128">
      <c r="G128" s="43"/>
      <c r="I128" s="44"/>
      <c r="K128" s="44"/>
    </row>
    <row r="129">
      <c r="G129" s="43"/>
      <c r="I129" s="44"/>
      <c r="K129" s="44"/>
    </row>
    <row r="130">
      <c r="G130" s="43"/>
      <c r="I130" s="44"/>
      <c r="K130" s="44"/>
    </row>
    <row r="131">
      <c r="G131" s="43"/>
      <c r="I131" s="44"/>
      <c r="K131" s="44"/>
    </row>
    <row r="132">
      <c r="G132" s="43"/>
      <c r="I132" s="44"/>
      <c r="K132" s="44"/>
    </row>
    <row r="133">
      <c r="G133" s="43"/>
      <c r="I133" s="44"/>
      <c r="K133" s="44"/>
    </row>
    <row r="134">
      <c r="G134" s="43"/>
      <c r="I134" s="44"/>
      <c r="K134" s="44"/>
    </row>
    <row r="135">
      <c r="G135" s="43"/>
      <c r="I135" s="44"/>
      <c r="K135" s="44"/>
    </row>
    <row r="136">
      <c r="G136" s="43"/>
      <c r="I136" s="44"/>
      <c r="K136" s="44"/>
    </row>
    <row r="137">
      <c r="G137" s="43"/>
      <c r="I137" s="44"/>
      <c r="K137" s="44"/>
    </row>
    <row r="138">
      <c r="G138" s="43"/>
      <c r="I138" s="44"/>
      <c r="K138" s="44"/>
    </row>
    <row r="139">
      <c r="G139" s="43"/>
      <c r="I139" s="44"/>
      <c r="K139" s="44"/>
    </row>
    <row r="140">
      <c r="G140" s="43"/>
      <c r="I140" s="44"/>
      <c r="K140" s="44"/>
    </row>
    <row r="141">
      <c r="G141" s="43"/>
      <c r="I141" s="44"/>
      <c r="K141" s="44"/>
    </row>
    <row r="142">
      <c r="G142" s="43"/>
      <c r="I142" s="44"/>
      <c r="K142" s="44"/>
    </row>
    <row r="143">
      <c r="G143" s="43"/>
      <c r="I143" s="44"/>
      <c r="K143" s="44"/>
    </row>
    <row r="144">
      <c r="G144" s="43"/>
      <c r="I144" s="44"/>
      <c r="K144" s="44"/>
    </row>
    <row r="145">
      <c r="G145" s="43"/>
      <c r="I145" s="44"/>
      <c r="K145" s="44"/>
    </row>
    <row r="146">
      <c r="G146" s="43"/>
      <c r="I146" s="44"/>
      <c r="K146" s="44"/>
    </row>
    <row r="147">
      <c r="G147" s="43"/>
      <c r="I147" s="44"/>
      <c r="K147" s="44"/>
    </row>
    <row r="148">
      <c r="G148" s="43"/>
      <c r="I148" s="44"/>
      <c r="K148" s="44"/>
    </row>
    <row r="149">
      <c r="G149" s="43"/>
      <c r="I149" s="44"/>
      <c r="K149" s="44"/>
    </row>
    <row r="150">
      <c r="G150" s="43"/>
      <c r="I150" s="44"/>
      <c r="K150" s="44"/>
    </row>
    <row r="151">
      <c r="G151" s="43"/>
      <c r="I151" s="44"/>
      <c r="K151" s="44"/>
    </row>
    <row r="152">
      <c r="G152" s="43"/>
      <c r="I152" s="44"/>
      <c r="K152" s="44"/>
    </row>
    <row r="153">
      <c r="G153" s="43"/>
      <c r="I153" s="44"/>
      <c r="K153" s="44"/>
    </row>
    <row r="154">
      <c r="G154" s="43"/>
      <c r="I154" s="44"/>
      <c r="K154" s="44"/>
    </row>
    <row r="155">
      <c r="G155" s="43"/>
      <c r="I155" s="44"/>
      <c r="K155" s="44"/>
    </row>
    <row r="156">
      <c r="G156" s="43"/>
      <c r="I156" s="44"/>
      <c r="K156" s="44"/>
    </row>
    <row r="157">
      <c r="G157" s="43"/>
      <c r="I157" s="44"/>
      <c r="K157" s="44"/>
    </row>
    <row r="158">
      <c r="G158" s="43"/>
      <c r="I158" s="44"/>
      <c r="K158" s="44"/>
    </row>
    <row r="159">
      <c r="G159" s="43"/>
      <c r="I159" s="44"/>
      <c r="K159" s="44"/>
    </row>
    <row r="160">
      <c r="G160" s="43"/>
      <c r="I160" s="44"/>
      <c r="K160" s="44"/>
    </row>
    <row r="161">
      <c r="G161" s="43"/>
      <c r="I161" s="44"/>
      <c r="K161" s="44"/>
    </row>
    <row r="162">
      <c r="G162" s="43"/>
      <c r="I162" s="44"/>
      <c r="K162" s="44"/>
    </row>
    <row r="163">
      <c r="G163" s="43"/>
      <c r="I163" s="44"/>
      <c r="K163" s="44"/>
    </row>
    <row r="164">
      <c r="G164" s="43"/>
      <c r="I164" s="44"/>
      <c r="K164" s="44"/>
    </row>
    <row r="165">
      <c r="G165" s="43"/>
      <c r="I165" s="44"/>
      <c r="K165" s="44"/>
    </row>
    <row r="166">
      <c r="G166" s="43"/>
      <c r="I166" s="44"/>
      <c r="K166" s="44"/>
    </row>
    <row r="167">
      <c r="G167" s="43"/>
      <c r="I167" s="44"/>
      <c r="K167" s="44"/>
    </row>
    <row r="168">
      <c r="G168" s="43"/>
      <c r="I168" s="44"/>
      <c r="K168" s="44"/>
    </row>
    <row r="169">
      <c r="G169" s="43"/>
      <c r="I169" s="44"/>
      <c r="K169" s="44"/>
    </row>
    <row r="170">
      <c r="G170" s="43"/>
      <c r="I170" s="44"/>
      <c r="K170" s="44"/>
    </row>
    <row r="171">
      <c r="G171" s="43"/>
      <c r="I171" s="44"/>
      <c r="K171" s="44"/>
    </row>
    <row r="172">
      <c r="G172" s="43"/>
      <c r="I172" s="44"/>
      <c r="K172" s="44"/>
    </row>
    <row r="173">
      <c r="G173" s="43"/>
      <c r="I173" s="44"/>
      <c r="K173" s="44"/>
    </row>
    <row r="174">
      <c r="G174" s="43"/>
      <c r="I174" s="44"/>
      <c r="K174" s="44"/>
    </row>
    <row r="175">
      <c r="G175" s="43"/>
      <c r="I175" s="44"/>
      <c r="K175" s="44"/>
    </row>
    <row r="176">
      <c r="G176" s="43"/>
      <c r="I176" s="44"/>
      <c r="K176" s="44"/>
    </row>
    <row r="177">
      <c r="G177" s="43"/>
      <c r="I177" s="44"/>
      <c r="K177" s="44"/>
    </row>
    <row r="178">
      <c r="G178" s="43"/>
      <c r="I178" s="44"/>
      <c r="K178" s="44"/>
    </row>
    <row r="179">
      <c r="G179" s="43"/>
      <c r="I179" s="44"/>
      <c r="K179" s="44"/>
    </row>
    <row r="180">
      <c r="G180" s="43"/>
      <c r="I180" s="44"/>
      <c r="K180" s="44"/>
    </row>
    <row r="181">
      <c r="G181" s="43"/>
      <c r="I181" s="44"/>
      <c r="K181" s="44"/>
    </row>
    <row r="182">
      <c r="G182" s="43"/>
      <c r="I182" s="44"/>
      <c r="K182" s="44"/>
    </row>
    <row r="183">
      <c r="G183" s="43"/>
      <c r="I183" s="44"/>
      <c r="K183" s="44"/>
    </row>
    <row r="184">
      <c r="G184" s="43"/>
      <c r="I184" s="44"/>
      <c r="K184" s="44"/>
    </row>
    <row r="185">
      <c r="G185" s="43"/>
      <c r="I185" s="44"/>
      <c r="K185" s="44"/>
    </row>
    <row r="186">
      <c r="G186" s="43"/>
      <c r="I186" s="44"/>
      <c r="K186" s="44"/>
    </row>
    <row r="187">
      <c r="G187" s="43"/>
      <c r="I187" s="44"/>
      <c r="K187" s="44"/>
    </row>
    <row r="188">
      <c r="G188" s="43"/>
      <c r="I188" s="44"/>
      <c r="K188" s="44"/>
    </row>
    <row r="189">
      <c r="G189" s="43"/>
      <c r="I189" s="44"/>
      <c r="K189" s="44"/>
    </row>
    <row r="190">
      <c r="G190" s="43"/>
      <c r="I190" s="44"/>
      <c r="K190" s="44"/>
    </row>
    <row r="191">
      <c r="G191" s="43"/>
      <c r="I191" s="44"/>
      <c r="K191" s="44"/>
    </row>
    <row r="192">
      <c r="G192" s="43"/>
      <c r="I192" s="44"/>
      <c r="K192" s="44"/>
    </row>
    <row r="193">
      <c r="G193" s="43"/>
      <c r="I193" s="44"/>
      <c r="K193" s="44"/>
    </row>
    <row r="194">
      <c r="G194" s="43"/>
      <c r="I194" s="44"/>
      <c r="K194" s="44"/>
    </row>
    <row r="195">
      <c r="G195" s="43"/>
      <c r="I195" s="44"/>
      <c r="K195" s="44"/>
    </row>
    <row r="196">
      <c r="G196" s="43"/>
      <c r="I196" s="44"/>
      <c r="K196" s="44"/>
    </row>
    <row r="197">
      <c r="G197" s="43"/>
      <c r="I197" s="44"/>
      <c r="K197" s="44"/>
    </row>
    <row r="198">
      <c r="G198" s="43"/>
      <c r="I198" s="44"/>
      <c r="K198" s="44"/>
    </row>
    <row r="199">
      <c r="G199" s="43"/>
      <c r="I199" s="44"/>
      <c r="K199" s="44"/>
    </row>
    <row r="200">
      <c r="G200" s="43"/>
      <c r="I200" s="44"/>
      <c r="K200" s="44"/>
    </row>
    <row r="201">
      <c r="G201" s="43"/>
      <c r="I201" s="44"/>
      <c r="K201" s="44"/>
    </row>
    <row r="202">
      <c r="G202" s="43"/>
      <c r="I202" s="44"/>
      <c r="K202" s="44"/>
    </row>
    <row r="203">
      <c r="G203" s="43"/>
      <c r="I203" s="44"/>
      <c r="K203" s="44"/>
    </row>
    <row r="204">
      <c r="G204" s="43"/>
      <c r="I204" s="44"/>
      <c r="K204" s="44"/>
    </row>
    <row r="205">
      <c r="G205" s="43"/>
      <c r="I205" s="44"/>
      <c r="K205" s="44"/>
    </row>
    <row r="206">
      <c r="G206" s="43"/>
      <c r="I206" s="44"/>
      <c r="K206" s="44"/>
    </row>
    <row r="207">
      <c r="G207" s="43"/>
      <c r="I207" s="44"/>
      <c r="K207" s="44"/>
    </row>
    <row r="208">
      <c r="G208" s="43"/>
      <c r="I208" s="44"/>
      <c r="K208" s="44"/>
    </row>
    <row r="209">
      <c r="G209" s="43"/>
      <c r="I209" s="44"/>
      <c r="K209" s="44"/>
    </row>
    <row r="210">
      <c r="G210" s="43"/>
      <c r="I210" s="44"/>
      <c r="K210" s="44"/>
    </row>
    <row r="211">
      <c r="G211" s="43"/>
      <c r="I211" s="44"/>
      <c r="K211" s="44"/>
    </row>
    <row r="212">
      <c r="G212" s="43"/>
      <c r="I212" s="44"/>
      <c r="K212" s="44"/>
    </row>
    <row r="213">
      <c r="G213" s="43"/>
      <c r="I213" s="44"/>
      <c r="K213" s="44"/>
    </row>
    <row r="214">
      <c r="G214" s="43"/>
      <c r="I214" s="44"/>
      <c r="K214" s="44"/>
    </row>
    <row r="215">
      <c r="G215" s="43"/>
      <c r="I215" s="44"/>
      <c r="K215" s="44"/>
    </row>
    <row r="216">
      <c r="G216" s="43"/>
      <c r="I216" s="44"/>
      <c r="K216" s="44"/>
    </row>
    <row r="217">
      <c r="G217" s="43"/>
      <c r="I217" s="44"/>
      <c r="K217" s="44"/>
    </row>
    <row r="218">
      <c r="G218" s="43"/>
      <c r="I218" s="44"/>
      <c r="K218" s="44"/>
    </row>
    <row r="219">
      <c r="G219" s="43"/>
      <c r="I219" s="44"/>
      <c r="K219" s="44"/>
    </row>
    <row r="220">
      <c r="G220" s="43"/>
      <c r="I220" s="44"/>
      <c r="K220" s="44"/>
    </row>
    <row r="221">
      <c r="G221" s="43"/>
      <c r="I221" s="44"/>
      <c r="K221" s="44"/>
    </row>
    <row r="222">
      <c r="G222" s="43"/>
      <c r="I222" s="44"/>
      <c r="K222" s="44"/>
    </row>
    <row r="223">
      <c r="G223" s="43"/>
      <c r="I223" s="44"/>
      <c r="K223" s="44"/>
    </row>
    <row r="224">
      <c r="G224" s="43"/>
      <c r="I224" s="44"/>
      <c r="K224" s="44"/>
    </row>
    <row r="225">
      <c r="G225" s="43"/>
      <c r="I225" s="44"/>
      <c r="K225" s="44"/>
    </row>
    <row r="226">
      <c r="G226" s="43"/>
      <c r="I226" s="44"/>
      <c r="K226" s="44"/>
    </row>
    <row r="227">
      <c r="G227" s="43"/>
      <c r="I227" s="44"/>
      <c r="K227" s="44"/>
    </row>
    <row r="228">
      <c r="G228" s="43"/>
      <c r="I228" s="44"/>
      <c r="K228" s="44"/>
    </row>
    <row r="229">
      <c r="G229" s="43"/>
      <c r="I229" s="44"/>
      <c r="K229" s="44"/>
    </row>
    <row r="230">
      <c r="G230" s="43"/>
      <c r="I230" s="44"/>
      <c r="K230" s="44"/>
    </row>
    <row r="231">
      <c r="G231" s="43"/>
      <c r="I231" s="44"/>
      <c r="K231" s="44"/>
    </row>
    <row r="232">
      <c r="G232" s="43"/>
      <c r="I232" s="44"/>
      <c r="K232" s="44"/>
    </row>
    <row r="233">
      <c r="G233" s="43"/>
      <c r="I233" s="44"/>
      <c r="K233" s="44"/>
    </row>
    <row r="234">
      <c r="G234" s="43"/>
      <c r="I234" s="44"/>
      <c r="K234" s="44"/>
    </row>
    <row r="235">
      <c r="G235" s="43"/>
      <c r="I235" s="44"/>
      <c r="K235" s="44"/>
    </row>
    <row r="236">
      <c r="G236" s="43"/>
      <c r="I236" s="44"/>
      <c r="K236" s="44"/>
    </row>
    <row r="237">
      <c r="G237" s="43"/>
      <c r="I237" s="44"/>
      <c r="K237" s="44"/>
    </row>
    <row r="238">
      <c r="G238" s="43"/>
      <c r="I238" s="44"/>
      <c r="K238" s="44"/>
    </row>
    <row r="239">
      <c r="G239" s="43"/>
      <c r="I239" s="44"/>
      <c r="K239" s="44"/>
    </row>
    <row r="240">
      <c r="G240" s="43"/>
      <c r="I240" s="44"/>
      <c r="K240" s="44"/>
    </row>
    <row r="241">
      <c r="G241" s="43"/>
      <c r="I241" s="44"/>
      <c r="K241" s="44"/>
    </row>
    <row r="242">
      <c r="G242" s="43"/>
      <c r="I242" s="44"/>
      <c r="K242" s="44"/>
    </row>
    <row r="243">
      <c r="G243" s="43"/>
      <c r="I243" s="44"/>
      <c r="K243" s="44"/>
    </row>
    <row r="244">
      <c r="G244" s="43"/>
      <c r="I244" s="44"/>
      <c r="K244" s="44"/>
    </row>
    <row r="245">
      <c r="G245" s="43"/>
      <c r="I245" s="44"/>
      <c r="K245" s="44"/>
    </row>
    <row r="246">
      <c r="G246" s="43"/>
      <c r="I246" s="44"/>
      <c r="K246" s="44"/>
    </row>
    <row r="247">
      <c r="G247" s="43"/>
      <c r="I247" s="44"/>
      <c r="K247" s="44"/>
    </row>
    <row r="248">
      <c r="G248" s="43"/>
      <c r="I248" s="44"/>
      <c r="K248" s="44"/>
    </row>
    <row r="249">
      <c r="G249" s="43"/>
      <c r="I249" s="44"/>
      <c r="K249" s="44"/>
    </row>
    <row r="250">
      <c r="G250" s="43"/>
      <c r="I250" s="44"/>
      <c r="K250" s="44"/>
    </row>
    <row r="251">
      <c r="G251" s="43"/>
      <c r="I251" s="44"/>
      <c r="K251" s="44"/>
    </row>
    <row r="252">
      <c r="G252" s="43"/>
      <c r="I252" s="44"/>
      <c r="K252" s="44"/>
    </row>
    <row r="253">
      <c r="G253" s="43"/>
      <c r="I253" s="44"/>
      <c r="K253" s="44"/>
    </row>
    <row r="254">
      <c r="G254" s="43"/>
      <c r="I254" s="44"/>
      <c r="K254" s="44"/>
    </row>
    <row r="255">
      <c r="G255" s="43"/>
      <c r="I255" s="44"/>
      <c r="K255" s="44"/>
    </row>
    <row r="256">
      <c r="G256" s="43"/>
      <c r="I256" s="44"/>
      <c r="K256" s="44"/>
    </row>
    <row r="257">
      <c r="G257" s="43"/>
      <c r="I257" s="44"/>
      <c r="K257" s="44"/>
    </row>
    <row r="258">
      <c r="G258" s="43"/>
      <c r="I258" s="44"/>
      <c r="K258" s="44"/>
    </row>
    <row r="259">
      <c r="G259" s="43"/>
      <c r="I259" s="44"/>
      <c r="K259" s="44"/>
    </row>
    <row r="260">
      <c r="G260" s="43"/>
      <c r="I260" s="44"/>
      <c r="K260" s="44"/>
    </row>
    <row r="261">
      <c r="G261" s="43"/>
      <c r="I261" s="44"/>
      <c r="K261" s="44"/>
    </row>
    <row r="262">
      <c r="G262" s="43"/>
      <c r="I262" s="44"/>
      <c r="K262" s="44"/>
    </row>
    <row r="263">
      <c r="G263" s="43"/>
      <c r="I263" s="44"/>
      <c r="K263" s="44"/>
    </row>
    <row r="264">
      <c r="G264" s="43"/>
      <c r="I264" s="44"/>
      <c r="K264" s="44"/>
    </row>
    <row r="265">
      <c r="G265" s="43"/>
      <c r="I265" s="44"/>
      <c r="K265" s="44"/>
    </row>
    <row r="266">
      <c r="G266" s="43"/>
      <c r="I266" s="44"/>
      <c r="K266" s="44"/>
    </row>
    <row r="267">
      <c r="G267" s="43"/>
      <c r="I267" s="44"/>
      <c r="K267" s="44"/>
    </row>
    <row r="268">
      <c r="G268" s="43"/>
      <c r="I268" s="44"/>
      <c r="K268" s="44"/>
    </row>
    <row r="269">
      <c r="G269" s="43"/>
      <c r="I269" s="44"/>
      <c r="K269" s="44"/>
    </row>
    <row r="270">
      <c r="G270" s="43"/>
      <c r="I270" s="44"/>
      <c r="K270" s="44"/>
    </row>
    <row r="271">
      <c r="G271" s="43"/>
      <c r="I271" s="44"/>
      <c r="K271" s="44"/>
    </row>
    <row r="272">
      <c r="G272" s="43"/>
      <c r="I272" s="44"/>
      <c r="K272" s="44"/>
    </row>
    <row r="273">
      <c r="G273" s="43"/>
      <c r="I273" s="44"/>
      <c r="K273" s="44"/>
    </row>
    <row r="274">
      <c r="G274" s="43"/>
      <c r="I274" s="44"/>
      <c r="K274" s="44"/>
    </row>
    <row r="275">
      <c r="G275" s="43"/>
      <c r="I275" s="44"/>
      <c r="K275" s="44"/>
    </row>
    <row r="276">
      <c r="G276" s="43"/>
      <c r="I276" s="44"/>
      <c r="K276" s="44"/>
    </row>
    <row r="277">
      <c r="G277" s="43"/>
      <c r="I277" s="44"/>
      <c r="K277" s="44"/>
    </row>
    <row r="278">
      <c r="G278" s="43"/>
      <c r="I278" s="44"/>
      <c r="K278" s="44"/>
    </row>
    <row r="279">
      <c r="G279" s="43"/>
      <c r="I279" s="44"/>
      <c r="K279" s="44"/>
    </row>
    <row r="280">
      <c r="G280" s="43"/>
      <c r="I280" s="44"/>
      <c r="K280" s="44"/>
    </row>
    <row r="281">
      <c r="G281" s="43"/>
      <c r="I281" s="44"/>
      <c r="K281" s="44"/>
    </row>
    <row r="282">
      <c r="G282" s="43"/>
      <c r="I282" s="44"/>
      <c r="K282" s="44"/>
    </row>
    <row r="283">
      <c r="G283" s="43"/>
      <c r="I283" s="44"/>
      <c r="K283" s="44"/>
    </row>
    <row r="284">
      <c r="G284" s="43"/>
      <c r="I284" s="44"/>
      <c r="K284" s="44"/>
    </row>
    <row r="285">
      <c r="G285" s="43"/>
      <c r="I285" s="44"/>
      <c r="K285" s="44"/>
    </row>
    <row r="286">
      <c r="G286" s="43"/>
      <c r="I286" s="44"/>
      <c r="K286" s="44"/>
    </row>
    <row r="287">
      <c r="G287" s="43"/>
      <c r="I287" s="44"/>
      <c r="K287" s="44"/>
    </row>
    <row r="288">
      <c r="G288" s="43"/>
      <c r="I288" s="44"/>
      <c r="K288" s="44"/>
    </row>
    <row r="289">
      <c r="G289" s="43"/>
      <c r="I289" s="44"/>
      <c r="K289" s="44"/>
    </row>
    <row r="290">
      <c r="G290" s="43"/>
      <c r="I290" s="44"/>
      <c r="K290" s="44"/>
    </row>
    <row r="291">
      <c r="G291" s="43"/>
      <c r="I291" s="44"/>
      <c r="K291" s="44"/>
    </row>
    <row r="292">
      <c r="G292" s="43"/>
      <c r="I292" s="44"/>
      <c r="K292" s="44"/>
    </row>
    <row r="293">
      <c r="G293" s="43"/>
      <c r="I293" s="44"/>
      <c r="K293" s="44"/>
    </row>
    <row r="294">
      <c r="G294" s="43"/>
      <c r="I294" s="44"/>
      <c r="K294" s="44"/>
    </row>
    <row r="295">
      <c r="G295" s="43"/>
      <c r="I295" s="44"/>
      <c r="K295" s="44"/>
    </row>
    <row r="296">
      <c r="G296" s="43"/>
      <c r="I296" s="44"/>
      <c r="K296" s="44"/>
    </row>
    <row r="297">
      <c r="G297" s="43"/>
      <c r="I297" s="44"/>
      <c r="K297" s="44"/>
    </row>
    <row r="298">
      <c r="G298" s="43"/>
      <c r="I298" s="44"/>
      <c r="K298" s="44"/>
    </row>
    <row r="299">
      <c r="G299" s="43"/>
      <c r="I299" s="44"/>
      <c r="K299" s="44"/>
    </row>
    <row r="300">
      <c r="G300" s="43"/>
      <c r="I300" s="44"/>
      <c r="K300" s="44"/>
    </row>
    <row r="301">
      <c r="G301" s="43"/>
      <c r="I301" s="44"/>
      <c r="K301" s="44"/>
    </row>
    <row r="302">
      <c r="G302" s="43"/>
      <c r="I302" s="44"/>
      <c r="K302" s="44"/>
    </row>
    <row r="303">
      <c r="G303" s="43"/>
      <c r="I303" s="44"/>
      <c r="K303" s="44"/>
    </row>
    <row r="304">
      <c r="G304" s="43"/>
      <c r="I304" s="44"/>
      <c r="K304" s="44"/>
    </row>
    <row r="305">
      <c r="G305" s="43"/>
      <c r="I305" s="44"/>
      <c r="K305" s="44"/>
    </row>
    <row r="306">
      <c r="G306" s="43"/>
      <c r="I306" s="44"/>
      <c r="K306" s="44"/>
    </row>
    <row r="307">
      <c r="G307" s="43"/>
      <c r="I307" s="44"/>
      <c r="K307" s="44"/>
    </row>
    <row r="308">
      <c r="G308" s="43"/>
      <c r="I308" s="44"/>
      <c r="K308" s="44"/>
    </row>
    <row r="309">
      <c r="G309" s="43"/>
      <c r="I309" s="44"/>
      <c r="K309" s="44"/>
    </row>
    <row r="310">
      <c r="G310" s="43"/>
      <c r="I310" s="44"/>
      <c r="K310" s="44"/>
    </row>
    <row r="311">
      <c r="G311" s="43"/>
      <c r="I311" s="44"/>
      <c r="K311" s="44"/>
    </row>
    <row r="312">
      <c r="G312" s="43"/>
      <c r="I312" s="44"/>
      <c r="K312" s="44"/>
    </row>
    <row r="313">
      <c r="G313" s="43"/>
      <c r="I313" s="44"/>
      <c r="K313" s="44"/>
    </row>
    <row r="314">
      <c r="G314" s="43"/>
      <c r="I314" s="44"/>
      <c r="K314" s="44"/>
    </row>
    <row r="315">
      <c r="G315" s="43"/>
      <c r="I315" s="44"/>
      <c r="K315" s="44"/>
    </row>
    <row r="316">
      <c r="G316" s="43"/>
      <c r="I316" s="44"/>
      <c r="K316" s="44"/>
    </row>
    <row r="317">
      <c r="G317" s="43"/>
      <c r="I317" s="44"/>
      <c r="K317" s="44"/>
    </row>
    <row r="318">
      <c r="G318" s="43"/>
      <c r="I318" s="44"/>
      <c r="K318" s="44"/>
    </row>
    <row r="319">
      <c r="G319" s="43"/>
      <c r="I319" s="44"/>
      <c r="K319" s="44"/>
    </row>
    <row r="320">
      <c r="G320" s="43"/>
      <c r="I320" s="44"/>
      <c r="K320" s="44"/>
    </row>
    <row r="321">
      <c r="G321" s="43"/>
      <c r="I321" s="44"/>
      <c r="K321" s="44"/>
    </row>
    <row r="322">
      <c r="G322" s="43"/>
      <c r="I322" s="44"/>
      <c r="K322" s="44"/>
    </row>
    <row r="323">
      <c r="G323" s="43"/>
      <c r="I323" s="44"/>
      <c r="K323" s="44"/>
    </row>
    <row r="324">
      <c r="G324" s="43"/>
      <c r="I324" s="44"/>
      <c r="K324" s="44"/>
    </row>
    <row r="325">
      <c r="G325" s="43"/>
      <c r="I325" s="44"/>
      <c r="K325" s="44"/>
    </row>
    <row r="326">
      <c r="G326" s="43"/>
      <c r="I326" s="44"/>
      <c r="K326" s="44"/>
    </row>
    <row r="327">
      <c r="G327" s="43"/>
      <c r="I327" s="44"/>
      <c r="K327" s="44"/>
    </row>
    <row r="328">
      <c r="G328" s="43"/>
      <c r="I328" s="44"/>
      <c r="K328" s="44"/>
    </row>
    <row r="329">
      <c r="G329" s="43"/>
      <c r="I329" s="44"/>
      <c r="K329" s="44"/>
    </row>
    <row r="330">
      <c r="G330" s="43"/>
      <c r="I330" s="44"/>
      <c r="K330" s="44"/>
    </row>
    <row r="331">
      <c r="G331" s="43"/>
      <c r="I331" s="44"/>
      <c r="K331" s="44"/>
    </row>
    <row r="332">
      <c r="G332" s="43"/>
      <c r="I332" s="44"/>
      <c r="K332" s="44"/>
    </row>
    <row r="333">
      <c r="G333" s="43"/>
      <c r="I333" s="44"/>
      <c r="K333" s="44"/>
    </row>
    <row r="334">
      <c r="G334" s="43"/>
      <c r="I334" s="44"/>
      <c r="K334" s="44"/>
    </row>
    <row r="335">
      <c r="G335" s="43"/>
      <c r="I335" s="44"/>
      <c r="K335" s="44"/>
    </row>
    <row r="336">
      <c r="G336" s="43"/>
      <c r="I336" s="44"/>
      <c r="K336" s="44"/>
    </row>
    <row r="337">
      <c r="G337" s="43"/>
      <c r="I337" s="44"/>
      <c r="K337" s="44"/>
    </row>
    <row r="338">
      <c r="G338" s="43"/>
      <c r="I338" s="44"/>
      <c r="K338" s="44"/>
    </row>
    <row r="339">
      <c r="G339" s="43"/>
      <c r="I339" s="44"/>
      <c r="K339" s="44"/>
    </row>
    <row r="340">
      <c r="G340" s="43"/>
      <c r="I340" s="44"/>
      <c r="K340" s="44"/>
    </row>
    <row r="341">
      <c r="G341" s="43"/>
      <c r="I341" s="44"/>
      <c r="K341" s="44"/>
    </row>
    <row r="342">
      <c r="G342" s="43"/>
      <c r="I342" s="44"/>
      <c r="K342" s="44"/>
    </row>
    <row r="343">
      <c r="G343" s="43"/>
      <c r="I343" s="44"/>
      <c r="K343" s="44"/>
    </row>
    <row r="344">
      <c r="G344" s="43"/>
      <c r="I344" s="44"/>
      <c r="K344" s="44"/>
    </row>
    <row r="345">
      <c r="G345" s="43"/>
      <c r="I345" s="44"/>
      <c r="K345" s="44"/>
    </row>
    <row r="346">
      <c r="G346" s="43"/>
      <c r="I346" s="44"/>
      <c r="K346" s="44"/>
    </row>
    <row r="347">
      <c r="G347" s="43"/>
      <c r="I347" s="44"/>
      <c r="K347" s="44"/>
    </row>
    <row r="348">
      <c r="G348" s="43"/>
      <c r="I348" s="44"/>
      <c r="K348" s="44"/>
    </row>
    <row r="349">
      <c r="G349" s="43"/>
      <c r="I349" s="44"/>
      <c r="K349" s="44"/>
    </row>
    <row r="350">
      <c r="G350" s="43"/>
      <c r="I350" s="44"/>
      <c r="K350" s="44"/>
    </row>
    <row r="351">
      <c r="G351" s="43"/>
      <c r="I351" s="44"/>
      <c r="K351" s="44"/>
    </row>
    <row r="352">
      <c r="G352" s="43"/>
      <c r="I352" s="44"/>
      <c r="K352" s="44"/>
    </row>
    <row r="353">
      <c r="G353" s="43"/>
      <c r="I353" s="44"/>
      <c r="K353" s="44"/>
    </row>
    <row r="354">
      <c r="G354" s="43"/>
      <c r="I354" s="44"/>
      <c r="K354" s="44"/>
    </row>
    <row r="355">
      <c r="G355" s="43"/>
      <c r="I355" s="44"/>
      <c r="K355" s="44"/>
    </row>
    <row r="356">
      <c r="G356" s="43"/>
      <c r="I356" s="44"/>
      <c r="K356" s="44"/>
    </row>
    <row r="357">
      <c r="G357" s="43"/>
      <c r="I357" s="44"/>
      <c r="K357" s="44"/>
    </row>
    <row r="358">
      <c r="G358" s="43"/>
      <c r="I358" s="44"/>
      <c r="K358" s="44"/>
    </row>
    <row r="359">
      <c r="G359" s="43"/>
      <c r="I359" s="44"/>
      <c r="K359" s="44"/>
    </row>
    <row r="360">
      <c r="G360" s="43"/>
      <c r="I360" s="44"/>
      <c r="K360" s="44"/>
    </row>
    <row r="361">
      <c r="G361" s="43"/>
      <c r="I361" s="44"/>
      <c r="K361" s="44"/>
    </row>
    <row r="362">
      <c r="G362" s="43"/>
      <c r="I362" s="44"/>
      <c r="K362" s="44"/>
    </row>
    <row r="363">
      <c r="G363" s="43"/>
      <c r="I363" s="44"/>
      <c r="K363" s="44"/>
    </row>
    <row r="364">
      <c r="G364" s="43"/>
      <c r="I364" s="44"/>
      <c r="K364" s="44"/>
    </row>
    <row r="365">
      <c r="G365" s="43"/>
      <c r="I365" s="44"/>
      <c r="K365" s="44"/>
    </row>
    <row r="366">
      <c r="G366" s="43"/>
      <c r="I366" s="44"/>
      <c r="K366" s="44"/>
    </row>
    <row r="367">
      <c r="G367" s="43"/>
      <c r="I367" s="44"/>
      <c r="K367" s="44"/>
    </row>
    <row r="368">
      <c r="G368" s="43"/>
      <c r="I368" s="44"/>
      <c r="K368" s="44"/>
    </row>
    <row r="369">
      <c r="G369" s="43"/>
      <c r="I369" s="44"/>
      <c r="K369" s="44"/>
    </row>
    <row r="370">
      <c r="G370" s="43"/>
      <c r="I370" s="44"/>
      <c r="K370" s="44"/>
    </row>
    <row r="371">
      <c r="G371" s="43"/>
      <c r="I371" s="44"/>
      <c r="K371" s="44"/>
    </row>
    <row r="372">
      <c r="G372" s="43"/>
      <c r="I372" s="44"/>
      <c r="K372" s="44"/>
    </row>
    <row r="373">
      <c r="G373" s="43"/>
      <c r="I373" s="44"/>
      <c r="K373" s="44"/>
    </row>
    <row r="374">
      <c r="G374" s="43"/>
      <c r="I374" s="44"/>
      <c r="K374" s="44"/>
    </row>
    <row r="375">
      <c r="G375" s="43"/>
      <c r="I375" s="44"/>
      <c r="K375" s="44"/>
    </row>
    <row r="376">
      <c r="G376" s="43"/>
      <c r="I376" s="44"/>
      <c r="K376" s="44"/>
    </row>
    <row r="377">
      <c r="G377" s="43"/>
      <c r="I377" s="44"/>
      <c r="K377" s="44"/>
    </row>
    <row r="378">
      <c r="G378" s="43"/>
      <c r="I378" s="44"/>
      <c r="K378" s="44"/>
    </row>
    <row r="379">
      <c r="G379" s="43"/>
      <c r="I379" s="44"/>
      <c r="K379" s="44"/>
    </row>
    <row r="380">
      <c r="G380" s="43"/>
      <c r="I380" s="44"/>
      <c r="K380" s="44"/>
    </row>
    <row r="381">
      <c r="G381" s="43"/>
      <c r="I381" s="44"/>
      <c r="K381" s="44"/>
    </row>
    <row r="382">
      <c r="G382" s="43"/>
      <c r="I382" s="44"/>
      <c r="K382" s="44"/>
    </row>
    <row r="383">
      <c r="G383" s="43"/>
      <c r="I383" s="44"/>
      <c r="K383" s="44"/>
    </row>
    <row r="384">
      <c r="G384" s="43"/>
      <c r="I384" s="44"/>
      <c r="K384" s="44"/>
    </row>
    <row r="385">
      <c r="G385" s="43"/>
      <c r="I385" s="44"/>
      <c r="K385" s="44"/>
    </row>
    <row r="386">
      <c r="G386" s="43"/>
      <c r="I386" s="44"/>
      <c r="K386" s="44"/>
    </row>
    <row r="387">
      <c r="G387" s="43"/>
      <c r="I387" s="44"/>
      <c r="K387" s="44"/>
    </row>
    <row r="388">
      <c r="G388" s="43"/>
      <c r="I388" s="44"/>
      <c r="K388" s="44"/>
    </row>
    <row r="389">
      <c r="G389" s="43"/>
      <c r="I389" s="44"/>
      <c r="K389" s="44"/>
    </row>
    <row r="390">
      <c r="G390" s="43"/>
      <c r="I390" s="44"/>
      <c r="K390" s="44"/>
    </row>
    <row r="391">
      <c r="G391" s="43"/>
      <c r="I391" s="44"/>
      <c r="K391" s="44"/>
    </row>
    <row r="392">
      <c r="G392" s="43"/>
      <c r="I392" s="44"/>
      <c r="K392" s="44"/>
    </row>
    <row r="393">
      <c r="G393" s="43"/>
      <c r="I393" s="44"/>
      <c r="K393" s="44"/>
    </row>
    <row r="394">
      <c r="G394" s="43"/>
      <c r="I394" s="44"/>
      <c r="K394" s="44"/>
    </row>
    <row r="395">
      <c r="G395" s="43"/>
      <c r="I395" s="44"/>
      <c r="K395" s="44"/>
    </row>
    <row r="396">
      <c r="G396" s="43"/>
      <c r="I396" s="44"/>
      <c r="K396" s="44"/>
    </row>
    <row r="397">
      <c r="G397" s="43"/>
      <c r="I397" s="44"/>
      <c r="K397" s="44"/>
    </row>
    <row r="398">
      <c r="G398" s="43"/>
      <c r="I398" s="44"/>
      <c r="K398" s="44"/>
    </row>
    <row r="399">
      <c r="G399" s="43"/>
      <c r="I399" s="44"/>
      <c r="K399" s="44"/>
    </row>
    <row r="400">
      <c r="G400" s="43"/>
      <c r="I400" s="44"/>
      <c r="K400" s="44"/>
    </row>
    <row r="401">
      <c r="G401" s="43"/>
      <c r="I401" s="44"/>
      <c r="K401" s="44"/>
    </row>
    <row r="402">
      <c r="G402" s="43"/>
      <c r="I402" s="44"/>
      <c r="K402" s="44"/>
    </row>
    <row r="403">
      <c r="G403" s="43"/>
      <c r="I403" s="44"/>
      <c r="K403" s="44"/>
    </row>
    <row r="404">
      <c r="G404" s="43"/>
      <c r="I404" s="44"/>
      <c r="K404" s="44"/>
    </row>
    <row r="405">
      <c r="G405" s="43"/>
      <c r="I405" s="44"/>
      <c r="K405" s="44"/>
    </row>
    <row r="406">
      <c r="G406" s="43"/>
      <c r="I406" s="44"/>
      <c r="K406" s="44"/>
    </row>
    <row r="407">
      <c r="G407" s="43"/>
      <c r="I407" s="44"/>
      <c r="K407" s="44"/>
    </row>
    <row r="408">
      <c r="G408" s="43"/>
      <c r="I408" s="44"/>
      <c r="K408" s="44"/>
    </row>
    <row r="409">
      <c r="G409" s="43"/>
      <c r="I409" s="44"/>
      <c r="K409" s="44"/>
    </row>
    <row r="410">
      <c r="G410" s="43"/>
      <c r="I410" s="44"/>
      <c r="K410" s="44"/>
    </row>
    <row r="411">
      <c r="G411" s="43"/>
      <c r="I411" s="44"/>
      <c r="K411" s="44"/>
    </row>
    <row r="412">
      <c r="G412" s="43"/>
      <c r="I412" s="44"/>
      <c r="K412" s="44"/>
    </row>
    <row r="413">
      <c r="G413" s="43"/>
      <c r="I413" s="44"/>
      <c r="K413" s="44"/>
    </row>
    <row r="414">
      <c r="G414" s="43"/>
      <c r="I414" s="44"/>
      <c r="K414" s="44"/>
    </row>
    <row r="415">
      <c r="G415" s="43"/>
      <c r="I415" s="44"/>
      <c r="K415" s="44"/>
    </row>
    <row r="416">
      <c r="G416" s="43"/>
      <c r="I416" s="44"/>
      <c r="K416" s="44"/>
    </row>
    <row r="417">
      <c r="G417" s="43"/>
      <c r="I417" s="44"/>
      <c r="K417" s="44"/>
    </row>
    <row r="418">
      <c r="G418" s="43"/>
      <c r="I418" s="44"/>
      <c r="K418" s="44"/>
    </row>
    <row r="419">
      <c r="G419" s="43"/>
      <c r="I419" s="44"/>
      <c r="K419" s="44"/>
    </row>
    <row r="420">
      <c r="G420" s="43"/>
      <c r="I420" s="44"/>
      <c r="K420" s="44"/>
    </row>
    <row r="421">
      <c r="G421" s="43"/>
      <c r="I421" s="44"/>
      <c r="K421" s="44"/>
    </row>
    <row r="422">
      <c r="G422" s="43"/>
      <c r="I422" s="44"/>
      <c r="K422" s="44"/>
    </row>
    <row r="423">
      <c r="G423" s="43"/>
      <c r="I423" s="44"/>
      <c r="K423" s="44"/>
    </row>
    <row r="424">
      <c r="G424" s="43"/>
      <c r="I424" s="44"/>
      <c r="K424" s="44"/>
    </row>
    <row r="425">
      <c r="G425" s="43"/>
      <c r="I425" s="44"/>
      <c r="K425" s="44"/>
    </row>
    <row r="426">
      <c r="G426" s="43"/>
      <c r="I426" s="44"/>
      <c r="K426" s="44"/>
    </row>
    <row r="427">
      <c r="G427" s="43"/>
      <c r="I427" s="44"/>
      <c r="K427" s="44"/>
    </row>
    <row r="428">
      <c r="G428" s="43"/>
      <c r="I428" s="44"/>
      <c r="K428" s="44"/>
    </row>
    <row r="429">
      <c r="G429" s="43"/>
      <c r="I429" s="44"/>
      <c r="K429" s="44"/>
    </row>
    <row r="430">
      <c r="G430" s="43"/>
      <c r="I430" s="44"/>
      <c r="K430" s="44"/>
    </row>
    <row r="431">
      <c r="G431" s="43"/>
      <c r="I431" s="44"/>
      <c r="K431" s="44"/>
    </row>
    <row r="432">
      <c r="G432" s="43"/>
      <c r="I432" s="44"/>
      <c r="K432" s="44"/>
    </row>
    <row r="433">
      <c r="G433" s="43"/>
      <c r="I433" s="44"/>
      <c r="K433" s="44"/>
    </row>
    <row r="434">
      <c r="G434" s="43"/>
      <c r="I434" s="44"/>
      <c r="K434" s="44"/>
    </row>
    <row r="435">
      <c r="G435" s="43"/>
      <c r="I435" s="44"/>
      <c r="K435" s="44"/>
    </row>
    <row r="436">
      <c r="G436" s="43"/>
      <c r="I436" s="44"/>
      <c r="K436" s="44"/>
    </row>
    <row r="437">
      <c r="G437" s="43"/>
      <c r="I437" s="44"/>
      <c r="K437" s="44"/>
    </row>
    <row r="438">
      <c r="G438" s="43"/>
      <c r="I438" s="44"/>
      <c r="K438" s="44"/>
    </row>
    <row r="439">
      <c r="G439" s="43"/>
      <c r="I439" s="44"/>
      <c r="K439" s="44"/>
    </row>
    <row r="440">
      <c r="G440" s="43"/>
      <c r="I440" s="44"/>
      <c r="K440" s="44"/>
    </row>
    <row r="441">
      <c r="G441" s="43"/>
      <c r="I441" s="44"/>
      <c r="K441" s="44"/>
    </row>
    <row r="442">
      <c r="G442" s="43"/>
      <c r="I442" s="44"/>
      <c r="K442" s="44"/>
    </row>
    <row r="443">
      <c r="G443" s="43"/>
      <c r="I443" s="44"/>
      <c r="K443" s="44"/>
    </row>
    <row r="444">
      <c r="G444" s="43"/>
      <c r="I444" s="44"/>
      <c r="K444" s="44"/>
    </row>
    <row r="445">
      <c r="G445" s="43"/>
      <c r="I445" s="44"/>
      <c r="K445" s="44"/>
    </row>
    <row r="446">
      <c r="G446" s="43"/>
      <c r="I446" s="44"/>
      <c r="K446" s="44"/>
    </row>
    <row r="447">
      <c r="G447" s="43"/>
      <c r="I447" s="44"/>
      <c r="K447" s="44"/>
    </row>
    <row r="448">
      <c r="G448" s="43"/>
      <c r="I448" s="44"/>
      <c r="K448" s="44"/>
    </row>
    <row r="449">
      <c r="G449" s="43"/>
      <c r="I449" s="44"/>
      <c r="K449" s="44"/>
    </row>
    <row r="450">
      <c r="G450" s="43"/>
      <c r="I450" s="44"/>
      <c r="K450" s="44"/>
    </row>
    <row r="451">
      <c r="G451" s="43"/>
      <c r="I451" s="44"/>
      <c r="K451" s="44"/>
    </row>
    <row r="452">
      <c r="G452" s="43"/>
      <c r="I452" s="44"/>
      <c r="K452" s="44"/>
    </row>
    <row r="453">
      <c r="G453" s="43"/>
      <c r="I453" s="44"/>
      <c r="K453" s="44"/>
    </row>
    <row r="454">
      <c r="G454" s="43"/>
      <c r="I454" s="44"/>
      <c r="K454" s="44"/>
    </row>
    <row r="455">
      <c r="G455" s="43"/>
      <c r="I455" s="44"/>
      <c r="K455" s="44"/>
    </row>
    <row r="456">
      <c r="G456" s="43"/>
      <c r="I456" s="44"/>
      <c r="K456" s="44"/>
    </row>
    <row r="457">
      <c r="G457" s="43"/>
      <c r="I457" s="44"/>
      <c r="K457" s="44"/>
    </row>
    <row r="458">
      <c r="G458" s="43"/>
      <c r="I458" s="44"/>
      <c r="K458" s="44"/>
    </row>
    <row r="459">
      <c r="G459" s="43"/>
      <c r="I459" s="44"/>
      <c r="K459" s="44"/>
    </row>
    <row r="460">
      <c r="G460" s="43"/>
      <c r="I460" s="44"/>
      <c r="K460" s="44"/>
    </row>
    <row r="461">
      <c r="G461" s="43"/>
      <c r="I461" s="44"/>
      <c r="K461" s="44"/>
    </row>
    <row r="462">
      <c r="G462" s="43"/>
      <c r="I462" s="44"/>
      <c r="K462" s="44"/>
    </row>
    <row r="463">
      <c r="G463" s="43"/>
      <c r="I463" s="44"/>
      <c r="K463" s="44"/>
    </row>
    <row r="464">
      <c r="G464" s="43"/>
      <c r="I464" s="44"/>
      <c r="K464" s="44"/>
    </row>
    <row r="465">
      <c r="G465" s="43"/>
      <c r="I465" s="44"/>
      <c r="K465" s="44"/>
    </row>
    <row r="466">
      <c r="G466" s="43"/>
      <c r="I466" s="44"/>
      <c r="K466" s="44"/>
    </row>
    <row r="467">
      <c r="G467" s="43"/>
      <c r="I467" s="44"/>
      <c r="K467" s="44"/>
    </row>
    <row r="468">
      <c r="G468" s="43"/>
      <c r="I468" s="44"/>
      <c r="K468" s="44"/>
    </row>
    <row r="469">
      <c r="G469" s="43"/>
      <c r="I469" s="44"/>
      <c r="K469" s="44"/>
    </row>
    <row r="470">
      <c r="G470" s="43"/>
      <c r="I470" s="44"/>
      <c r="K470" s="44"/>
    </row>
    <row r="471">
      <c r="G471" s="43"/>
      <c r="I471" s="44"/>
      <c r="K471" s="44"/>
    </row>
    <row r="472">
      <c r="G472" s="43"/>
      <c r="I472" s="44"/>
      <c r="K472" s="44"/>
    </row>
    <row r="473">
      <c r="G473" s="43"/>
      <c r="I473" s="44"/>
      <c r="K473" s="44"/>
    </row>
    <row r="474">
      <c r="G474" s="43"/>
      <c r="I474" s="44"/>
      <c r="K474" s="44"/>
    </row>
    <row r="475">
      <c r="G475" s="43"/>
      <c r="I475" s="44"/>
      <c r="K475" s="44"/>
    </row>
    <row r="476">
      <c r="G476" s="43"/>
      <c r="I476" s="44"/>
      <c r="K476" s="44"/>
    </row>
    <row r="477">
      <c r="G477" s="43"/>
      <c r="I477" s="44"/>
      <c r="K477" s="44"/>
    </row>
    <row r="478">
      <c r="G478" s="43"/>
      <c r="I478" s="44"/>
      <c r="K478" s="44"/>
    </row>
    <row r="479">
      <c r="G479" s="43"/>
      <c r="I479" s="44"/>
      <c r="K479" s="44"/>
    </row>
    <row r="480">
      <c r="G480" s="43"/>
      <c r="I480" s="44"/>
      <c r="K480" s="44"/>
    </row>
    <row r="481">
      <c r="G481" s="43"/>
      <c r="I481" s="44"/>
      <c r="K481" s="44"/>
    </row>
    <row r="482">
      <c r="G482" s="43"/>
      <c r="I482" s="44"/>
      <c r="K482" s="44"/>
    </row>
    <row r="483">
      <c r="G483" s="43"/>
      <c r="I483" s="44"/>
      <c r="K483" s="44"/>
    </row>
    <row r="484">
      <c r="G484" s="43"/>
      <c r="I484" s="44"/>
      <c r="K484" s="44"/>
    </row>
    <row r="485">
      <c r="G485" s="43"/>
      <c r="I485" s="44"/>
      <c r="K485" s="44"/>
    </row>
    <row r="486">
      <c r="G486" s="43"/>
      <c r="I486" s="44"/>
      <c r="K486" s="44"/>
    </row>
    <row r="487">
      <c r="G487" s="43"/>
      <c r="I487" s="44"/>
      <c r="K487" s="44"/>
    </row>
    <row r="488">
      <c r="G488" s="43"/>
      <c r="I488" s="44"/>
      <c r="K488" s="44"/>
    </row>
    <row r="489">
      <c r="G489" s="43"/>
      <c r="I489" s="44"/>
      <c r="K489" s="44"/>
    </row>
    <row r="490">
      <c r="G490" s="43"/>
      <c r="I490" s="44"/>
      <c r="K490" s="44"/>
    </row>
    <row r="491">
      <c r="G491" s="43"/>
      <c r="I491" s="44"/>
      <c r="K491" s="44"/>
    </row>
    <row r="492">
      <c r="G492" s="43"/>
      <c r="I492" s="44"/>
      <c r="K492" s="44"/>
    </row>
    <row r="493">
      <c r="G493" s="43"/>
      <c r="I493" s="44"/>
      <c r="K493" s="44"/>
    </row>
    <row r="494">
      <c r="G494" s="43"/>
      <c r="I494" s="44"/>
      <c r="K494" s="44"/>
    </row>
    <row r="495">
      <c r="G495" s="43"/>
      <c r="I495" s="44"/>
      <c r="K495" s="44"/>
    </row>
    <row r="496">
      <c r="G496" s="43"/>
      <c r="I496" s="44"/>
      <c r="K496" s="44"/>
    </row>
    <row r="497">
      <c r="G497" s="43"/>
      <c r="I497" s="44"/>
      <c r="K497" s="44"/>
    </row>
    <row r="498">
      <c r="G498" s="43"/>
      <c r="I498" s="44"/>
      <c r="K498" s="44"/>
    </row>
    <row r="499">
      <c r="G499" s="43"/>
      <c r="I499" s="44"/>
      <c r="K499" s="44"/>
    </row>
    <row r="500">
      <c r="G500" s="43"/>
      <c r="I500" s="44"/>
      <c r="K500" s="44"/>
    </row>
    <row r="501">
      <c r="G501" s="43"/>
      <c r="I501" s="44"/>
      <c r="K501" s="44"/>
    </row>
    <row r="502">
      <c r="G502" s="43"/>
      <c r="I502" s="44"/>
      <c r="K502" s="44"/>
    </row>
    <row r="503">
      <c r="G503" s="43"/>
      <c r="I503" s="44"/>
      <c r="K503" s="44"/>
    </row>
    <row r="504">
      <c r="G504" s="43"/>
      <c r="I504" s="44"/>
      <c r="K504" s="44"/>
    </row>
    <row r="505">
      <c r="G505" s="43"/>
      <c r="I505" s="44"/>
      <c r="K505" s="44"/>
    </row>
    <row r="506">
      <c r="G506" s="43"/>
      <c r="I506" s="44"/>
      <c r="K506" s="44"/>
    </row>
    <row r="507">
      <c r="G507" s="43"/>
      <c r="I507" s="44"/>
      <c r="K507" s="44"/>
    </row>
    <row r="508">
      <c r="G508" s="43"/>
      <c r="I508" s="44"/>
      <c r="K508" s="44"/>
    </row>
    <row r="509">
      <c r="G509" s="43"/>
      <c r="I509" s="44"/>
      <c r="K509" s="44"/>
    </row>
    <row r="510">
      <c r="G510" s="43"/>
      <c r="I510" s="44"/>
      <c r="K510" s="44"/>
    </row>
    <row r="511">
      <c r="G511" s="43"/>
      <c r="I511" s="44"/>
      <c r="K511" s="44"/>
    </row>
    <row r="512">
      <c r="G512" s="43"/>
      <c r="I512" s="44"/>
      <c r="K512" s="44"/>
    </row>
    <row r="513">
      <c r="G513" s="43"/>
      <c r="I513" s="44"/>
      <c r="K513" s="44"/>
    </row>
    <row r="514">
      <c r="G514" s="43"/>
      <c r="I514" s="44"/>
      <c r="K514" s="44"/>
    </row>
    <row r="515">
      <c r="G515" s="43"/>
      <c r="I515" s="44"/>
      <c r="K515" s="44"/>
    </row>
    <row r="516">
      <c r="G516" s="43"/>
      <c r="I516" s="44"/>
      <c r="K516" s="44"/>
    </row>
    <row r="517">
      <c r="G517" s="43"/>
      <c r="I517" s="44"/>
      <c r="K517" s="44"/>
    </row>
    <row r="518">
      <c r="G518" s="43"/>
      <c r="I518" s="44"/>
      <c r="K518" s="44"/>
    </row>
    <row r="519">
      <c r="G519" s="43"/>
      <c r="I519" s="44"/>
      <c r="K519" s="44"/>
    </row>
    <row r="520">
      <c r="G520" s="43"/>
      <c r="I520" s="44"/>
      <c r="K520" s="44"/>
    </row>
    <row r="521">
      <c r="G521" s="43"/>
      <c r="I521" s="44"/>
      <c r="K521" s="44"/>
    </row>
    <row r="522">
      <c r="G522" s="43"/>
      <c r="I522" s="44"/>
      <c r="K522" s="44"/>
    </row>
    <row r="523">
      <c r="G523" s="43"/>
      <c r="I523" s="44"/>
      <c r="K523" s="44"/>
    </row>
    <row r="524">
      <c r="G524" s="43"/>
      <c r="I524" s="44"/>
      <c r="K524" s="44"/>
    </row>
    <row r="525">
      <c r="G525" s="43"/>
      <c r="I525" s="44"/>
      <c r="K525" s="44"/>
    </row>
    <row r="526">
      <c r="G526" s="43"/>
      <c r="I526" s="44"/>
      <c r="K526" s="44"/>
    </row>
    <row r="527">
      <c r="G527" s="43"/>
      <c r="I527" s="44"/>
      <c r="K527" s="44"/>
    </row>
    <row r="528">
      <c r="G528" s="43"/>
      <c r="I528" s="44"/>
      <c r="K528" s="44"/>
    </row>
    <row r="529">
      <c r="G529" s="43"/>
      <c r="I529" s="44"/>
      <c r="K529" s="44"/>
    </row>
    <row r="530">
      <c r="G530" s="43"/>
      <c r="I530" s="44"/>
      <c r="K530" s="44"/>
    </row>
    <row r="531">
      <c r="G531" s="43"/>
      <c r="I531" s="44"/>
      <c r="K531" s="44"/>
    </row>
    <row r="532">
      <c r="G532" s="43"/>
      <c r="I532" s="44"/>
      <c r="K532" s="44"/>
    </row>
    <row r="533">
      <c r="G533" s="43"/>
      <c r="I533" s="44"/>
      <c r="K533" s="44"/>
    </row>
    <row r="534">
      <c r="G534" s="43"/>
      <c r="I534" s="44"/>
      <c r="K534" s="44"/>
    </row>
    <row r="535">
      <c r="G535" s="43"/>
      <c r="I535" s="44"/>
      <c r="K535" s="44"/>
    </row>
    <row r="536">
      <c r="G536" s="43"/>
      <c r="I536" s="44"/>
      <c r="K536" s="44"/>
    </row>
    <row r="537">
      <c r="G537" s="43"/>
      <c r="I537" s="44"/>
      <c r="K537" s="44"/>
    </row>
    <row r="538">
      <c r="G538" s="43"/>
      <c r="I538" s="44"/>
      <c r="K538" s="44"/>
    </row>
    <row r="539">
      <c r="G539" s="43"/>
      <c r="I539" s="44"/>
      <c r="K539" s="44"/>
    </row>
    <row r="540">
      <c r="G540" s="43"/>
      <c r="I540" s="44"/>
      <c r="K540" s="44"/>
    </row>
    <row r="541">
      <c r="G541" s="43"/>
      <c r="I541" s="44"/>
      <c r="K541" s="44"/>
    </row>
    <row r="542">
      <c r="G542" s="43"/>
      <c r="I542" s="44"/>
      <c r="K542" s="44"/>
    </row>
    <row r="543">
      <c r="G543" s="43"/>
      <c r="I543" s="44"/>
      <c r="K543" s="44"/>
    </row>
    <row r="544">
      <c r="G544" s="43"/>
      <c r="I544" s="44"/>
      <c r="K544" s="44"/>
    </row>
    <row r="545">
      <c r="G545" s="43"/>
      <c r="I545" s="44"/>
      <c r="K545" s="44"/>
    </row>
    <row r="546">
      <c r="G546" s="43"/>
      <c r="I546" s="44"/>
      <c r="K546" s="44"/>
    </row>
    <row r="547">
      <c r="G547" s="43"/>
      <c r="I547" s="44"/>
      <c r="K547" s="44"/>
    </row>
    <row r="548">
      <c r="G548" s="43"/>
      <c r="I548" s="44"/>
      <c r="K548" s="44"/>
    </row>
    <row r="549">
      <c r="G549" s="43"/>
      <c r="I549" s="44"/>
      <c r="K549" s="44"/>
    </row>
    <row r="550">
      <c r="G550" s="43"/>
      <c r="I550" s="44"/>
      <c r="K550" s="44"/>
    </row>
    <row r="551">
      <c r="G551" s="43"/>
      <c r="I551" s="44"/>
      <c r="K551" s="44"/>
    </row>
    <row r="552">
      <c r="G552" s="43"/>
      <c r="I552" s="44"/>
      <c r="K552" s="44"/>
    </row>
    <row r="553">
      <c r="G553" s="43"/>
      <c r="I553" s="44"/>
      <c r="K553" s="44"/>
    </row>
    <row r="554">
      <c r="G554" s="43"/>
      <c r="I554" s="44"/>
      <c r="K554" s="44"/>
    </row>
    <row r="555">
      <c r="G555" s="43"/>
      <c r="I555" s="44"/>
      <c r="K555" s="44"/>
    </row>
    <row r="556">
      <c r="G556" s="43"/>
      <c r="I556" s="44"/>
      <c r="K556" s="44"/>
    </row>
    <row r="557">
      <c r="G557" s="43"/>
      <c r="I557" s="44"/>
      <c r="K557" s="44"/>
    </row>
    <row r="558">
      <c r="G558" s="43"/>
      <c r="I558" s="44"/>
      <c r="K558" s="44"/>
    </row>
    <row r="559">
      <c r="G559" s="43"/>
      <c r="I559" s="44"/>
      <c r="K559" s="44"/>
    </row>
    <row r="560">
      <c r="G560" s="43"/>
      <c r="I560" s="44"/>
      <c r="K560" s="44"/>
    </row>
    <row r="561">
      <c r="G561" s="43"/>
      <c r="I561" s="44"/>
      <c r="K561" s="44"/>
    </row>
    <row r="562">
      <c r="G562" s="43"/>
      <c r="I562" s="44"/>
      <c r="K562" s="44"/>
    </row>
    <row r="563">
      <c r="G563" s="43"/>
      <c r="I563" s="44"/>
      <c r="K563" s="44"/>
    </row>
    <row r="564">
      <c r="G564" s="43"/>
      <c r="I564" s="44"/>
      <c r="K564" s="44"/>
    </row>
    <row r="565">
      <c r="G565" s="43"/>
      <c r="I565" s="44"/>
      <c r="K565" s="44"/>
    </row>
    <row r="566">
      <c r="G566" s="43"/>
      <c r="I566" s="44"/>
      <c r="K566" s="44"/>
    </row>
    <row r="567">
      <c r="G567" s="43"/>
      <c r="I567" s="44"/>
      <c r="K567" s="44"/>
    </row>
    <row r="568">
      <c r="G568" s="43"/>
      <c r="I568" s="44"/>
      <c r="K568" s="44"/>
    </row>
    <row r="569">
      <c r="G569" s="43"/>
      <c r="I569" s="44"/>
      <c r="K569" s="44"/>
    </row>
    <row r="570">
      <c r="G570" s="43"/>
      <c r="I570" s="44"/>
      <c r="K570" s="44"/>
    </row>
    <row r="571">
      <c r="G571" s="43"/>
      <c r="I571" s="44"/>
      <c r="K571" s="44"/>
    </row>
    <row r="572">
      <c r="G572" s="43"/>
      <c r="I572" s="44"/>
      <c r="K572" s="44"/>
    </row>
    <row r="573">
      <c r="G573" s="43"/>
      <c r="I573" s="44"/>
      <c r="K573" s="44"/>
    </row>
    <row r="574">
      <c r="G574" s="43"/>
      <c r="I574" s="44"/>
      <c r="K574" s="44"/>
    </row>
    <row r="575">
      <c r="G575" s="43"/>
      <c r="I575" s="44"/>
      <c r="K575" s="44"/>
    </row>
    <row r="576">
      <c r="G576" s="43"/>
      <c r="I576" s="44"/>
      <c r="K576" s="44"/>
    </row>
    <row r="577">
      <c r="G577" s="43"/>
      <c r="I577" s="44"/>
      <c r="K577" s="44"/>
    </row>
    <row r="578">
      <c r="G578" s="43"/>
      <c r="I578" s="44"/>
      <c r="K578" s="44"/>
    </row>
    <row r="579">
      <c r="G579" s="43"/>
      <c r="I579" s="44"/>
      <c r="K579" s="44"/>
    </row>
    <row r="580">
      <c r="G580" s="43"/>
      <c r="I580" s="44"/>
      <c r="K580" s="44"/>
    </row>
    <row r="581">
      <c r="G581" s="43"/>
      <c r="I581" s="44"/>
      <c r="K581" s="44"/>
    </row>
    <row r="582">
      <c r="G582" s="43"/>
      <c r="I582" s="44"/>
      <c r="K582" s="44"/>
    </row>
    <row r="583">
      <c r="G583" s="43"/>
      <c r="I583" s="44"/>
      <c r="K583" s="44"/>
    </row>
    <row r="584">
      <c r="G584" s="43"/>
      <c r="I584" s="44"/>
      <c r="K584" s="44"/>
    </row>
    <row r="585">
      <c r="G585" s="43"/>
      <c r="I585" s="44"/>
      <c r="K585" s="44"/>
    </row>
    <row r="586">
      <c r="G586" s="43"/>
      <c r="I586" s="44"/>
      <c r="K586" s="44"/>
    </row>
    <row r="587">
      <c r="G587" s="43"/>
      <c r="I587" s="44"/>
      <c r="K587" s="44"/>
    </row>
    <row r="588">
      <c r="G588" s="43"/>
      <c r="I588" s="44"/>
      <c r="K588" s="44"/>
    </row>
    <row r="589">
      <c r="G589" s="43"/>
      <c r="I589" s="44"/>
      <c r="K589" s="44"/>
    </row>
    <row r="590">
      <c r="G590" s="43"/>
      <c r="I590" s="44"/>
      <c r="K590" s="44"/>
    </row>
    <row r="591">
      <c r="G591" s="43"/>
      <c r="I591" s="44"/>
      <c r="K591" s="44"/>
    </row>
    <row r="592">
      <c r="G592" s="43"/>
      <c r="I592" s="44"/>
      <c r="K592" s="44"/>
    </row>
    <row r="593">
      <c r="G593" s="43"/>
      <c r="I593" s="44"/>
      <c r="K593" s="44"/>
    </row>
    <row r="594">
      <c r="G594" s="43"/>
      <c r="I594" s="44"/>
      <c r="K594" s="44"/>
    </row>
    <row r="595">
      <c r="G595" s="43"/>
      <c r="I595" s="44"/>
      <c r="K595" s="44"/>
    </row>
    <row r="596">
      <c r="G596" s="43"/>
      <c r="I596" s="44"/>
      <c r="K596" s="44"/>
    </row>
    <row r="597">
      <c r="G597" s="43"/>
      <c r="I597" s="44"/>
      <c r="K597" s="44"/>
    </row>
    <row r="598">
      <c r="G598" s="43"/>
      <c r="I598" s="44"/>
      <c r="K598" s="44"/>
    </row>
    <row r="599">
      <c r="G599" s="43"/>
      <c r="I599" s="44"/>
      <c r="K599" s="44"/>
    </row>
    <row r="600">
      <c r="G600" s="43"/>
      <c r="I600" s="44"/>
      <c r="K600" s="44"/>
    </row>
    <row r="601">
      <c r="G601" s="43"/>
      <c r="I601" s="44"/>
      <c r="K601" s="44"/>
    </row>
    <row r="602">
      <c r="G602" s="43"/>
      <c r="I602" s="44"/>
      <c r="K602" s="44"/>
    </row>
    <row r="603">
      <c r="G603" s="43"/>
      <c r="I603" s="44"/>
      <c r="K603" s="44"/>
    </row>
    <row r="604">
      <c r="G604" s="43"/>
      <c r="I604" s="44"/>
      <c r="K604" s="44"/>
    </row>
    <row r="605">
      <c r="G605" s="43"/>
      <c r="I605" s="44"/>
      <c r="K605" s="44"/>
    </row>
    <row r="606">
      <c r="G606" s="43"/>
      <c r="I606" s="44"/>
      <c r="K606" s="44"/>
    </row>
    <row r="607">
      <c r="G607" s="43"/>
      <c r="I607" s="44"/>
      <c r="K607" s="44"/>
    </row>
    <row r="608">
      <c r="G608" s="43"/>
      <c r="I608" s="44"/>
      <c r="K608" s="44"/>
    </row>
    <row r="609">
      <c r="G609" s="43"/>
      <c r="I609" s="44"/>
      <c r="K609" s="44"/>
    </row>
    <row r="610">
      <c r="G610" s="43"/>
      <c r="I610" s="44"/>
      <c r="K610" s="44"/>
    </row>
    <row r="611">
      <c r="G611" s="43"/>
      <c r="I611" s="44"/>
      <c r="K611" s="44"/>
    </row>
    <row r="612">
      <c r="G612" s="43"/>
      <c r="I612" s="44"/>
      <c r="K612" s="44"/>
    </row>
    <row r="613">
      <c r="G613" s="43"/>
      <c r="I613" s="44"/>
      <c r="K613" s="44"/>
    </row>
    <row r="614">
      <c r="G614" s="43"/>
      <c r="I614" s="44"/>
      <c r="K614" s="44"/>
    </row>
    <row r="615">
      <c r="G615" s="43"/>
      <c r="I615" s="44"/>
      <c r="K615" s="44"/>
    </row>
    <row r="616">
      <c r="G616" s="43"/>
      <c r="I616" s="44"/>
      <c r="K616" s="44"/>
    </row>
    <row r="617">
      <c r="G617" s="43"/>
      <c r="I617" s="44"/>
      <c r="K617" s="44"/>
    </row>
    <row r="618">
      <c r="G618" s="43"/>
      <c r="I618" s="44"/>
      <c r="K618" s="44"/>
    </row>
    <row r="619">
      <c r="G619" s="43"/>
      <c r="I619" s="44"/>
      <c r="K619" s="44"/>
    </row>
    <row r="620">
      <c r="G620" s="43"/>
      <c r="I620" s="44"/>
      <c r="K620" s="44"/>
    </row>
    <row r="621">
      <c r="G621" s="43"/>
      <c r="I621" s="44"/>
      <c r="K621" s="44"/>
    </row>
    <row r="622">
      <c r="G622" s="43"/>
      <c r="I622" s="44"/>
      <c r="K622" s="44"/>
    </row>
    <row r="623">
      <c r="G623" s="43"/>
      <c r="I623" s="44"/>
      <c r="K623" s="44"/>
    </row>
    <row r="624">
      <c r="G624" s="43"/>
      <c r="I624" s="44"/>
      <c r="K624" s="44"/>
    </row>
    <row r="625">
      <c r="G625" s="43"/>
      <c r="I625" s="44"/>
      <c r="K625" s="44"/>
    </row>
    <row r="626">
      <c r="G626" s="43"/>
      <c r="I626" s="44"/>
      <c r="K626" s="44"/>
    </row>
    <row r="627">
      <c r="G627" s="43"/>
      <c r="I627" s="44"/>
      <c r="K627" s="44"/>
    </row>
    <row r="628">
      <c r="G628" s="43"/>
      <c r="I628" s="44"/>
      <c r="K628" s="44"/>
    </row>
    <row r="629">
      <c r="G629" s="43"/>
      <c r="I629" s="44"/>
      <c r="K629" s="44"/>
    </row>
    <row r="630">
      <c r="G630" s="43"/>
      <c r="I630" s="44"/>
      <c r="K630" s="44"/>
    </row>
    <row r="631">
      <c r="G631" s="43"/>
      <c r="I631" s="44"/>
      <c r="K631" s="44"/>
    </row>
    <row r="632">
      <c r="G632" s="43"/>
      <c r="I632" s="44"/>
      <c r="K632" s="44"/>
    </row>
    <row r="633">
      <c r="G633" s="43"/>
      <c r="I633" s="44"/>
      <c r="K633" s="44"/>
    </row>
    <row r="634">
      <c r="G634" s="43"/>
      <c r="I634" s="44"/>
      <c r="K634" s="44"/>
    </row>
    <row r="635">
      <c r="G635" s="43"/>
      <c r="I635" s="44"/>
      <c r="K635" s="44"/>
    </row>
    <row r="636">
      <c r="G636" s="43"/>
      <c r="I636" s="44"/>
      <c r="K636" s="44"/>
    </row>
    <row r="637">
      <c r="G637" s="43"/>
      <c r="I637" s="44"/>
      <c r="K637" s="44"/>
    </row>
    <row r="638">
      <c r="G638" s="43"/>
      <c r="I638" s="44"/>
      <c r="K638" s="44"/>
    </row>
    <row r="639">
      <c r="G639" s="43"/>
      <c r="I639" s="44"/>
      <c r="K639" s="44"/>
    </row>
    <row r="640">
      <c r="G640" s="43"/>
      <c r="I640" s="44"/>
      <c r="K640" s="44"/>
    </row>
    <row r="641">
      <c r="G641" s="43"/>
      <c r="I641" s="44"/>
      <c r="K641" s="44"/>
    </row>
    <row r="642">
      <c r="G642" s="43"/>
      <c r="I642" s="44"/>
      <c r="K642" s="44"/>
    </row>
    <row r="643">
      <c r="G643" s="43"/>
      <c r="I643" s="44"/>
      <c r="K643" s="44"/>
    </row>
    <row r="644">
      <c r="G644" s="43"/>
      <c r="I644" s="44"/>
      <c r="K644" s="44"/>
    </row>
    <row r="645">
      <c r="G645" s="43"/>
      <c r="I645" s="44"/>
      <c r="K645" s="44"/>
    </row>
    <row r="646">
      <c r="G646" s="43"/>
      <c r="I646" s="44"/>
      <c r="K646" s="44"/>
    </row>
    <row r="647">
      <c r="G647" s="43"/>
      <c r="I647" s="44"/>
      <c r="K647" s="44"/>
    </row>
    <row r="648">
      <c r="G648" s="43"/>
      <c r="I648" s="44"/>
      <c r="K648" s="44"/>
    </row>
    <row r="649">
      <c r="G649" s="43"/>
      <c r="I649" s="44"/>
      <c r="K649" s="44"/>
    </row>
    <row r="650">
      <c r="G650" s="43"/>
      <c r="I650" s="44"/>
      <c r="K650" s="44"/>
    </row>
    <row r="651">
      <c r="G651" s="43"/>
      <c r="I651" s="44"/>
      <c r="K651" s="44"/>
    </row>
    <row r="652">
      <c r="G652" s="43"/>
      <c r="I652" s="44"/>
      <c r="K652" s="44"/>
    </row>
    <row r="653">
      <c r="G653" s="43"/>
      <c r="I653" s="44"/>
      <c r="K653" s="44"/>
    </row>
    <row r="654">
      <c r="G654" s="43"/>
      <c r="I654" s="44"/>
      <c r="K654" s="44"/>
    </row>
    <row r="655">
      <c r="G655" s="43"/>
      <c r="I655" s="44"/>
      <c r="K655" s="44"/>
    </row>
    <row r="656">
      <c r="G656" s="43"/>
      <c r="I656" s="44"/>
      <c r="K656" s="44"/>
    </row>
    <row r="657">
      <c r="G657" s="43"/>
      <c r="I657" s="44"/>
      <c r="K657" s="44"/>
    </row>
    <row r="658">
      <c r="G658" s="43"/>
      <c r="I658" s="44"/>
      <c r="K658" s="44"/>
    </row>
    <row r="659">
      <c r="G659" s="43"/>
      <c r="I659" s="44"/>
      <c r="K659" s="44"/>
    </row>
    <row r="660">
      <c r="G660" s="43"/>
      <c r="I660" s="44"/>
      <c r="K660" s="44"/>
    </row>
    <row r="661">
      <c r="G661" s="43"/>
      <c r="I661" s="44"/>
      <c r="K661" s="44"/>
    </row>
    <row r="662">
      <c r="G662" s="43"/>
      <c r="I662" s="44"/>
      <c r="K662" s="44"/>
    </row>
    <row r="663">
      <c r="G663" s="43"/>
      <c r="I663" s="44"/>
      <c r="K663" s="44"/>
    </row>
    <row r="664">
      <c r="G664" s="43"/>
      <c r="I664" s="44"/>
      <c r="K664" s="44"/>
    </row>
    <row r="665">
      <c r="G665" s="43"/>
      <c r="I665" s="44"/>
      <c r="K665" s="44"/>
    </row>
    <row r="666">
      <c r="G666" s="43"/>
      <c r="I666" s="44"/>
      <c r="K666" s="44"/>
    </row>
    <row r="667">
      <c r="G667" s="43"/>
      <c r="I667" s="44"/>
      <c r="K667" s="44"/>
    </row>
    <row r="668">
      <c r="G668" s="43"/>
      <c r="I668" s="44"/>
      <c r="K668" s="44"/>
    </row>
    <row r="669">
      <c r="G669" s="43"/>
      <c r="I669" s="44"/>
      <c r="K669" s="44"/>
    </row>
    <row r="670">
      <c r="G670" s="43"/>
      <c r="I670" s="44"/>
      <c r="K670" s="44"/>
    </row>
    <row r="671">
      <c r="G671" s="43"/>
      <c r="I671" s="44"/>
      <c r="K671" s="44"/>
    </row>
    <row r="672">
      <c r="G672" s="43"/>
      <c r="I672" s="44"/>
      <c r="K672" s="44"/>
    </row>
    <row r="673">
      <c r="G673" s="43"/>
      <c r="I673" s="44"/>
      <c r="K673" s="44"/>
    </row>
    <row r="674">
      <c r="G674" s="43"/>
      <c r="I674" s="44"/>
      <c r="K674" s="44"/>
    </row>
    <row r="675">
      <c r="G675" s="43"/>
      <c r="I675" s="44"/>
      <c r="K675" s="44"/>
    </row>
    <row r="676">
      <c r="G676" s="43"/>
      <c r="I676" s="44"/>
      <c r="K676" s="44"/>
    </row>
    <row r="677">
      <c r="G677" s="43"/>
      <c r="I677" s="44"/>
      <c r="K677" s="44"/>
    </row>
    <row r="678">
      <c r="G678" s="43"/>
      <c r="I678" s="44"/>
      <c r="K678" s="44"/>
    </row>
    <row r="679">
      <c r="G679" s="43"/>
      <c r="I679" s="44"/>
      <c r="K679" s="44"/>
    </row>
    <row r="680">
      <c r="G680" s="43"/>
      <c r="I680" s="44"/>
      <c r="K680" s="44"/>
    </row>
    <row r="681">
      <c r="G681" s="43"/>
      <c r="I681" s="44"/>
      <c r="K681" s="44"/>
    </row>
    <row r="682">
      <c r="G682" s="43"/>
      <c r="I682" s="44"/>
      <c r="K682" s="44"/>
    </row>
    <row r="683">
      <c r="G683" s="43"/>
      <c r="I683" s="44"/>
      <c r="K683" s="44"/>
    </row>
    <row r="684">
      <c r="G684" s="43"/>
      <c r="I684" s="44"/>
      <c r="K684" s="44"/>
    </row>
    <row r="685">
      <c r="G685" s="43"/>
      <c r="I685" s="44"/>
      <c r="K685" s="44"/>
    </row>
    <row r="686">
      <c r="G686" s="43"/>
      <c r="I686" s="44"/>
      <c r="K686" s="44"/>
    </row>
    <row r="687">
      <c r="G687" s="43"/>
      <c r="I687" s="44"/>
      <c r="K687" s="44"/>
    </row>
    <row r="688">
      <c r="G688" s="43"/>
      <c r="I688" s="44"/>
      <c r="K688" s="44"/>
    </row>
    <row r="689">
      <c r="G689" s="43"/>
      <c r="I689" s="44"/>
      <c r="K689" s="44"/>
    </row>
    <row r="690">
      <c r="G690" s="43"/>
      <c r="I690" s="44"/>
      <c r="K690" s="44"/>
    </row>
    <row r="691">
      <c r="G691" s="43"/>
      <c r="I691" s="44"/>
      <c r="K691" s="44"/>
    </row>
    <row r="692">
      <c r="G692" s="43"/>
      <c r="I692" s="44"/>
      <c r="K692" s="44"/>
    </row>
    <row r="693">
      <c r="G693" s="43"/>
      <c r="I693" s="44"/>
      <c r="K693" s="44"/>
    </row>
    <row r="694">
      <c r="G694" s="43"/>
      <c r="I694" s="44"/>
      <c r="K694" s="44"/>
    </row>
    <row r="695">
      <c r="G695" s="43"/>
      <c r="I695" s="44"/>
      <c r="K695" s="44"/>
    </row>
    <row r="696">
      <c r="G696" s="43"/>
      <c r="I696" s="44"/>
      <c r="K696" s="44"/>
    </row>
    <row r="697">
      <c r="G697" s="43"/>
      <c r="I697" s="44"/>
      <c r="K697" s="44"/>
    </row>
    <row r="698">
      <c r="G698" s="43"/>
      <c r="I698" s="44"/>
      <c r="K698" s="44"/>
    </row>
    <row r="699">
      <c r="G699" s="43"/>
      <c r="I699" s="44"/>
      <c r="K699" s="44"/>
    </row>
    <row r="700">
      <c r="G700" s="43"/>
      <c r="I700" s="44"/>
      <c r="K700" s="44"/>
    </row>
    <row r="701">
      <c r="G701" s="43"/>
      <c r="I701" s="44"/>
      <c r="K701" s="44"/>
    </row>
    <row r="702">
      <c r="G702" s="43"/>
      <c r="I702" s="44"/>
      <c r="K702" s="44"/>
    </row>
    <row r="703">
      <c r="G703" s="43"/>
      <c r="I703" s="44"/>
      <c r="K703" s="44"/>
    </row>
    <row r="704">
      <c r="G704" s="43"/>
      <c r="I704" s="44"/>
      <c r="K704" s="44"/>
    </row>
    <row r="705">
      <c r="G705" s="43"/>
      <c r="I705" s="44"/>
      <c r="K705" s="44"/>
    </row>
    <row r="706">
      <c r="G706" s="43"/>
      <c r="I706" s="44"/>
      <c r="K706" s="44"/>
    </row>
    <row r="707">
      <c r="G707" s="43"/>
      <c r="I707" s="44"/>
      <c r="K707" s="44"/>
    </row>
    <row r="708">
      <c r="G708" s="43"/>
      <c r="I708" s="44"/>
      <c r="K708" s="44"/>
    </row>
    <row r="709">
      <c r="G709" s="43"/>
      <c r="I709" s="44"/>
      <c r="K709" s="44"/>
    </row>
    <row r="710">
      <c r="G710" s="43"/>
      <c r="I710" s="44"/>
      <c r="K710" s="44"/>
    </row>
    <row r="711">
      <c r="G711" s="43"/>
      <c r="I711" s="44"/>
      <c r="K711" s="44"/>
    </row>
    <row r="712">
      <c r="G712" s="43"/>
      <c r="I712" s="44"/>
      <c r="K712" s="44"/>
    </row>
    <row r="713">
      <c r="G713" s="43"/>
      <c r="I713" s="44"/>
      <c r="K713" s="44"/>
    </row>
    <row r="714">
      <c r="G714" s="43"/>
      <c r="I714" s="44"/>
      <c r="K714" s="44"/>
    </row>
    <row r="715">
      <c r="G715" s="43"/>
      <c r="I715" s="44"/>
      <c r="K715" s="44"/>
    </row>
    <row r="716">
      <c r="G716" s="43"/>
      <c r="I716" s="44"/>
      <c r="K716" s="44"/>
    </row>
    <row r="717">
      <c r="G717" s="43"/>
      <c r="I717" s="44"/>
      <c r="K717" s="44"/>
    </row>
    <row r="718">
      <c r="G718" s="43"/>
      <c r="I718" s="44"/>
      <c r="K718" s="44"/>
    </row>
    <row r="719">
      <c r="G719" s="43"/>
      <c r="I719" s="44"/>
      <c r="K719" s="44"/>
    </row>
    <row r="720">
      <c r="G720" s="43"/>
      <c r="I720" s="44"/>
      <c r="K720" s="44"/>
    </row>
    <row r="721">
      <c r="G721" s="43"/>
      <c r="I721" s="44"/>
      <c r="K721" s="44"/>
    </row>
    <row r="722">
      <c r="G722" s="43"/>
      <c r="I722" s="44"/>
      <c r="K722" s="44"/>
    </row>
    <row r="723">
      <c r="G723" s="43"/>
      <c r="I723" s="44"/>
      <c r="K723" s="44"/>
    </row>
    <row r="724">
      <c r="G724" s="43"/>
      <c r="I724" s="44"/>
      <c r="K724" s="44"/>
    </row>
    <row r="725">
      <c r="G725" s="43"/>
      <c r="I725" s="44"/>
      <c r="K725" s="44"/>
    </row>
    <row r="726">
      <c r="G726" s="43"/>
      <c r="I726" s="44"/>
      <c r="K726" s="44"/>
    </row>
    <row r="727">
      <c r="G727" s="43"/>
      <c r="I727" s="44"/>
      <c r="K727" s="44"/>
    </row>
    <row r="728">
      <c r="G728" s="43"/>
      <c r="I728" s="44"/>
      <c r="K728" s="44"/>
    </row>
    <row r="729">
      <c r="G729" s="43"/>
      <c r="I729" s="44"/>
      <c r="K729" s="44"/>
    </row>
    <row r="730">
      <c r="G730" s="43"/>
      <c r="I730" s="44"/>
      <c r="K730" s="44"/>
    </row>
    <row r="731">
      <c r="G731" s="43"/>
      <c r="I731" s="44"/>
      <c r="K731" s="44"/>
    </row>
    <row r="732">
      <c r="G732" s="43"/>
      <c r="I732" s="44"/>
      <c r="K732" s="44"/>
    </row>
    <row r="733">
      <c r="G733" s="43"/>
      <c r="I733" s="44"/>
      <c r="K733" s="44"/>
    </row>
    <row r="734">
      <c r="G734" s="43"/>
      <c r="I734" s="44"/>
      <c r="K734" s="44"/>
    </row>
    <row r="735">
      <c r="G735" s="43"/>
      <c r="I735" s="44"/>
      <c r="K735" s="44"/>
    </row>
    <row r="736">
      <c r="G736" s="43"/>
      <c r="I736" s="44"/>
      <c r="K736" s="44"/>
    </row>
    <row r="737">
      <c r="G737" s="43"/>
      <c r="I737" s="44"/>
      <c r="K737" s="44"/>
    </row>
    <row r="738">
      <c r="G738" s="43"/>
      <c r="I738" s="44"/>
      <c r="K738" s="44"/>
    </row>
    <row r="739">
      <c r="G739" s="43"/>
      <c r="I739" s="44"/>
      <c r="K739" s="44"/>
    </row>
    <row r="740">
      <c r="G740" s="43"/>
      <c r="I740" s="44"/>
      <c r="K740" s="44"/>
    </row>
    <row r="741">
      <c r="G741" s="43"/>
      <c r="I741" s="44"/>
      <c r="K741" s="44"/>
    </row>
    <row r="742">
      <c r="G742" s="43"/>
      <c r="I742" s="44"/>
      <c r="K742" s="44"/>
    </row>
    <row r="743">
      <c r="G743" s="43"/>
      <c r="I743" s="44"/>
      <c r="K743" s="44"/>
    </row>
    <row r="744">
      <c r="G744" s="43"/>
      <c r="I744" s="44"/>
      <c r="K744" s="44"/>
    </row>
    <row r="745">
      <c r="G745" s="43"/>
      <c r="I745" s="44"/>
      <c r="K745" s="44"/>
    </row>
    <row r="746">
      <c r="G746" s="43"/>
      <c r="I746" s="44"/>
      <c r="K746" s="44"/>
    </row>
    <row r="747">
      <c r="G747" s="43"/>
      <c r="I747" s="44"/>
      <c r="K747" s="44"/>
    </row>
    <row r="748">
      <c r="G748" s="43"/>
      <c r="I748" s="44"/>
      <c r="K748" s="44"/>
    </row>
    <row r="749">
      <c r="G749" s="43"/>
      <c r="I749" s="44"/>
      <c r="K749" s="44"/>
    </row>
    <row r="750">
      <c r="G750" s="43"/>
      <c r="I750" s="44"/>
      <c r="K750" s="44"/>
    </row>
    <row r="751">
      <c r="G751" s="43"/>
      <c r="I751" s="44"/>
      <c r="K751" s="44"/>
    </row>
    <row r="752">
      <c r="G752" s="43"/>
      <c r="I752" s="44"/>
      <c r="K752" s="44"/>
    </row>
    <row r="753">
      <c r="G753" s="43"/>
      <c r="I753" s="44"/>
      <c r="K753" s="44"/>
    </row>
    <row r="754">
      <c r="G754" s="43"/>
      <c r="I754" s="44"/>
      <c r="K754" s="44"/>
    </row>
    <row r="755">
      <c r="G755" s="43"/>
      <c r="I755" s="44"/>
      <c r="K755" s="44"/>
    </row>
    <row r="756">
      <c r="G756" s="43"/>
      <c r="I756" s="44"/>
      <c r="K756" s="44"/>
    </row>
    <row r="757">
      <c r="G757" s="43"/>
      <c r="I757" s="44"/>
      <c r="K757" s="44"/>
    </row>
    <row r="758">
      <c r="G758" s="43"/>
      <c r="I758" s="44"/>
      <c r="K758" s="44"/>
    </row>
    <row r="759">
      <c r="G759" s="43"/>
      <c r="I759" s="44"/>
      <c r="K759" s="44"/>
    </row>
    <row r="760">
      <c r="G760" s="43"/>
      <c r="I760" s="44"/>
      <c r="K760" s="44"/>
    </row>
    <row r="761">
      <c r="G761" s="43"/>
      <c r="I761" s="44"/>
      <c r="K761" s="44"/>
    </row>
    <row r="762">
      <c r="G762" s="43"/>
      <c r="I762" s="44"/>
      <c r="K762" s="44"/>
    </row>
    <row r="763">
      <c r="G763" s="43"/>
      <c r="I763" s="44"/>
      <c r="K763" s="44"/>
    </row>
    <row r="764">
      <c r="G764" s="43"/>
      <c r="I764" s="44"/>
      <c r="K764" s="44"/>
    </row>
    <row r="765">
      <c r="G765" s="43"/>
      <c r="I765" s="44"/>
      <c r="K765" s="44"/>
    </row>
    <row r="766">
      <c r="G766" s="43"/>
      <c r="I766" s="44"/>
      <c r="K766" s="44"/>
    </row>
    <row r="767">
      <c r="G767" s="43"/>
      <c r="I767" s="44"/>
      <c r="K767" s="44"/>
    </row>
    <row r="768">
      <c r="G768" s="43"/>
      <c r="I768" s="44"/>
      <c r="K768" s="44"/>
    </row>
    <row r="769">
      <c r="G769" s="43"/>
      <c r="I769" s="44"/>
      <c r="K769" s="44"/>
    </row>
    <row r="770">
      <c r="G770" s="43"/>
      <c r="I770" s="44"/>
      <c r="K770" s="44"/>
    </row>
    <row r="771">
      <c r="G771" s="43"/>
      <c r="I771" s="44"/>
      <c r="K771" s="44"/>
    </row>
    <row r="772">
      <c r="G772" s="43"/>
      <c r="I772" s="44"/>
      <c r="K772" s="44"/>
    </row>
    <row r="773">
      <c r="G773" s="43"/>
      <c r="I773" s="44"/>
      <c r="K773" s="44"/>
    </row>
    <row r="774">
      <c r="G774" s="43"/>
      <c r="I774" s="44"/>
      <c r="K774" s="44"/>
    </row>
    <row r="775">
      <c r="G775" s="43"/>
      <c r="I775" s="44"/>
      <c r="K775" s="44"/>
    </row>
    <row r="776">
      <c r="G776" s="43"/>
      <c r="I776" s="44"/>
      <c r="K776" s="44"/>
    </row>
    <row r="777">
      <c r="G777" s="43"/>
      <c r="I777" s="44"/>
      <c r="K777" s="44"/>
    </row>
    <row r="778">
      <c r="G778" s="43"/>
      <c r="I778" s="44"/>
      <c r="K778" s="44"/>
    </row>
    <row r="779">
      <c r="G779" s="43"/>
      <c r="I779" s="44"/>
      <c r="K779" s="44"/>
    </row>
    <row r="780">
      <c r="G780" s="43"/>
      <c r="I780" s="44"/>
      <c r="K780" s="44"/>
    </row>
    <row r="781">
      <c r="G781" s="43"/>
      <c r="I781" s="44"/>
      <c r="K781" s="44"/>
    </row>
    <row r="782">
      <c r="G782" s="43"/>
      <c r="I782" s="44"/>
      <c r="K782" s="44"/>
    </row>
    <row r="783">
      <c r="G783" s="43"/>
      <c r="I783" s="44"/>
      <c r="K783" s="44"/>
    </row>
    <row r="784">
      <c r="G784" s="43"/>
      <c r="I784" s="44"/>
      <c r="K784" s="44"/>
    </row>
    <row r="785">
      <c r="G785" s="43"/>
      <c r="I785" s="44"/>
      <c r="K785" s="44"/>
    </row>
    <row r="786">
      <c r="G786" s="43"/>
      <c r="I786" s="44"/>
      <c r="K786" s="44"/>
    </row>
    <row r="787">
      <c r="G787" s="43"/>
      <c r="I787" s="44"/>
      <c r="K787" s="44"/>
    </row>
    <row r="788">
      <c r="G788" s="43"/>
      <c r="I788" s="44"/>
      <c r="K788" s="44"/>
    </row>
    <row r="789">
      <c r="G789" s="43"/>
      <c r="I789" s="44"/>
      <c r="K789" s="44"/>
    </row>
    <row r="790">
      <c r="G790" s="43"/>
      <c r="I790" s="44"/>
      <c r="K790" s="44"/>
    </row>
    <row r="791">
      <c r="G791" s="43"/>
      <c r="I791" s="44"/>
      <c r="K791" s="44"/>
    </row>
    <row r="792">
      <c r="G792" s="43"/>
      <c r="I792" s="44"/>
      <c r="K792" s="44"/>
    </row>
    <row r="793">
      <c r="G793" s="43"/>
      <c r="I793" s="44"/>
      <c r="K793" s="44"/>
    </row>
    <row r="794">
      <c r="G794" s="43"/>
      <c r="I794" s="44"/>
      <c r="K794" s="44"/>
    </row>
    <row r="795">
      <c r="G795" s="43"/>
      <c r="I795" s="44"/>
      <c r="K795" s="44"/>
    </row>
    <row r="796">
      <c r="G796" s="43"/>
      <c r="I796" s="44"/>
      <c r="K796" s="44"/>
    </row>
    <row r="797">
      <c r="G797" s="43"/>
      <c r="I797" s="44"/>
      <c r="K797" s="44"/>
    </row>
    <row r="798">
      <c r="G798" s="43"/>
      <c r="I798" s="44"/>
      <c r="K798" s="44"/>
    </row>
    <row r="799">
      <c r="G799" s="43"/>
      <c r="I799" s="44"/>
      <c r="K799" s="44"/>
    </row>
    <row r="800">
      <c r="G800" s="43"/>
      <c r="I800" s="44"/>
      <c r="K800" s="44"/>
    </row>
    <row r="801">
      <c r="G801" s="43"/>
      <c r="I801" s="44"/>
      <c r="K801" s="44"/>
    </row>
    <row r="802">
      <c r="G802" s="43"/>
      <c r="I802" s="44"/>
      <c r="K802" s="44"/>
    </row>
    <row r="803">
      <c r="G803" s="43"/>
      <c r="I803" s="44"/>
      <c r="K803" s="44"/>
    </row>
    <row r="804">
      <c r="G804" s="43"/>
      <c r="I804" s="44"/>
      <c r="K804" s="44"/>
    </row>
    <row r="805">
      <c r="G805" s="43"/>
      <c r="I805" s="44"/>
      <c r="K805" s="44"/>
    </row>
    <row r="806">
      <c r="G806" s="43"/>
      <c r="I806" s="44"/>
      <c r="K806" s="44"/>
    </row>
    <row r="807">
      <c r="G807" s="43"/>
      <c r="I807" s="44"/>
      <c r="K807" s="44"/>
    </row>
    <row r="808">
      <c r="G808" s="43"/>
      <c r="I808" s="44"/>
      <c r="K808" s="44"/>
    </row>
    <row r="809">
      <c r="G809" s="43"/>
      <c r="I809" s="44"/>
      <c r="K809" s="44"/>
    </row>
    <row r="810">
      <c r="G810" s="43"/>
      <c r="I810" s="44"/>
      <c r="K810" s="44"/>
    </row>
    <row r="811">
      <c r="G811" s="43"/>
      <c r="I811" s="44"/>
      <c r="K811" s="44"/>
    </row>
    <row r="812">
      <c r="G812" s="43"/>
      <c r="I812" s="44"/>
      <c r="K812" s="44"/>
    </row>
    <row r="813">
      <c r="G813" s="43"/>
      <c r="I813" s="44"/>
      <c r="K813" s="44"/>
    </row>
    <row r="814">
      <c r="G814" s="43"/>
      <c r="I814" s="44"/>
      <c r="K814" s="44"/>
    </row>
    <row r="815">
      <c r="G815" s="43"/>
      <c r="I815" s="44"/>
      <c r="K815" s="44"/>
    </row>
    <row r="816">
      <c r="G816" s="43"/>
      <c r="I816" s="44"/>
      <c r="K816" s="44"/>
    </row>
    <row r="817">
      <c r="G817" s="43"/>
      <c r="I817" s="44"/>
      <c r="K817" s="44"/>
    </row>
    <row r="818">
      <c r="G818" s="43"/>
      <c r="I818" s="44"/>
      <c r="K818" s="44"/>
    </row>
    <row r="819">
      <c r="G819" s="43"/>
      <c r="I819" s="44"/>
      <c r="K819" s="44"/>
    </row>
    <row r="820">
      <c r="G820" s="43"/>
      <c r="I820" s="44"/>
      <c r="K820" s="44"/>
    </row>
    <row r="821">
      <c r="G821" s="43"/>
      <c r="I821" s="44"/>
      <c r="K821" s="44"/>
    </row>
    <row r="822">
      <c r="G822" s="43"/>
      <c r="I822" s="44"/>
      <c r="K822" s="44"/>
    </row>
    <row r="823">
      <c r="G823" s="43"/>
      <c r="I823" s="44"/>
      <c r="K823" s="44"/>
    </row>
    <row r="824">
      <c r="G824" s="43"/>
      <c r="I824" s="44"/>
      <c r="K824" s="44"/>
    </row>
    <row r="825">
      <c r="G825" s="43"/>
      <c r="I825" s="44"/>
      <c r="K825" s="44"/>
    </row>
    <row r="826">
      <c r="G826" s="43"/>
      <c r="I826" s="44"/>
      <c r="K826" s="44"/>
    </row>
    <row r="827">
      <c r="G827" s="43"/>
      <c r="I827" s="44"/>
      <c r="K827" s="44"/>
    </row>
    <row r="828">
      <c r="G828" s="43"/>
      <c r="I828" s="44"/>
      <c r="K828" s="44"/>
    </row>
    <row r="829">
      <c r="G829" s="43"/>
      <c r="I829" s="44"/>
      <c r="K829" s="44"/>
    </row>
    <row r="830">
      <c r="G830" s="43"/>
      <c r="I830" s="44"/>
      <c r="K830" s="44"/>
    </row>
    <row r="831">
      <c r="G831" s="43"/>
      <c r="I831" s="44"/>
      <c r="K831" s="44"/>
    </row>
    <row r="832">
      <c r="G832" s="43"/>
      <c r="I832" s="44"/>
      <c r="K832" s="44"/>
    </row>
    <row r="833">
      <c r="G833" s="43"/>
      <c r="I833" s="44"/>
      <c r="K833" s="44"/>
    </row>
    <row r="834">
      <c r="G834" s="43"/>
      <c r="I834" s="44"/>
      <c r="K834" s="44"/>
    </row>
    <row r="835">
      <c r="G835" s="43"/>
      <c r="I835" s="44"/>
      <c r="K835" s="44"/>
    </row>
    <row r="836">
      <c r="G836" s="43"/>
      <c r="I836" s="44"/>
      <c r="K836" s="44"/>
    </row>
    <row r="837">
      <c r="G837" s="43"/>
      <c r="I837" s="44"/>
      <c r="K837" s="44"/>
    </row>
    <row r="838">
      <c r="G838" s="43"/>
      <c r="I838" s="44"/>
      <c r="K838" s="44"/>
    </row>
    <row r="839">
      <c r="G839" s="43"/>
      <c r="I839" s="44"/>
      <c r="K839" s="44"/>
    </row>
    <row r="840">
      <c r="G840" s="43"/>
      <c r="I840" s="44"/>
      <c r="K840" s="44"/>
    </row>
    <row r="841">
      <c r="G841" s="43"/>
      <c r="I841" s="44"/>
      <c r="K841" s="44"/>
    </row>
    <row r="842">
      <c r="G842" s="43"/>
      <c r="I842" s="44"/>
      <c r="K842" s="44"/>
    </row>
    <row r="843">
      <c r="G843" s="43"/>
      <c r="I843" s="44"/>
      <c r="K843" s="44"/>
    </row>
    <row r="844">
      <c r="G844" s="43"/>
      <c r="I844" s="44"/>
      <c r="K844" s="44"/>
    </row>
    <row r="845">
      <c r="G845" s="43"/>
      <c r="I845" s="44"/>
      <c r="K845" s="44"/>
    </row>
    <row r="846">
      <c r="G846" s="43"/>
      <c r="I846" s="44"/>
      <c r="K846" s="44"/>
    </row>
    <row r="847">
      <c r="G847" s="43"/>
      <c r="I847" s="44"/>
      <c r="K847" s="44"/>
    </row>
    <row r="848">
      <c r="G848" s="43"/>
      <c r="I848" s="44"/>
      <c r="K848" s="44"/>
    </row>
    <row r="849">
      <c r="G849" s="43"/>
      <c r="I849" s="44"/>
      <c r="K849" s="44"/>
    </row>
    <row r="850">
      <c r="G850" s="43"/>
      <c r="I850" s="44"/>
      <c r="K850" s="44"/>
    </row>
    <row r="851">
      <c r="G851" s="43"/>
      <c r="I851" s="44"/>
      <c r="K851" s="44"/>
    </row>
    <row r="852">
      <c r="G852" s="43"/>
      <c r="I852" s="44"/>
      <c r="K852" s="44"/>
    </row>
    <row r="853">
      <c r="G853" s="43"/>
      <c r="I853" s="44"/>
      <c r="K853" s="44"/>
    </row>
    <row r="854">
      <c r="G854" s="43"/>
      <c r="I854" s="44"/>
      <c r="K854" s="44"/>
    </row>
    <row r="855">
      <c r="G855" s="43"/>
      <c r="I855" s="44"/>
      <c r="K855" s="44"/>
    </row>
    <row r="856">
      <c r="G856" s="43"/>
      <c r="I856" s="44"/>
      <c r="K856" s="44"/>
    </row>
    <row r="857">
      <c r="G857" s="43"/>
      <c r="I857" s="44"/>
      <c r="K857" s="44"/>
    </row>
    <row r="858">
      <c r="G858" s="43"/>
      <c r="I858" s="44"/>
      <c r="K858" s="44"/>
    </row>
    <row r="859">
      <c r="G859" s="43"/>
      <c r="I859" s="44"/>
      <c r="K859" s="44"/>
    </row>
    <row r="860">
      <c r="G860" s="43"/>
      <c r="I860" s="44"/>
      <c r="K860" s="44"/>
    </row>
    <row r="861">
      <c r="G861" s="43"/>
      <c r="I861" s="44"/>
      <c r="K861" s="44"/>
    </row>
    <row r="862">
      <c r="G862" s="43"/>
      <c r="I862" s="44"/>
      <c r="K862" s="44"/>
    </row>
    <row r="863">
      <c r="G863" s="43"/>
      <c r="I863" s="44"/>
      <c r="K863" s="44"/>
    </row>
    <row r="864">
      <c r="G864" s="43"/>
      <c r="I864" s="44"/>
      <c r="K864" s="44"/>
    </row>
    <row r="865">
      <c r="G865" s="43"/>
      <c r="I865" s="44"/>
      <c r="K865" s="44"/>
    </row>
    <row r="866">
      <c r="G866" s="43"/>
      <c r="I866" s="44"/>
      <c r="K866" s="44"/>
    </row>
    <row r="867">
      <c r="G867" s="43"/>
      <c r="I867" s="44"/>
      <c r="K867" s="44"/>
    </row>
    <row r="868">
      <c r="G868" s="43"/>
      <c r="I868" s="44"/>
      <c r="K868" s="44"/>
    </row>
    <row r="869">
      <c r="G869" s="43"/>
      <c r="I869" s="44"/>
      <c r="K869" s="44"/>
    </row>
    <row r="870">
      <c r="G870" s="43"/>
      <c r="I870" s="44"/>
      <c r="K870" s="44"/>
    </row>
    <row r="871">
      <c r="G871" s="43"/>
      <c r="I871" s="44"/>
      <c r="K871" s="44"/>
    </row>
    <row r="872">
      <c r="G872" s="43"/>
      <c r="I872" s="44"/>
      <c r="K872" s="44"/>
    </row>
    <row r="873">
      <c r="G873" s="43"/>
      <c r="I873" s="44"/>
      <c r="K873" s="44"/>
    </row>
    <row r="874">
      <c r="G874" s="43"/>
      <c r="I874" s="44"/>
      <c r="K874" s="44"/>
    </row>
    <row r="875">
      <c r="G875" s="43"/>
      <c r="I875" s="44"/>
      <c r="K875" s="44"/>
    </row>
    <row r="876">
      <c r="G876" s="43"/>
      <c r="I876" s="44"/>
      <c r="K876" s="44"/>
    </row>
    <row r="877">
      <c r="G877" s="43"/>
      <c r="I877" s="44"/>
      <c r="K877" s="44"/>
    </row>
    <row r="878">
      <c r="G878" s="43"/>
      <c r="I878" s="44"/>
      <c r="K878" s="44"/>
    </row>
    <row r="879">
      <c r="G879" s="43"/>
      <c r="I879" s="44"/>
      <c r="K879" s="44"/>
    </row>
    <row r="880">
      <c r="G880" s="43"/>
      <c r="I880" s="44"/>
      <c r="K880" s="44"/>
    </row>
    <row r="881">
      <c r="G881" s="43"/>
      <c r="I881" s="44"/>
      <c r="K881" s="44"/>
    </row>
    <row r="882">
      <c r="G882" s="43"/>
      <c r="I882" s="44"/>
      <c r="K882" s="44"/>
    </row>
    <row r="883">
      <c r="G883" s="43"/>
      <c r="I883" s="44"/>
      <c r="K883" s="44"/>
    </row>
    <row r="884">
      <c r="G884" s="43"/>
      <c r="I884" s="44"/>
      <c r="K884" s="44"/>
    </row>
    <row r="885">
      <c r="G885" s="43"/>
      <c r="I885" s="44"/>
      <c r="K885" s="44"/>
    </row>
    <row r="886">
      <c r="G886" s="43"/>
      <c r="I886" s="44"/>
      <c r="K886" s="44"/>
    </row>
    <row r="887">
      <c r="G887" s="43"/>
      <c r="I887" s="44"/>
      <c r="K887" s="44"/>
    </row>
    <row r="888">
      <c r="G888" s="43"/>
      <c r="I888" s="44"/>
      <c r="K888" s="44"/>
    </row>
    <row r="889">
      <c r="G889" s="43"/>
      <c r="I889" s="44"/>
      <c r="K889" s="44"/>
    </row>
    <row r="890">
      <c r="G890" s="43"/>
      <c r="I890" s="44"/>
      <c r="K890" s="44"/>
    </row>
    <row r="891">
      <c r="G891" s="43"/>
      <c r="I891" s="44"/>
      <c r="K891" s="44"/>
    </row>
    <row r="892">
      <c r="G892" s="43"/>
      <c r="I892" s="44"/>
      <c r="K892" s="44"/>
    </row>
    <row r="893">
      <c r="G893" s="43"/>
      <c r="I893" s="44"/>
      <c r="K893" s="44"/>
    </row>
    <row r="894">
      <c r="G894" s="43"/>
      <c r="I894" s="44"/>
      <c r="K894" s="44"/>
    </row>
    <row r="895">
      <c r="G895" s="43"/>
      <c r="I895" s="44"/>
      <c r="K895" s="44"/>
    </row>
    <row r="896">
      <c r="G896" s="43"/>
      <c r="I896" s="44"/>
      <c r="K896" s="44"/>
    </row>
    <row r="897">
      <c r="G897" s="43"/>
      <c r="I897" s="44"/>
      <c r="K897" s="44"/>
    </row>
    <row r="898">
      <c r="G898" s="43"/>
      <c r="I898" s="44"/>
      <c r="K898" s="44"/>
    </row>
    <row r="899">
      <c r="G899" s="43"/>
      <c r="I899" s="44"/>
      <c r="K899" s="44"/>
    </row>
    <row r="900">
      <c r="G900" s="43"/>
      <c r="I900" s="44"/>
      <c r="K900" s="44"/>
    </row>
    <row r="901">
      <c r="G901" s="43"/>
      <c r="I901" s="44"/>
      <c r="K901" s="44"/>
    </row>
    <row r="902">
      <c r="G902" s="43"/>
      <c r="I902" s="44"/>
      <c r="K902" s="44"/>
    </row>
    <row r="903">
      <c r="G903" s="43"/>
      <c r="I903" s="44"/>
      <c r="K903" s="44"/>
    </row>
    <row r="904">
      <c r="G904" s="43"/>
      <c r="I904" s="44"/>
      <c r="K904" s="44"/>
    </row>
    <row r="905">
      <c r="G905" s="43"/>
      <c r="I905" s="44"/>
      <c r="K905" s="44"/>
    </row>
    <row r="906">
      <c r="G906" s="43"/>
      <c r="I906" s="44"/>
      <c r="K906" s="44"/>
    </row>
    <row r="907">
      <c r="G907" s="43"/>
      <c r="I907" s="44"/>
      <c r="K907" s="44"/>
    </row>
    <row r="908">
      <c r="G908" s="43"/>
      <c r="I908" s="44"/>
      <c r="K908" s="44"/>
    </row>
    <row r="909">
      <c r="G909" s="43"/>
      <c r="I909" s="44"/>
      <c r="K909" s="44"/>
    </row>
    <row r="910">
      <c r="G910" s="43"/>
      <c r="I910" s="44"/>
      <c r="K910" s="44"/>
    </row>
    <row r="911">
      <c r="G911" s="43"/>
      <c r="I911" s="44"/>
      <c r="K911" s="44"/>
    </row>
    <row r="912">
      <c r="G912" s="43"/>
      <c r="I912" s="44"/>
      <c r="K912" s="44"/>
    </row>
    <row r="913">
      <c r="G913" s="43"/>
      <c r="I913" s="44"/>
      <c r="K913" s="44"/>
    </row>
    <row r="914">
      <c r="G914" s="43"/>
      <c r="I914" s="44"/>
      <c r="K914" s="44"/>
    </row>
    <row r="915">
      <c r="G915" s="43"/>
      <c r="I915" s="44"/>
      <c r="K915" s="44"/>
    </row>
    <row r="916">
      <c r="G916" s="43"/>
      <c r="I916" s="44"/>
      <c r="K916" s="44"/>
    </row>
    <row r="917">
      <c r="G917" s="43"/>
      <c r="I917" s="44"/>
      <c r="K917" s="44"/>
    </row>
    <row r="918">
      <c r="G918" s="43"/>
      <c r="I918" s="44"/>
      <c r="K918" s="44"/>
    </row>
    <row r="919">
      <c r="G919" s="43"/>
      <c r="I919" s="44"/>
      <c r="K919" s="44"/>
    </row>
    <row r="920">
      <c r="G920" s="43"/>
      <c r="I920" s="44"/>
      <c r="K920" s="44"/>
    </row>
    <row r="921">
      <c r="G921" s="43"/>
      <c r="I921" s="44"/>
      <c r="K921" s="44"/>
    </row>
    <row r="922">
      <c r="G922" s="43"/>
      <c r="I922" s="44"/>
      <c r="K922" s="44"/>
    </row>
    <row r="923">
      <c r="G923" s="43"/>
      <c r="I923" s="44"/>
      <c r="K923" s="44"/>
    </row>
    <row r="924">
      <c r="G924" s="43"/>
      <c r="I924" s="44"/>
      <c r="K924" s="44"/>
    </row>
    <row r="925">
      <c r="G925" s="43"/>
      <c r="I925" s="44"/>
      <c r="K925" s="44"/>
    </row>
    <row r="926">
      <c r="G926" s="43"/>
      <c r="I926" s="44"/>
      <c r="K926" s="44"/>
    </row>
    <row r="927">
      <c r="G927" s="43"/>
      <c r="I927" s="44"/>
      <c r="K927" s="44"/>
    </row>
    <row r="928">
      <c r="G928" s="43"/>
      <c r="I928" s="44"/>
      <c r="K928" s="44"/>
    </row>
    <row r="929">
      <c r="G929" s="43"/>
      <c r="I929" s="44"/>
      <c r="K929" s="44"/>
    </row>
    <row r="930">
      <c r="G930" s="43"/>
      <c r="I930" s="44"/>
      <c r="K930" s="44"/>
    </row>
    <row r="931">
      <c r="G931" s="43"/>
      <c r="I931" s="44"/>
      <c r="K931" s="44"/>
    </row>
    <row r="932">
      <c r="G932" s="43"/>
      <c r="I932" s="44"/>
      <c r="K932" s="44"/>
    </row>
    <row r="933">
      <c r="G933" s="43"/>
      <c r="I933" s="44"/>
      <c r="K933" s="44"/>
    </row>
    <row r="934">
      <c r="G934" s="43"/>
      <c r="I934" s="44"/>
      <c r="K934" s="44"/>
    </row>
    <row r="935">
      <c r="G935" s="43"/>
      <c r="I935" s="44"/>
      <c r="K935" s="44"/>
    </row>
    <row r="936">
      <c r="G936" s="43"/>
      <c r="I936" s="44"/>
      <c r="K936" s="44"/>
    </row>
    <row r="937">
      <c r="G937" s="43"/>
      <c r="I937" s="44"/>
      <c r="K937" s="44"/>
    </row>
    <row r="938">
      <c r="G938" s="43"/>
      <c r="I938" s="44"/>
      <c r="K938" s="44"/>
    </row>
    <row r="939">
      <c r="G939" s="43"/>
      <c r="I939" s="44"/>
      <c r="K939" s="44"/>
    </row>
    <row r="940">
      <c r="G940" s="43"/>
      <c r="I940" s="44"/>
      <c r="K940" s="44"/>
    </row>
    <row r="941">
      <c r="G941" s="43"/>
      <c r="I941" s="44"/>
      <c r="K941" s="44"/>
    </row>
    <row r="942">
      <c r="G942" s="43"/>
      <c r="I942" s="44"/>
      <c r="K942" s="44"/>
    </row>
    <row r="943">
      <c r="G943" s="43"/>
      <c r="I943" s="44"/>
      <c r="K943" s="44"/>
    </row>
    <row r="944">
      <c r="G944" s="43"/>
      <c r="I944" s="44"/>
      <c r="K944" s="44"/>
    </row>
    <row r="945">
      <c r="G945" s="43"/>
      <c r="I945" s="44"/>
      <c r="K945" s="44"/>
    </row>
    <row r="946">
      <c r="G946" s="43"/>
      <c r="I946" s="44"/>
      <c r="K946" s="44"/>
    </row>
    <row r="947">
      <c r="G947" s="43"/>
      <c r="I947" s="44"/>
      <c r="K947" s="44"/>
    </row>
    <row r="948">
      <c r="G948" s="43"/>
      <c r="I948" s="44"/>
      <c r="K948" s="44"/>
    </row>
    <row r="949">
      <c r="G949" s="43"/>
      <c r="I949" s="44"/>
      <c r="K949" s="44"/>
    </row>
    <row r="950">
      <c r="G950" s="43"/>
      <c r="I950" s="44"/>
      <c r="K950" s="44"/>
    </row>
    <row r="951">
      <c r="G951" s="43"/>
      <c r="I951" s="44"/>
      <c r="K951" s="44"/>
    </row>
    <row r="952">
      <c r="G952" s="43"/>
      <c r="I952" s="44"/>
      <c r="K952" s="44"/>
    </row>
    <row r="953">
      <c r="G953" s="43"/>
      <c r="I953" s="44"/>
      <c r="K953" s="44"/>
    </row>
    <row r="954">
      <c r="G954" s="43"/>
      <c r="I954" s="44"/>
      <c r="K954" s="44"/>
    </row>
    <row r="955">
      <c r="G955" s="43"/>
      <c r="I955" s="44"/>
      <c r="K955" s="44"/>
    </row>
    <row r="956">
      <c r="G956" s="43"/>
      <c r="I956" s="44"/>
      <c r="K956" s="44"/>
    </row>
    <row r="957">
      <c r="G957" s="43"/>
      <c r="I957" s="44"/>
      <c r="K957" s="44"/>
    </row>
    <row r="958">
      <c r="G958" s="43"/>
      <c r="I958" s="44"/>
      <c r="K958" s="44"/>
    </row>
    <row r="959">
      <c r="G959" s="43"/>
      <c r="I959" s="44"/>
      <c r="K959" s="44"/>
    </row>
    <row r="960">
      <c r="G960" s="43"/>
      <c r="I960" s="44"/>
      <c r="K960" s="44"/>
    </row>
    <row r="961">
      <c r="G961" s="43"/>
      <c r="I961" s="44"/>
      <c r="K961" s="44"/>
    </row>
    <row r="962">
      <c r="G962" s="43"/>
      <c r="I962" s="44"/>
      <c r="K962" s="44"/>
    </row>
    <row r="963">
      <c r="G963" s="43"/>
      <c r="I963" s="44"/>
      <c r="K963" s="44"/>
    </row>
    <row r="964">
      <c r="G964" s="43"/>
      <c r="I964" s="44"/>
      <c r="K964" s="44"/>
    </row>
    <row r="965">
      <c r="G965" s="43"/>
      <c r="I965" s="44"/>
      <c r="K965" s="44"/>
    </row>
    <row r="966">
      <c r="G966" s="43"/>
      <c r="I966" s="44"/>
      <c r="K966" s="44"/>
    </row>
    <row r="967">
      <c r="G967" s="43"/>
      <c r="I967" s="44"/>
      <c r="K967" s="44"/>
    </row>
    <row r="968">
      <c r="G968" s="43"/>
      <c r="I968" s="44"/>
      <c r="K968" s="44"/>
    </row>
    <row r="969">
      <c r="G969" s="43"/>
      <c r="I969" s="44"/>
      <c r="K969" s="44"/>
    </row>
    <row r="970">
      <c r="G970" s="43"/>
      <c r="I970" s="44"/>
      <c r="K970" s="44"/>
    </row>
    <row r="971">
      <c r="G971" s="43"/>
      <c r="I971" s="44"/>
      <c r="K971" s="44"/>
    </row>
    <row r="972">
      <c r="G972" s="43"/>
      <c r="I972" s="44"/>
      <c r="K972" s="44"/>
    </row>
    <row r="973">
      <c r="G973" s="43"/>
      <c r="I973" s="44"/>
      <c r="K973" s="44"/>
    </row>
    <row r="974">
      <c r="G974" s="43"/>
      <c r="I974" s="44"/>
      <c r="K974" s="44"/>
    </row>
    <row r="975">
      <c r="G975" s="43"/>
      <c r="I975" s="44"/>
      <c r="K975" s="44"/>
    </row>
    <row r="976">
      <c r="G976" s="43"/>
      <c r="I976" s="44"/>
      <c r="K976" s="44"/>
    </row>
    <row r="977">
      <c r="G977" s="43"/>
      <c r="I977" s="44"/>
      <c r="K977" s="44"/>
    </row>
    <row r="978">
      <c r="G978" s="43"/>
      <c r="I978" s="44"/>
      <c r="K978" s="44"/>
    </row>
    <row r="979">
      <c r="G979" s="43"/>
      <c r="I979" s="44"/>
      <c r="K979" s="44"/>
    </row>
    <row r="980">
      <c r="G980" s="43"/>
      <c r="I980" s="44"/>
      <c r="K980" s="44"/>
    </row>
    <row r="981">
      <c r="G981" s="43"/>
      <c r="I981" s="44"/>
      <c r="K981" s="44"/>
    </row>
    <row r="982">
      <c r="G982" s="43"/>
      <c r="I982" s="44"/>
      <c r="K982" s="44"/>
    </row>
    <row r="983">
      <c r="G983" s="43"/>
      <c r="I983" s="44"/>
      <c r="K983" s="44"/>
    </row>
    <row r="984">
      <c r="G984" s="43"/>
      <c r="I984" s="44"/>
      <c r="K984" s="44"/>
    </row>
    <row r="985">
      <c r="G985" s="43"/>
      <c r="I985" s="44"/>
      <c r="K985" s="44"/>
    </row>
    <row r="986">
      <c r="G986" s="43"/>
      <c r="I986" s="44"/>
      <c r="K986" s="44"/>
    </row>
    <row r="987">
      <c r="G987" s="43"/>
      <c r="I987" s="44"/>
      <c r="K987" s="44"/>
    </row>
    <row r="988">
      <c r="G988" s="43"/>
      <c r="I988" s="44"/>
      <c r="K988" s="44"/>
    </row>
    <row r="989">
      <c r="G989" s="43"/>
      <c r="I989" s="44"/>
      <c r="K989" s="44"/>
    </row>
    <row r="990">
      <c r="G990" s="43"/>
      <c r="I990" s="44"/>
      <c r="K990" s="44"/>
    </row>
    <row r="991">
      <c r="G991" s="43"/>
      <c r="I991" s="44"/>
      <c r="K991" s="44"/>
    </row>
    <row r="992">
      <c r="G992" s="43"/>
      <c r="I992" s="44"/>
      <c r="K992" s="44"/>
    </row>
    <row r="993">
      <c r="G993" s="43"/>
      <c r="I993" s="44"/>
      <c r="K993" s="44"/>
    </row>
    <row r="994">
      <c r="G994" s="43"/>
      <c r="I994" s="44"/>
      <c r="K994" s="44"/>
    </row>
    <row r="995">
      <c r="G995" s="43"/>
      <c r="I995" s="44"/>
      <c r="K995" s="44"/>
    </row>
    <row r="996">
      <c r="G996" s="43"/>
      <c r="I996" s="44"/>
      <c r="K996" s="44"/>
    </row>
    <row r="997">
      <c r="G997" s="43"/>
      <c r="I997" s="44"/>
      <c r="K997" s="44"/>
    </row>
    <row r="998">
      <c r="G998" s="43"/>
      <c r="I998" s="44"/>
      <c r="K998" s="44"/>
    </row>
    <row r="999">
      <c r="G999" s="43"/>
      <c r="I999" s="44"/>
      <c r="K999" s="44"/>
    </row>
    <row r="1000">
      <c r="G1000" s="43"/>
      <c r="I1000" s="44"/>
      <c r="K1000" s="44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sheetData>
    <row r="1">
      <c r="A1" s="28" t="str">
        <f>IFERROR(__xludf.DUMMYFUNCTION("QUERY(DATASET!A:F, ""SELECT A,B,C,D,E,F WHERE A='Chile' AND C&gt; date '2020-03-15' "")"),"País")</f>
        <v>País</v>
      </c>
      <c r="B1" s="28" t="str">
        <f>IFERROR(__xludf.DUMMYFUNCTION("""COMPUTED_VALUE"""),"Fecha de Inicio")</f>
        <v>Fecha de Inicio</v>
      </c>
      <c r="C1" s="28" t="str">
        <f>IFERROR(__xludf.DUMMYFUNCTION("""COMPUTED_VALUE"""),"Fecha Fin")</f>
        <v>Fecha Fin</v>
      </c>
      <c r="D1" s="28" t="str">
        <f>IFERROR(__xludf.DUMMYFUNCTION("""COMPUTED_VALUE"""),"Semana")</f>
        <v>Semana</v>
      </c>
      <c r="E1" s="29" t="str">
        <f>IFERROR(__xludf.DUMMYFUNCTION("""COMPUTED_VALUE"""),"Total de Muertes Reportadas")</f>
        <v>Total de Muertes Reportadas</v>
      </c>
      <c r="F1" s="30" t="str">
        <f>IFERROR(__xludf.DUMMYFUNCTION("""COMPUTED_VALUE"""),"Total de Muertes por COVID")</f>
        <v>Total de Muertes por COVID</v>
      </c>
      <c r="G1" s="31" t="s">
        <v>12</v>
      </c>
      <c r="H1" s="32" t="s">
        <v>13</v>
      </c>
      <c r="I1" s="33" t="s">
        <v>14</v>
      </c>
      <c r="J1" s="34" t="s">
        <v>15</v>
      </c>
      <c r="K1" s="35" t="s">
        <v>16</v>
      </c>
      <c r="L1" s="35" t="s">
        <v>17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tr">
        <f>IFERROR(__xludf.DUMMYFUNCTION("""COMPUTED_VALUE"""),"Chile")</f>
        <v>Chile</v>
      </c>
      <c r="B2" s="40">
        <f>IFERROR(__xludf.DUMMYFUNCTION("""COMPUTED_VALUE"""),43906.0)</f>
        <v>43906</v>
      </c>
      <c r="C2" s="41">
        <f>IFERROR(__xludf.DUMMYFUNCTION("""COMPUTED_VALUE"""),43912.0)</f>
        <v>43912</v>
      </c>
      <c r="D2" s="39">
        <f>IFERROR(__xludf.DUMMYFUNCTION("""COMPUTED_VALUE"""),12.0)</f>
        <v>12</v>
      </c>
      <c r="E2" s="42">
        <f>IFERROR(__xludf.DUMMYFUNCTION("""COMPUTED_VALUE"""),2008.0)</f>
        <v>2008</v>
      </c>
      <c r="F2" s="39">
        <f>IFERROR(__xludf.DUMMYFUNCTION("""COMPUTED_VALUE"""),1.0)</f>
        <v>1</v>
      </c>
      <c r="G2" s="43">
        <f>AVERAGEIFS('Chile pre-COVID'!$E:$E,'Chile pre-COVID'!$D:$D,D2)</f>
        <v>1806</v>
      </c>
      <c r="H2" s="43">
        <f t="shared" ref="H2:H85" si="1">E2-G2</f>
        <v>202</v>
      </c>
      <c r="I2" s="44">
        <f>(F2/VLOOKUP($A$2,'Población'!$A$1:$B$5,2,0))*100000</f>
        <v>0.005204982084</v>
      </c>
      <c r="J2" s="44">
        <f>I2</f>
        <v>0.005204982084</v>
      </c>
      <c r="K2" s="44">
        <f>(H2/VLOOKUP($A$2,'Población'!$A$1:$B$5,2,0))*100000</f>
        <v>1.051406381</v>
      </c>
      <c r="L2" s="44">
        <f>K2</f>
        <v>1.051406381</v>
      </c>
    </row>
    <row r="3">
      <c r="A3" s="39" t="str">
        <f>IFERROR(__xludf.DUMMYFUNCTION("""COMPUTED_VALUE"""),"Chile")</f>
        <v>Chile</v>
      </c>
      <c r="B3" s="40">
        <f>IFERROR(__xludf.DUMMYFUNCTION("""COMPUTED_VALUE"""),43913.0)</f>
        <v>43913</v>
      </c>
      <c r="C3" s="41">
        <f>IFERROR(__xludf.DUMMYFUNCTION("""COMPUTED_VALUE"""),43919.0)</f>
        <v>43919</v>
      </c>
      <c r="D3" s="39">
        <f>IFERROR(__xludf.DUMMYFUNCTION("""COMPUTED_VALUE"""),13.0)</f>
        <v>13</v>
      </c>
      <c r="E3" s="42">
        <f>IFERROR(__xludf.DUMMYFUNCTION("""COMPUTED_VALUE"""),2006.0)</f>
        <v>2006</v>
      </c>
      <c r="F3" s="39">
        <f>IFERROR(__xludf.DUMMYFUNCTION("""COMPUTED_VALUE"""),6.0)</f>
        <v>6</v>
      </c>
      <c r="G3" s="43">
        <f>AVERAGEIFS('Chile pre-COVID'!$E:$E,'Chile pre-COVID'!$D:$D,D3)</f>
        <v>1841.5</v>
      </c>
      <c r="H3" s="43">
        <f t="shared" si="1"/>
        <v>164.5</v>
      </c>
      <c r="I3" s="44">
        <f>(F3/VLOOKUP($A$2,'Población'!$A$1:$B$5,2,0))*100000</f>
        <v>0.0312298925</v>
      </c>
      <c r="J3" s="44">
        <f t="shared" ref="J3:J85" si="2">I3+J2</f>
        <v>0.03643487459</v>
      </c>
      <c r="K3" s="44">
        <f>(H3/VLOOKUP($A$2,'Población'!$A$1:$B$5,2,0))*100000</f>
        <v>0.8562195528</v>
      </c>
      <c r="L3" s="44">
        <f t="shared" ref="L3:L85" si="3">K3+L2</f>
        <v>1.907625934</v>
      </c>
    </row>
    <row r="4">
      <c r="A4" s="39" t="str">
        <f>IFERROR(__xludf.DUMMYFUNCTION("""COMPUTED_VALUE"""),"Chile")</f>
        <v>Chile</v>
      </c>
      <c r="B4" s="40">
        <f>IFERROR(__xludf.DUMMYFUNCTION("""COMPUTED_VALUE"""),43920.0)</f>
        <v>43920</v>
      </c>
      <c r="C4" s="41">
        <f>IFERROR(__xludf.DUMMYFUNCTION("""COMPUTED_VALUE"""),43926.0)</f>
        <v>43926</v>
      </c>
      <c r="D4" s="39">
        <f>IFERROR(__xludf.DUMMYFUNCTION("""COMPUTED_VALUE"""),14.0)</f>
        <v>14</v>
      </c>
      <c r="E4" s="42">
        <f>IFERROR(__xludf.DUMMYFUNCTION("""COMPUTED_VALUE"""),2081.0)</f>
        <v>2081</v>
      </c>
      <c r="F4" s="39">
        <f>IFERROR(__xludf.DUMMYFUNCTION("""COMPUTED_VALUE"""),27.0)</f>
        <v>27</v>
      </c>
      <c r="G4" s="43">
        <f>AVERAGEIFS('Chile pre-COVID'!$E:$E,'Chile pre-COVID'!$D:$D,D4)</f>
        <v>1886.5</v>
      </c>
      <c r="H4" s="43">
        <f t="shared" si="1"/>
        <v>194.5</v>
      </c>
      <c r="I4" s="44">
        <f>(F4/VLOOKUP($A$2,'Población'!$A$1:$B$5,2,0))*100000</f>
        <v>0.1405345163</v>
      </c>
      <c r="J4" s="44">
        <f t="shared" si="2"/>
        <v>0.1769693909</v>
      </c>
      <c r="K4" s="44">
        <f>(H4/VLOOKUP($A$2,'Población'!$A$1:$B$5,2,0))*100000</f>
        <v>1.012369015</v>
      </c>
      <c r="L4" s="44">
        <f t="shared" si="3"/>
        <v>2.919994949</v>
      </c>
    </row>
    <row r="5">
      <c r="A5" s="39" t="str">
        <f>IFERROR(__xludf.DUMMYFUNCTION("""COMPUTED_VALUE"""),"Chile")</f>
        <v>Chile</v>
      </c>
      <c r="B5" s="40">
        <f>IFERROR(__xludf.DUMMYFUNCTION("""COMPUTED_VALUE"""),43927.0)</f>
        <v>43927</v>
      </c>
      <c r="C5" s="41">
        <f>IFERROR(__xludf.DUMMYFUNCTION("""COMPUTED_VALUE"""),43933.0)</f>
        <v>43933</v>
      </c>
      <c r="D5" s="39">
        <f>IFERROR(__xludf.DUMMYFUNCTION("""COMPUTED_VALUE"""),15.0)</f>
        <v>15</v>
      </c>
      <c r="E5" s="42">
        <f>IFERROR(__xludf.DUMMYFUNCTION("""COMPUTED_VALUE"""),2010.0)</f>
        <v>2010</v>
      </c>
      <c r="F5" s="39">
        <f>IFERROR(__xludf.DUMMYFUNCTION("""COMPUTED_VALUE"""),46.0)</f>
        <v>46</v>
      </c>
      <c r="G5" s="43">
        <f>AVERAGEIFS('Chile pre-COVID'!$E:$E,'Chile pre-COVID'!$D:$D,D5)</f>
        <v>1951.5</v>
      </c>
      <c r="H5" s="43">
        <f t="shared" si="1"/>
        <v>58.5</v>
      </c>
      <c r="I5" s="44">
        <f>(F5/VLOOKUP($A$2,'Población'!$A$1:$B$5,2,0))*100000</f>
        <v>0.2394291759</v>
      </c>
      <c r="J5" s="44">
        <f t="shared" si="2"/>
        <v>0.4163985667</v>
      </c>
      <c r="K5" s="44">
        <f>(H5/VLOOKUP($A$2,'Población'!$A$1:$B$5,2,0))*100000</f>
        <v>0.3044914519</v>
      </c>
      <c r="L5" s="44">
        <f t="shared" si="3"/>
        <v>3.224486401</v>
      </c>
    </row>
    <row r="6">
      <c r="A6" s="39" t="str">
        <f>IFERROR(__xludf.DUMMYFUNCTION("""COMPUTED_VALUE"""),"Chile")</f>
        <v>Chile</v>
      </c>
      <c r="B6" s="40">
        <f>IFERROR(__xludf.DUMMYFUNCTION("""COMPUTED_VALUE"""),43934.0)</f>
        <v>43934</v>
      </c>
      <c r="C6" s="41">
        <f>IFERROR(__xludf.DUMMYFUNCTION("""COMPUTED_VALUE"""),43940.0)</f>
        <v>43940</v>
      </c>
      <c r="D6" s="39">
        <f>IFERROR(__xludf.DUMMYFUNCTION("""COMPUTED_VALUE"""),16.0)</f>
        <v>16</v>
      </c>
      <c r="E6" s="42">
        <f>IFERROR(__xludf.DUMMYFUNCTION("""COMPUTED_VALUE"""),2087.0)</f>
        <v>2087</v>
      </c>
      <c r="F6" s="39">
        <f>IFERROR(__xludf.DUMMYFUNCTION("""COMPUTED_VALUE"""),53.0)</f>
        <v>53</v>
      </c>
      <c r="G6" s="43">
        <f>AVERAGEIFS('Chile pre-COVID'!$E:$E,'Chile pre-COVID'!$D:$D,D6)</f>
        <v>1909</v>
      </c>
      <c r="H6" s="43">
        <f t="shared" si="1"/>
        <v>178</v>
      </c>
      <c r="I6" s="44">
        <f>(F6/VLOOKUP($A$2,'Población'!$A$1:$B$5,2,0))*100000</f>
        <v>0.2758640504</v>
      </c>
      <c r="J6" s="44">
        <f t="shared" si="2"/>
        <v>0.6922626172</v>
      </c>
      <c r="K6" s="44">
        <f>(H6/VLOOKUP($A$2,'Población'!$A$1:$B$5,2,0))*100000</f>
        <v>0.9264868109</v>
      </c>
      <c r="L6" s="44">
        <f t="shared" si="3"/>
        <v>4.150973212</v>
      </c>
    </row>
    <row r="7">
      <c r="A7" s="39" t="str">
        <f>IFERROR(__xludf.DUMMYFUNCTION("""COMPUTED_VALUE"""),"Chile")</f>
        <v>Chile</v>
      </c>
      <c r="B7" s="40">
        <f>IFERROR(__xludf.DUMMYFUNCTION("""COMPUTED_VALUE"""),43941.0)</f>
        <v>43941</v>
      </c>
      <c r="C7" s="41">
        <f>IFERROR(__xludf.DUMMYFUNCTION("""COMPUTED_VALUE"""),43947.0)</f>
        <v>43947</v>
      </c>
      <c r="D7" s="39">
        <f>IFERROR(__xludf.DUMMYFUNCTION("""COMPUTED_VALUE"""),17.0)</f>
        <v>17</v>
      </c>
      <c r="E7" s="42">
        <f>IFERROR(__xludf.DUMMYFUNCTION("""COMPUTED_VALUE"""),2095.0)</f>
        <v>2095</v>
      </c>
      <c r="F7" s="39">
        <f>IFERROR(__xludf.DUMMYFUNCTION("""COMPUTED_VALUE"""),56.0)</f>
        <v>56</v>
      </c>
      <c r="G7" s="43">
        <f>AVERAGEIFS('Chile pre-COVID'!$E:$E,'Chile pre-COVID'!$D:$D,D7)</f>
        <v>1984.5</v>
      </c>
      <c r="H7" s="43">
        <f t="shared" si="1"/>
        <v>110.5</v>
      </c>
      <c r="I7" s="44">
        <f>(F7/VLOOKUP($A$2,'Población'!$A$1:$B$5,2,0))*100000</f>
        <v>0.2914789967</v>
      </c>
      <c r="J7" s="44">
        <f t="shared" si="2"/>
        <v>0.9837416139</v>
      </c>
      <c r="K7" s="44">
        <f>(H7/VLOOKUP($A$2,'Población'!$A$1:$B$5,2,0))*100000</f>
        <v>0.5751505203</v>
      </c>
      <c r="L7" s="44">
        <f t="shared" si="3"/>
        <v>4.726123732</v>
      </c>
    </row>
    <row r="8">
      <c r="A8" s="39" t="str">
        <f>IFERROR(__xludf.DUMMYFUNCTION("""COMPUTED_VALUE"""),"Chile")</f>
        <v>Chile</v>
      </c>
      <c r="B8" s="40">
        <f>IFERROR(__xludf.DUMMYFUNCTION("""COMPUTED_VALUE"""),43948.0)</f>
        <v>43948</v>
      </c>
      <c r="C8" s="41">
        <f>IFERROR(__xludf.DUMMYFUNCTION("""COMPUTED_VALUE"""),43954.0)</f>
        <v>43954</v>
      </c>
      <c r="D8" s="39">
        <f>IFERROR(__xludf.DUMMYFUNCTION("""COMPUTED_VALUE"""),18.0)</f>
        <v>18</v>
      </c>
      <c r="E8" s="42">
        <f>IFERROR(__xludf.DUMMYFUNCTION("""COMPUTED_VALUE"""),2083.0)</f>
        <v>2083</v>
      </c>
      <c r="F8" s="39">
        <f>IFERROR(__xludf.DUMMYFUNCTION("""COMPUTED_VALUE"""),71.0)</f>
        <v>71</v>
      </c>
      <c r="G8" s="43">
        <f>AVERAGEIFS('Chile pre-COVID'!$E:$E,'Chile pre-COVID'!$D:$D,D8)</f>
        <v>1979.25</v>
      </c>
      <c r="H8" s="43">
        <f t="shared" si="1"/>
        <v>103.75</v>
      </c>
      <c r="I8" s="44">
        <f>(F8/VLOOKUP($A$2,'Población'!$A$1:$B$5,2,0))*100000</f>
        <v>0.369553728</v>
      </c>
      <c r="J8" s="44">
        <f t="shared" si="2"/>
        <v>1.353295342</v>
      </c>
      <c r="K8" s="44">
        <f>(H8/VLOOKUP($A$2,'Población'!$A$1:$B$5,2,0))*100000</f>
        <v>0.5400168912</v>
      </c>
      <c r="L8" s="44">
        <f t="shared" si="3"/>
        <v>5.266140623</v>
      </c>
    </row>
    <row r="9">
      <c r="A9" s="39" t="str">
        <f>IFERROR(__xludf.DUMMYFUNCTION("""COMPUTED_VALUE"""),"Chile")</f>
        <v>Chile</v>
      </c>
      <c r="B9" s="40">
        <f>IFERROR(__xludf.DUMMYFUNCTION("""COMPUTED_VALUE"""),43955.0)</f>
        <v>43955</v>
      </c>
      <c r="C9" s="41">
        <f>IFERROR(__xludf.DUMMYFUNCTION("""COMPUTED_VALUE"""),43961.0)</f>
        <v>43961</v>
      </c>
      <c r="D9" s="39">
        <f>IFERROR(__xludf.DUMMYFUNCTION("""COMPUTED_VALUE"""),19.0)</f>
        <v>19</v>
      </c>
      <c r="E9" s="42">
        <f>IFERROR(__xludf.DUMMYFUNCTION("""COMPUTED_VALUE"""),2342.0)</f>
        <v>2342</v>
      </c>
      <c r="F9" s="39">
        <f>IFERROR(__xludf.DUMMYFUNCTION("""COMPUTED_VALUE"""),52.0)</f>
        <v>52</v>
      </c>
      <c r="G9" s="43">
        <f>AVERAGEIFS('Chile pre-COVID'!$E:$E,'Chile pre-COVID'!$D:$D,D9)</f>
        <v>1955.5</v>
      </c>
      <c r="H9" s="43">
        <f t="shared" si="1"/>
        <v>386.5</v>
      </c>
      <c r="I9" s="44">
        <f>(F9/VLOOKUP($A$2,'Población'!$A$1:$B$5,2,0))*100000</f>
        <v>0.2706590684</v>
      </c>
      <c r="J9" s="44">
        <f t="shared" si="2"/>
        <v>1.62395441</v>
      </c>
      <c r="K9" s="44">
        <f>(H9/VLOOKUP($A$2,'Población'!$A$1:$B$5,2,0))*100000</f>
        <v>2.011725575</v>
      </c>
      <c r="L9" s="44">
        <f t="shared" si="3"/>
        <v>7.277866199</v>
      </c>
    </row>
    <row r="10">
      <c r="A10" s="39" t="str">
        <f>IFERROR(__xludf.DUMMYFUNCTION("""COMPUTED_VALUE"""),"Chile")</f>
        <v>Chile</v>
      </c>
      <c r="B10" s="40">
        <f>IFERROR(__xludf.DUMMYFUNCTION("""COMPUTED_VALUE"""),43962.0)</f>
        <v>43962</v>
      </c>
      <c r="C10" s="41">
        <f>IFERROR(__xludf.DUMMYFUNCTION("""COMPUTED_VALUE"""),43968.0)</f>
        <v>43968</v>
      </c>
      <c r="D10" s="39">
        <f>IFERROR(__xludf.DUMMYFUNCTION("""COMPUTED_VALUE"""),20.0)</f>
        <v>20</v>
      </c>
      <c r="E10" s="42">
        <f>IFERROR(__xludf.DUMMYFUNCTION("""COMPUTED_VALUE"""),2438.0)</f>
        <v>2438</v>
      </c>
      <c r="F10" s="39">
        <f>IFERROR(__xludf.DUMMYFUNCTION("""COMPUTED_VALUE"""),138.0)</f>
        <v>138</v>
      </c>
      <c r="G10" s="43">
        <f>AVERAGEIFS('Chile pre-COVID'!$E:$E,'Chile pre-COVID'!$D:$D,D10)</f>
        <v>2037.25</v>
      </c>
      <c r="H10" s="43">
        <f t="shared" si="1"/>
        <v>400.75</v>
      </c>
      <c r="I10" s="44">
        <f>(F10/VLOOKUP($A$2,'Población'!$A$1:$B$5,2,0))*100000</f>
        <v>0.7182875276</v>
      </c>
      <c r="J10" s="44">
        <f t="shared" si="2"/>
        <v>2.342241938</v>
      </c>
      <c r="K10" s="44">
        <f>(H10/VLOOKUP($A$2,'Población'!$A$1:$B$5,2,0))*100000</f>
        <v>2.08589657</v>
      </c>
      <c r="L10" s="44">
        <f t="shared" si="3"/>
        <v>9.363762769</v>
      </c>
    </row>
    <row r="11">
      <c r="A11" s="39" t="str">
        <f>IFERROR(__xludf.DUMMYFUNCTION("""COMPUTED_VALUE"""),"Chile")</f>
        <v>Chile</v>
      </c>
      <c r="B11" s="40">
        <f>IFERROR(__xludf.DUMMYFUNCTION("""COMPUTED_VALUE"""),43969.0)</f>
        <v>43969</v>
      </c>
      <c r="C11" s="41">
        <f>IFERROR(__xludf.DUMMYFUNCTION("""COMPUTED_VALUE"""),43975.0)</f>
        <v>43975</v>
      </c>
      <c r="D11" s="39">
        <f>IFERROR(__xludf.DUMMYFUNCTION("""COMPUTED_VALUE"""),21.0)</f>
        <v>21</v>
      </c>
      <c r="E11" s="42">
        <f>IFERROR(__xludf.DUMMYFUNCTION("""COMPUTED_VALUE"""),2933.0)</f>
        <v>2933</v>
      </c>
      <c r="F11" s="39">
        <f>IFERROR(__xludf.DUMMYFUNCTION("""COMPUTED_VALUE"""),268.0)</f>
        <v>268</v>
      </c>
      <c r="G11" s="43">
        <f>AVERAGEIFS('Chile pre-COVID'!$E:$E,'Chile pre-COVID'!$D:$D,D11)</f>
        <v>2176.5</v>
      </c>
      <c r="H11" s="43">
        <f t="shared" si="1"/>
        <v>756.5</v>
      </c>
      <c r="I11" s="44">
        <f>(F11/VLOOKUP($A$2,'Población'!$A$1:$B$5,2,0))*100000</f>
        <v>1.394935198</v>
      </c>
      <c r="J11" s="44">
        <f t="shared" si="2"/>
        <v>3.737177136</v>
      </c>
      <c r="K11" s="44">
        <f>(H11/VLOOKUP($A$2,'Población'!$A$1:$B$5,2,0))*100000</f>
        <v>3.937568946</v>
      </c>
      <c r="L11" s="44">
        <f t="shared" si="3"/>
        <v>13.30133172</v>
      </c>
    </row>
    <row r="12">
      <c r="A12" s="39" t="str">
        <f>IFERROR(__xludf.DUMMYFUNCTION("""COMPUTED_VALUE"""),"Chile")</f>
        <v>Chile</v>
      </c>
      <c r="B12" s="40">
        <f>IFERROR(__xludf.DUMMYFUNCTION("""COMPUTED_VALUE"""),43976.0)</f>
        <v>43976</v>
      </c>
      <c r="C12" s="41">
        <f>IFERROR(__xludf.DUMMYFUNCTION("""COMPUTED_VALUE"""),43982.0)</f>
        <v>43982</v>
      </c>
      <c r="D12" s="39">
        <f>IFERROR(__xludf.DUMMYFUNCTION("""COMPUTED_VALUE"""),22.0)</f>
        <v>22</v>
      </c>
      <c r="E12" s="42">
        <f>IFERROR(__xludf.DUMMYFUNCTION("""COMPUTED_VALUE"""),3394.0)</f>
        <v>3394</v>
      </c>
      <c r="F12" s="39">
        <f>IFERROR(__xludf.DUMMYFUNCTION("""COMPUTED_VALUE"""),336.0)</f>
        <v>336</v>
      </c>
      <c r="G12" s="43">
        <f>AVERAGEIFS('Chile pre-COVID'!$E:$E,'Chile pre-COVID'!$D:$D,D12)</f>
        <v>2208</v>
      </c>
      <c r="H12" s="43">
        <f t="shared" si="1"/>
        <v>1186</v>
      </c>
      <c r="I12" s="44">
        <f>(F12/VLOOKUP($A$2,'Población'!$A$1:$B$5,2,0))*100000</f>
        <v>1.74887398</v>
      </c>
      <c r="J12" s="44">
        <f t="shared" si="2"/>
        <v>5.486051116</v>
      </c>
      <c r="K12" s="44">
        <f>(H12/VLOOKUP($A$2,'Población'!$A$1:$B$5,2,0))*100000</f>
        <v>6.173108752</v>
      </c>
      <c r="L12" s="44">
        <f t="shared" si="3"/>
        <v>19.47444047</v>
      </c>
    </row>
    <row r="13">
      <c r="A13" s="39" t="str">
        <f>IFERROR(__xludf.DUMMYFUNCTION("""COMPUTED_VALUE"""),"Chile")</f>
        <v>Chile</v>
      </c>
      <c r="B13" s="40">
        <f>IFERROR(__xludf.DUMMYFUNCTION("""COMPUTED_VALUE"""),43983.0)</f>
        <v>43983</v>
      </c>
      <c r="C13" s="41">
        <f>IFERROR(__xludf.DUMMYFUNCTION("""COMPUTED_VALUE"""),43989.0)</f>
        <v>43989</v>
      </c>
      <c r="D13" s="39">
        <f>IFERROR(__xludf.DUMMYFUNCTION("""COMPUTED_VALUE"""),23.0)</f>
        <v>23</v>
      </c>
      <c r="E13" s="42">
        <f>IFERROR(__xludf.DUMMYFUNCTION("""COMPUTED_VALUE"""),3899.0)</f>
        <v>3899</v>
      </c>
      <c r="F13" s="39">
        <f>IFERROR(__xludf.DUMMYFUNCTION("""COMPUTED_VALUE"""),583.0)</f>
        <v>583</v>
      </c>
      <c r="G13" s="43">
        <f>AVERAGEIFS('Chile pre-COVID'!$E:$E,'Chile pre-COVID'!$D:$D,D13)</f>
        <v>2310.75</v>
      </c>
      <c r="H13" s="43">
        <f t="shared" si="1"/>
        <v>1588.25</v>
      </c>
      <c r="I13" s="44">
        <f>(F13/VLOOKUP($A$2,'Población'!$A$1:$B$5,2,0))*100000</f>
        <v>3.034504555</v>
      </c>
      <c r="J13" s="44">
        <f t="shared" si="2"/>
        <v>8.520555671</v>
      </c>
      <c r="K13" s="44">
        <f>(H13/VLOOKUP($A$2,'Población'!$A$1:$B$5,2,0))*100000</f>
        <v>8.266812795</v>
      </c>
      <c r="L13" s="44">
        <f t="shared" si="3"/>
        <v>27.74125326</v>
      </c>
    </row>
    <row r="14">
      <c r="A14" s="39" t="str">
        <f>IFERROR(__xludf.DUMMYFUNCTION("""COMPUTED_VALUE"""),"Chile")</f>
        <v>Chile</v>
      </c>
      <c r="B14" s="40">
        <f>IFERROR(__xludf.DUMMYFUNCTION("""COMPUTED_VALUE"""),43990.0)</f>
        <v>43990</v>
      </c>
      <c r="C14" s="41">
        <f>IFERROR(__xludf.DUMMYFUNCTION("""COMPUTED_VALUE"""),43996.0)</f>
        <v>43996</v>
      </c>
      <c r="D14" s="39">
        <f>IFERROR(__xludf.DUMMYFUNCTION("""COMPUTED_VALUE"""),24.0)</f>
        <v>24</v>
      </c>
      <c r="E14" s="42">
        <f>IFERROR(__xludf.DUMMYFUNCTION("""COMPUTED_VALUE"""),3983.0)</f>
        <v>3983</v>
      </c>
      <c r="F14" s="39">
        <f>IFERROR(__xludf.DUMMYFUNCTION("""COMPUTED_VALUE"""),1686.0)</f>
        <v>1686</v>
      </c>
      <c r="G14" s="43">
        <f>AVERAGEIFS('Chile pre-COVID'!$E:$E,'Chile pre-COVID'!$D:$D,D14)</f>
        <v>2415.25</v>
      </c>
      <c r="H14" s="43">
        <f t="shared" si="1"/>
        <v>1567.75</v>
      </c>
      <c r="I14" s="44">
        <f>(F14/VLOOKUP($A$2,'Población'!$A$1:$B$5,2,0))*100000</f>
        <v>8.775599794</v>
      </c>
      <c r="J14" s="44">
        <f t="shared" si="2"/>
        <v>17.29615546</v>
      </c>
      <c r="K14" s="44">
        <f>(H14/VLOOKUP($A$2,'Población'!$A$1:$B$5,2,0))*100000</f>
        <v>8.160110662</v>
      </c>
      <c r="L14" s="44">
        <f t="shared" si="3"/>
        <v>35.90136392</v>
      </c>
    </row>
    <row r="15">
      <c r="A15" s="39" t="str">
        <f>IFERROR(__xludf.DUMMYFUNCTION("""COMPUTED_VALUE"""),"Chile")</f>
        <v>Chile</v>
      </c>
      <c r="B15" s="40">
        <f>IFERROR(__xludf.DUMMYFUNCTION("""COMPUTED_VALUE"""),43997.0)</f>
        <v>43997</v>
      </c>
      <c r="C15" s="41">
        <f>IFERROR(__xludf.DUMMYFUNCTION("""COMPUTED_VALUE"""),44003.0)</f>
        <v>44003</v>
      </c>
      <c r="D15" s="39">
        <f>IFERROR(__xludf.DUMMYFUNCTION("""COMPUTED_VALUE"""),25.0)</f>
        <v>25</v>
      </c>
      <c r="E15" s="42">
        <f>IFERROR(__xludf.DUMMYFUNCTION("""COMPUTED_VALUE"""),3732.0)</f>
        <v>3732</v>
      </c>
      <c r="F15" s="39">
        <f>IFERROR(__xludf.DUMMYFUNCTION("""COMPUTED_VALUE"""),1156.0)</f>
        <v>1156</v>
      </c>
      <c r="G15" s="43">
        <f>AVERAGEIFS('Chile pre-COVID'!$E:$E,'Chile pre-COVID'!$D:$D,D15)</f>
        <v>2425.5</v>
      </c>
      <c r="H15" s="43">
        <f t="shared" si="1"/>
        <v>1306.5</v>
      </c>
      <c r="I15" s="44">
        <f>(F15/VLOOKUP($A$2,'Población'!$A$1:$B$5,2,0))*100000</f>
        <v>6.016959289</v>
      </c>
      <c r="J15" s="44">
        <f t="shared" si="2"/>
        <v>23.31311475</v>
      </c>
      <c r="K15" s="44">
        <f>(H15/VLOOKUP($A$2,'Población'!$A$1:$B$5,2,0))*100000</f>
        <v>6.800309093</v>
      </c>
      <c r="L15" s="44">
        <f t="shared" si="3"/>
        <v>42.70167302</v>
      </c>
    </row>
    <row r="16">
      <c r="A16" s="39" t="str">
        <f>IFERROR(__xludf.DUMMYFUNCTION("""COMPUTED_VALUE"""),"Chile")</f>
        <v>Chile</v>
      </c>
      <c r="B16" s="40">
        <f>IFERROR(__xludf.DUMMYFUNCTION("""COMPUTED_VALUE"""),44004.0)</f>
        <v>44004</v>
      </c>
      <c r="C16" s="41">
        <f>IFERROR(__xludf.DUMMYFUNCTION("""COMPUTED_VALUE"""),44010.0)</f>
        <v>44010</v>
      </c>
      <c r="D16" s="39">
        <f>IFERROR(__xludf.DUMMYFUNCTION("""COMPUTED_VALUE"""),26.0)</f>
        <v>26</v>
      </c>
      <c r="E16" s="42">
        <f>IFERROR(__xludf.DUMMYFUNCTION("""COMPUTED_VALUE"""),3519.0)</f>
        <v>3519</v>
      </c>
      <c r="F16" s="39">
        <f>IFERROR(__xludf.DUMMYFUNCTION("""COMPUTED_VALUE"""),1030.0)</f>
        <v>1030</v>
      </c>
      <c r="G16" s="43">
        <f>AVERAGEIFS('Chile pre-COVID'!$E:$E,'Chile pre-COVID'!$D:$D,D16)</f>
        <v>2440.75</v>
      </c>
      <c r="H16" s="43">
        <f t="shared" si="1"/>
        <v>1078.25</v>
      </c>
      <c r="I16" s="44">
        <f>(F16/VLOOKUP($A$2,'Población'!$A$1:$B$5,2,0))*100000</f>
        <v>5.361131546</v>
      </c>
      <c r="J16" s="44">
        <f t="shared" si="2"/>
        <v>28.6742463</v>
      </c>
      <c r="K16" s="44">
        <f>(H16/VLOOKUP($A$2,'Población'!$A$1:$B$5,2,0))*100000</f>
        <v>5.612271932</v>
      </c>
      <c r="L16" s="44">
        <f t="shared" si="3"/>
        <v>48.31394495</v>
      </c>
    </row>
    <row r="17">
      <c r="A17" s="39" t="str">
        <f>IFERROR(__xludf.DUMMYFUNCTION("""COMPUTED_VALUE"""),"Chile")</f>
        <v>Chile</v>
      </c>
      <c r="B17" s="40">
        <f>IFERROR(__xludf.DUMMYFUNCTION("""COMPUTED_VALUE"""),44011.0)</f>
        <v>44011</v>
      </c>
      <c r="C17" s="41">
        <f>IFERROR(__xludf.DUMMYFUNCTION("""COMPUTED_VALUE"""),44017.0)</f>
        <v>44017</v>
      </c>
      <c r="D17" s="39">
        <f>IFERROR(__xludf.DUMMYFUNCTION("""COMPUTED_VALUE"""),27.0)</f>
        <v>27</v>
      </c>
      <c r="E17" s="42">
        <f>IFERROR(__xludf.DUMMYFUNCTION("""COMPUTED_VALUE"""),3070.0)</f>
        <v>3070</v>
      </c>
      <c r="F17" s="39">
        <f>IFERROR(__xludf.DUMMYFUNCTION("""COMPUTED_VALUE"""),799.0)</f>
        <v>799</v>
      </c>
      <c r="G17" s="43">
        <f>AVERAGEIFS('Chile pre-COVID'!$E:$E,'Chile pre-COVID'!$D:$D,D17)</f>
        <v>2390</v>
      </c>
      <c r="H17" s="43">
        <f t="shared" si="1"/>
        <v>680</v>
      </c>
      <c r="I17" s="44">
        <f>(F17/VLOOKUP($A$2,'Población'!$A$1:$B$5,2,0))*100000</f>
        <v>4.158780685</v>
      </c>
      <c r="J17" s="44">
        <f t="shared" si="2"/>
        <v>32.83302699</v>
      </c>
      <c r="K17" s="44">
        <f>(H17/VLOOKUP($A$2,'Población'!$A$1:$B$5,2,0))*100000</f>
        <v>3.539387817</v>
      </c>
      <c r="L17" s="44">
        <f t="shared" si="3"/>
        <v>51.85333277</v>
      </c>
    </row>
    <row r="18">
      <c r="A18" s="39" t="str">
        <f>IFERROR(__xludf.DUMMYFUNCTION("""COMPUTED_VALUE"""),"Chile")</f>
        <v>Chile</v>
      </c>
      <c r="B18" s="40">
        <f>IFERROR(__xludf.DUMMYFUNCTION("""COMPUTED_VALUE"""),44018.0)</f>
        <v>44018</v>
      </c>
      <c r="C18" s="41">
        <f>IFERROR(__xludf.DUMMYFUNCTION("""COMPUTED_VALUE"""),44024.0)</f>
        <v>44024</v>
      </c>
      <c r="D18" s="39">
        <f>IFERROR(__xludf.DUMMYFUNCTION("""COMPUTED_VALUE"""),28.0)</f>
        <v>28</v>
      </c>
      <c r="E18" s="42">
        <f>IFERROR(__xludf.DUMMYFUNCTION("""COMPUTED_VALUE"""),2967.0)</f>
        <v>2967</v>
      </c>
      <c r="F18" s="39">
        <f>IFERROR(__xludf.DUMMYFUNCTION("""COMPUTED_VALUE"""),671.0)</f>
        <v>671</v>
      </c>
      <c r="G18" s="43">
        <f>AVERAGEIFS('Chile pre-COVID'!$E:$E,'Chile pre-COVID'!$D:$D,D18)</f>
        <v>2360.75</v>
      </c>
      <c r="H18" s="43">
        <f t="shared" si="1"/>
        <v>606.25</v>
      </c>
      <c r="I18" s="44">
        <f>(F18/VLOOKUP($A$2,'Población'!$A$1:$B$5,2,0))*100000</f>
        <v>3.492542978</v>
      </c>
      <c r="J18" s="44">
        <f t="shared" si="2"/>
        <v>36.32556996</v>
      </c>
      <c r="K18" s="44">
        <f>(H18/VLOOKUP($A$2,'Población'!$A$1:$B$5,2,0))*100000</f>
        <v>3.155520388</v>
      </c>
      <c r="L18" s="44">
        <f t="shared" si="3"/>
        <v>55.00885315</v>
      </c>
    </row>
    <row r="19">
      <c r="A19" s="39" t="str">
        <f>IFERROR(__xludf.DUMMYFUNCTION("""COMPUTED_VALUE"""),"Chile")</f>
        <v>Chile</v>
      </c>
      <c r="B19" s="40">
        <f>IFERROR(__xludf.DUMMYFUNCTION("""COMPUTED_VALUE"""),44025.0)</f>
        <v>44025</v>
      </c>
      <c r="C19" s="41">
        <f>IFERROR(__xludf.DUMMYFUNCTION("""COMPUTED_VALUE"""),44031.0)</f>
        <v>44031</v>
      </c>
      <c r="D19" s="39">
        <f>IFERROR(__xludf.DUMMYFUNCTION("""COMPUTED_VALUE"""),29.0)</f>
        <v>29</v>
      </c>
      <c r="E19" s="42">
        <f>IFERROR(__xludf.DUMMYFUNCTION("""COMPUTED_VALUE"""),2814.0)</f>
        <v>2814</v>
      </c>
      <c r="F19" s="39">
        <f>IFERROR(__xludf.DUMMYFUNCTION("""COMPUTED_VALUE"""),1524.0)</f>
        <v>1524</v>
      </c>
      <c r="G19" s="43">
        <f>AVERAGEIFS('Chile pre-COVID'!$E:$E,'Chile pre-COVID'!$D:$D,D19)</f>
        <v>2424.75</v>
      </c>
      <c r="H19" s="43">
        <f t="shared" si="1"/>
        <v>389.25</v>
      </c>
      <c r="I19" s="44">
        <f>(F19/VLOOKUP($A$2,'Población'!$A$1:$B$5,2,0))*100000</f>
        <v>7.932392696</v>
      </c>
      <c r="J19" s="44">
        <f t="shared" si="2"/>
        <v>44.25796266</v>
      </c>
      <c r="K19" s="44">
        <f>(H19/VLOOKUP($A$2,'Población'!$A$1:$B$5,2,0))*100000</f>
        <v>2.026039276</v>
      </c>
      <c r="L19" s="44">
        <f t="shared" si="3"/>
        <v>57.03489243</v>
      </c>
    </row>
    <row r="20">
      <c r="A20" s="39" t="str">
        <f>IFERROR(__xludf.DUMMYFUNCTION("""COMPUTED_VALUE"""),"Chile")</f>
        <v>Chile</v>
      </c>
      <c r="B20" s="40">
        <f>IFERROR(__xludf.DUMMYFUNCTION("""COMPUTED_VALUE"""),44032.0)</f>
        <v>44032</v>
      </c>
      <c r="C20" s="41">
        <f>IFERROR(__xludf.DUMMYFUNCTION("""COMPUTED_VALUE"""),44038.0)</f>
        <v>44038</v>
      </c>
      <c r="D20" s="39">
        <f>IFERROR(__xludf.DUMMYFUNCTION("""COMPUTED_VALUE"""),30.0)</f>
        <v>30</v>
      </c>
      <c r="E20" s="42">
        <f>IFERROR(__xludf.DUMMYFUNCTION("""COMPUTED_VALUE"""),2698.0)</f>
        <v>2698</v>
      </c>
      <c r="F20" s="39">
        <f>IFERROR(__xludf.DUMMYFUNCTION("""COMPUTED_VALUE"""),609.0)</f>
        <v>609</v>
      </c>
      <c r="G20" s="43">
        <f>AVERAGEIFS('Chile pre-COVID'!$E:$E,'Chile pre-COVID'!$D:$D,D20)</f>
        <v>2369.75</v>
      </c>
      <c r="H20" s="43">
        <f t="shared" si="1"/>
        <v>328.25</v>
      </c>
      <c r="I20" s="44">
        <f>(F20/VLOOKUP($A$2,'Población'!$A$1:$B$5,2,0))*100000</f>
        <v>3.169834089</v>
      </c>
      <c r="J20" s="44">
        <f t="shared" si="2"/>
        <v>47.42779675</v>
      </c>
      <c r="K20" s="44">
        <f>(H20/VLOOKUP($A$2,'Población'!$A$1:$B$5,2,0))*100000</f>
        <v>1.708535369</v>
      </c>
      <c r="L20" s="44">
        <f t="shared" si="3"/>
        <v>58.7434278</v>
      </c>
    </row>
    <row r="21">
      <c r="A21" s="39" t="str">
        <f>IFERROR(__xludf.DUMMYFUNCTION("""COMPUTED_VALUE"""),"Chile")</f>
        <v>Chile</v>
      </c>
      <c r="B21" s="40">
        <f>IFERROR(__xludf.DUMMYFUNCTION("""COMPUTED_VALUE"""),44039.0)</f>
        <v>44039</v>
      </c>
      <c r="C21" s="41">
        <f>IFERROR(__xludf.DUMMYFUNCTION("""COMPUTED_VALUE"""),44045.0)</f>
        <v>44045</v>
      </c>
      <c r="D21" s="39">
        <f>IFERROR(__xludf.DUMMYFUNCTION("""COMPUTED_VALUE"""),31.0)</f>
        <v>31</v>
      </c>
      <c r="E21" s="42">
        <f>IFERROR(__xludf.DUMMYFUNCTION("""COMPUTED_VALUE"""),2653.0)</f>
        <v>2653</v>
      </c>
      <c r="F21" s="39">
        <f>IFERROR(__xludf.DUMMYFUNCTION("""COMPUTED_VALUE"""),496.0)</f>
        <v>496</v>
      </c>
      <c r="G21" s="43">
        <f>AVERAGEIFS('Chile pre-COVID'!$E:$E,'Chile pre-COVID'!$D:$D,D21)</f>
        <v>2344</v>
      </c>
      <c r="H21" s="43">
        <f t="shared" si="1"/>
        <v>309</v>
      </c>
      <c r="I21" s="44">
        <f>(F21/VLOOKUP($A$2,'Población'!$A$1:$B$5,2,0))*100000</f>
        <v>2.581671114</v>
      </c>
      <c r="J21" s="44">
        <f t="shared" si="2"/>
        <v>50.00946786</v>
      </c>
      <c r="K21" s="44">
        <f>(H21/VLOOKUP($A$2,'Población'!$A$1:$B$5,2,0))*100000</f>
        <v>1.608339464</v>
      </c>
      <c r="L21" s="44">
        <f t="shared" si="3"/>
        <v>60.35176726</v>
      </c>
    </row>
    <row r="22">
      <c r="A22" s="39" t="str">
        <f>IFERROR(__xludf.DUMMYFUNCTION("""COMPUTED_VALUE"""),"Chile")</f>
        <v>Chile</v>
      </c>
      <c r="B22" s="40">
        <f>IFERROR(__xludf.DUMMYFUNCTION("""COMPUTED_VALUE"""),44046.0)</f>
        <v>44046</v>
      </c>
      <c r="C22" s="41">
        <f>IFERROR(__xludf.DUMMYFUNCTION("""COMPUTED_VALUE"""),44052.0)</f>
        <v>44052</v>
      </c>
      <c r="D22" s="39">
        <f>IFERROR(__xludf.DUMMYFUNCTION("""COMPUTED_VALUE"""),32.0)</f>
        <v>32</v>
      </c>
      <c r="E22" s="42">
        <f>IFERROR(__xludf.DUMMYFUNCTION("""COMPUTED_VALUE"""),2516.0)</f>
        <v>2516</v>
      </c>
      <c r="F22" s="39">
        <f>IFERROR(__xludf.DUMMYFUNCTION("""COMPUTED_VALUE"""),469.0)</f>
        <v>469</v>
      </c>
      <c r="G22" s="43">
        <f>AVERAGEIFS('Chile pre-COVID'!$E:$E,'Chile pre-COVID'!$D:$D,D22)</f>
        <v>2277.75</v>
      </c>
      <c r="H22" s="43">
        <f t="shared" si="1"/>
        <v>238.25</v>
      </c>
      <c r="I22" s="44">
        <f>(F22/VLOOKUP($A$2,'Población'!$A$1:$B$5,2,0))*100000</f>
        <v>2.441136597</v>
      </c>
      <c r="J22" s="44">
        <f t="shared" si="2"/>
        <v>52.45060446</v>
      </c>
      <c r="K22" s="44">
        <f>(H22/VLOOKUP($A$2,'Población'!$A$1:$B$5,2,0))*100000</f>
        <v>1.240086981</v>
      </c>
      <c r="L22" s="44">
        <f t="shared" si="3"/>
        <v>61.59185424</v>
      </c>
    </row>
    <row r="23">
      <c r="A23" s="39" t="str">
        <f>IFERROR(__xludf.DUMMYFUNCTION("""COMPUTED_VALUE"""),"Chile")</f>
        <v>Chile</v>
      </c>
      <c r="B23" s="40">
        <f>IFERROR(__xludf.DUMMYFUNCTION("""COMPUTED_VALUE"""),44053.0)</f>
        <v>44053</v>
      </c>
      <c r="C23" s="41">
        <f>IFERROR(__xludf.DUMMYFUNCTION("""COMPUTED_VALUE"""),44059.0)</f>
        <v>44059</v>
      </c>
      <c r="D23" s="39">
        <f>IFERROR(__xludf.DUMMYFUNCTION("""COMPUTED_VALUE"""),33.0)</f>
        <v>33</v>
      </c>
      <c r="E23" s="42">
        <f>IFERROR(__xludf.DUMMYFUNCTION("""COMPUTED_VALUE"""),2431.0)</f>
        <v>2431</v>
      </c>
      <c r="F23" s="39">
        <f>IFERROR(__xludf.DUMMYFUNCTION("""COMPUTED_VALUE"""),375.0)</f>
        <v>375</v>
      </c>
      <c r="G23" s="43">
        <f>AVERAGEIFS('Chile pre-COVID'!$E:$E,'Chile pre-COVID'!$D:$D,D23)</f>
        <v>2245</v>
      </c>
      <c r="H23" s="43">
        <f t="shared" si="1"/>
        <v>186</v>
      </c>
      <c r="I23" s="44">
        <f>(F23/VLOOKUP($A$2,'Población'!$A$1:$B$5,2,0))*100000</f>
        <v>1.951868281</v>
      </c>
      <c r="J23" s="44">
        <f t="shared" si="2"/>
        <v>54.40247274</v>
      </c>
      <c r="K23" s="44">
        <f>(H23/VLOOKUP($A$2,'Población'!$A$1:$B$5,2,0))*100000</f>
        <v>0.9681266676</v>
      </c>
      <c r="L23" s="44">
        <f t="shared" si="3"/>
        <v>62.55998091</v>
      </c>
    </row>
    <row r="24">
      <c r="A24" s="39" t="str">
        <f>IFERROR(__xludf.DUMMYFUNCTION("""COMPUTED_VALUE"""),"Chile")</f>
        <v>Chile</v>
      </c>
      <c r="B24" s="40">
        <f>IFERROR(__xludf.DUMMYFUNCTION("""COMPUTED_VALUE"""),44060.0)</f>
        <v>44060</v>
      </c>
      <c r="C24" s="41">
        <f>IFERROR(__xludf.DUMMYFUNCTION("""COMPUTED_VALUE"""),44066.0)</f>
        <v>44066</v>
      </c>
      <c r="D24" s="39">
        <f>IFERROR(__xludf.DUMMYFUNCTION("""COMPUTED_VALUE"""),34.0)</f>
        <v>34</v>
      </c>
      <c r="E24" s="42">
        <f>IFERROR(__xludf.DUMMYFUNCTION("""COMPUTED_VALUE"""),2596.0)</f>
        <v>2596</v>
      </c>
      <c r="F24" s="39">
        <f>IFERROR(__xludf.DUMMYFUNCTION("""COMPUTED_VALUE"""),400.0)</f>
        <v>400</v>
      </c>
      <c r="G24" s="43">
        <f>AVERAGEIFS('Chile pre-COVID'!$E:$E,'Chile pre-COVID'!$D:$D,D24)</f>
        <v>2223</v>
      </c>
      <c r="H24" s="43">
        <f t="shared" si="1"/>
        <v>373</v>
      </c>
      <c r="I24" s="44">
        <f>(F24/VLOOKUP($A$2,'Población'!$A$1:$B$5,2,0))*100000</f>
        <v>2.081992834</v>
      </c>
      <c r="J24" s="44">
        <f t="shared" si="2"/>
        <v>56.48446557</v>
      </c>
      <c r="K24" s="44">
        <f>(H24/VLOOKUP($A$2,'Población'!$A$1:$B$5,2,0))*100000</f>
        <v>1.941458317</v>
      </c>
      <c r="L24" s="44">
        <f t="shared" si="3"/>
        <v>64.50143923</v>
      </c>
    </row>
    <row r="25">
      <c r="A25" s="39" t="str">
        <f>IFERROR(__xludf.DUMMYFUNCTION("""COMPUTED_VALUE"""),"Chile")</f>
        <v>Chile</v>
      </c>
      <c r="B25" s="40">
        <f>IFERROR(__xludf.DUMMYFUNCTION("""COMPUTED_VALUE"""),44067.0)</f>
        <v>44067</v>
      </c>
      <c r="C25" s="41">
        <f>IFERROR(__xludf.DUMMYFUNCTION("""COMPUTED_VALUE"""),44073.0)</f>
        <v>44073</v>
      </c>
      <c r="D25" s="39">
        <f>IFERROR(__xludf.DUMMYFUNCTION("""COMPUTED_VALUE"""),35.0)</f>
        <v>35</v>
      </c>
      <c r="E25" s="42">
        <f>IFERROR(__xludf.DUMMYFUNCTION("""COMPUTED_VALUE"""),2479.0)</f>
        <v>2479</v>
      </c>
      <c r="F25" s="39">
        <f>IFERROR(__xludf.DUMMYFUNCTION("""COMPUTED_VALUE"""),392.0)</f>
        <v>392</v>
      </c>
      <c r="G25" s="43">
        <f>AVERAGEIFS('Chile pre-COVID'!$E:$E,'Chile pre-COVID'!$D:$D,D25)</f>
        <v>2155</v>
      </c>
      <c r="H25" s="43">
        <f t="shared" si="1"/>
        <v>324</v>
      </c>
      <c r="I25" s="44">
        <f>(F25/VLOOKUP($A$2,'Población'!$A$1:$B$5,2,0))*100000</f>
        <v>2.040352977</v>
      </c>
      <c r="J25" s="44">
        <f t="shared" si="2"/>
        <v>58.52481855</v>
      </c>
      <c r="K25" s="44">
        <f>(H25/VLOOKUP($A$2,'Población'!$A$1:$B$5,2,0))*100000</f>
        <v>1.686414195</v>
      </c>
      <c r="L25" s="44">
        <f t="shared" si="3"/>
        <v>66.18785342</v>
      </c>
    </row>
    <row r="26">
      <c r="A26" s="39" t="str">
        <f>IFERROR(__xludf.DUMMYFUNCTION("""COMPUTED_VALUE"""),"Chile")</f>
        <v>Chile</v>
      </c>
      <c r="B26" s="40">
        <f>IFERROR(__xludf.DUMMYFUNCTION("""COMPUTED_VALUE"""),44074.0)</f>
        <v>44074</v>
      </c>
      <c r="C26" s="41">
        <f>IFERROR(__xludf.DUMMYFUNCTION("""COMPUTED_VALUE"""),44080.0)</f>
        <v>44080</v>
      </c>
      <c r="D26" s="39">
        <f>IFERROR(__xludf.DUMMYFUNCTION("""COMPUTED_VALUE"""),36.0)</f>
        <v>36</v>
      </c>
      <c r="E26" s="42">
        <f>IFERROR(__xludf.DUMMYFUNCTION("""COMPUTED_VALUE"""),2395.0)</f>
        <v>2395</v>
      </c>
      <c r="F26" s="39">
        <f>IFERROR(__xludf.DUMMYFUNCTION("""COMPUTED_VALUE"""),348.0)</f>
        <v>348</v>
      </c>
      <c r="G26" s="43">
        <f>AVERAGEIFS('Chile pre-COVID'!$E:$E,'Chile pre-COVID'!$D:$D,D26)</f>
        <v>2213.25</v>
      </c>
      <c r="H26" s="43">
        <f t="shared" si="1"/>
        <v>181.75</v>
      </c>
      <c r="I26" s="44">
        <f>(F26/VLOOKUP($A$2,'Población'!$A$1:$B$5,2,0))*100000</f>
        <v>1.811333765</v>
      </c>
      <c r="J26" s="44">
        <f t="shared" si="2"/>
        <v>60.33615232</v>
      </c>
      <c r="K26" s="44">
        <f>(H26/VLOOKUP($A$2,'Población'!$A$1:$B$5,2,0))*100000</f>
        <v>0.9460054938</v>
      </c>
      <c r="L26" s="44">
        <f t="shared" si="3"/>
        <v>67.13385892</v>
      </c>
    </row>
    <row r="27">
      <c r="A27" s="39" t="str">
        <f>IFERROR(__xludf.DUMMYFUNCTION("""COMPUTED_VALUE"""),"Chile")</f>
        <v>Chile</v>
      </c>
      <c r="B27" s="40">
        <f>IFERROR(__xludf.DUMMYFUNCTION("""COMPUTED_VALUE"""),44081.0)</f>
        <v>44081</v>
      </c>
      <c r="C27" s="41">
        <f>IFERROR(__xludf.DUMMYFUNCTION("""COMPUTED_VALUE"""),44087.0)</f>
        <v>44087</v>
      </c>
      <c r="D27" s="39">
        <f>IFERROR(__xludf.DUMMYFUNCTION("""COMPUTED_VALUE"""),37.0)</f>
        <v>37</v>
      </c>
      <c r="E27" s="42">
        <f>IFERROR(__xludf.DUMMYFUNCTION("""COMPUTED_VALUE"""),2405.0)</f>
        <v>2405</v>
      </c>
      <c r="F27" s="39">
        <f>IFERROR(__xludf.DUMMYFUNCTION("""COMPUTED_VALUE"""),357.0)</f>
        <v>357</v>
      </c>
      <c r="G27" s="43">
        <f>AVERAGEIFS('Chile pre-COVID'!$E:$E,'Chile pre-COVID'!$D:$D,D27)</f>
        <v>2154.25</v>
      </c>
      <c r="H27" s="43">
        <f t="shared" si="1"/>
        <v>250.75</v>
      </c>
      <c r="I27" s="44">
        <f>(F27/VLOOKUP($A$2,'Población'!$A$1:$B$5,2,0))*100000</f>
        <v>1.858178604</v>
      </c>
      <c r="J27" s="44">
        <f t="shared" si="2"/>
        <v>62.19433092</v>
      </c>
      <c r="K27" s="44">
        <f>(H27/VLOOKUP($A$2,'Población'!$A$1:$B$5,2,0))*100000</f>
        <v>1.305149258</v>
      </c>
      <c r="L27" s="44">
        <f t="shared" si="3"/>
        <v>68.43900818</v>
      </c>
    </row>
    <row r="28">
      <c r="A28" s="39" t="str">
        <f>IFERROR(__xludf.DUMMYFUNCTION("""COMPUTED_VALUE"""),"Chile")</f>
        <v>Chile</v>
      </c>
      <c r="B28" s="40">
        <f>IFERROR(__xludf.DUMMYFUNCTION("""COMPUTED_VALUE"""),44088.0)</f>
        <v>44088</v>
      </c>
      <c r="C28" s="41">
        <f>IFERROR(__xludf.DUMMYFUNCTION("""COMPUTED_VALUE"""),44094.0)</f>
        <v>44094</v>
      </c>
      <c r="D28" s="39">
        <f>IFERROR(__xludf.DUMMYFUNCTION("""COMPUTED_VALUE"""),38.0)</f>
        <v>38</v>
      </c>
      <c r="E28" s="42">
        <f>IFERROR(__xludf.DUMMYFUNCTION("""COMPUTED_VALUE"""),2401.0)</f>
        <v>2401</v>
      </c>
      <c r="F28" s="39">
        <f>IFERROR(__xludf.DUMMYFUNCTION("""COMPUTED_VALUE"""),337.0)</f>
        <v>337</v>
      </c>
      <c r="G28" s="43">
        <f>AVERAGEIFS('Chile pre-COVID'!$E:$E,'Chile pre-COVID'!$D:$D,D28)</f>
        <v>2213.75</v>
      </c>
      <c r="H28" s="43">
        <f t="shared" si="1"/>
        <v>187.25</v>
      </c>
      <c r="I28" s="44">
        <f>(F28/VLOOKUP($A$2,'Población'!$A$1:$B$5,2,0))*100000</f>
        <v>1.754078962</v>
      </c>
      <c r="J28" s="44">
        <f t="shared" si="2"/>
        <v>63.94840988</v>
      </c>
      <c r="K28" s="44">
        <f>(H28/VLOOKUP($A$2,'Población'!$A$1:$B$5,2,0))*100000</f>
        <v>0.9746328952</v>
      </c>
      <c r="L28" s="44">
        <f t="shared" si="3"/>
        <v>69.41364107</v>
      </c>
    </row>
    <row r="29">
      <c r="A29" s="39" t="str">
        <f>IFERROR(__xludf.DUMMYFUNCTION("""COMPUTED_VALUE"""),"Chile")</f>
        <v>Chile</v>
      </c>
      <c r="B29" s="40">
        <f>IFERROR(__xludf.DUMMYFUNCTION("""COMPUTED_VALUE"""),44095.0)</f>
        <v>44095</v>
      </c>
      <c r="C29" s="41">
        <f>IFERROR(__xludf.DUMMYFUNCTION("""COMPUTED_VALUE"""),44101.0)</f>
        <v>44101</v>
      </c>
      <c r="D29" s="39">
        <f>IFERROR(__xludf.DUMMYFUNCTION("""COMPUTED_VALUE"""),39.0)</f>
        <v>39</v>
      </c>
      <c r="E29" s="42">
        <f>IFERROR(__xludf.DUMMYFUNCTION("""COMPUTED_VALUE"""),2364.0)</f>
        <v>2364</v>
      </c>
      <c r="F29" s="39">
        <f>IFERROR(__xludf.DUMMYFUNCTION("""COMPUTED_VALUE"""),355.0)</f>
        <v>355</v>
      </c>
      <c r="G29" s="43">
        <f>AVERAGEIFS('Chile pre-COVID'!$E:$E,'Chile pre-COVID'!$D:$D,D29)</f>
        <v>2122.5</v>
      </c>
      <c r="H29" s="43">
        <f t="shared" si="1"/>
        <v>241.5</v>
      </c>
      <c r="I29" s="44">
        <f>(F29/VLOOKUP($A$2,'Población'!$A$1:$B$5,2,0))*100000</f>
        <v>1.84776864</v>
      </c>
      <c r="J29" s="44">
        <f t="shared" si="2"/>
        <v>65.79617852</v>
      </c>
      <c r="K29" s="44">
        <f>(H29/VLOOKUP($A$2,'Población'!$A$1:$B$5,2,0))*100000</f>
        <v>1.257003173</v>
      </c>
      <c r="L29" s="44">
        <f t="shared" si="3"/>
        <v>70.67064424</v>
      </c>
    </row>
    <row r="30">
      <c r="A30" s="39" t="str">
        <f>IFERROR(__xludf.DUMMYFUNCTION("""COMPUTED_VALUE"""),"Chile")</f>
        <v>Chile</v>
      </c>
      <c r="B30" s="40">
        <f>IFERROR(__xludf.DUMMYFUNCTION("""COMPUTED_VALUE"""),44102.0)</f>
        <v>44102</v>
      </c>
      <c r="C30" s="41">
        <f>IFERROR(__xludf.DUMMYFUNCTION("""COMPUTED_VALUE"""),44108.0)</f>
        <v>44108</v>
      </c>
      <c r="D30" s="39">
        <f>IFERROR(__xludf.DUMMYFUNCTION("""COMPUTED_VALUE"""),40.0)</f>
        <v>40</v>
      </c>
      <c r="E30" s="42">
        <f>IFERROR(__xludf.DUMMYFUNCTION("""COMPUTED_VALUE"""),2340.0)</f>
        <v>2340</v>
      </c>
      <c r="F30" s="39">
        <f>IFERROR(__xludf.DUMMYFUNCTION("""COMPUTED_VALUE"""),338.0)</f>
        <v>338</v>
      </c>
      <c r="G30" s="43">
        <f>AVERAGEIFS('Chile pre-COVID'!$E:$E,'Chile pre-COVID'!$D:$D,D30)</f>
        <v>2069.25</v>
      </c>
      <c r="H30" s="43">
        <f t="shared" si="1"/>
        <v>270.75</v>
      </c>
      <c r="I30" s="44">
        <f>(F30/VLOOKUP($A$2,'Población'!$A$1:$B$5,2,0))*100000</f>
        <v>1.759283944</v>
      </c>
      <c r="J30" s="44">
        <f t="shared" si="2"/>
        <v>67.55546247</v>
      </c>
      <c r="K30" s="44">
        <f>(H30/VLOOKUP($A$2,'Población'!$A$1:$B$5,2,0))*100000</f>
        <v>1.409248899</v>
      </c>
      <c r="L30" s="44">
        <f t="shared" si="3"/>
        <v>72.07989314</v>
      </c>
    </row>
    <row r="31">
      <c r="A31" s="39" t="str">
        <f>IFERROR(__xludf.DUMMYFUNCTION("""COMPUTED_VALUE"""),"Chile")</f>
        <v>Chile</v>
      </c>
      <c r="B31" s="40">
        <f>IFERROR(__xludf.DUMMYFUNCTION("""COMPUTED_VALUE"""),44109.0)</f>
        <v>44109</v>
      </c>
      <c r="C31" s="41">
        <f>IFERROR(__xludf.DUMMYFUNCTION("""COMPUTED_VALUE"""),44115.0)</f>
        <v>44115</v>
      </c>
      <c r="D31" s="39">
        <f>IFERROR(__xludf.DUMMYFUNCTION("""COMPUTED_VALUE"""),41.0)</f>
        <v>41</v>
      </c>
      <c r="E31" s="42">
        <f>IFERROR(__xludf.DUMMYFUNCTION("""COMPUTED_VALUE"""),2396.0)</f>
        <v>2396</v>
      </c>
      <c r="F31" s="39">
        <f>IFERROR(__xludf.DUMMYFUNCTION("""COMPUTED_VALUE"""),339.0)</f>
        <v>339</v>
      </c>
      <c r="G31" s="43">
        <f>AVERAGEIFS('Chile pre-COVID'!$E:$E,'Chile pre-COVID'!$D:$D,D31)</f>
        <v>2005.5</v>
      </c>
      <c r="H31" s="43">
        <f t="shared" si="1"/>
        <v>390.5</v>
      </c>
      <c r="I31" s="44">
        <f>(F31/VLOOKUP($A$2,'Población'!$A$1:$B$5,2,0))*100000</f>
        <v>1.764488926</v>
      </c>
      <c r="J31" s="44">
        <f t="shared" si="2"/>
        <v>69.31995139</v>
      </c>
      <c r="K31" s="44">
        <f>(H31/VLOOKUP($A$2,'Población'!$A$1:$B$5,2,0))*100000</f>
        <v>2.032545504</v>
      </c>
      <c r="L31" s="44">
        <f t="shared" si="3"/>
        <v>74.11243865</v>
      </c>
    </row>
    <row r="32">
      <c r="A32" s="39" t="str">
        <f>IFERROR(__xludf.DUMMYFUNCTION("""COMPUTED_VALUE"""),"Chile")</f>
        <v>Chile</v>
      </c>
      <c r="B32" s="40">
        <f>IFERROR(__xludf.DUMMYFUNCTION("""COMPUTED_VALUE"""),44116.0)</f>
        <v>44116</v>
      </c>
      <c r="C32" s="41">
        <f>IFERROR(__xludf.DUMMYFUNCTION("""COMPUTED_VALUE"""),44122.0)</f>
        <v>44122</v>
      </c>
      <c r="D32" s="39">
        <f>IFERROR(__xludf.DUMMYFUNCTION("""COMPUTED_VALUE"""),42.0)</f>
        <v>42</v>
      </c>
      <c r="E32" s="42">
        <f>IFERROR(__xludf.DUMMYFUNCTION("""COMPUTED_VALUE"""),2307.0)</f>
        <v>2307</v>
      </c>
      <c r="F32" s="39">
        <f>IFERROR(__xludf.DUMMYFUNCTION("""COMPUTED_VALUE"""),317.0)</f>
        <v>317</v>
      </c>
      <c r="G32" s="43">
        <f>AVERAGEIFS('Chile pre-COVID'!$E:$E,'Chile pre-COVID'!$D:$D,D32)</f>
        <v>1981.25</v>
      </c>
      <c r="H32" s="43">
        <f t="shared" si="1"/>
        <v>325.75</v>
      </c>
      <c r="I32" s="44">
        <f>(F32/VLOOKUP($A$2,'Población'!$A$1:$B$5,2,0))*100000</f>
        <v>1.649979321</v>
      </c>
      <c r="J32" s="44">
        <f t="shared" si="2"/>
        <v>70.96993071</v>
      </c>
      <c r="K32" s="44">
        <f>(H32/VLOOKUP($A$2,'Población'!$A$1:$B$5,2,0))*100000</f>
        <v>1.695522914</v>
      </c>
      <c r="L32" s="44">
        <f t="shared" si="3"/>
        <v>75.80796156</v>
      </c>
    </row>
    <row r="33">
      <c r="A33" s="39" t="str">
        <f>IFERROR(__xludf.DUMMYFUNCTION("""COMPUTED_VALUE"""),"Chile")</f>
        <v>Chile</v>
      </c>
      <c r="B33" s="40">
        <f>IFERROR(__xludf.DUMMYFUNCTION("""COMPUTED_VALUE"""),44123.0)</f>
        <v>44123</v>
      </c>
      <c r="C33" s="41">
        <f>IFERROR(__xludf.DUMMYFUNCTION("""COMPUTED_VALUE"""),44129.0)</f>
        <v>44129</v>
      </c>
      <c r="D33" s="39">
        <f>IFERROR(__xludf.DUMMYFUNCTION("""COMPUTED_VALUE"""),43.0)</f>
        <v>43</v>
      </c>
      <c r="E33" s="42">
        <f>IFERROR(__xludf.DUMMYFUNCTION("""COMPUTED_VALUE"""),2304.0)</f>
        <v>2304</v>
      </c>
      <c r="F33" s="39">
        <f>IFERROR(__xludf.DUMMYFUNCTION("""COMPUTED_VALUE"""),309.0)</f>
        <v>309</v>
      </c>
      <c r="G33" s="43">
        <f>AVERAGEIFS('Chile pre-COVID'!$E:$E,'Chile pre-COVID'!$D:$D,D33)</f>
        <v>1958</v>
      </c>
      <c r="H33" s="43">
        <f t="shared" si="1"/>
        <v>346</v>
      </c>
      <c r="I33" s="44">
        <f>(F33/VLOOKUP($A$2,'Población'!$A$1:$B$5,2,0))*100000</f>
        <v>1.608339464</v>
      </c>
      <c r="J33" s="44">
        <f t="shared" si="2"/>
        <v>72.57827018</v>
      </c>
      <c r="K33" s="44">
        <f>(H33/VLOOKUP($A$2,'Población'!$A$1:$B$5,2,0))*100000</f>
        <v>1.800923801</v>
      </c>
      <c r="L33" s="44">
        <f t="shared" si="3"/>
        <v>77.60888536</v>
      </c>
    </row>
    <row r="34">
      <c r="A34" s="39" t="str">
        <f>IFERROR(__xludf.DUMMYFUNCTION("""COMPUTED_VALUE"""),"Chile")</f>
        <v>Chile</v>
      </c>
      <c r="B34" s="40">
        <f>IFERROR(__xludf.DUMMYFUNCTION("""COMPUTED_VALUE"""),44130.0)</f>
        <v>44130</v>
      </c>
      <c r="C34" s="41">
        <f>IFERROR(__xludf.DUMMYFUNCTION("""COMPUTED_VALUE"""),44136.0)</f>
        <v>44136</v>
      </c>
      <c r="D34" s="39">
        <f>IFERROR(__xludf.DUMMYFUNCTION("""COMPUTED_VALUE"""),44.0)</f>
        <v>44</v>
      </c>
      <c r="E34" s="42">
        <f>IFERROR(__xludf.DUMMYFUNCTION("""COMPUTED_VALUE"""),2268.0)</f>
        <v>2268</v>
      </c>
      <c r="F34" s="39">
        <f>IFERROR(__xludf.DUMMYFUNCTION("""COMPUTED_VALUE"""),303.0)</f>
        <v>303</v>
      </c>
      <c r="G34" s="43">
        <f>AVERAGEIFS('Chile pre-COVID'!$E:$E,'Chile pre-COVID'!$D:$D,D34)</f>
        <v>1942</v>
      </c>
      <c r="H34" s="43">
        <f t="shared" si="1"/>
        <v>326</v>
      </c>
      <c r="I34" s="44">
        <f>(F34/VLOOKUP($A$2,'Población'!$A$1:$B$5,2,0))*100000</f>
        <v>1.577109571</v>
      </c>
      <c r="J34" s="44">
        <f t="shared" si="2"/>
        <v>74.15537975</v>
      </c>
      <c r="K34" s="44">
        <f>(H34/VLOOKUP($A$2,'Población'!$A$1:$B$5,2,0))*100000</f>
        <v>1.696824159</v>
      </c>
      <c r="L34" s="44">
        <f t="shared" si="3"/>
        <v>79.30570952</v>
      </c>
    </row>
    <row r="35">
      <c r="A35" s="39" t="str">
        <f>IFERROR(__xludf.DUMMYFUNCTION("""COMPUTED_VALUE"""),"Chile")</f>
        <v>Chile</v>
      </c>
      <c r="B35" s="40">
        <f>IFERROR(__xludf.DUMMYFUNCTION("""COMPUTED_VALUE"""),44137.0)</f>
        <v>44137</v>
      </c>
      <c r="C35" s="41">
        <f>IFERROR(__xludf.DUMMYFUNCTION("""COMPUTED_VALUE"""),44143.0)</f>
        <v>44143</v>
      </c>
      <c r="D35" s="39">
        <f>IFERROR(__xludf.DUMMYFUNCTION("""COMPUTED_VALUE"""),45.0)</f>
        <v>45</v>
      </c>
      <c r="E35" s="42">
        <f>IFERROR(__xludf.DUMMYFUNCTION("""COMPUTED_VALUE"""),2239.0)</f>
        <v>2239</v>
      </c>
      <c r="F35" s="39">
        <f>IFERROR(__xludf.DUMMYFUNCTION("""COMPUTED_VALUE"""),296.0)</f>
        <v>296</v>
      </c>
      <c r="G35" s="43">
        <f>AVERAGEIFS('Chile pre-COVID'!$E:$E,'Chile pre-COVID'!$D:$D,D35)</f>
        <v>1946.5</v>
      </c>
      <c r="H35" s="43">
        <f t="shared" si="1"/>
        <v>292.5</v>
      </c>
      <c r="I35" s="44">
        <f>(F35/VLOOKUP($A$2,'Población'!$A$1:$B$5,2,0))*100000</f>
        <v>1.540674697</v>
      </c>
      <c r="J35" s="44">
        <f t="shared" si="2"/>
        <v>75.69605445</v>
      </c>
      <c r="K35" s="44">
        <f>(H35/VLOOKUP($A$2,'Población'!$A$1:$B$5,2,0))*100000</f>
        <v>1.52245726</v>
      </c>
      <c r="L35" s="44">
        <f t="shared" si="3"/>
        <v>80.82816678</v>
      </c>
    </row>
    <row r="36">
      <c r="A36" s="39" t="str">
        <f>IFERROR(__xludf.DUMMYFUNCTION("""COMPUTED_VALUE"""),"Chile")</f>
        <v>Chile</v>
      </c>
      <c r="B36" s="40">
        <f>IFERROR(__xludf.DUMMYFUNCTION("""COMPUTED_VALUE"""),44144.0)</f>
        <v>44144</v>
      </c>
      <c r="C36" s="41">
        <f>IFERROR(__xludf.DUMMYFUNCTION("""COMPUTED_VALUE"""),44150.0)</f>
        <v>44150</v>
      </c>
      <c r="D36" s="39">
        <f>IFERROR(__xludf.DUMMYFUNCTION("""COMPUTED_VALUE"""),46.0)</f>
        <v>46</v>
      </c>
      <c r="E36" s="42">
        <f>IFERROR(__xludf.DUMMYFUNCTION("""COMPUTED_VALUE"""),2121.0)</f>
        <v>2121</v>
      </c>
      <c r="F36" s="39">
        <f>IFERROR(__xludf.DUMMYFUNCTION("""COMPUTED_VALUE"""),276.0)</f>
        <v>276</v>
      </c>
      <c r="G36" s="43">
        <f>AVERAGEIFS('Chile pre-COVID'!$E:$E,'Chile pre-COVID'!$D:$D,D36)</f>
        <v>1898</v>
      </c>
      <c r="H36" s="43">
        <f t="shared" si="1"/>
        <v>223</v>
      </c>
      <c r="I36" s="44">
        <f>(F36/VLOOKUP($A$2,'Población'!$A$1:$B$5,2,0))*100000</f>
        <v>1.436575055</v>
      </c>
      <c r="J36" s="44">
        <f t="shared" si="2"/>
        <v>77.1326295</v>
      </c>
      <c r="K36" s="44">
        <f>(H36/VLOOKUP($A$2,'Población'!$A$1:$B$5,2,0))*100000</f>
        <v>1.160711005</v>
      </c>
      <c r="L36" s="44">
        <f t="shared" si="3"/>
        <v>81.98887779</v>
      </c>
    </row>
    <row r="37">
      <c r="A37" s="39" t="str">
        <f>IFERROR(__xludf.DUMMYFUNCTION("""COMPUTED_VALUE"""),"Chile")</f>
        <v>Chile</v>
      </c>
      <c r="B37" s="40">
        <f>IFERROR(__xludf.DUMMYFUNCTION("""COMPUTED_VALUE"""),44151.0)</f>
        <v>44151</v>
      </c>
      <c r="C37" s="41">
        <f>IFERROR(__xludf.DUMMYFUNCTION("""COMPUTED_VALUE"""),44157.0)</f>
        <v>44157</v>
      </c>
      <c r="D37" s="39">
        <f>IFERROR(__xludf.DUMMYFUNCTION("""COMPUTED_VALUE"""),47.0)</f>
        <v>47</v>
      </c>
      <c r="E37" s="42">
        <f>IFERROR(__xludf.DUMMYFUNCTION("""COMPUTED_VALUE"""),2184.0)</f>
        <v>2184</v>
      </c>
      <c r="F37" s="39">
        <f>IFERROR(__xludf.DUMMYFUNCTION("""COMPUTED_VALUE"""),250.0)</f>
        <v>250</v>
      </c>
      <c r="G37" s="43">
        <f>AVERAGEIFS('Chile pre-COVID'!$E:$E,'Chile pre-COVID'!$D:$D,D37)</f>
        <v>1942.25</v>
      </c>
      <c r="H37" s="43">
        <f t="shared" si="1"/>
        <v>241.75</v>
      </c>
      <c r="I37" s="44">
        <f>(F37/VLOOKUP($A$2,'Población'!$A$1:$B$5,2,0))*100000</f>
        <v>1.301245521</v>
      </c>
      <c r="J37" s="44">
        <f t="shared" si="2"/>
        <v>78.43387502</v>
      </c>
      <c r="K37" s="44">
        <f>(H37/VLOOKUP($A$2,'Población'!$A$1:$B$5,2,0))*100000</f>
        <v>1.258304419</v>
      </c>
      <c r="L37" s="44">
        <f t="shared" si="3"/>
        <v>83.2471822</v>
      </c>
    </row>
    <row r="38">
      <c r="A38" s="39" t="str">
        <f>IFERROR(__xludf.DUMMYFUNCTION("""COMPUTED_VALUE"""),"Chile")</f>
        <v>Chile</v>
      </c>
      <c r="B38" s="40">
        <f>IFERROR(__xludf.DUMMYFUNCTION("""COMPUTED_VALUE"""),44158.0)</f>
        <v>44158</v>
      </c>
      <c r="C38" s="41">
        <f>IFERROR(__xludf.DUMMYFUNCTION("""COMPUTED_VALUE"""),44164.0)</f>
        <v>44164</v>
      </c>
      <c r="D38" s="39">
        <f>IFERROR(__xludf.DUMMYFUNCTION("""COMPUTED_VALUE"""),48.0)</f>
        <v>48</v>
      </c>
      <c r="E38" s="42">
        <f>IFERROR(__xludf.DUMMYFUNCTION("""COMPUTED_VALUE"""),2203.0)</f>
        <v>2203</v>
      </c>
      <c r="F38" s="39">
        <f>IFERROR(__xludf.DUMMYFUNCTION("""COMPUTED_VALUE"""),287.0)</f>
        <v>287</v>
      </c>
      <c r="G38" s="43">
        <f>AVERAGEIFS('Chile pre-COVID'!$E:$E,'Chile pre-COVID'!$D:$D,D38)</f>
        <v>1895.75</v>
      </c>
      <c r="H38" s="43">
        <f t="shared" si="1"/>
        <v>307.25</v>
      </c>
      <c r="I38" s="44">
        <f>(F38/VLOOKUP($A$2,'Población'!$A$1:$B$5,2,0))*100000</f>
        <v>1.493829858</v>
      </c>
      <c r="J38" s="44">
        <f t="shared" si="2"/>
        <v>79.92770488</v>
      </c>
      <c r="K38" s="44">
        <f>(H38/VLOOKUP($A$2,'Población'!$A$1:$B$5,2,0))*100000</f>
        <v>1.599230745</v>
      </c>
      <c r="L38" s="44">
        <f t="shared" si="3"/>
        <v>84.84641295</v>
      </c>
    </row>
    <row r="39">
      <c r="A39" s="39" t="str">
        <f>IFERROR(__xludf.DUMMYFUNCTION("""COMPUTED_VALUE"""),"Chile")</f>
        <v>Chile</v>
      </c>
      <c r="B39" s="40">
        <f>IFERROR(__xludf.DUMMYFUNCTION("""COMPUTED_VALUE"""),44165.0)</f>
        <v>44165</v>
      </c>
      <c r="C39" s="41">
        <f>IFERROR(__xludf.DUMMYFUNCTION("""COMPUTED_VALUE"""),44171.0)</f>
        <v>44171</v>
      </c>
      <c r="D39" s="39">
        <f>IFERROR(__xludf.DUMMYFUNCTION("""COMPUTED_VALUE"""),49.0)</f>
        <v>49</v>
      </c>
      <c r="E39" s="42">
        <f>IFERROR(__xludf.DUMMYFUNCTION("""COMPUTED_VALUE"""),2174.0)</f>
        <v>2174</v>
      </c>
      <c r="F39" s="39">
        <f>IFERROR(__xludf.DUMMYFUNCTION("""COMPUTED_VALUE"""),272.0)</f>
        <v>272</v>
      </c>
      <c r="G39" s="43">
        <f>AVERAGEIFS('Chile pre-COVID'!$E:$E,'Chile pre-COVID'!$D:$D,D39)</f>
        <v>1850.25</v>
      </c>
      <c r="H39" s="43">
        <f t="shared" si="1"/>
        <v>323.75</v>
      </c>
      <c r="I39" s="44">
        <f>(F39/VLOOKUP($A$2,'Población'!$A$1:$B$5,2,0))*100000</f>
        <v>1.415755127</v>
      </c>
      <c r="J39" s="44">
        <f t="shared" si="2"/>
        <v>81.34346001</v>
      </c>
      <c r="K39" s="44">
        <f>(H39/VLOOKUP($A$2,'Población'!$A$1:$B$5,2,0))*100000</f>
        <v>1.68511295</v>
      </c>
      <c r="L39" s="44">
        <f t="shared" si="3"/>
        <v>86.5315259</v>
      </c>
    </row>
    <row r="40">
      <c r="A40" s="39" t="str">
        <f>IFERROR(__xludf.DUMMYFUNCTION("""COMPUTED_VALUE"""),"Chile")</f>
        <v>Chile</v>
      </c>
      <c r="B40" s="40">
        <f>IFERROR(__xludf.DUMMYFUNCTION("""COMPUTED_VALUE"""),44172.0)</f>
        <v>44172</v>
      </c>
      <c r="C40" s="41">
        <f>IFERROR(__xludf.DUMMYFUNCTION("""COMPUTED_VALUE"""),44178.0)</f>
        <v>44178</v>
      </c>
      <c r="D40" s="39">
        <f>IFERROR(__xludf.DUMMYFUNCTION("""COMPUTED_VALUE"""),50.0)</f>
        <v>50</v>
      </c>
      <c r="E40" s="42">
        <f>IFERROR(__xludf.DUMMYFUNCTION("""COMPUTED_VALUE"""),2187.0)</f>
        <v>2187</v>
      </c>
      <c r="F40" s="39">
        <f>IFERROR(__xludf.DUMMYFUNCTION("""COMPUTED_VALUE"""),258.0)</f>
        <v>258</v>
      </c>
      <c r="G40" s="43">
        <f>AVERAGEIFS('Chile pre-COVID'!$E:$E,'Chile pre-COVID'!$D:$D,D40)</f>
        <v>1890</v>
      </c>
      <c r="H40" s="43">
        <f t="shared" si="1"/>
        <v>297</v>
      </c>
      <c r="I40" s="44">
        <f>(F40/VLOOKUP($A$2,'Población'!$A$1:$B$5,2,0))*100000</f>
        <v>1.342885378</v>
      </c>
      <c r="J40" s="44">
        <f t="shared" si="2"/>
        <v>82.68634539</v>
      </c>
      <c r="K40" s="44">
        <f>(H40/VLOOKUP($A$2,'Población'!$A$1:$B$5,2,0))*100000</f>
        <v>1.545879679</v>
      </c>
      <c r="L40" s="44">
        <f t="shared" si="3"/>
        <v>88.07740558</v>
      </c>
    </row>
    <row r="41">
      <c r="A41" s="39" t="str">
        <f>IFERROR(__xludf.DUMMYFUNCTION("""COMPUTED_VALUE"""),"Chile")</f>
        <v>Chile</v>
      </c>
      <c r="B41" s="40">
        <f>IFERROR(__xludf.DUMMYFUNCTION("""COMPUTED_VALUE"""),44179.0)</f>
        <v>44179</v>
      </c>
      <c r="C41" s="41">
        <f>IFERROR(__xludf.DUMMYFUNCTION("""COMPUTED_VALUE"""),44185.0)</f>
        <v>44185</v>
      </c>
      <c r="D41" s="39">
        <f>IFERROR(__xludf.DUMMYFUNCTION("""COMPUTED_VALUE"""),51.0)</f>
        <v>51</v>
      </c>
      <c r="E41" s="42">
        <f>IFERROR(__xludf.DUMMYFUNCTION("""COMPUTED_VALUE"""),2155.0)</f>
        <v>2155</v>
      </c>
      <c r="F41" s="39">
        <f>IFERROR(__xludf.DUMMYFUNCTION("""COMPUTED_VALUE"""),268.0)</f>
        <v>268</v>
      </c>
      <c r="G41" s="43">
        <f>AVERAGEIFS('Chile pre-COVID'!$E:$E,'Chile pre-COVID'!$D:$D,D41)</f>
        <v>1883.75</v>
      </c>
      <c r="H41" s="43">
        <f t="shared" si="1"/>
        <v>271.25</v>
      </c>
      <c r="I41" s="44">
        <f>(F41/VLOOKUP($A$2,'Población'!$A$1:$B$5,2,0))*100000</f>
        <v>1.394935198</v>
      </c>
      <c r="J41" s="44">
        <f t="shared" si="2"/>
        <v>84.08128058</v>
      </c>
      <c r="K41" s="44">
        <f>(H41/VLOOKUP($A$2,'Población'!$A$1:$B$5,2,0))*100000</f>
        <v>1.41185139</v>
      </c>
      <c r="L41" s="44">
        <f t="shared" si="3"/>
        <v>89.48925697</v>
      </c>
    </row>
    <row r="42">
      <c r="A42" s="39" t="str">
        <f>IFERROR(__xludf.DUMMYFUNCTION("""COMPUTED_VALUE"""),"Chile")</f>
        <v>Chile</v>
      </c>
      <c r="B42" s="40">
        <f>IFERROR(__xludf.DUMMYFUNCTION("""COMPUTED_VALUE"""),44186.0)</f>
        <v>44186</v>
      </c>
      <c r="C42" s="41">
        <f>IFERROR(__xludf.DUMMYFUNCTION("""COMPUTED_VALUE"""),44192.0)</f>
        <v>44192</v>
      </c>
      <c r="D42" s="39">
        <f>IFERROR(__xludf.DUMMYFUNCTION("""COMPUTED_VALUE"""),52.0)</f>
        <v>52</v>
      </c>
      <c r="E42" s="42">
        <f>IFERROR(__xludf.DUMMYFUNCTION("""COMPUTED_VALUE"""),2291.0)</f>
        <v>2291</v>
      </c>
      <c r="F42" s="39">
        <f>IFERROR(__xludf.DUMMYFUNCTION("""COMPUTED_VALUE"""),289.0)</f>
        <v>289</v>
      </c>
      <c r="G42" s="43">
        <f>AVERAGEIFS('Chile pre-COVID'!$E:$E,'Chile pre-COVID'!$D:$D,D42)</f>
        <v>1811.5</v>
      </c>
      <c r="H42" s="43">
        <f t="shared" si="1"/>
        <v>479.5</v>
      </c>
      <c r="I42" s="44">
        <f>(F42/VLOOKUP($A$2,'Población'!$A$1:$B$5,2,0))*100000</f>
        <v>1.504239822</v>
      </c>
      <c r="J42" s="44">
        <f t="shared" si="2"/>
        <v>85.58552041</v>
      </c>
      <c r="K42" s="44">
        <f>(H42/VLOOKUP($A$2,'Población'!$A$1:$B$5,2,0))*100000</f>
        <v>2.495788909</v>
      </c>
      <c r="L42" s="44">
        <f t="shared" si="3"/>
        <v>91.98504588</v>
      </c>
    </row>
    <row r="43">
      <c r="A43" s="50" t="str">
        <f>IFERROR(__xludf.DUMMYFUNCTION("""COMPUTED_VALUE"""),"Chile")</f>
        <v>Chile</v>
      </c>
      <c r="B43" s="51">
        <f>IFERROR(__xludf.DUMMYFUNCTION("""COMPUTED_VALUE"""),44193.0)</f>
        <v>44193</v>
      </c>
      <c r="C43" s="52">
        <f>IFERROR(__xludf.DUMMYFUNCTION("""COMPUTED_VALUE"""),44199.0)</f>
        <v>44199</v>
      </c>
      <c r="D43" s="50">
        <f>IFERROR(__xludf.DUMMYFUNCTION("""COMPUTED_VALUE"""),53.0)</f>
        <v>53</v>
      </c>
      <c r="E43" s="53">
        <f>IFERROR(__xludf.DUMMYFUNCTION("""COMPUTED_VALUE"""),2236.0)</f>
        <v>2236</v>
      </c>
      <c r="F43" s="50">
        <f>IFERROR(__xludf.DUMMYFUNCTION("""COMPUTED_VALUE"""),324.0)</f>
        <v>324</v>
      </c>
      <c r="G43" s="54">
        <f>IFERROR(AVERAGEIFS('Chile pre-COVID'!$E:$E,'Chile pre-COVID'!$D:$D,D42),G42)</f>
        <v>1811.5</v>
      </c>
      <c r="H43" s="55">
        <f t="shared" si="1"/>
        <v>424.5</v>
      </c>
      <c r="I43" s="56">
        <f>(F43/VLOOKUP($A$2,'Población'!$A$1:$B$5,2,0))*100000</f>
        <v>1.686414195</v>
      </c>
      <c r="J43" s="56">
        <f t="shared" si="2"/>
        <v>87.2719346</v>
      </c>
      <c r="K43" s="56">
        <f>(H43/VLOOKUP($A$2,'Población'!$A$1:$B$5,2,0))*100000</f>
        <v>2.209514895</v>
      </c>
      <c r="L43" s="56">
        <f t="shared" si="3"/>
        <v>94.19456077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39" t="str">
        <f>IFERROR(__xludf.DUMMYFUNCTION("""COMPUTED_VALUE"""),"Chile")</f>
        <v>Chile</v>
      </c>
      <c r="B44" s="40">
        <f>IFERROR(__xludf.DUMMYFUNCTION("""COMPUTED_VALUE"""),44200.0)</f>
        <v>44200</v>
      </c>
      <c r="C44" s="41">
        <f>IFERROR(__xludf.DUMMYFUNCTION("""COMPUTED_VALUE"""),44206.0)</f>
        <v>44206</v>
      </c>
      <c r="D44" s="39">
        <f>IFERROR(__xludf.DUMMYFUNCTION("""COMPUTED_VALUE"""),1.0)</f>
        <v>1</v>
      </c>
      <c r="E44" s="42">
        <f>IFERROR(__xludf.DUMMYFUNCTION("""COMPUTED_VALUE"""),2445.0)</f>
        <v>2445</v>
      </c>
      <c r="F44" s="39">
        <f>IFERROR(__xludf.DUMMYFUNCTION("""COMPUTED_VALUE"""),329.0)</f>
        <v>329</v>
      </c>
      <c r="G44" s="43">
        <f>AVERAGEIFS('Chile pre-COVID'!$E:$E,'Chile pre-COVID'!$D:$D,D44)</f>
        <v>1967.2</v>
      </c>
      <c r="H44" s="43">
        <f t="shared" si="1"/>
        <v>477.8</v>
      </c>
      <c r="I44" s="44">
        <f>(F44/VLOOKUP($A$2,'Población'!$A$1:$B$5,2,0))*100000</f>
        <v>1.712439106</v>
      </c>
      <c r="J44" s="44">
        <f t="shared" si="2"/>
        <v>88.98437371</v>
      </c>
      <c r="K44" s="44">
        <f>(H44/VLOOKUP($A$2,'Población'!$A$1:$B$5,2,0))*100000</f>
        <v>2.48694044</v>
      </c>
      <c r="L44" s="44">
        <f t="shared" si="3"/>
        <v>96.68150121</v>
      </c>
    </row>
    <row r="45">
      <c r="A45" s="39" t="str">
        <f>IFERROR(__xludf.DUMMYFUNCTION("""COMPUTED_VALUE"""),"Chile")</f>
        <v>Chile</v>
      </c>
      <c r="B45" s="40">
        <f>IFERROR(__xludf.DUMMYFUNCTION("""COMPUTED_VALUE"""),44207.0)</f>
        <v>44207</v>
      </c>
      <c r="C45" s="41">
        <f>IFERROR(__xludf.DUMMYFUNCTION("""COMPUTED_VALUE"""),44213.0)</f>
        <v>44213</v>
      </c>
      <c r="D45" s="39">
        <f>IFERROR(__xludf.DUMMYFUNCTION("""COMPUTED_VALUE"""),2.0)</f>
        <v>2</v>
      </c>
      <c r="E45" s="42">
        <f>IFERROR(__xludf.DUMMYFUNCTION("""COMPUTED_VALUE"""),2438.0)</f>
        <v>2438</v>
      </c>
      <c r="F45" s="39">
        <f>IFERROR(__xludf.DUMMYFUNCTION("""COMPUTED_VALUE"""),381.0)</f>
        <v>381</v>
      </c>
      <c r="G45" s="43">
        <f>AVERAGEIFS('Chile pre-COVID'!$E:$E,'Chile pre-COVID'!$D:$D,D45)</f>
        <v>1885.6</v>
      </c>
      <c r="H45" s="43">
        <f t="shared" si="1"/>
        <v>552.4</v>
      </c>
      <c r="I45" s="44">
        <f>(F45/VLOOKUP($A$2,'Población'!$A$1:$B$5,2,0))*100000</f>
        <v>1.983098174</v>
      </c>
      <c r="J45" s="44">
        <f t="shared" si="2"/>
        <v>90.96747188</v>
      </c>
      <c r="K45" s="44">
        <f>(H45/VLOOKUP($A$2,'Población'!$A$1:$B$5,2,0))*100000</f>
        <v>2.875232103</v>
      </c>
      <c r="L45" s="44">
        <f t="shared" si="3"/>
        <v>99.55673332</v>
      </c>
    </row>
    <row r="46">
      <c r="A46" s="39" t="str">
        <f>IFERROR(__xludf.DUMMYFUNCTION("""COMPUTED_VALUE"""),"Chile")</f>
        <v>Chile</v>
      </c>
      <c r="B46" s="40">
        <f>IFERROR(__xludf.DUMMYFUNCTION("""COMPUTED_VALUE"""),44214.0)</f>
        <v>44214</v>
      </c>
      <c r="C46" s="41">
        <f>IFERROR(__xludf.DUMMYFUNCTION("""COMPUTED_VALUE"""),44220.0)</f>
        <v>44220</v>
      </c>
      <c r="D46" s="39">
        <f>IFERROR(__xludf.DUMMYFUNCTION("""COMPUTED_VALUE"""),3.0)</f>
        <v>3</v>
      </c>
      <c r="E46" s="42">
        <f>IFERROR(__xludf.DUMMYFUNCTION("""COMPUTED_VALUE"""),2701.0)</f>
        <v>2701</v>
      </c>
      <c r="F46" s="39">
        <f>IFERROR(__xludf.DUMMYFUNCTION("""COMPUTED_VALUE"""),456.0)</f>
        <v>456</v>
      </c>
      <c r="G46" s="43">
        <f>AVERAGEIFS('Chile pre-COVID'!$E:$E,'Chile pre-COVID'!$D:$D,D46)</f>
        <v>1926</v>
      </c>
      <c r="H46" s="43">
        <f t="shared" si="1"/>
        <v>775</v>
      </c>
      <c r="I46" s="44">
        <f>(F46/VLOOKUP($A$2,'Población'!$A$1:$B$5,2,0))*100000</f>
        <v>2.37347183</v>
      </c>
      <c r="J46" s="44">
        <f t="shared" si="2"/>
        <v>93.34094371</v>
      </c>
      <c r="K46" s="44">
        <f>(H46/VLOOKUP($A$2,'Población'!$A$1:$B$5,2,0))*100000</f>
        <v>4.033861115</v>
      </c>
      <c r="L46" s="44">
        <f t="shared" si="3"/>
        <v>103.5905944</v>
      </c>
    </row>
    <row r="47">
      <c r="A47" s="39" t="str">
        <f>IFERROR(__xludf.DUMMYFUNCTION("""COMPUTED_VALUE"""),"Chile")</f>
        <v>Chile</v>
      </c>
      <c r="B47" s="40">
        <f>IFERROR(__xludf.DUMMYFUNCTION("""COMPUTED_VALUE"""),44221.0)</f>
        <v>44221</v>
      </c>
      <c r="C47" s="41">
        <f>IFERROR(__xludf.DUMMYFUNCTION("""COMPUTED_VALUE"""),44227.0)</f>
        <v>44227</v>
      </c>
      <c r="D47" s="39">
        <f>IFERROR(__xludf.DUMMYFUNCTION("""COMPUTED_VALUE"""),4.0)</f>
        <v>4</v>
      </c>
      <c r="E47" s="42">
        <f>IFERROR(__xludf.DUMMYFUNCTION("""COMPUTED_VALUE"""),2557.0)</f>
        <v>2557</v>
      </c>
      <c r="F47" s="39">
        <f>IFERROR(__xludf.DUMMYFUNCTION("""COMPUTED_VALUE"""),519.0)</f>
        <v>519</v>
      </c>
      <c r="G47" s="43">
        <f>AVERAGEIFS('Chile pre-COVID'!$E:$E,'Chile pre-COVID'!$D:$D,D47)</f>
        <v>1920.8</v>
      </c>
      <c r="H47" s="43">
        <f t="shared" si="1"/>
        <v>636.2</v>
      </c>
      <c r="I47" s="44">
        <f>(F47/VLOOKUP($A$2,'Población'!$A$1:$B$5,2,0))*100000</f>
        <v>2.701385702</v>
      </c>
      <c r="J47" s="44">
        <f t="shared" si="2"/>
        <v>96.04232941</v>
      </c>
      <c r="K47" s="44">
        <f>(H47/VLOOKUP($A$2,'Población'!$A$1:$B$5,2,0))*100000</f>
        <v>3.311409602</v>
      </c>
      <c r="L47" s="44">
        <f t="shared" si="3"/>
        <v>106.902004</v>
      </c>
    </row>
    <row r="48">
      <c r="A48" s="39" t="str">
        <f>IFERROR(__xludf.DUMMYFUNCTION("""COMPUTED_VALUE"""),"Chile")</f>
        <v>Chile</v>
      </c>
      <c r="B48" s="40">
        <f>IFERROR(__xludf.DUMMYFUNCTION("""COMPUTED_VALUE"""),44228.0)</f>
        <v>44228</v>
      </c>
      <c r="C48" s="41">
        <f>IFERROR(__xludf.DUMMYFUNCTION("""COMPUTED_VALUE"""),44234.0)</f>
        <v>44234</v>
      </c>
      <c r="D48" s="39">
        <f>IFERROR(__xludf.DUMMYFUNCTION("""COMPUTED_VALUE"""),5.0)</f>
        <v>5</v>
      </c>
      <c r="E48" s="42">
        <f>IFERROR(__xludf.DUMMYFUNCTION("""COMPUTED_VALUE"""),2633.0)</f>
        <v>2633</v>
      </c>
      <c r="F48" s="39">
        <f>IFERROR(__xludf.DUMMYFUNCTION("""COMPUTED_VALUE"""),522.0)</f>
        <v>522</v>
      </c>
      <c r="G48" s="43">
        <f>AVERAGEIFS('Chile pre-COVID'!$E:$E,'Chile pre-COVID'!$D:$D,D48)</f>
        <v>1925.8</v>
      </c>
      <c r="H48" s="43">
        <f t="shared" si="1"/>
        <v>707.2</v>
      </c>
      <c r="I48" s="44">
        <f>(F48/VLOOKUP($A$2,'Población'!$A$1:$B$5,2,0))*100000</f>
        <v>2.717000648</v>
      </c>
      <c r="J48" s="44">
        <f t="shared" si="2"/>
        <v>98.75933006</v>
      </c>
      <c r="K48" s="44">
        <f>(H48/VLOOKUP($A$2,'Población'!$A$1:$B$5,2,0))*100000</f>
        <v>3.68096333</v>
      </c>
      <c r="L48" s="44">
        <f t="shared" si="3"/>
        <v>110.5829674</v>
      </c>
    </row>
    <row r="49">
      <c r="A49" s="39" t="str">
        <f>IFERROR(__xludf.DUMMYFUNCTION("""COMPUTED_VALUE"""),"Chile")</f>
        <v>Chile</v>
      </c>
      <c r="B49" s="40">
        <f>IFERROR(__xludf.DUMMYFUNCTION("""COMPUTED_VALUE"""),44235.0)</f>
        <v>44235</v>
      </c>
      <c r="C49" s="41">
        <f>IFERROR(__xludf.DUMMYFUNCTION("""COMPUTED_VALUE"""),44241.0)</f>
        <v>44241</v>
      </c>
      <c r="D49" s="39">
        <f>IFERROR(__xludf.DUMMYFUNCTION("""COMPUTED_VALUE"""),6.0)</f>
        <v>6</v>
      </c>
      <c r="E49" s="42">
        <f>IFERROR(__xludf.DUMMYFUNCTION("""COMPUTED_VALUE"""),2506.0)</f>
        <v>2506</v>
      </c>
      <c r="F49" s="39">
        <f>IFERROR(__xludf.DUMMYFUNCTION("""COMPUTED_VALUE"""),567.0)</f>
        <v>567</v>
      </c>
      <c r="G49" s="43">
        <f>AVERAGEIFS('Chile pre-COVID'!$E:$E,'Chile pre-COVID'!$D:$D,D49)</f>
        <v>1868</v>
      </c>
      <c r="H49" s="43">
        <f t="shared" si="1"/>
        <v>638</v>
      </c>
      <c r="I49" s="44">
        <f>(F49/VLOOKUP($A$2,'Población'!$A$1:$B$5,2,0))*100000</f>
        <v>2.951224842</v>
      </c>
      <c r="J49" s="44">
        <f t="shared" si="2"/>
        <v>101.7105549</v>
      </c>
      <c r="K49" s="44">
        <f>(H49/VLOOKUP($A$2,'Población'!$A$1:$B$5,2,0))*100000</f>
        <v>3.32077857</v>
      </c>
      <c r="L49" s="44">
        <f t="shared" si="3"/>
        <v>113.9037459</v>
      </c>
    </row>
    <row r="50">
      <c r="A50" s="39" t="str">
        <f>IFERROR(__xludf.DUMMYFUNCTION("""COMPUTED_VALUE"""),"Chile")</f>
        <v>Chile</v>
      </c>
      <c r="B50" s="40">
        <f>IFERROR(__xludf.DUMMYFUNCTION("""COMPUTED_VALUE"""),44242.0)</f>
        <v>44242</v>
      </c>
      <c r="C50" s="41">
        <f>IFERROR(__xludf.DUMMYFUNCTION("""COMPUTED_VALUE"""),44248.0)</f>
        <v>44248</v>
      </c>
      <c r="D50" s="39">
        <f>IFERROR(__xludf.DUMMYFUNCTION("""COMPUTED_VALUE"""),7.0)</f>
        <v>7</v>
      </c>
      <c r="E50" s="42">
        <f>IFERROR(__xludf.DUMMYFUNCTION("""COMPUTED_VALUE"""),2502.0)</f>
        <v>2502</v>
      </c>
      <c r="F50" s="39">
        <f>IFERROR(__xludf.DUMMYFUNCTION("""COMPUTED_VALUE"""),501.0)</f>
        <v>501</v>
      </c>
      <c r="G50" s="43">
        <f>AVERAGEIFS('Chile pre-COVID'!$E:$E,'Chile pre-COVID'!$D:$D,D50)</f>
        <v>1848.4</v>
      </c>
      <c r="H50" s="43">
        <f t="shared" si="1"/>
        <v>653.6</v>
      </c>
      <c r="I50" s="44">
        <f>(F50/VLOOKUP($A$2,'Población'!$A$1:$B$5,2,0))*100000</f>
        <v>2.607696024</v>
      </c>
      <c r="J50" s="44">
        <f t="shared" si="2"/>
        <v>104.3182509</v>
      </c>
      <c r="K50" s="44">
        <f>(H50/VLOOKUP($A$2,'Población'!$A$1:$B$5,2,0))*100000</f>
        <v>3.40197629</v>
      </c>
      <c r="L50" s="44">
        <f t="shared" si="3"/>
        <v>117.3057222</v>
      </c>
    </row>
    <row r="51">
      <c r="A51" s="39" t="str">
        <f>IFERROR(__xludf.DUMMYFUNCTION("""COMPUTED_VALUE"""),"Chile")</f>
        <v>Chile</v>
      </c>
      <c r="B51" s="40">
        <f>IFERROR(__xludf.DUMMYFUNCTION("""COMPUTED_VALUE"""),44249.0)</f>
        <v>44249</v>
      </c>
      <c r="C51" s="41">
        <f>IFERROR(__xludf.DUMMYFUNCTION("""COMPUTED_VALUE"""),44255.0)</f>
        <v>44255</v>
      </c>
      <c r="D51" s="39">
        <f>IFERROR(__xludf.DUMMYFUNCTION("""COMPUTED_VALUE"""),8.0)</f>
        <v>8</v>
      </c>
      <c r="E51" s="42">
        <f>IFERROR(__xludf.DUMMYFUNCTION("""COMPUTED_VALUE"""),2606.0)</f>
        <v>2606</v>
      </c>
      <c r="F51" s="39">
        <f>IFERROR(__xludf.DUMMYFUNCTION("""COMPUTED_VALUE"""),530.0)</f>
        <v>530</v>
      </c>
      <c r="G51" s="43">
        <f>AVERAGEIFS('Chile pre-COVID'!$E:$E,'Chile pre-COVID'!$D:$D,D51)</f>
        <v>1884.2</v>
      </c>
      <c r="H51" s="43">
        <f t="shared" si="1"/>
        <v>721.8</v>
      </c>
      <c r="I51" s="44">
        <f>(F51/VLOOKUP($A$2,'Población'!$A$1:$B$5,2,0))*100000</f>
        <v>2.758640504</v>
      </c>
      <c r="J51" s="44">
        <f t="shared" si="2"/>
        <v>107.0768914</v>
      </c>
      <c r="K51" s="44">
        <f>(H51/VLOOKUP($A$2,'Población'!$A$1:$B$5,2,0))*100000</f>
        <v>3.756956068</v>
      </c>
      <c r="L51" s="44">
        <f t="shared" si="3"/>
        <v>121.0626783</v>
      </c>
    </row>
    <row r="52">
      <c r="A52" s="39" t="str">
        <f>IFERROR(__xludf.DUMMYFUNCTION("""COMPUTED_VALUE"""),"Chile")</f>
        <v>Chile</v>
      </c>
      <c r="B52" s="40">
        <f>IFERROR(__xludf.DUMMYFUNCTION("""COMPUTED_VALUE"""),44256.0)</f>
        <v>44256</v>
      </c>
      <c r="C52" s="41">
        <f>IFERROR(__xludf.DUMMYFUNCTION("""COMPUTED_VALUE"""),44262.0)</f>
        <v>44262</v>
      </c>
      <c r="D52" s="39">
        <f>IFERROR(__xludf.DUMMYFUNCTION("""COMPUTED_VALUE"""),9.0)</f>
        <v>9</v>
      </c>
      <c r="E52" s="42">
        <f>IFERROR(__xludf.DUMMYFUNCTION("""COMPUTED_VALUE"""),2661.0)</f>
        <v>2661</v>
      </c>
      <c r="F52" s="39">
        <f>IFERROR(__xludf.DUMMYFUNCTION("""COMPUTED_VALUE"""),505.0)</f>
        <v>505</v>
      </c>
      <c r="G52" s="43">
        <f>AVERAGEIFS('Chile pre-COVID'!$E:$E,'Chile pre-COVID'!$D:$D,D52)</f>
        <v>1802.8</v>
      </c>
      <c r="H52" s="43">
        <f t="shared" si="1"/>
        <v>858.2</v>
      </c>
      <c r="I52" s="44">
        <f>(F52/VLOOKUP($A$2,'Población'!$A$1:$B$5,2,0))*100000</f>
        <v>2.628515952</v>
      </c>
      <c r="J52" s="44">
        <f t="shared" si="2"/>
        <v>109.7054074</v>
      </c>
      <c r="K52" s="44">
        <f>(H52/VLOOKUP($A$2,'Población'!$A$1:$B$5,2,0))*100000</f>
        <v>4.466915624</v>
      </c>
      <c r="L52" s="44">
        <f t="shared" si="3"/>
        <v>125.5295939</v>
      </c>
    </row>
    <row r="53">
      <c r="A53" s="39" t="str">
        <f>IFERROR(__xludf.DUMMYFUNCTION("""COMPUTED_VALUE"""),"Chile")</f>
        <v>Chile</v>
      </c>
      <c r="B53" s="40">
        <f>IFERROR(__xludf.DUMMYFUNCTION("""COMPUTED_VALUE"""),44263.0)</f>
        <v>44263</v>
      </c>
      <c r="C53" s="41">
        <f>IFERROR(__xludf.DUMMYFUNCTION("""COMPUTED_VALUE"""),44269.0)</f>
        <v>44269</v>
      </c>
      <c r="D53" s="39">
        <f>IFERROR(__xludf.DUMMYFUNCTION("""COMPUTED_VALUE"""),10.0)</f>
        <v>10</v>
      </c>
      <c r="E53" s="42">
        <f>IFERROR(__xludf.DUMMYFUNCTION("""COMPUTED_VALUE"""),2656.0)</f>
        <v>2656</v>
      </c>
      <c r="F53" s="39">
        <f>IFERROR(__xludf.DUMMYFUNCTION("""COMPUTED_VALUE"""),597.0)</f>
        <v>597</v>
      </c>
      <c r="G53" s="43">
        <f>AVERAGEIFS('Chile pre-COVID'!$E:$E,'Chile pre-COVID'!$D:$D,D53)</f>
        <v>1808.4</v>
      </c>
      <c r="H53" s="43">
        <f t="shared" si="1"/>
        <v>847.6</v>
      </c>
      <c r="I53" s="44">
        <f>(F53/VLOOKUP($A$2,'Población'!$A$1:$B$5,2,0))*100000</f>
        <v>3.107374304</v>
      </c>
      <c r="J53" s="44">
        <f t="shared" si="2"/>
        <v>112.8127817</v>
      </c>
      <c r="K53" s="44">
        <f>(H53/VLOOKUP($A$2,'Población'!$A$1:$B$5,2,0))*100000</f>
        <v>4.411742814</v>
      </c>
      <c r="L53" s="44">
        <f t="shared" si="3"/>
        <v>129.9413367</v>
      </c>
    </row>
    <row r="54">
      <c r="A54" s="39" t="str">
        <f>IFERROR(__xludf.DUMMYFUNCTION("""COMPUTED_VALUE"""),"Chile")</f>
        <v>Chile</v>
      </c>
      <c r="B54" s="40">
        <f>IFERROR(__xludf.DUMMYFUNCTION("""COMPUTED_VALUE"""),44270.0)</f>
        <v>44270</v>
      </c>
      <c r="C54" s="41">
        <f>IFERROR(__xludf.DUMMYFUNCTION("""COMPUTED_VALUE"""),44276.0)</f>
        <v>44276</v>
      </c>
      <c r="D54" s="39">
        <f>IFERROR(__xludf.DUMMYFUNCTION("""COMPUTED_VALUE"""),11.0)</f>
        <v>11</v>
      </c>
      <c r="E54" s="42">
        <f>IFERROR(__xludf.DUMMYFUNCTION("""COMPUTED_VALUE"""),2550.0)</f>
        <v>2550</v>
      </c>
      <c r="F54" s="39">
        <f>IFERROR(__xludf.DUMMYFUNCTION("""COMPUTED_VALUE"""),605.0)</f>
        <v>605</v>
      </c>
      <c r="G54" s="43">
        <f>AVERAGEIFS('Chile pre-COVID'!$E:$E,'Chile pre-COVID'!$D:$D,D54)</f>
        <v>1821.8</v>
      </c>
      <c r="H54" s="43">
        <f t="shared" si="1"/>
        <v>728.2</v>
      </c>
      <c r="I54" s="44">
        <f>(F54/VLOOKUP($A$2,'Población'!$A$1:$B$5,2,0))*100000</f>
        <v>3.149014161</v>
      </c>
      <c r="J54" s="44">
        <f t="shared" si="2"/>
        <v>115.9617958</v>
      </c>
      <c r="K54" s="44">
        <f>(H54/VLOOKUP($A$2,'Población'!$A$1:$B$5,2,0))*100000</f>
        <v>3.790267954</v>
      </c>
      <c r="L54" s="44">
        <f t="shared" si="3"/>
        <v>133.7316047</v>
      </c>
    </row>
    <row r="55">
      <c r="A55" s="39" t="str">
        <f>IFERROR(__xludf.DUMMYFUNCTION("""COMPUTED_VALUE"""),"Chile")</f>
        <v>Chile</v>
      </c>
      <c r="B55" s="40">
        <f>IFERROR(__xludf.DUMMYFUNCTION("""COMPUTED_VALUE"""),44277.0)</f>
        <v>44277</v>
      </c>
      <c r="C55" s="41">
        <f>IFERROR(__xludf.DUMMYFUNCTION("""COMPUTED_VALUE"""),44283.0)</f>
        <v>44283</v>
      </c>
      <c r="D55" s="39">
        <f>IFERROR(__xludf.DUMMYFUNCTION("""COMPUTED_VALUE"""),12.0)</f>
        <v>12</v>
      </c>
      <c r="E55" s="42">
        <f>IFERROR(__xludf.DUMMYFUNCTION("""COMPUTED_VALUE"""),2741.0)</f>
        <v>2741</v>
      </c>
      <c r="F55" s="39">
        <f>IFERROR(__xludf.DUMMYFUNCTION("""COMPUTED_VALUE"""),475.0)</f>
        <v>475</v>
      </c>
      <c r="G55" s="43">
        <f>AVERAGEIFS('Chile pre-COVID'!$E:$E,'Chile pre-COVID'!$D:$D,D55)</f>
        <v>1806</v>
      </c>
      <c r="H55" s="43">
        <f t="shared" si="1"/>
        <v>935</v>
      </c>
      <c r="I55" s="44">
        <f>(F55/VLOOKUP($A$2,'Población'!$A$1:$B$5,2,0))*100000</f>
        <v>2.47236649</v>
      </c>
      <c r="J55" s="44">
        <f t="shared" si="2"/>
        <v>118.4341623</v>
      </c>
      <c r="K55" s="44">
        <f>(H55/VLOOKUP($A$2,'Población'!$A$1:$B$5,2,0))*100000</f>
        <v>4.866658248</v>
      </c>
      <c r="L55" s="44">
        <f t="shared" si="3"/>
        <v>138.5982629</v>
      </c>
    </row>
    <row r="56">
      <c r="A56" s="39" t="str">
        <f>IFERROR(__xludf.DUMMYFUNCTION("""COMPUTED_VALUE"""),"Chile")</f>
        <v>Chile</v>
      </c>
      <c r="B56" s="40">
        <f>IFERROR(__xludf.DUMMYFUNCTION("""COMPUTED_VALUE"""),44284.0)</f>
        <v>44284</v>
      </c>
      <c r="C56" s="41">
        <f>IFERROR(__xludf.DUMMYFUNCTION("""COMPUTED_VALUE"""),44290.0)</f>
        <v>44290</v>
      </c>
      <c r="D56" s="39">
        <f>IFERROR(__xludf.DUMMYFUNCTION("""COMPUTED_VALUE"""),13.0)</f>
        <v>13</v>
      </c>
      <c r="E56" s="42">
        <f>IFERROR(__xludf.DUMMYFUNCTION("""COMPUTED_VALUE"""),2833.0)</f>
        <v>2833</v>
      </c>
      <c r="F56" s="39">
        <f>IFERROR(__xludf.DUMMYFUNCTION("""COMPUTED_VALUE"""),890.0)</f>
        <v>890</v>
      </c>
      <c r="G56" s="43">
        <f>AVERAGEIFS('Chile pre-COVID'!$E:$E,'Chile pre-COVID'!$D:$D,D56)</f>
        <v>1841.5</v>
      </c>
      <c r="H56" s="43">
        <f t="shared" si="1"/>
        <v>991.5</v>
      </c>
      <c r="I56" s="44">
        <f>(F56/VLOOKUP($A$2,'Población'!$A$1:$B$5,2,0))*100000</f>
        <v>4.632434055</v>
      </c>
      <c r="J56" s="44">
        <f t="shared" si="2"/>
        <v>123.0665964</v>
      </c>
      <c r="K56" s="44">
        <f>(H56/VLOOKUP($A$2,'Población'!$A$1:$B$5,2,0))*100000</f>
        <v>5.160739736</v>
      </c>
      <c r="L56" s="44">
        <f t="shared" si="3"/>
        <v>143.7590027</v>
      </c>
    </row>
    <row r="57">
      <c r="A57" s="39" t="str">
        <f>IFERROR(__xludf.DUMMYFUNCTION("""COMPUTED_VALUE"""),"Chile")</f>
        <v>Chile</v>
      </c>
      <c r="B57" s="40">
        <f>IFERROR(__xludf.DUMMYFUNCTION("""COMPUTED_VALUE"""),44291.0)</f>
        <v>44291</v>
      </c>
      <c r="C57" s="41">
        <f>IFERROR(__xludf.DUMMYFUNCTION("""COMPUTED_VALUE"""),44297.0)</f>
        <v>44297</v>
      </c>
      <c r="D57" s="39">
        <f>IFERROR(__xludf.DUMMYFUNCTION("""COMPUTED_VALUE"""),14.0)</f>
        <v>14</v>
      </c>
      <c r="E57" s="42">
        <f>IFERROR(__xludf.DUMMYFUNCTION("""COMPUTED_VALUE"""),2849.0)</f>
        <v>2849</v>
      </c>
      <c r="F57" s="39">
        <f>IFERROR(__xludf.DUMMYFUNCTION("""COMPUTED_VALUE"""),702.0)</f>
        <v>702</v>
      </c>
      <c r="G57" s="43">
        <f>AVERAGEIFS('Chile pre-COVID'!$E:$E,'Chile pre-COVID'!$D:$D,D57)</f>
        <v>1886.5</v>
      </c>
      <c r="H57" s="43">
        <f t="shared" si="1"/>
        <v>962.5</v>
      </c>
      <c r="I57" s="44">
        <f>(F57/VLOOKUP($A$2,'Población'!$A$1:$B$5,2,0))*100000</f>
        <v>3.653897423</v>
      </c>
      <c r="J57" s="44">
        <f t="shared" si="2"/>
        <v>126.7204938</v>
      </c>
      <c r="K57" s="44">
        <f>(H57/VLOOKUP($A$2,'Población'!$A$1:$B$5,2,0))*100000</f>
        <v>5.009795256</v>
      </c>
      <c r="L57" s="44">
        <f t="shared" si="3"/>
        <v>148.7687979</v>
      </c>
    </row>
    <row r="58">
      <c r="A58" s="39" t="str">
        <f>IFERROR(__xludf.DUMMYFUNCTION("""COMPUTED_VALUE"""),"Chile")</f>
        <v>Chile</v>
      </c>
      <c r="B58" s="40">
        <f>IFERROR(__xludf.DUMMYFUNCTION("""COMPUTED_VALUE"""),44298.0)</f>
        <v>44298</v>
      </c>
      <c r="C58" s="41">
        <f>IFERROR(__xludf.DUMMYFUNCTION("""COMPUTED_VALUE"""),44304.0)</f>
        <v>44304</v>
      </c>
      <c r="D58" s="39">
        <f>IFERROR(__xludf.DUMMYFUNCTION("""COMPUTED_VALUE"""),15.0)</f>
        <v>15</v>
      </c>
      <c r="E58" s="42">
        <f>IFERROR(__xludf.DUMMYFUNCTION("""COMPUTED_VALUE"""),2897.0)</f>
        <v>2897</v>
      </c>
      <c r="F58" s="39">
        <f>IFERROR(__xludf.DUMMYFUNCTION("""COMPUTED_VALUE"""),831.0)</f>
        <v>831</v>
      </c>
      <c r="G58" s="43">
        <f>AVERAGEIFS('Chile pre-COVID'!$E:$E,'Chile pre-COVID'!$D:$D,D58)</f>
        <v>1951.5</v>
      </c>
      <c r="H58" s="43">
        <f t="shared" si="1"/>
        <v>945.5</v>
      </c>
      <c r="I58" s="44">
        <f>(F58/VLOOKUP($A$2,'Población'!$A$1:$B$5,2,0))*100000</f>
        <v>4.325340112</v>
      </c>
      <c r="J58" s="44">
        <f t="shared" si="2"/>
        <v>131.0458339</v>
      </c>
      <c r="K58" s="44">
        <f>(H58/VLOOKUP($A$2,'Población'!$A$1:$B$5,2,0))*100000</f>
        <v>4.92131056</v>
      </c>
      <c r="L58" s="44">
        <f t="shared" si="3"/>
        <v>153.6901085</v>
      </c>
    </row>
    <row r="59">
      <c r="A59" s="39" t="str">
        <f>IFERROR(__xludf.DUMMYFUNCTION("""COMPUTED_VALUE"""),"Chile")</f>
        <v>Chile</v>
      </c>
      <c r="B59" s="40">
        <f>IFERROR(__xludf.DUMMYFUNCTION("""COMPUTED_VALUE"""),44305.0)</f>
        <v>44305</v>
      </c>
      <c r="C59" s="41">
        <f>IFERROR(__xludf.DUMMYFUNCTION("""COMPUTED_VALUE"""),44311.0)</f>
        <v>44311</v>
      </c>
      <c r="D59" s="39">
        <f>IFERROR(__xludf.DUMMYFUNCTION("""COMPUTED_VALUE"""),16.0)</f>
        <v>16</v>
      </c>
      <c r="E59" s="42">
        <f>IFERROR(__xludf.DUMMYFUNCTION("""COMPUTED_VALUE"""),2664.0)</f>
        <v>2664</v>
      </c>
      <c r="F59" s="39">
        <f>IFERROR(__xludf.DUMMYFUNCTION("""COMPUTED_VALUE"""),679.0)</f>
        <v>679</v>
      </c>
      <c r="G59" s="43">
        <f>AVERAGEIFS('Chile pre-COVID'!$E:$E,'Chile pre-COVID'!$D:$D,D59)</f>
        <v>1909</v>
      </c>
      <c r="H59" s="43">
        <f t="shared" si="1"/>
        <v>755</v>
      </c>
      <c r="I59" s="44">
        <f>(F59/VLOOKUP($A$2,'Población'!$A$1:$B$5,2,0))*100000</f>
        <v>3.534182835</v>
      </c>
      <c r="J59" s="44">
        <f t="shared" si="2"/>
        <v>134.5800168</v>
      </c>
      <c r="K59" s="44">
        <f>(H59/VLOOKUP($A$2,'Población'!$A$1:$B$5,2,0))*100000</f>
        <v>3.929761473</v>
      </c>
      <c r="L59" s="44">
        <f t="shared" si="3"/>
        <v>157.61987</v>
      </c>
    </row>
    <row r="60">
      <c r="A60" s="39" t="str">
        <f>IFERROR(__xludf.DUMMYFUNCTION("""COMPUTED_VALUE"""),"Chile")</f>
        <v>Chile</v>
      </c>
      <c r="B60" s="40">
        <f>IFERROR(__xludf.DUMMYFUNCTION("""COMPUTED_VALUE"""),44312.0)</f>
        <v>44312</v>
      </c>
      <c r="C60" s="41">
        <f>IFERROR(__xludf.DUMMYFUNCTION("""COMPUTED_VALUE"""),44318.0)</f>
        <v>44318</v>
      </c>
      <c r="D60" s="39">
        <f>IFERROR(__xludf.DUMMYFUNCTION("""COMPUTED_VALUE"""),17.0)</f>
        <v>17</v>
      </c>
      <c r="E60" s="42">
        <f>IFERROR(__xludf.DUMMYFUNCTION("""COMPUTED_VALUE"""),2786.0)</f>
        <v>2786</v>
      </c>
      <c r="F60" s="39">
        <f>IFERROR(__xludf.DUMMYFUNCTION("""COMPUTED_VALUE"""),705.0)</f>
        <v>705</v>
      </c>
      <c r="G60" s="43">
        <f>AVERAGEIFS('Chile pre-COVID'!$E:$E,'Chile pre-COVID'!$D:$D,D60)</f>
        <v>1984.5</v>
      </c>
      <c r="H60" s="43">
        <f t="shared" si="1"/>
        <v>801.5</v>
      </c>
      <c r="I60" s="44">
        <f>(F60/VLOOKUP($A$2,'Población'!$A$1:$B$5,2,0))*100000</f>
        <v>3.669512369</v>
      </c>
      <c r="J60" s="44">
        <f t="shared" si="2"/>
        <v>138.2495291</v>
      </c>
      <c r="K60" s="44">
        <f>(H60/VLOOKUP($A$2,'Población'!$A$1:$B$5,2,0))*100000</f>
        <v>4.17179314</v>
      </c>
      <c r="L60" s="44">
        <f t="shared" si="3"/>
        <v>161.7916631</v>
      </c>
    </row>
    <row r="61">
      <c r="A61" s="39" t="str">
        <f>IFERROR(__xludf.DUMMYFUNCTION("""COMPUTED_VALUE"""),"Chile")</f>
        <v>Chile</v>
      </c>
      <c r="B61" s="40">
        <f>IFERROR(__xludf.DUMMYFUNCTION("""COMPUTED_VALUE"""),44319.0)</f>
        <v>44319</v>
      </c>
      <c r="C61" s="41">
        <f>IFERROR(__xludf.DUMMYFUNCTION("""COMPUTED_VALUE"""),44325.0)</f>
        <v>44325</v>
      </c>
      <c r="D61" s="39">
        <f>IFERROR(__xludf.DUMMYFUNCTION("""COMPUTED_VALUE"""),18.0)</f>
        <v>18</v>
      </c>
      <c r="E61" s="42">
        <f>IFERROR(__xludf.DUMMYFUNCTION("""COMPUTED_VALUE"""),2731.0)</f>
        <v>2731</v>
      </c>
      <c r="F61" s="39">
        <f>IFERROR(__xludf.DUMMYFUNCTION("""COMPUTED_VALUE"""),657.0)</f>
        <v>657</v>
      </c>
      <c r="G61" s="43">
        <f>AVERAGEIFS('Chile pre-COVID'!$E:$E,'Chile pre-COVID'!$D:$D,D61)</f>
        <v>1979.25</v>
      </c>
      <c r="H61" s="43">
        <f t="shared" si="1"/>
        <v>751.75</v>
      </c>
      <c r="I61" s="44">
        <f>(F61/VLOOKUP($A$2,'Población'!$A$1:$B$5,2,0))*100000</f>
        <v>3.419673229</v>
      </c>
      <c r="J61" s="44">
        <f t="shared" si="2"/>
        <v>141.6692024</v>
      </c>
      <c r="K61" s="44">
        <f>(H61/VLOOKUP($A$2,'Población'!$A$1:$B$5,2,0))*100000</f>
        <v>3.912845282</v>
      </c>
      <c r="L61" s="44">
        <f t="shared" si="3"/>
        <v>165.7045084</v>
      </c>
    </row>
    <row r="62">
      <c r="A62" s="39" t="str">
        <f>IFERROR(__xludf.DUMMYFUNCTION("""COMPUTED_VALUE"""),"Chile")</f>
        <v>Chile</v>
      </c>
      <c r="B62" s="40">
        <f>IFERROR(__xludf.DUMMYFUNCTION("""COMPUTED_VALUE"""),44326.0)</f>
        <v>44326</v>
      </c>
      <c r="C62" s="41">
        <f>IFERROR(__xludf.DUMMYFUNCTION("""COMPUTED_VALUE"""),44332.0)</f>
        <v>44332</v>
      </c>
      <c r="D62" s="39">
        <f>IFERROR(__xludf.DUMMYFUNCTION("""COMPUTED_VALUE"""),19.0)</f>
        <v>19</v>
      </c>
      <c r="E62" s="42">
        <f>IFERROR(__xludf.DUMMYFUNCTION("""COMPUTED_VALUE"""),2766.0)</f>
        <v>2766</v>
      </c>
      <c r="F62" s="39">
        <f>IFERROR(__xludf.DUMMYFUNCTION("""COMPUTED_VALUE"""),614.0)</f>
        <v>614</v>
      </c>
      <c r="G62" s="43">
        <f>AVERAGEIFS('Chile pre-COVID'!$E:$E,'Chile pre-COVID'!$D:$D,D62)</f>
        <v>1955.5</v>
      </c>
      <c r="H62" s="43">
        <f t="shared" si="1"/>
        <v>810.5</v>
      </c>
      <c r="I62" s="44">
        <f>(F62/VLOOKUP($A$2,'Población'!$A$1:$B$5,2,0))*100000</f>
        <v>3.195859</v>
      </c>
      <c r="J62" s="44">
        <f t="shared" si="2"/>
        <v>144.8650614</v>
      </c>
      <c r="K62" s="44">
        <f>(H62/VLOOKUP($A$2,'Población'!$A$1:$B$5,2,0))*100000</f>
        <v>4.218637979</v>
      </c>
      <c r="L62" s="44">
        <f t="shared" si="3"/>
        <v>169.9231464</v>
      </c>
    </row>
    <row r="63">
      <c r="A63" s="39" t="str">
        <f>IFERROR(__xludf.DUMMYFUNCTION("""COMPUTED_VALUE"""),"Chile")</f>
        <v>Chile</v>
      </c>
      <c r="B63" s="40">
        <f>IFERROR(__xludf.DUMMYFUNCTION("""COMPUTED_VALUE"""),44333.0)</f>
        <v>44333</v>
      </c>
      <c r="C63" s="41">
        <f>IFERROR(__xludf.DUMMYFUNCTION("""COMPUTED_VALUE"""),44339.0)</f>
        <v>44339</v>
      </c>
      <c r="D63" s="39">
        <f>IFERROR(__xludf.DUMMYFUNCTION("""COMPUTED_VALUE"""),20.0)</f>
        <v>20</v>
      </c>
      <c r="E63" s="42">
        <f>IFERROR(__xludf.DUMMYFUNCTION("""COMPUTED_VALUE"""),2936.0)</f>
        <v>2936</v>
      </c>
      <c r="F63" s="39">
        <f>IFERROR(__xludf.DUMMYFUNCTION("""COMPUTED_VALUE"""),686.0)</f>
        <v>686</v>
      </c>
      <c r="G63" s="43">
        <f>AVERAGEIFS('Chile pre-COVID'!$E:$E,'Chile pre-COVID'!$D:$D,D63)</f>
        <v>2037.25</v>
      </c>
      <c r="H63" s="43">
        <f t="shared" si="1"/>
        <v>898.75</v>
      </c>
      <c r="I63" s="44">
        <f>(F63/VLOOKUP($A$2,'Población'!$A$1:$B$5,2,0))*100000</f>
        <v>3.57061771</v>
      </c>
      <c r="J63" s="44">
        <f t="shared" si="2"/>
        <v>148.4356791</v>
      </c>
      <c r="K63" s="44">
        <f>(H63/VLOOKUP($A$2,'Población'!$A$1:$B$5,2,0))*100000</f>
        <v>4.677977648</v>
      </c>
      <c r="L63" s="44">
        <f t="shared" si="3"/>
        <v>174.601124</v>
      </c>
    </row>
    <row r="64">
      <c r="A64" s="39" t="str">
        <f>IFERROR(__xludf.DUMMYFUNCTION("""COMPUTED_VALUE"""),"Chile")</f>
        <v>Chile</v>
      </c>
      <c r="B64" s="40">
        <f>IFERROR(__xludf.DUMMYFUNCTION("""COMPUTED_VALUE"""),44340.0)</f>
        <v>44340</v>
      </c>
      <c r="C64" s="41">
        <f>IFERROR(__xludf.DUMMYFUNCTION("""COMPUTED_VALUE"""),44346.0)</f>
        <v>44346</v>
      </c>
      <c r="D64" s="39">
        <f>IFERROR(__xludf.DUMMYFUNCTION("""COMPUTED_VALUE"""),21.0)</f>
        <v>21</v>
      </c>
      <c r="E64" s="42">
        <f>IFERROR(__xludf.DUMMYFUNCTION("""COMPUTED_VALUE"""),3081.0)</f>
        <v>3081</v>
      </c>
      <c r="F64" s="39">
        <f>IFERROR(__xludf.DUMMYFUNCTION("""COMPUTED_VALUE"""),650.0)</f>
        <v>650</v>
      </c>
      <c r="G64" s="43">
        <f>AVERAGEIFS('Chile pre-COVID'!$E:$E,'Chile pre-COVID'!$D:$D,D64)</f>
        <v>2176.5</v>
      </c>
      <c r="H64" s="43">
        <f t="shared" si="1"/>
        <v>904.5</v>
      </c>
      <c r="I64" s="44">
        <f>(F64/VLOOKUP($A$2,'Población'!$A$1:$B$5,2,0))*100000</f>
        <v>3.383238355</v>
      </c>
      <c r="J64" s="44">
        <f t="shared" si="2"/>
        <v>151.8189174</v>
      </c>
      <c r="K64" s="44">
        <f>(H64/VLOOKUP($A$2,'Población'!$A$1:$B$5,2,0))*100000</f>
        <v>4.707906295</v>
      </c>
      <c r="L64" s="44">
        <f t="shared" si="3"/>
        <v>179.3090303</v>
      </c>
    </row>
    <row r="65">
      <c r="A65" s="39" t="str">
        <f>IFERROR(__xludf.DUMMYFUNCTION("""COMPUTED_VALUE"""),"Chile")</f>
        <v>Chile</v>
      </c>
      <c r="B65" s="40">
        <f>IFERROR(__xludf.DUMMYFUNCTION("""COMPUTED_VALUE"""),44347.0)</f>
        <v>44347</v>
      </c>
      <c r="C65" s="41">
        <f>IFERROR(__xludf.DUMMYFUNCTION("""COMPUTED_VALUE"""),44353.0)</f>
        <v>44353</v>
      </c>
      <c r="D65" s="39">
        <f>IFERROR(__xludf.DUMMYFUNCTION("""COMPUTED_VALUE"""),22.0)</f>
        <v>22</v>
      </c>
      <c r="E65" s="42">
        <f>IFERROR(__xludf.DUMMYFUNCTION("""COMPUTED_VALUE"""),3014.0)</f>
        <v>3014</v>
      </c>
      <c r="F65" s="39">
        <f>IFERROR(__xludf.DUMMYFUNCTION("""COMPUTED_VALUE"""),769.0)</f>
        <v>769</v>
      </c>
      <c r="G65" s="43">
        <f>AVERAGEIFS('Chile pre-COVID'!$E:$E,'Chile pre-COVID'!$D:$D,D65)</f>
        <v>2208</v>
      </c>
      <c r="H65" s="43">
        <f t="shared" si="1"/>
        <v>806</v>
      </c>
      <c r="I65" s="44">
        <f>(F65/VLOOKUP($A$2,'Población'!$A$1:$B$5,2,0))*100000</f>
        <v>4.002631223</v>
      </c>
      <c r="J65" s="44">
        <f t="shared" si="2"/>
        <v>155.8215486</v>
      </c>
      <c r="K65" s="44">
        <f>(H65/VLOOKUP($A$2,'Población'!$A$1:$B$5,2,0))*100000</f>
        <v>4.19521556</v>
      </c>
      <c r="L65" s="44">
        <f t="shared" si="3"/>
        <v>183.5042459</v>
      </c>
    </row>
    <row r="66">
      <c r="A66" s="39" t="str">
        <f>IFERROR(__xludf.DUMMYFUNCTION("""COMPUTED_VALUE"""),"Chile")</f>
        <v>Chile</v>
      </c>
      <c r="B66" s="40">
        <f>IFERROR(__xludf.DUMMYFUNCTION("""COMPUTED_VALUE"""),44354.0)</f>
        <v>44354</v>
      </c>
      <c r="C66" s="41">
        <f>IFERROR(__xludf.DUMMYFUNCTION("""COMPUTED_VALUE"""),44360.0)</f>
        <v>44360</v>
      </c>
      <c r="D66" s="39">
        <f>IFERROR(__xludf.DUMMYFUNCTION("""COMPUTED_VALUE"""),23.0)</f>
        <v>23</v>
      </c>
      <c r="E66" s="42">
        <f>IFERROR(__xludf.DUMMYFUNCTION("""COMPUTED_VALUE"""),3132.0)</f>
        <v>3132</v>
      </c>
      <c r="F66" s="39">
        <f>IFERROR(__xludf.DUMMYFUNCTION("""COMPUTED_VALUE"""),770.0)</f>
        <v>770</v>
      </c>
      <c r="G66" s="43">
        <f>AVERAGEIFS('Chile pre-COVID'!$E:$E,'Chile pre-COVID'!$D:$D,D66)</f>
        <v>2310.75</v>
      </c>
      <c r="H66" s="43">
        <f t="shared" si="1"/>
        <v>821.25</v>
      </c>
      <c r="I66" s="44">
        <f>(F66/VLOOKUP($A$2,'Población'!$A$1:$B$5,2,0))*100000</f>
        <v>4.007836205</v>
      </c>
      <c r="J66" s="44">
        <f t="shared" si="2"/>
        <v>159.8293849</v>
      </c>
      <c r="K66" s="44">
        <f>(H66/VLOOKUP($A$2,'Población'!$A$1:$B$5,2,0))*100000</f>
        <v>4.274591536</v>
      </c>
      <c r="L66" s="44">
        <f t="shared" si="3"/>
        <v>187.7788374</v>
      </c>
    </row>
    <row r="67">
      <c r="A67" s="39" t="str">
        <f>IFERROR(__xludf.DUMMYFUNCTION("""COMPUTED_VALUE"""),"Chile")</f>
        <v>Chile</v>
      </c>
      <c r="B67" s="40">
        <f>IFERROR(__xludf.DUMMYFUNCTION("""COMPUTED_VALUE"""),44361.0)</f>
        <v>44361</v>
      </c>
      <c r="C67" s="41">
        <f>IFERROR(__xludf.DUMMYFUNCTION("""COMPUTED_VALUE"""),44367.0)</f>
        <v>44367</v>
      </c>
      <c r="D67" s="39">
        <f>IFERROR(__xludf.DUMMYFUNCTION("""COMPUTED_VALUE"""),24.0)</f>
        <v>24</v>
      </c>
      <c r="E67" s="42">
        <f>IFERROR(__xludf.DUMMYFUNCTION("""COMPUTED_VALUE"""),3180.0)</f>
        <v>3180</v>
      </c>
      <c r="F67" s="39">
        <f>IFERROR(__xludf.DUMMYFUNCTION("""COMPUTED_VALUE"""),806.0)</f>
        <v>806</v>
      </c>
      <c r="G67" s="43">
        <f>AVERAGEIFS('Chile pre-COVID'!$E:$E,'Chile pre-COVID'!$D:$D,D67)</f>
        <v>2415.25</v>
      </c>
      <c r="H67" s="43">
        <f t="shared" si="1"/>
        <v>764.75</v>
      </c>
      <c r="I67" s="44">
        <f>(F67/VLOOKUP($A$2,'Población'!$A$1:$B$5,2,0))*100000</f>
        <v>4.19521556</v>
      </c>
      <c r="J67" s="44">
        <f t="shared" si="2"/>
        <v>164.0246004</v>
      </c>
      <c r="K67" s="44">
        <f>(H67/VLOOKUP($A$2,'Población'!$A$1:$B$5,2,0))*100000</f>
        <v>3.980510049</v>
      </c>
      <c r="L67" s="44">
        <f t="shared" si="3"/>
        <v>191.7593474</v>
      </c>
    </row>
    <row r="68">
      <c r="A68" s="39" t="str">
        <f>IFERROR(__xludf.DUMMYFUNCTION("""COMPUTED_VALUE"""),"Chile")</f>
        <v>Chile</v>
      </c>
      <c r="B68" s="40">
        <f>IFERROR(__xludf.DUMMYFUNCTION("""COMPUTED_VALUE"""),44368.0)</f>
        <v>44368</v>
      </c>
      <c r="C68" s="41">
        <f>IFERROR(__xludf.DUMMYFUNCTION("""COMPUTED_VALUE"""),44374.0)</f>
        <v>44374</v>
      </c>
      <c r="D68" s="39">
        <f>IFERROR(__xludf.DUMMYFUNCTION("""COMPUTED_VALUE"""),25.0)</f>
        <v>25</v>
      </c>
      <c r="E68" s="42">
        <f>IFERROR(__xludf.DUMMYFUNCTION("""COMPUTED_VALUE"""),3194.0)</f>
        <v>3194</v>
      </c>
      <c r="F68" s="39">
        <f>IFERROR(__xludf.DUMMYFUNCTION("""COMPUTED_VALUE"""),785.0)</f>
        <v>785</v>
      </c>
      <c r="G68" s="43">
        <f>AVERAGEIFS('Chile pre-COVID'!$E:$E,'Chile pre-COVID'!$D:$D,D68)</f>
        <v>2425.5</v>
      </c>
      <c r="H68" s="43">
        <f t="shared" si="1"/>
        <v>768.5</v>
      </c>
      <c r="I68" s="44">
        <f>(F68/VLOOKUP($A$2,'Población'!$A$1:$B$5,2,0))*100000</f>
        <v>4.085910936</v>
      </c>
      <c r="J68" s="44">
        <f t="shared" si="2"/>
        <v>168.1105113</v>
      </c>
      <c r="K68" s="44">
        <f>(H68/VLOOKUP($A$2,'Población'!$A$1:$B$5,2,0))*100000</f>
        <v>4.000028732</v>
      </c>
      <c r="L68" s="44">
        <f t="shared" si="3"/>
        <v>195.7593762</v>
      </c>
    </row>
    <row r="69">
      <c r="A69" s="39" t="str">
        <f>IFERROR(__xludf.DUMMYFUNCTION("""COMPUTED_VALUE"""),"Chile")</f>
        <v>Chile</v>
      </c>
      <c r="B69" s="40">
        <f>IFERROR(__xludf.DUMMYFUNCTION("""COMPUTED_VALUE"""),44375.0)</f>
        <v>44375</v>
      </c>
      <c r="C69" s="41">
        <f>IFERROR(__xludf.DUMMYFUNCTION("""COMPUTED_VALUE"""),44381.0)</f>
        <v>44381</v>
      </c>
      <c r="D69" s="39">
        <f>IFERROR(__xludf.DUMMYFUNCTION("""COMPUTED_VALUE"""),26.0)</f>
        <v>26</v>
      </c>
      <c r="E69" s="42">
        <f>IFERROR(__xludf.DUMMYFUNCTION("""COMPUTED_VALUE"""),3326.0)</f>
        <v>3326</v>
      </c>
      <c r="F69" s="39">
        <f>IFERROR(__xludf.DUMMYFUNCTION("""COMPUTED_VALUE"""),805.0)</f>
        <v>805</v>
      </c>
      <c r="G69" s="43">
        <f>AVERAGEIFS('Chile pre-COVID'!$E:$E,'Chile pre-COVID'!$D:$D,D69)</f>
        <v>2440.75</v>
      </c>
      <c r="H69" s="43">
        <f t="shared" si="1"/>
        <v>885.25</v>
      </c>
      <c r="I69" s="44">
        <f>(F69/VLOOKUP($A$2,'Población'!$A$1:$B$5,2,0))*100000</f>
        <v>4.190010578</v>
      </c>
      <c r="J69" s="44">
        <f t="shared" si="2"/>
        <v>172.3005219</v>
      </c>
      <c r="K69" s="44">
        <f>(H69/VLOOKUP($A$2,'Población'!$A$1:$B$5,2,0))*100000</f>
        <v>4.60771039</v>
      </c>
      <c r="L69" s="44">
        <f t="shared" si="3"/>
        <v>200.3670866</v>
      </c>
    </row>
    <row r="70">
      <c r="A70" s="39" t="str">
        <f>IFERROR(__xludf.DUMMYFUNCTION("""COMPUTED_VALUE"""),"Chile")</f>
        <v>Chile</v>
      </c>
      <c r="B70" s="40">
        <f>IFERROR(__xludf.DUMMYFUNCTION("""COMPUTED_VALUE"""),44382.0)</f>
        <v>44382</v>
      </c>
      <c r="C70" s="41">
        <f>IFERROR(__xludf.DUMMYFUNCTION("""COMPUTED_VALUE"""),44388.0)</f>
        <v>44388</v>
      </c>
      <c r="D70" s="39">
        <f>IFERROR(__xludf.DUMMYFUNCTION("""COMPUTED_VALUE"""),27.0)</f>
        <v>27</v>
      </c>
      <c r="E70" s="42">
        <f>IFERROR(__xludf.DUMMYFUNCTION("""COMPUTED_VALUE"""),3119.0)</f>
        <v>3119</v>
      </c>
      <c r="F70" s="39">
        <f>IFERROR(__xludf.DUMMYFUNCTION("""COMPUTED_VALUE"""),774.0)</f>
        <v>774</v>
      </c>
      <c r="G70" s="43">
        <f>AVERAGEIFS('Chile pre-COVID'!$E:$E,'Chile pre-COVID'!$D:$D,D70)</f>
        <v>2390</v>
      </c>
      <c r="H70" s="43">
        <f t="shared" si="1"/>
        <v>729</v>
      </c>
      <c r="I70" s="44">
        <f>(F70/VLOOKUP($A$2,'Población'!$A$1:$B$5,2,0))*100000</f>
        <v>4.028656133</v>
      </c>
      <c r="J70" s="44">
        <f t="shared" si="2"/>
        <v>176.3291781</v>
      </c>
      <c r="K70" s="44">
        <f>(H70/VLOOKUP($A$2,'Población'!$A$1:$B$5,2,0))*100000</f>
        <v>3.794431939</v>
      </c>
      <c r="L70" s="44">
        <f t="shared" si="3"/>
        <v>204.1615185</v>
      </c>
    </row>
    <row r="71">
      <c r="A71" s="39" t="str">
        <f>IFERROR(__xludf.DUMMYFUNCTION("""COMPUTED_VALUE"""),"Chile")</f>
        <v>Chile</v>
      </c>
      <c r="B71" s="40">
        <f>IFERROR(__xludf.DUMMYFUNCTION("""COMPUTED_VALUE"""),44389.0)</f>
        <v>44389</v>
      </c>
      <c r="C71" s="41">
        <f>IFERROR(__xludf.DUMMYFUNCTION("""COMPUTED_VALUE"""),44395.0)</f>
        <v>44395</v>
      </c>
      <c r="D71" s="39">
        <f>IFERROR(__xludf.DUMMYFUNCTION("""COMPUTED_VALUE"""),28.0)</f>
        <v>28</v>
      </c>
      <c r="E71" s="42">
        <f>IFERROR(__xludf.DUMMYFUNCTION("""COMPUTED_VALUE"""),3042.0)</f>
        <v>3042</v>
      </c>
      <c r="F71" s="39">
        <f>IFERROR(__xludf.DUMMYFUNCTION("""COMPUTED_VALUE"""),637.0)</f>
        <v>637</v>
      </c>
      <c r="G71" s="43">
        <f>AVERAGEIFS('Chile pre-COVID'!$E:$E,'Chile pre-COVID'!$D:$D,D71)</f>
        <v>2360.75</v>
      </c>
      <c r="H71" s="43">
        <f t="shared" si="1"/>
        <v>681.25</v>
      </c>
      <c r="I71" s="44">
        <f>(F71/VLOOKUP($A$2,'Población'!$A$1:$B$5,2,0))*100000</f>
        <v>3.315573587</v>
      </c>
      <c r="J71" s="44">
        <f t="shared" si="2"/>
        <v>179.6447516</v>
      </c>
      <c r="K71" s="44">
        <f>(H71/VLOOKUP($A$2,'Población'!$A$1:$B$5,2,0))*100000</f>
        <v>3.545894045</v>
      </c>
      <c r="L71" s="44">
        <f t="shared" si="3"/>
        <v>207.7074126</v>
      </c>
    </row>
    <row r="72">
      <c r="A72" s="39" t="str">
        <f>IFERROR(__xludf.DUMMYFUNCTION("""COMPUTED_VALUE"""),"Chile")</f>
        <v>Chile</v>
      </c>
      <c r="B72" s="40">
        <f>IFERROR(__xludf.DUMMYFUNCTION("""COMPUTED_VALUE"""),44396.0)</f>
        <v>44396</v>
      </c>
      <c r="C72" s="41">
        <f>IFERROR(__xludf.DUMMYFUNCTION("""COMPUTED_VALUE"""),44402.0)</f>
        <v>44402</v>
      </c>
      <c r="D72" s="39">
        <f>IFERROR(__xludf.DUMMYFUNCTION("""COMPUTED_VALUE"""),29.0)</f>
        <v>29</v>
      </c>
      <c r="E72" s="42">
        <f>IFERROR(__xludf.DUMMYFUNCTION("""COMPUTED_VALUE"""),2866.0)</f>
        <v>2866</v>
      </c>
      <c r="F72" s="39">
        <f>IFERROR(__xludf.DUMMYFUNCTION("""COMPUTED_VALUE"""),512.0)</f>
        <v>512</v>
      </c>
      <c r="G72" s="43">
        <f>AVERAGEIFS('Chile pre-COVID'!$E:$E,'Chile pre-COVID'!$D:$D,D72)</f>
        <v>2424.75</v>
      </c>
      <c r="H72" s="43">
        <f t="shared" si="1"/>
        <v>441.25</v>
      </c>
      <c r="I72" s="44">
        <f>(F72/VLOOKUP($A$2,'Población'!$A$1:$B$5,2,0))*100000</f>
        <v>2.664950827</v>
      </c>
      <c r="J72" s="44">
        <f t="shared" si="2"/>
        <v>182.3097025</v>
      </c>
      <c r="K72" s="44">
        <f>(H72/VLOOKUP($A$2,'Población'!$A$1:$B$5,2,0))*100000</f>
        <v>2.296698345</v>
      </c>
      <c r="L72" s="44">
        <f t="shared" si="3"/>
        <v>210.0041109</v>
      </c>
    </row>
    <row r="73">
      <c r="A73" s="39" t="str">
        <f>IFERROR(__xludf.DUMMYFUNCTION("""COMPUTED_VALUE"""),"Chile")</f>
        <v>Chile</v>
      </c>
      <c r="B73" s="40">
        <f>IFERROR(__xludf.DUMMYFUNCTION("""COMPUTED_VALUE"""),44403.0)</f>
        <v>44403</v>
      </c>
      <c r="C73" s="41">
        <f>IFERROR(__xludf.DUMMYFUNCTION("""COMPUTED_VALUE"""),44409.0)</f>
        <v>44409</v>
      </c>
      <c r="D73" s="39">
        <f>IFERROR(__xludf.DUMMYFUNCTION("""COMPUTED_VALUE"""),30.0)</f>
        <v>30</v>
      </c>
      <c r="E73" s="42">
        <f>IFERROR(__xludf.DUMMYFUNCTION("""COMPUTED_VALUE"""),2745.0)</f>
        <v>2745</v>
      </c>
      <c r="F73" s="39">
        <f>IFERROR(__xludf.DUMMYFUNCTION("""COMPUTED_VALUE"""),502.0)</f>
        <v>502</v>
      </c>
      <c r="G73" s="43">
        <f>AVERAGEIFS('Chile pre-COVID'!$E:$E,'Chile pre-COVID'!$D:$D,D73)</f>
        <v>2369.75</v>
      </c>
      <c r="H73" s="43">
        <f t="shared" si="1"/>
        <v>375.25</v>
      </c>
      <c r="I73" s="44">
        <f>(F73/VLOOKUP($A$2,'Población'!$A$1:$B$5,2,0))*100000</f>
        <v>2.612901006</v>
      </c>
      <c r="J73" s="44">
        <f t="shared" si="2"/>
        <v>184.9226035</v>
      </c>
      <c r="K73" s="44">
        <f>(H73/VLOOKUP($A$2,'Población'!$A$1:$B$5,2,0))*100000</f>
        <v>1.953169527</v>
      </c>
      <c r="L73" s="44">
        <f t="shared" si="3"/>
        <v>211.9572804</v>
      </c>
    </row>
    <row r="74">
      <c r="A74" s="39" t="str">
        <f>IFERROR(__xludf.DUMMYFUNCTION("""COMPUTED_VALUE"""),"Chile")</f>
        <v>Chile</v>
      </c>
      <c r="B74" s="40">
        <f>IFERROR(__xludf.DUMMYFUNCTION("""COMPUTED_VALUE"""),44410.0)</f>
        <v>44410</v>
      </c>
      <c r="C74" s="41">
        <f>IFERROR(__xludf.DUMMYFUNCTION("""COMPUTED_VALUE"""),44416.0)</f>
        <v>44416</v>
      </c>
      <c r="D74" s="39">
        <f>IFERROR(__xludf.DUMMYFUNCTION("""COMPUTED_VALUE"""),31.0)</f>
        <v>31</v>
      </c>
      <c r="E74" s="42">
        <f>IFERROR(__xludf.DUMMYFUNCTION("""COMPUTED_VALUE"""),2639.0)</f>
        <v>2639</v>
      </c>
      <c r="F74" s="39">
        <f>IFERROR(__xludf.DUMMYFUNCTION("""COMPUTED_VALUE"""),488.0)</f>
        <v>488</v>
      </c>
      <c r="G74" s="43">
        <f>AVERAGEIFS('Chile pre-COVID'!$E:$E,'Chile pre-COVID'!$D:$D,D74)</f>
        <v>2344</v>
      </c>
      <c r="H74" s="43">
        <f t="shared" si="1"/>
        <v>295</v>
      </c>
      <c r="I74" s="44">
        <f>(F74/VLOOKUP($A$2,'Población'!$A$1:$B$5,2,0))*100000</f>
        <v>2.540031257</v>
      </c>
      <c r="J74" s="44">
        <f t="shared" si="2"/>
        <v>187.4626347</v>
      </c>
      <c r="K74" s="44">
        <f>(H74/VLOOKUP($A$2,'Población'!$A$1:$B$5,2,0))*100000</f>
        <v>1.535469715</v>
      </c>
      <c r="L74" s="44">
        <f t="shared" si="3"/>
        <v>213.4927501</v>
      </c>
    </row>
    <row r="75">
      <c r="A75" s="39" t="str">
        <f>IFERROR(__xludf.DUMMYFUNCTION("""COMPUTED_VALUE"""),"Chile")</f>
        <v>Chile</v>
      </c>
      <c r="B75" s="40">
        <f>IFERROR(__xludf.DUMMYFUNCTION("""COMPUTED_VALUE"""),44417.0)</f>
        <v>44417</v>
      </c>
      <c r="C75" s="41">
        <f>IFERROR(__xludf.DUMMYFUNCTION("""COMPUTED_VALUE"""),44423.0)</f>
        <v>44423</v>
      </c>
      <c r="D75" s="39">
        <f>IFERROR(__xludf.DUMMYFUNCTION("""COMPUTED_VALUE"""),32.0)</f>
        <v>32</v>
      </c>
      <c r="E75" s="42">
        <f>IFERROR(__xludf.DUMMYFUNCTION("""COMPUTED_VALUE"""),2625.0)</f>
        <v>2625</v>
      </c>
      <c r="F75" s="39">
        <f>IFERROR(__xludf.DUMMYFUNCTION("""COMPUTED_VALUE"""),364.0)</f>
        <v>364</v>
      </c>
      <c r="G75" s="43">
        <f>AVERAGEIFS('Chile pre-COVID'!$E:$E,'Chile pre-COVID'!$D:$D,D75)</f>
        <v>2277.75</v>
      </c>
      <c r="H75" s="43">
        <f t="shared" si="1"/>
        <v>347.25</v>
      </c>
      <c r="I75" s="44">
        <f>(F75/VLOOKUP($A$2,'Población'!$A$1:$B$5,2,0))*100000</f>
        <v>1.894613479</v>
      </c>
      <c r="J75" s="44">
        <f t="shared" si="2"/>
        <v>189.3572482</v>
      </c>
      <c r="K75" s="44">
        <f>(H75/VLOOKUP($A$2,'Población'!$A$1:$B$5,2,0))*100000</f>
        <v>1.807430029</v>
      </c>
      <c r="L75" s="44">
        <f t="shared" si="3"/>
        <v>215.3001802</v>
      </c>
    </row>
    <row r="76">
      <c r="A76" s="39" t="str">
        <f>IFERROR(__xludf.DUMMYFUNCTION("""COMPUTED_VALUE"""),"Chile")</f>
        <v>Chile</v>
      </c>
      <c r="B76" s="40">
        <f>IFERROR(__xludf.DUMMYFUNCTION("""COMPUTED_VALUE"""),44424.0)</f>
        <v>44424</v>
      </c>
      <c r="C76" s="41">
        <f>IFERROR(__xludf.DUMMYFUNCTION("""COMPUTED_VALUE"""),44430.0)</f>
        <v>44430</v>
      </c>
      <c r="D76" s="39">
        <f>IFERROR(__xludf.DUMMYFUNCTION("""COMPUTED_VALUE"""),33.0)</f>
        <v>33</v>
      </c>
      <c r="E76" s="42">
        <f>IFERROR(__xludf.DUMMYFUNCTION("""COMPUTED_VALUE"""),2608.0)</f>
        <v>2608</v>
      </c>
      <c r="F76" s="39">
        <f>IFERROR(__xludf.DUMMYFUNCTION("""COMPUTED_VALUE"""),270.0)</f>
        <v>270</v>
      </c>
      <c r="G76" s="43">
        <f>AVERAGEIFS('Chile pre-COVID'!$E:$E,'Chile pre-COVID'!$D:$D,D76)</f>
        <v>2245</v>
      </c>
      <c r="H76" s="43">
        <f t="shared" si="1"/>
        <v>363</v>
      </c>
      <c r="I76" s="44">
        <f>(F76/VLOOKUP($A$2,'Población'!$A$1:$B$5,2,0))*100000</f>
        <v>1.405345163</v>
      </c>
      <c r="J76" s="44">
        <f t="shared" si="2"/>
        <v>190.7625934</v>
      </c>
      <c r="K76" s="44">
        <f>(H76/VLOOKUP($A$2,'Población'!$A$1:$B$5,2,0))*100000</f>
        <v>1.889408496</v>
      </c>
      <c r="L76" s="44">
        <f t="shared" si="3"/>
        <v>217.1895887</v>
      </c>
    </row>
    <row r="77">
      <c r="A77" s="39" t="str">
        <f>IFERROR(__xludf.DUMMYFUNCTION("""COMPUTED_VALUE"""),"Chile")</f>
        <v>Chile</v>
      </c>
      <c r="B77" s="40">
        <f>IFERROR(__xludf.DUMMYFUNCTION("""COMPUTED_VALUE"""),44431.0)</f>
        <v>44431</v>
      </c>
      <c r="C77" s="41">
        <f>IFERROR(__xludf.DUMMYFUNCTION("""COMPUTED_VALUE"""),44437.0)</f>
        <v>44437</v>
      </c>
      <c r="D77" s="39">
        <f>IFERROR(__xludf.DUMMYFUNCTION("""COMPUTED_VALUE"""),34.0)</f>
        <v>34</v>
      </c>
      <c r="E77" s="42">
        <f>IFERROR(__xludf.DUMMYFUNCTION("""COMPUTED_VALUE"""),2357.0)</f>
        <v>2357</v>
      </c>
      <c r="F77" s="39">
        <f>IFERROR(__xludf.DUMMYFUNCTION("""COMPUTED_VALUE"""),235.0)</f>
        <v>235</v>
      </c>
      <c r="G77" s="43">
        <f>AVERAGEIFS('Chile pre-COVID'!$E:$E,'Chile pre-COVID'!$D:$D,D77)</f>
        <v>2223</v>
      </c>
      <c r="H77" s="43">
        <f t="shared" si="1"/>
        <v>134</v>
      </c>
      <c r="I77" s="44">
        <f>(F77/VLOOKUP($A$2,'Población'!$A$1:$B$5,2,0))*100000</f>
        <v>1.22317079</v>
      </c>
      <c r="J77" s="44">
        <f t="shared" si="2"/>
        <v>191.9857642</v>
      </c>
      <c r="K77" s="44">
        <f>(H77/VLOOKUP($A$2,'Población'!$A$1:$B$5,2,0))*100000</f>
        <v>0.6974675992</v>
      </c>
      <c r="L77" s="44">
        <f t="shared" si="3"/>
        <v>217.8870563</v>
      </c>
    </row>
    <row r="78">
      <c r="A78" s="39" t="str">
        <f>IFERROR(__xludf.DUMMYFUNCTION("""COMPUTED_VALUE"""),"Chile")</f>
        <v>Chile</v>
      </c>
      <c r="B78" s="40">
        <f>IFERROR(__xludf.DUMMYFUNCTION("""COMPUTED_VALUE"""),44438.0)</f>
        <v>44438</v>
      </c>
      <c r="C78" s="41">
        <f>IFERROR(__xludf.DUMMYFUNCTION("""COMPUTED_VALUE"""),44444.0)</f>
        <v>44444</v>
      </c>
      <c r="D78" s="39">
        <f>IFERROR(__xludf.DUMMYFUNCTION("""COMPUTED_VALUE"""),35.0)</f>
        <v>35</v>
      </c>
      <c r="E78" s="42">
        <f>IFERROR(__xludf.DUMMYFUNCTION("""COMPUTED_VALUE"""),2332.0)</f>
        <v>2332</v>
      </c>
      <c r="F78" s="39">
        <f>IFERROR(__xludf.DUMMYFUNCTION("""COMPUTED_VALUE"""),205.0)</f>
        <v>205</v>
      </c>
      <c r="G78" s="43">
        <f>AVERAGEIFS('Chile pre-COVID'!$E:$E,'Chile pre-COVID'!$D:$D,D78)</f>
        <v>2155</v>
      </c>
      <c r="H78" s="43">
        <f t="shared" si="1"/>
        <v>177</v>
      </c>
      <c r="I78" s="44">
        <f>(F78/VLOOKUP($A$2,'Población'!$A$1:$B$5,2,0))*100000</f>
        <v>1.067021327</v>
      </c>
      <c r="J78" s="44">
        <f t="shared" si="2"/>
        <v>193.0527855</v>
      </c>
      <c r="K78" s="44">
        <f>(H78/VLOOKUP($A$2,'Población'!$A$1:$B$5,2,0))*100000</f>
        <v>0.9212818289</v>
      </c>
      <c r="L78" s="44">
        <f t="shared" si="3"/>
        <v>218.8083381</v>
      </c>
    </row>
    <row r="79">
      <c r="A79" s="39" t="str">
        <f>IFERROR(__xludf.DUMMYFUNCTION("""COMPUTED_VALUE"""),"Chile")</f>
        <v>Chile</v>
      </c>
      <c r="B79" s="40">
        <f>IFERROR(__xludf.DUMMYFUNCTION("""COMPUTED_VALUE"""),44445.0)</f>
        <v>44445</v>
      </c>
      <c r="C79" s="41">
        <f>IFERROR(__xludf.DUMMYFUNCTION("""COMPUTED_VALUE"""),44451.0)</f>
        <v>44451</v>
      </c>
      <c r="D79" s="39">
        <f>IFERROR(__xludf.DUMMYFUNCTION("""COMPUTED_VALUE"""),36.0)</f>
        <v>36</v>
      </c>
      <c r="E79" s="42">
        <f>IFERROR(__xludf.DUMMYFUNCTION("""COMPUTED_VALUE"""),2394.0)</f>
        <v>2394</v>
      </c>
      <c r="F79" s="39">
        <f>IFERROR(__xludf.DUMMYFUNCTION("""COMPUTED_VALUE"""),142.0)</f>
        <v>142</v>
      </c>
      <c r="G79" s="43">
        <f>AVERAGEIFS('Chile pre-COVID'!$E:$E,'Chile pre-COVID'!$D:$D,D79)</f>
        <v>2213.25</v>
      </c>
      <c r="H79" s="43">
        <f t="shared" si="1"/>
        <v>180.75</v>
      </c>
      <c r="I79" s="44">
        <f>(F79/VLOOKUP($A$2,'Población'!$A$1:$B$5,2,0))*100000</f>
        <v>0.7391074559</v>
      </c>
      <c r="J79" s="44">
        <f t="shared" si="2"/>
        <v>193.7918929</v>
      </c>
      <c r="K79" s="44">
        <f>(H79/VLOOKUP($A$2,'Población'!$A$1:$B$5,2,0))*100000</f>
        <v>0.9408005117</v>
      </c>
      <c r="L79" s="44">
        <f t="shared" si="3"/>
        <v>219.7491386</v>
      </c>
    </row>
    <row r="80">
      <c r="A80" s="39" t="str">
        <f>IFERROR(__xludf.DUMMYFUNCTION("""COMPUTED_VALUE"""),"Chile")</f>
        <v>Chile</v>
      </c>
      <c r="B80" s="40">
        <f>IFERROR(__xludf.DUMMYFUNCTION("""COMPUTED_VALUE"""),44452.0)</f>
        <v>44452</v>
      </c>
      <c r="C80" s="41">
        <f>IFERROR(__xludf.DUMMYFUNCTION("""COMPUTED_VALUE"""),44458.0)</f>
        <v>44458</v>
      </c>
      <c r="D80" s="39">
        <f>IFERROR(__xludf.DUMMYFUNCTION("""COMPUTED_VALUE"""),37.0)</f>
        <v>37</v>
      </c>
      <c r="E80" s="42">
        <f>IFERROR(__xludf.DUMMYFUNCTION("""COMPUTED_VALUE"""),2383.0)</f>
        <v>2383</v>
      </c>
      <c r="F80" s="39">
        <f>IFERROR(__xludf.DUMMYFUNCTION("""COMPUTED_VALUE"""),127.0)</f>
        <v>127</v>
      </c>
      <c r="G80" s="43">
        <f>AVERAGEIFS('Chile pre-COVID'!$E:$E,'Chile pre-COVID'!$D:$D,D80)</f>
        <v>2154.25</v>
      </c>
      <c r="H80" s="43">
        <f t="shared" si="1"/>
        <v>228.75</v>
      </c>
      <c r="I80" s="44">
        <f>(F80/VLOOKUP($A$2,'Población'!$A$1:$B$5,2,0))*100000</f>
        <v>0.6610327247</v>
      </c>
      <c r="J80" s="44">
        <f t="shared" si="2"/>
        <v>194.4529257</v>
      </c>
      <c r="K80" s="44">
        <f>(H80/VLOOKUP($A$2,'Población'!$A$1:$B$5,2,0))*100000</f>
        <v>1.190639652</v>
      </c>
      <c r="L80" s="44">
        <f t="shared" si="3"/>
        <v>220.9397783</v>
      </c>
    </row>
    <row r="81">
      <c r="A81" s="39" t="str">
        <f>IFERROR(__xludf.DUMMYFUNCTION("""COMPUTED_VALUE"""),"Chile")</f>
        <v>Chile</v>
      </c>
      <c r="B81" s="40">
        <f>IFERROR(__xludf.DUMMYFUNCTION("""COMPUTED_VALUE"""),44459.0)</f>
        <v>44459</v>
      </c>
      <c r="C81" s="41">
        <f>IFERROR(__xludf.DUMMYFUNCTION("""COMPUTED_VALUE"""),44465.0)</f>
        <v>44465</v>
      </c>
      <c r="D81" s="39">
        <f>IFERROR(__xludf.DUMMYFUNCTION("""COMPUTED_VALUE"""),38.0)</f>
        <v>38</v>
      </c>
      <c r="E81" s="42">
        <f>IFERROR(__xludf.DUMMYFUNCTION("""COMPUTED_VALUE"""),2354.0)</f>
        <v>2354</v>
      </c>
      <c r="F81" s="39">
        <f>IFERROR(__xludf.DUMMYFUNCTION("""COMPUTED_VALUE"""),81.0)</f>
        <v>81</v>
      </c>
      <c r="G81" s="43">
        <f>AVERAGEIFS('Chile pre-COVID'!$E:$E,'Chile pre-COVID'!$D:$D,D81)</f>
        <v>2213.75</v>
      </c>
      <c r="H81" s="43">
        <f t="shared" si="1"/>
        <v>140.25</v>
      </c>
      <c r="I81" s="44">
        <f>(F81/VLOOKUP($A$2,'Población'!$A$1:$B$5,2,0))*100000</f>
        <v>0.4216035488</v>
      </c>
      <c r="J81" s="44">
        <f t="shared" si="2"/>
        <v>194.8745292</v>
      </c>
      <c r="K81" s="44">
        <f>(H81/VLOOKUP($A$2,'Población'!$A$1:$B$5,2,0))*100000</f>
        <v>0.7299987373</v>
      </c>
      <c r="L81" s="44">
        <f t="shared" si="3"/>
        <v>221.669777</v>
      </c>
    </row>
    <row r="82">
      <c r="A82" s="39" t="str">
        <f>IFERROR(__xludf.DUMMYFUNCTION("""COMPUTED_VALUE"""),"Chile")</f>
        <v>Chile</v>
      </c>
      <c r="B82" s="40">
        <f>IFERROR(__xludf.DUMMYFUNCTION("""COMPUTED_VALUE"""),44466.0)</f>
        <v>44466</v>
      </c>
      <c r="C82" s="41">
        <f>IFERROR(__xludf.DUMMYFUNCTION("""COMPUTED_VALUE"""),44472.0)</f>
        <v>44472</v>
      </c>
      <c r="D82" s="39">
        <f>IFERROR(__xludf.DUMMYFUNCTION("""COMPUTED_VALUE"""),39.0)</f>
        <v>39</v>
      </c>
      <c r="E82" s="42">
        <f>IFERROR(__xludf.DUMMYFUNCTION("""COMPUTED_VALUE"""),2244.0)</f>
        <v>2244</v>
      </c>
      <c r="F82" s="39">
        <f>IFERROR(__xludf.DUMMYFUNCTION("""COMPUTED_VALUE"""),54.0)</f>
        <v>54</v>
      </c>
      <c r="G82" s="43">
        <f>AVERAGEIFS('Chile pre-COVID'!$E:$E,'Chile pre-COVID'!$D:$D,D82)</f>
        <v>2122.5</v>
      </c>
      <c r="H82" s="43">
        <f t="shared" si="1"/>
        <v>121.5</v>
      </c>
      <c r="I82" s="44">
        <f>(F82/VLOOKUP($A$2,'Población'!$A$1:$B$5,2,0))*100000</f>
        <v>0.2810690325</v>
      </c>
      <c r="J82" s="44">
        <f t="shared" si="2"/>
        <v>195.1555983</v>
      </c>
      <c r="K82" s="44">
        <f>(H82/VLOOKUP($A$2,'Población'!$A$1:$B$5,2,0))*100000</f>
        <v>0.6324053232</v>
      </c>
      <c r="L82" s="44">
        <f t="shared" si="3"/>
        <v>222.3021823</v>
      </c>
    </row>
    <row r="83">
      <c r="A83" s="39" t="str">
        <f>IFERROR(__xludf.DUMMYFUNCTION("""COMPUTED_VALUE"""),"Chile")</f>
        <v>Chile</v>
      </c>
      <c r="B83" s="40">
        <f>IFERROR(__xludf.DUMMYFUNCTION("""COMPUTED_VALUE"""),44473.0)</f>
        <v>44473</v>
      </c>
      <c r="C83" s="41">
        <f>IFERROR(__xludf.DUMMYFUNCTION("""COMPUTED_VALUE"""),44479.0)</f>
        <v>44479</v>
      </c>
      <c r="D83" s="39">
        <f>IFERROR(__xludf.DUMMYFUNCTION("""COMPUTED_VALUE"""),40.0)</f>
        <v>40</v>
      </c>
      <c r="E83" s="42">
        <f>IFERROR(__xludf.DUMMYFUNCTION("""COMPUTED_VALUE"""),2316.0)</f>
        <v>2316</v>
      </c>
      <c r="F83" s="39">
        <f>IFERROR(__xludf.DUMMYFUNCTION("""COMPUTED_VALUE"""),70.0)</f>
        <v>70</v>
      </c>
      <c r="G83" s="43">
        <f>AVERAGEIFS('Chile pre-COVID'!$E:$E,'Chile pre-COVID'!$D:$D,D83)</f>
        <v>2069.25</v>
      </c>
      <c r="H83" s="43">
        <f t="shared" si="1"/>
        <v>246.75</v>
      </c>
      <c r="I83" s="44">
        <f>(F83/VLOOKUP($A$2,'Población'!$A$1:$B$5,2,0))*100000</f>
        <v>0.3643487459</v>
      </c>
      <c r="J83" s="44">
        <f t="shared" si="2"/>
        <v>195.519947</v>
      </c>
      <c r="K83" s="44">
        <f>(H83/VLOOKUP($A$2,'Población'!$A$1:$B$5,2,0))*100000</f>
        <v>1.284329329</v>
      </c>
      <c r="L83" s="44">
        <f t="shared" si="3"/>
        <v>223.5865116</v>
      </c>
    </row>
    <row r="84">
      <c r="A84" s="39" t="str">
        <f>IFERROR(__xludf.DUMMYFUNCTION("""COMPUTED_VALUE"""),"Chile")</f>
        <v>Chile</v>
      </c>
      <c r="B84" s="40">
        <f>IFERROR(__xludf.DUMMYFUNCTION("""COMPUTED_VALUE"""),44480.0)</f>
        <v>44480</v>
      </c>
      <c r="C84" s="41">
        <f>IFERROR(__xludf.DUMMYFUNCTION("""COMPUTED_VALUE"""),44486.0)</f>
        <v>44486</v>
      </c>
      <c r="D84" s="39">
        <f>IFERROR(__xludf.DUMMYFUNCTION("""COMPUTED_VALUE"""),41.0)</f>
        <v>41</v>
      </c>
      <c r="E84" s="42">
        <f>IFERROR(__xludf.DUMMYFUNCTION("""COMPUTED_VALUE"""),2325.0)</f>
        <v>2325</v>
      </c>
      <c r="F84" s="39">
        <f>IFERROR(__xludf.DUMMYFUNCTION("""COMPUTED_VALUE"""),45.0)</f>
        <v>45</v>
      </c>
      <c r="G84" s="43">
        <f>AVERAGEIFS('Chile pre-COVID'!$E:$E,'Chile pre-COVID'!$D:$D,D84)</f>
        <v>2005.5</v>
      </c>
      <c r="H84" s="43">
        <f t="shared" si="1"/>
        <v>319.5</v>
      </c>
      <c r="I84" s="44">
        <f>(F84/VLOOKUP($A$2,'Población'!$A$1:$B$5,2,0))*100000</f>
        <v>0.2342241938</v>
      </c>
      <c r="J84" s="44">
        <f t="shared" si="2"/>
        <v>195.7541712</v>
      </c>
      <c r="K84" s="44">
        <f>(H84/VLOOKUP($A$2,'Población'!$A$1:$B$5,2,0))*100000</f>
        <v>1.662991776</v>
      </c>
      <c r="L84" s="44">
        <f t="shared" si="3"/>
        <v>225.2495034</v>
      </c>
    </row>
    <row r="85">
      <c r="A85" s="39" t="str">
        <f>IFERROR(__xludf.DUMMYFUNCTION("""COMPUTED_VALUE"""),"Chile")</f>
        <v>Chile</v>
      </c>
      <c r="B85" s="40">
        <f>IFERROR(__xludf.DUMMYFUNCTION("""COMPUTED_VALUE"""),44487.0)</f>
        <v>44487</v>
      </c>
      <c r="C85" s="41">
        <f>IFERROR(__xludf.DUMMYFUNCTION("""COMPUTED_VALUE"""),44493.0)</f>
        <v>44493</v>
      </c>
      <c r="D85" s="39">
        <f>IFERROR(__xludf.DUMMYFUNCTION("""COMPUTED_VALUE"""),42.0)</f>
        <v>42</v>
      </c>
      <c r="E85" s="42">
        <f>IFERROR(__xludf.DUMMYFUNCTION("""COMPUTED_VALUE"""),2112.0)</f>
        <v>2112</v>
      </c>
      <c r="F85" s="39">
        <f>IFERROR(__xludf.DUMMYFUNCTION("""COMPUTED_VALUE"""),60.0)</f>
        <v>60</v>
      </c>
      <c r="G85" s="43">
        <f>AVERAGEIFS('Chile pre-COVID'!$E:$E,'Chile pre-COVID'!$D:$D,D85)</f>
        <v>1981.25</v>
      </c>
      <c r="H85" s="43">
        <f t="shared" si="1"/>
        <v>130.75</v>
      </c>
      <c r="I85" s="44">
        <f>(F85/VLOOKUP($A$2,'Población'!$A$1:$B$5,2,0))*100000</f>
        <v>0.312298925</v>
      </c>
      <c r="J85" s="44">
        <f t="shared" si="2"/>
        <v>196.0664701</v>
      </c>
      <c r="K85" s="44">
        <f>(H85/VLOOKUP($A$2,'Población'!$A$1:$B$5,2,0))*100000</f>
        <v>0.6805514075</v>
      </c>
      <c r="L85" s="44">
        <f t="shared" si="3"/>
        <v>225.9300548</v>
      </c>
    </row>
    <row r="86">
      <c r="E86" s="42"/>
      <c r="G86" s="43"/>
      <c r="I86" s="44"/>
      <c r="K86" s="44"/>
    </row>
    <row r="87">
      <c r="E87" s="42"/>
      <c r="G87" s="43"/>
      <c r="I87" s="44"/>
      <c r="K87" s="44"/>
    </row>
    <row r="88">
      <c r="E88" s="42"/>
      <c r="G88" s="43"/>
      <c r="I88" s="44"/>
      <c r="K88" s="44"/>
    </row>
    <row r="89">
      <c r="E89" s="42"/>
      <c r="G89" s="43"/>
      <c r="I89" s="44"/>
      <c r="K89" s="44"/>
    </row>
    <row r="90">
      <c r="E90" s="42"/>
      <c r="G90" s="43"/>
      <c r="I90" s="44"/>
      <c r="K90" s="44"/>
    </row>
    <row r="91">
      <c r="E91" s="42"/>
      <c r="G91" s="43"/>
      <c r="I91" s="44"/>
      <c r="K91" s="44"/>
    </row>
    <row r="92">
      <c r="E92" s="42"/>
      <c r="G92" s="43"/>
      <c r="I92" s="44"/>
      <c r="K92" s="44"/>
    </row>
    <row r="93">
      <c r="E93" s="42"/>
      <c r="G93" s="43"/>
      <c r="I93" s="44"/>
      <c r="K93" s="44"/>
    </row>
    <row r="94">
      <c r="E94" s="42"/>
      <c r="G94" s="43"/>
      <c r="I94" s="44"/>
      <c r="K94" s="44"/>
    </row>
    <row r="95">
      <c r="E95" s="42"/>
      <c r="G95" s="43"/>
      <c r="I95" s="44"/>
      <c r="K95" s="44"/>
    </row>
    <row r="96">
      <c r="E96" s="42"/>
      <c r="G96" s="43"/>
      <c r="I96" s="44"/>
      <c r="K96" s="44"/>
    </row>
    <row r="97">
      <c r="E97" s="42"/>
      <c r="G97" s="43"/>
      <c r="I97" s="44"/>
      <c r="K97" s="44"/>
    </row>
    <row r="98">
      <c r="E98" s="42"/>
      <c r="G98" s="43"/>
      <c r="I98" s="44"/>
      <c r="K98" s="44"/>
    </row>
    <row r="99">
      <c r="E99" s="42"/>
      <c r="G99" s="43"/>
      <c r="I99" s="44"/>
      <c r="K99" s="44"/>
    </row>
    <row r="100">
      <c r="E100" s="42"/>
      <c r="G100" s="43"/>
      <c r="I100" s="44"/>
      <c r="K100" s="44"/>
    </row>
    <row r="101">
      <c r="E101" s="42"/>
      <c r="G101" s="43"/>
      <c r="I101" s="44"/>
      <c r="K101" s="44"/>
    </row>
    <row r="102">
      <c r="E102" s="42"/>
      <c r="G102" s="43"/>
      <c r="I102" s="44"/>
      <c r="K102" s="44"/>
    </row>
    <row r="103">
      <c r="E103" s="42"/>
      <c r="G103" s="43"/>
      <c r="I103" s="44"/>
      <c r="K103" s="44"/>
    </row>
    <row r="104">
      <c r="E104" s="42"/>
      <c r="G104" s="43"/>
      <c r="I104" s="44"/>
      <c r="K104" s="44"/>
    </row>
    <row r="105">
      <c r="E105" s="42"/>
      <c r="G105" s="43"/>
      <c r="I105" s="44"/>
      <c r="K105" s="44"/>
    </row>
    <row r="106">
      <c r="E106" s="42"/>
      <c r="G106" s="43"/>
      <c r="I106" s="44"/>
      <c r="K106" s="44"/>
    </row>
    <row r="107">
      <c r="E107" s="42"/>
      <c r="G107" s="43"/>
      <c r="I107" s="44"/>
      <c r="K107" s="44"/>
    </row>
    <row r="108">
      <c r="E108" s="42"/>
      <c r="G108" s="43"/>
      <c r="I108" s="44"/>
      <c r="K108" s="44"/>
    </row>
    <row r="109">
      <c r="E109" s="42"/>
      <c r="G109" s="43"/>
      <c r="I109" s="44"/>
      <c r="K109" s="44"/>
    </row>
    <row r="110">
      <c r="E110" s="42"/>
      <c r="G110" s="43"/>
      <c r="I110" s="44"/>
      <c r="K110" s="44"/>
    </row>
    <row r="111">
      <c r="E111" s="42"/>
      <c r="G111" s="43"/>
      <c r="I111" s="44"/>
      <c r="K111" s="44"/>
    </row>
    <row r="112">
      <c r="E112" s="42"/>
      <c r="G112" s="43"/>
      <c r="I112" s="44"/>
      <c r="K112" s="44"/>
    </row>
    <row r="113">
      <c r="E113" s="42"/>
      <c r="G113" s="43"/>
      <c r="I113" s="44"/>
      <c r="K113" s="44"/>
    </row>
    <row r="114">
      <c r="E114" s="42"/>
      <c r="G114" s="43"/>
      <c r="I114" s="44"/>
      <c r="K114" s="44"/>
    </row>
    <row r="115">
      <c r="E115" s="42"/>
      <c r="G115" s="43"/>
      <c r="I115" s="44"/>
      <c r="K115" s="44"/>
    </row>
    <row r="116">
      <c r="E116" s="42"/>
      <c r="G116" s="43"/>
      <c r="I116" s="44"/>
      <c r="K116" s="44"/>
    </row>
    <row r="117">
      <c r="E117" s="42"/>
      <c r="G117" s="43"/>
      <c r="I117" s="44"/>
      <c r="K117" s="44"/>
    </row>
    <row r="118">
      <c r="E118" s="42"/>
      <c r="G118" s="43"/>
      <c r="I118" s="44"/>
      <c r="K118" s="44"/>
    </row>
    <row r="119">
      <c r="E119" s="42"/>
      <c r="G119" s="43"/>
      <c r="I119" s="44"/>
      <c r="K119" s="44"/>
    </row>
    <row r="120">
      <c r="E120" s="42"/>
      <c r="G120" s="43"/>
      <c r="I120" s="44"/>
      <c r="K120" s="44"/>
    </row>
    <row r="121">
      <c r="E121" s="42"/>
      <c r="G121" s="43"/>
      <c r="I121" s="44"/>
      <c r="K121" s="44"/>
    </row>
    <row r="122">
      <c r="E122" s="42"/>
      <c r="G122" s="43"/>
      <c r="I122" s="44"/>
      <c r="K122" s="44"/>
    </row>
    <row r="123">
      <c r="E123" s="42"/>
      <c r="G123" s="43"/>
      <c r="I123" s="44"/>
      <c r="K123" s="44"/>
    </row>
    <row r="124">
      <c r="E124" s="42"/>
      <c r="G124" s="43"/>
      <c r="I124" s="44"/>
      <c r="K124" s="44"/>
    </row>
    <row r="125">
      <c r="E125" s="42"/>
      <c r="G125" s="43"/>
      <c r="I125" s="44"/>
      <c r="K125" s="44"/>
    </row>
    <row r="126">
      <c r="E126" s="42"/>
      <c r="G126" s="43"/>
      <c r="I126" s="44"/>
      <c r="K126" s="44"/>
    </row>
    <row r="127">
      <c r="E127" s="42"/>
      <c r="G127" s="43"/>
      <c r="I127" s="44"/>
      <c r="K127" s="44"/>
    </row>
    <row r="128">
      <c r="E128" s="42"/>
      <c r="G128" s="43"/>
      <c r="I128" s="44"/>
      <c r="K128" s="44"/>
    </row>
    <row r="129">
      <c r="E129" s="42"/>
      <c r="G129" s="43"/>
      <c r="I129" s="44"/>
      <c r="K129" s="44"/>
    </row>
    <row r="130">
      <c r="E130" s="42"/>
      <c r="G130" s="43"/>
      <c r="I130" s="44"/>
      <c r="K130" s="44"/>
    </row>
    <row r="131">
      <c r="E131" s="42"/>
      <c r="G131" s="43"/>
      <c r="I131" s="44"/>
      <c r="K131" s="44"/>
    </row>
    <row r="132">
      <c r="E132" s="42"/>
      <c r="G132" s="43"/>
      <c r="I132" s="44"/>
      <c r="K132" s="44"/>
    </row>
    <row r="133">
      <c r="E133" s="42"/>
      <c r="G133" s="43"/>
      <c r="I133" s="44"/>
      <c r="K133" s="44"/>
    </row>
    <row r="134">
      <c r="E134" s="42"/>
      <c r="G134" s="43"/>
      <c r="I134" s="44"/>
      <c r="K134" s="44"/>
    </row>
    <row r="135">
      <c r="E135" s="42"/>
      <c r="G135" s="43"/>
      <c r="I135" s="44"/>
      <c r="K135" s="44"/>
    </row>
    <row r="136">
      <c r="E136" s="42"/>
      <c r="G136" s="43"/>
      <c r="I136" s="44"/>
      <c r="K136" s="44"/>
    </row>
    <row r="137">
      <c r="E137" s="42"/>
      <c r="G137" s="43"/>
      <c r="I137" s="44"/>
      <c r="K137" s="44"/>
    </row>
    <row r="138">
      <c r="E138" s="42"/>
      <c r="G138" s="43"/>
      <c r="I138" s="44"/>
      <c r="K138" s="44"/>
    </row>
    <row r="139">
      <c r="E139" s="42"/>
      <c r="G139" s="43"/>
      <c r="I139" s="44"/>
      <c r="K139" s="44"/>
    </row>
    <row r="140">
      <c r="E140" s="42"/>
      <c r="G140" s="43"/>
      <c r="I140" s="44"/>
      <c r="K140" s="44"/>
    </row>
    <row r="141">
      <c r="E141" s="42"/>
      <c r="G141" s="43"/>
      <c r="I141" s="44"/>
      <c r="K141" s="44"/>
    </row>
    <row r="142">
      <c r="E142" s="42"/>
      <c r="G142" s="43"/>
      <c r="I142" s="44"/>
      <c r="K142" s="44"/>
    </row>
    <row r="143">
      <c r="E143" s="42"/>
      <c r="G143" s="43"/>
      <c r="I143" s="44"/>
      <c r="K143" s="44"/>
    </row>
    <row r="144">
      <c r="E144" s="42"/>
      <c r="G144" s="43"/>
      <c r="I144" s="44"/>
      <c r="K144" s="44"/>
    </row>
    <row r="145">
      <c r="E145" s="42"/>
      <c r="G145" s="43"/>
      <c r="I145" s="44"/>
      <c r="K145" s="44"/>
    </row>
    <row r="146">
      <c r="E146" s="42"/>
      <c r="G146" s="43"/>
      <c r="I146" s="44"/>
      <c r="K146" s="44"/>
    </row>
    <row r="147">
      <c r="E147" s="42"/>
      <c r="G147" s="43"/>
      <c r="I147" s="44"/>
      <c r="K147" s="44"/>
    </row>
    <row r="148">
      <c r="E148" s="42"/>
      <c r="G148" s="43"/>
      <c r="I148" s="44"/>
      <c r="K148" s="44"/>
    </row>
    <row r="149">
      <c r="E149" s="42"/>
      <c r="G149" s="43"/>
      <c r="I149" s="44"/>
      <c r="K149" s="44"/>
    </row>
    <row r="150">
      <c r="E150" s="42"/>
      <c r="G150" s="43"/>
      <c r="I150" s="44"/>
      <c r="K150" s="44"/>
    </row>
    <row r="151">
      <c r="E151" s="42"/>
      <c r="G151" s="43"/>
      <c r="I151" s="44"/>
      <c r="K151" s="44"/>
    </row>
    <row r="152">
      <c r="E152" s="42"/>
      <c r="G152" s="43"/>
      <c r="I152" s="44"/>
      <c r="K152" s="44"/>
    </row>
    <row r="153">
      <c r="E153" s="42"/>
      <c r="G153" s="43"/>
      <c r="I153" s="44"/>
      <c r="K153" s="44"/>
    </row>
    <row r="154">
      <c r="E154" s="42"/>
      <c r="G154" s="43"/>
      <c r="I154" s="44"/>
      <c r="K154" s="44"/>
    </row>
    <row r="155">
      <c r="E155" s="42"/>
      <c r="G155" s="43"/>
      <c r="I155" s="44"/>
      <c r="K155" s="44"/>
    </row>
    <row r="156">
      <c r="E156" s="42"/>
      <c r="G156" s="43"/>
      <c r="I156" s="44"/>
      <c r="K156" s="44"/>
    </row>
    <row r="157">
      <c r="E157" s="42"/>
      <c r="G157" s="43"/>
      <c r="I157" s="44"/>
      <c r="K157" s="44"/>
    </row>
    <row r="158">
      <c r="E158" s="42"/>
      <c r="G158" s="43"/>
      <c r="I158" s="44"/>
      <c r="K158" s="44"/>
    </row>
    <row r="159">
      <c r="E159" s="42"/>
      <c r="G159" s="43"/>
      <c r="I159" s="44"/>
      <c r="K159" s="44"/>
    </row>
    <row r="160">
      <c r="E160" s="42"/>
      <c r="G160" s="43"/>
      <c r="I160" s="44"/>
      <c r="K160" s="44"/>
    </row>
    <row r="161">
      <c r="E161" s="42"/>
      <c r="G161" s="43"/>
      <c r="I161" s="44"/>
      <c r="K161" s="44"/>
    </row>
    <row r="162">
      <c r="E162" s="42"/>
      <c r="G162" s="43"/>
      <c r="I162" s="44"/>
      <c r="K162" s="44"/>
    </row>
    <row r="163">
      <c r="E163" s="42"/>
      <c r="G163" s="43"/>
      <c r="I163" s="44"/>
      <c r="K163" s="44"/>
    </row>
    <row r="164">
      <c r="E164" s="42"/>
      <c r="G164" s="43"/>
      <c r="I164" s="44"/>
      <c r="K164" s="44"/>
    </row>
    <row r="165">
      <c r="E165" s="42"/>
      <c r="G165" s="43"/>
      <c r="I165" s="44"/>
      <c r="K165" s="44"/>
    </row>
    <row r="166">
      <c r="E166" s="42"/>
      <c r="G166" s="43"/>
      <c r="I166" s="44"/>
      <c r="K166" s="44"/>
    </row>
    <row r="167">
      <c r="E167" s="42"/>
      <c r="G167" s="43"/>
      <c r="I167" s="44"/>
      <c r="K167" s="44"/>
    </row>
    <row r="168">
      <c r="E168" s="42"/>
      <c r="G168" s="43"/>
      <c r="I168" s="44"/>
      <c r="K168" s="44"/>
    </row>
    <row r="169">
      <c r="E169" s="42"/>
      <c r="G169" s="43"/>
      <c r="I169" s="44"/>
      <c r="K169" s="44"/>
    </row>
    <row r="170">
      <c r="E170" s="42"/>
      <c r="G170" s="43"/>
      <c r="I170" s="44"/>
      <c r="K170" s="44"/>
    </row>
    <row r="171">
      <c r="E171" s="42"/>
      <c r="G171" s="43"/>
      <c r="I171" s="44"/>
      <c r="K171" s="44"/>
    </row>
    <row r="172">
      <c r="E172" s="42"/>
      <c r="G172" s="43"/>
      <c r="I172" s="44"/>
      <c r="K172" s="44"/>
    </row>
    <row r="173">
      <c r="E173" s="42"/>
      <c r="G173" s="43"/>
      <c r="I173" s="44"/>
      <c r="K173" s="44"/>
    </row>
    <row r="174">
      <c r="E174" s="42"/>
      <c r="G174" s="43"/>
      <c r="I174" s="44"/>
      <c r="K174" s="44"/>
    </row>
    <row r="175">
      <c r="E175" s="42"/>
      <c r="G175" s="43"/>
      <c r="I175" s="44"/>
      <c r="K175" s="44"/>
    </row>
    <row r="176">
      <c r="E176" s="42"/>
      <c r="G176" s="43"/>
      <c r="I176" s="44"/>
      <c r="K176" s="44"/>
    </row>
    <row r="177">
      <c r="E177" s="42"/>
      <c r="G177" s="43"/>
      <c r="I177" s="44"/>
      <c r="K177" s="44"/>
    </row>
    <row r="178">
      <c r="E178" s="42"/>
      <c r="G178" s="43"/>
      <c r="I178" s="44"/>
      <c r="K178" s="44"/>
    </row>
    <row r="179">
      <c r="E179" s="42"/>
      <c r="G179" s="43"/>
      <c r="I179" s="44"/>
      <c r="K179" s="44"/>
    </row>
    <row r="180">
      <c r="E180" s="42"/>
      <c r="G180" s="43"/>
      <c r="I180" s="44"/>
      <c r="K180" s="44"/>
    </row>
    <row r="181">
      <c r="E181" s="42"/>
      <c r="G181" s="43"/>
      <c r="I181" s="44"/>
      <c r="K181" s="44"/>
    </row>
    <row r="182">
      <c r="E182" s="42"/>
      <c r="G182" s="43"/>
      <c r="I182" s="44"/>
      <c r="K182" s="44"/>
    </row>
    <row r="183">
      <c r="E183" s="42"/>
      <c r="G183" s="43"/>
      <c r="I183" s="44"/>
      <c r="K183" s="44"/>
    </row>
    <row r="184">
      <c r="E184" s="42"/>
      <c r="G184" s="43"/>
      <c r="I184" s="44"/>
      <c r="K184" s="44"/>
    </row>
    <row r="185">
      <c r="E185" s="42"/>
      <c r="G185" s="43"/>
      <c r="I185" s="44"/>
      <c r="K185" s="44"/>
    </row>
    <row r="186">
      <c r="E186" s="42"/>
      <c r="G186" s="43"/>
      <c r="I186" s="44"/>
      <c r="K186" s="44"/>
    </row>
    <row r="187">
      <c r="E187" s="42"/>
      <c r="G187" s="43"/>
      <c r="I187" s="44"/>
      <c r="K187" s="44"/>
    </row>
    <row r="188">
      <c r="E188" s="42"/>
      <c r="G188" s="43"/>
      <c r="I188" s="44"/>
      <c r="K188" s="44"/>
    </row>
    <row r="189">
      <c r="E189" s="42"/>
      <c r="G189" s="43"/>
      <c r="I189" s="44"/>
      <c r="K189" s="44"/>
    </row>
    <row r="190">
      <c r="E190" s="42"/>
      <c r="G190" s="43"/>
      <c r="I190" s="44"/>
      <c r="K190" s="44"/>
    </row>
    <row r="191">
      <c r="E191" s="42"/>
      <c r="G191" s="43"/>
      <c r="I191" s="44"/>
      <c r="K191" s="44"/>
    </row>
    <row r="192">
      <c r="E192" s="42"/>
      <c r="G192" s="43"/>
      <c r="I192" s="44"/>
      <c r="K192" s="44"/>
    </row>
    <row r="193">
      <c r="E193" s="42"/>
      <c r="G193" s="43"/>
      <c r="I193" s="44"/>
      <c r="K193" s="44"/>
    </row>
    <row r="194">
      <c r="E194" s="42"/>
      <c r="G194" s="43"/>
      <c r="I194" s="44"/>
      <c r="K194" s="44"/>
    </row>
    <row r="195">
      <c r="E195" s="42"/>
      <c r="G195" s="43"/>
      <c r="I195" s="44"/>
      <c r="K195" s="44"/>
    </row>
    <row r="196">
      <c r="E196" s="42"/>
      <c r="G196" s="43"/>
      <c r="I196" s="44"/>
      <c r="K196" s="44"/>
    </row>
    <row r="197">
      <c r="E197" s="42"/>
      <c r="G197" s="43"/>
      <c r="I197" s="44"/>
      <c r="K197" s="44"/>
    </row>
    <row r="198">
      <c r="E198" s="42"/>
      <c r="G198" s="43"/>
      <c r="I198" s="44"/>
      <c r="K198" s="44"/>
    </row>
    <row r="199">
      <c r="E199" s="42"/>
      <c r="G199" s="43"/>
      <c r="I199" s="44"/>
      <c r="K199" s="44"/>
    </row>
    <row r="200">
      <c r="E200" s="42"/>
      <c r="G200" s="43"/>
      <c r="I200" s="44"/>
      <c r="K200" s="44"/>
    </row>
    <row r="201">
      <c r="E201" s="42"/>
      <c r="G201" s="43"/>
      <c r="I201" s="44"/>
      <c r="K201" s="44"/>
    </row>
    <row r="202">
      <c r="E202" s="42"/>
      <c r="G202" s="43"/>
      <c r="I202" s="44"/>
      <c r="K202" s="44"/>
    </row>
    <row r="203">
      <c r="E203" s="42"/>
      <c r="G203" s="43"/>
      <c r="I203" s="44"/>
      <c r="K203" s="44"/>
    </row>
    <row r="204">
      <c r="E204" s="42"/>
      <c r="G204" s="43"/>
      <c r="I204" s="44"/>
      <c r="K204" s="44"/>
    </row>
    <row r="205">
      <c r="E205" s="42"/>
      <c r="G205" s="43"/>
      <c r="I205" s="44"/>
      <c r="K205" s="44"/>
    </row>
    <row r="206">
      <c r="E206" s="42"/>
      <c r="G206" s="43"/>
      <c r="I206" s="44"/>
      <c r="K206" s="44"/>
    </row>
    <row r="207">
      <c r="E207" s="42"/>
      <c r="G207" s="43"/>
      <c r="I207" s="44"/>
      <c r="K207" s="44"/>
    </row>
    <row r="208">
      <c r="E208" s="42"/>
      <c r="G208" s="43"/>
      <c r="I208" s="44"/>
      <c r="K208" s="44"/>
    </row>
    <row r="209">
      <c r="E209" s="42"/>
      <c r="G209" s="43"/>
      <c r="I209" s="44"/>
      <c r="K209" s="44"/>
    </row>
    <row r="210">
      <c r="E210" s="42"/>
      <c r="G210" s="43"/>
      <c r="I210" s="44"/>
      <c r="K210" s="44"/>
    </row>
    <row r="211">
      <c r="E211" s="42"/>
      <c r="G211" s="43"/>
      <c r="I211" s="44"/>
      <c r="K211" s="44"/>
    </row>
    <row r="212">
      <c r="E212" s="42"/>
      <c r="G212" s="43"/>
      <c r="I212" s="44"/>
      <c r="K212" s="44"/>
    </row>
    <row r="213">
      <c r="E213" s="42"/>
      <c r="G213" s="43"/>
      <c r="I213" s="44"/>
      <c r="K213" s="44"/>
    </row>
    <row r="214">
      <c r="E214" s="42"/>
      <c r="G214" s="43"/>
      <c r="I214" s="44"/>
      <c r="K214" s="44"/>
    </row>
    <row r="215">
      <c r="E215" s="42"/>
      <c r="G215" s="43"/>
      <c r="I215" s="44"/>
      <c r="K215" s="44"/>
    </row>
    <row r="216">
      <c r="E216" s="42"/>
      <c r="G216" s="43"/>
      <c r="I216" s="44"/>
      <c r="K216" s="44"/>
    </row>
    <row r="217">
      <c r="E217" s="42"/>
      <c r="G217" s="43"/>
      <c r="I217" s="44"/>
      <c r="K217" s="44"/>
    </row>
    <row r="218">
      <c r="E218" s="42"/>
      <c r="G218" s="43"/>
      <c r="I218" s="44"/>
      <c r="K218" s="44"/>
    </row>
    <row r="219">
      <c r="E219" s="42"/>
      <c r="G219" s="43"/>
      <c r="I219" s="44"/>
      <c r="K219" s="44"/>
    </row>
    <row r="220">
      <c r="E220" s="42"/>
      <c r="G220" s="43"/>
      <c r="I220" s="44"/>
      <c r="K220" s="44"/>
    </row>
    <row r="221">
      <c r="E221" s="42"/>
      <c r="G221" s="43"/>
      <c r="I221" s="44"/>
      <c r="K221" s="44"/>
    </row>
    <row r="222">
      <c r="E222" s="42"/>
      <c r="G222" s="43"/>
      <c r="I222" s="44"/>
      <c r="K222" s="44"/>
    </row>
    <row r="223">
      <c r="E223" s="42"/>
      <c r="G223" s="43"/>
      <c r="I223" s="44"/>
      <c r="K223" s="44"/>
    </row>
    <row r="224">
      <c r="E224" s="42"/>
      <c r="G224" s="43"/>
      <c r="I224" s="44"/>
      <c r="K224" s="44"/>
    </row>
    <row r="225">
      <c r="E225" s="42"/>
      <c r="G225" s="43"/>
      <c r="I225" s="44"/>
      <c r="K225" s="44"/>
    </row>
    <row r="226">
      <c r="E226" s="42"/>
      <c r="G226" s="43"/>
      <c r="I226" s="44"/>
      <c r="K226" s="44"/>
    </row>
    <row r="227">
      <c r="E227" s="42"/>
      <c r="G227" s="43"/>
      <c r="I227" s="44"/>
      <c r="K227" s="44"/>
    </row>
    <row r="228">
      <c r="E228" s="42"/>
      <c r="G228" s="43"/>
      <c r="I228" s="44"/>
      <c r="K228" s="44"/>
    </row>
    <row r="229">
      <c r="E229" s="42"/>
      <c r="G229" s="43"/>
      <c r="I229" s="44"/>
      <c r="K229" s="44"/>
    </row>
    <row r="230">
      <c r="E230" s="42"/>
      <c r="G230" s="43"/>
      <c r="I230" s="44"/>
      <c r="K230" s="44"/>
    </row>
    <row r="231">
      <c r="E231" s="42"/>
      <c r="G231" s="43"/>
      <c r="I231" s="44"/>
      <c r="K231" s="44"/>
    </row>
    <row r="232">
      <c r="E232" s="42"/>
      <c r="G232" s="43"/>
      <c r="I232" s="44"/>
      <c r="K232" s="44"/>
    </row>
    <row r="233">
      <c r="E233" s="42"/>
      <c r="G233" s="43"/>
      <c r="I233" s="44"/>
      <c r="K233" s="44"/>
    </row>
    <row r="234">
      <c r="E234" s="42"/>
      <c r="G234" s="43"/>
      <c r="I234" s="44"/>
      <c r="K234" s="44"/>
    </row>
    <row r="235">
      <c r="E235" s="42"/>
      <c r="G235" s="43"/>
      <c r="I235" s="44"/>
      <c r="K235" s="44"/>
    </row>
    <row r="236">
      <c r="E236" s="42"/>
      <c r="G236" s="43"/>
      <c r="I236" s="44"/>
      <c r="K236" s="44"/>
    </row>
    <row r="237">
      <c r="E237" s="42"/>
      <c r="G237" s="43"/>
      <c r="I237" s="44"/>
      <c r="K237" s="44"/>
    </row>
    <row r="238">
      <c r="E238" s="42"/>
      <c r="G238" s="43"/>
      <c r="I238" s="44"/>
      <c r="K238" s="44"/>
    </row>
    <row r="239">
      <c r="E239" s="42"/>
      <c r="G239" s="43"/>
      <c r="I239" s="44"/>
      <c r="K239" s="44"/>
    </row>
    <row r="240">
      <c r="E240" s="42"/>
      <c r="G240" s="43"/>
      <c r="I240" s="44"/>
      <c r="K240" s="44"/>
    </row>
    <row r="241">
      <c r="E241" s="42"/>
      <c r="G241" s="43"/>
      <c r="I241" s="44"/>
      <c r="K241" s="44"/>
    </row>
    <row r="242">
      <c r="E242" s="42"/>
      <c r="G242" s="43"/>
      <c r="I242" s="44"/>
      <c r="K242" s="44"/>
    </row>
    <row r="243">
      <c r="E243" s="42"/>
      <c r="G243" s="43"/>
      <c r="I243" s="44"/>
      <c r="K243" s="44"/>
    </row>
    <row r="244">
      <c r="E244" s="42"/>
      <c r="G244" s="43"/>
      <c r="I244" s="44"/>
      <c r="K244" s="44"/>
    </row>
    <row r="245">
      <c r="E245" s="42"/>
      <c r="G245" s="43"/>
      <c r="I245" s="44"/>
      <c r="K245" s="44"/>
    </row>
    <row r="246">
      <c r="E246" s="42"/>
      <c r="G246" s="43"/>
      <c r="I246" s="44"/>
      <c r="K246" s="44"/>
    </row>
    <row r="247">
      <c r="E247" s="42"/>
      <c r="G247" s="43"/>
      <c r="I247" s="44"/>
      <c r="K247" s="44"/>
    </row>
    <row r="248">
      <c r="E248" s="42"/>
      <c r="G248" s="43"/>
      <c r="I248" s="44"/>
      <c r="K248" s="44"/>
    </row>
    <row r="249">
      <c r="E249" s="42"/>
      <c r="G249" s="43"/>
      <c r="I249" s="44"/>
      <c r="K249" s="44"/>
    </row>
    <row r="250">
      <c r="E250" s="42"/>
      <c r="G250" s="43"/>
      <c r="I250" s="44"/>
      <c r="K250" s="44"/>
    </row>
    <row r="251">
      <c r="E251" s="42"/>
      <c r="G251" s="43"/>
      <c r="I251" s="44"/>
      <c r="K251" s="44"/>
    </row>
    <row r="252">
      <c r="E252" s="42"/>
      <c r="G252" s="43"/>
      <c r="I252" s="44"/>
      <c r="K252" s="44"/>
    </row>
    <row r="253">
      <c r="E253" s="42"/>
      <c r="G253" s="43"/>
      <c r="I253" s="44"/>
      <c r="K253" s="44"/>
    </row>
    <row r="254">
      <c r="E254" s="42"/>
      <c r="G254" s="43"/>
      <c r="I254" s="44"/>
      <c r="K254" s="44"/>
    </row>
    <row r="255">
      <c r="E255" s="42"/>
      <c r="G255" s="43"/>
      <c r="I255" s="44"/>
      <c r="K255" s="44"/>
    </row>
    <row r="256">
      <c r="E256" s="42"/>
      <c r="G256" s="43"/>
      <c r="I256" s="44"/>
      <c r="K256" s="44"/>
    </row>
    <row r="257">
      <c r="E257" s="42"/>
      <c r="G257" s="43"/>
      <c r="I257" s="44"/>
      <c r="K257" s="44"/>
    </row>
    <row r="258">
      <c r="E258" s="42"/>
      <c r="G258" s="43"/>
      <c r="I258" s="44"/>
      <c r="K258" s="44"/>
    </row>
    <row r="259">
      <c r="E259" s="42"/>
      <c r="G259" s="43"/>
      <c r="I259" s="44"/>
      <c r="K259" s="44"/>
    </row>
    <row r="260">
      <c r="E260" s="42"/>
      <c r="G260" s="43"/>
      <c r="I260" s="44"/>
      <c r="K260" s="44"/>
    </row>
    <row r="261">
      <c r="E261" s="42"/>
      <c r="G261" s="43"/>
      <c r="I261" s="44"/>
      <c r="K261" s="44"/>
    </row>
    <row r="262">
      <c r="E262" s="42"/>
      <c r="G262" s="43"/>
      <c r="I262" s="44"/>
      <c r="K262" s="44"/>
    </row>
    <row r="263">
      <c r="E263" s="42"/>
      <c r="G263" s="43"/>
      <c r="I263" s="44"/>
      <c r="K263" s="44"/>
    </row>
    <row r="264">
      <c r="E264" s="42"/>
      <c r="G264" s="43"/>
      <c r="I264" s="44"/>
      <c r="K264" s="44"/>
    </row>
    <row r="265">
      <c r="E265" s="42"/>
      <c r="G265" s="43"/>
      <c r="I265" s="44"/>
      <c r="K265" s="44"/>
    </row>
    <row r="266">
      <c r="E266" s="42"/>
      <c r="G266" s="43"/>
      <c r="I266" s="44"/>
      <c r="K266" s="44"/>
    </row>
    <row r="267">
      <c r="E267" s="42"/>
      <c r="G267" s="43"/>
      <c r="I267" s="44"/>
      <c r="K267" s="44"/>
    </row>
    <row r="268">
      <c r="E268" s="42"/>
      <c r="G268" s="43"/>
      <c r="I268" s="44"/>
      <c r="K268" s="44"/>
    </row>
    <row r="269">
      <c r="E269" s="42"/>
      <c r="G269" s="43"/>
      <c r="I269" s="44"/>
      <c r="K269" s="44"/>
    </row>
    <row r="270">
      <c r="E270" s="42"/>
      <c r="G270" s="43"/>
      <c r="I270" s="44"/>
      <c r="K270" s="44"/>
    </row>
    <row r="271">
      <c r="E271" s="42"/>
      <c r="G271" s="43"/>
      <c r="I271" s="44"/>
      <c r="K271" s="44"/>
    </row>
    <row r="272">
      <c r="E272" s="42"/>
      <c r="G272" s="43"/>
      <c r="I272" s="44"/>
      <c r="K272" s="44"/>
    </row>
    <row r="273">
      <c r="E273" s="42"/>
      <c r="G273" s="43"/>
      <c r="I273" s="44"/>
      <c r="K273" s="44"/>
    </row>
    <row r="274">
      <c r="E274" s="42"/>
      <c r="G274" s="43"/>
      <c r="I274" s="44"/>
      <c r="K274" s="44"/>
    </row>
    <row r="275">
      <c r="E275" s="42"/>
      <c r="G275" s="43"/>
      <c r="I275" s="44"/>
      <c r="K275" s="44"/>
    </row>
    <row r="276">
      <c r="E276" s="42"/>
      <c r="G276" s="43"/>
      <c r="I276" s="44"/>
      <c r="K276" s="44"/>
    </row>
    <row r="277">
      <c r="E277" s="42"/>
      <c r="G277" s="43"/>
      <c r="I277" s="44"/>
      <c r="K277" s="44"/>
    </row>
    <row r="278">
      <c r="E278" s="42"/>
      <c r="G278" s="43"/>
      <c r="I278" s="44"/>
      <c r="K278" s="44"/>
    </row>
    <row r="279">
      <c r="E279" s="42"/>
      <c r="G279" s="43"/>
      <c r="I279" s="44"/>
      <c r="K279" s="44"/>
    </row>
    <row r="280">
      <c r="E280" s="42"/>
      <c r="G280" s="43"/>
      <c r="I280" s="44"/>
      <c r="K280" s="44"/>
    </row>
    <row r="281">
      <c r="E281" s="42"/>
      <c r="G281" s="43"/>
      <c r="I281" s="44"/>
      <c r="K281" s="44"/>
    </row>
    <row r="282">
      <c r="E282" s="42"/>
      <c r="G282" s="43"/>
      <c r="I282" s="44"/>
      <c r="K282" s="44"/>
    </row>
    <row r="283">
      <c r="E283" s="42"/>
      <c r="G283" s="43"/>
      <c r="I283" s="44"/>
      <c r="K283" s="44"/>
    </row>
    <row r="284">
      <c r="E284" s="42"/>
      <c r="G284" s="43"/>
      <c r="I284" s="44"/>
      <c r="K284" s="44"/>
    </row>
    <row r="285">
      <c r="E285" s="42"/>
      <c r="G285" s="43"/>
      <c r="I285" s="44"/>
      <c r="K285" s="44"/>
    </row>
    <row r="286">
      <c r="E286" s="42"/>
      <c r="G286" s="43"/>
      <c r="I286" s="44"/>
      <c r="K286" s="44"/>
    </row>
    <row r="287">
      <c r="E287" s="42"/>
      <c r="G287" s="43"/>
      <c r="I287" s="44"/>
      <c r="K287" s="44"/>
    </row>
    <row r="288">
      <c r="E288" s="42"/>
      <c r="G288" s="43"/>
      <c r="I288" s="44"/>
      <c r="K288" s="44"/>
    </row>
    <row r="289">
      <c r="E289" s="42"/>
      <c r="G289" s="43"/>
      <c r="I289" s="44"/>
      <c r="K289" s="44"/>
    </row>
    <row r="290">
      <c r="E290" s="42"/>
      <c r="G290" s="43"/>
      <c r="I290" s="44"/>
      <c r="K290" s="44"/>
    </row>
    <row r="291">
      <c r="E291" s="42"/>
      <c r="G291" s="43"/>
      <c r="I291" s="44"/>
      <c r="K291" s="44"/>
    </row>
    <row r="292">
      <c r="E292" s="42"/>
      <c r="G292" s="43"/>
      <c r="I292" s="44"/>
      <c r="K292" s="44"/>
    </row>
    <row r="293">
      <c r="E293" s="42"/>
      <c r="G293" s="43"/>
      <c r="I293" s="44"/>
      <c r="K293" s="44"/>
    </row>
    <row r="294">
      <c r="E294" s="42"/>
      <c r="G294" s="43"/>
      <c r="I294" s="44"/>
      <c r="K294" s="44"/>
    </row>
    <row r="295">
      <c r="E295" s="42"/>
      <c r="G295" s="43"/>
      <c r="I295" s="44"/>
      <c r="K295" s="44"/>
    </row>
    <row r="296">
      <c r="E296" s="42"/>
      <c r="G296" s="43"/>
      <c r="I296" s="44"/>
      <c r="K296" s="44"/>
    </row>
    <row r="297">
      <c r="E297" s="42"/>
      <c r="G297" s="43"/>
      <c r="I297" s="44"/>
      <c r="K297" s="44"/>
    </row>
    <row r="298">
      <c r="E298" s="42"/>
      <c r="G298" s="43"/>
      <c r="I298" s="44"/>
      <c r="K298" s="44"/>
    </row>
    <row r="299">
      <c r="E299" s="42"/>
      <c r="G299" s="43"/>
      <c r="I299" s="44"/>
      <c r="K299" s="44"/>
    </row>
    <row r="300">
      <c r="E300" s="42"/>
      <c r="G300" s="43"/>
      <c r="I300" s="44"/>
      <c r="K300" s="44"/>
    </row>
    <row r="301">
      <c r="E301" s="42"/>
      <c r="G301" s="43"/>
      <c r="I301" s="44"/>
      <c r="K301" s="44"/>
    </row>
    <row r="302">
      <c r="E302" s="42"/>
      <c r="G302" s="43"/>
      <c r="I302" s="44"/>
      <c r="K302" s="44"/>
    </row>
    <row r="303">
      <c r="E303" s="42"/>
      <c r="G303" s="43"/>
      <c r="I303" s="44"/>
      <c r="K303" s="44"/>
    </row>
    <row r="304">
      <c r="E304" s="42"/>
      <c r="G304" s="43"/>
      <c r="I304" s="44"/>
      <c r="K304" s="44"/>
    </row>
    <row r="305">
      <c r="E305" s="42"/>
      <c r="G305" s="43"/>
      <c r="I305" s="44"/>
      <c r="K305" s="44"/>
    </row>
    <row r="306">
      <c r="E306" s="42"/>
      <c r="G306" s="43"/>
      <c r="I306" s="44"/>
      <c r="K306" s="44"/>
    </row>
    <row r="307">
      <c r="E307" s="42"/>
      <c r="G307" s="43"/>
      <c r="I307" s="44"/>
      <c r="K307" s="44"/>
    </row>
    <row r="308">
      <c r="E308" s="42"/>
      <c r="G308" s="43"/>
      <c r="I308" s="44"/>
      <c r="K308" s="44"/>
    </row>
    <row r="309">
      <c r="E309" s="42"/>
      <c r="G309" s="43"/>
      <c r="I309" s="44"/>
      <c r="K309" s="44"/>
    </row>
    <row r="310">
      <c r="E310" s="42"/>
      <c r="G310" s="43"/>
      <c r="I310" s="44"/>
      <c r="K310" s="44"/>
    </row>
    <row r="311">
      <c r="E311" s="42"/>
      <c r="G311" s="43"/>
      <c r="I311" s="44"/>
      <c r="K311" s="44"/>
    </row>
    <row r="312">
      <c r="E312" s="42"/>
      <c r="G312" s="43"/>
      <c r="I312" s="44"/>
      <c r="K312" s="44"/>
    </row>
    <row r="313">
      <c r="E313" s="42"/>
      <c r="G313" s="43"/>
      <c r="I313" s="44"/>
      <c r="K313" s="44"/>
    </row>
    <row r="314">
      <c r="E314" s="42"/>
      <c r="G314" s="43"/>
      <c r="I314" s="44"/>
      <c r="K314" s="44"/>
    </row>
    <row r="315">
      <c r="E315" s="42"/>
      <c r="G315" s="43"/>
      <c r="I315" s="44"/>
      <c r="K315" s="44"/>
    </row>
    <row r="316">
      <c r="E316" s="42"/>
      <c r="G316" s="43"/>
      <c r="I316" s="44"/>
      <c r="K316" s="44"/>
    </row>
    <row r="317">
      <c r="E317" s="42"/>
      <c r="G317" s="43"/>
      <c r="I317" s="44"/>
      <c r="K317" s="44"/>
    </row>
    <row r="318">
      <c r="E318" s="42"/>
      <c r="G318" s="43"/>
      <c r="I318" s="44"/>
      <c r="K318" s="44"/>
    </row>
    <row r="319">
      <c r="E319" s="42"/>
      <c r="G319" s="43"/>
      <c r="I319" s="44"/>
      <c r="K319" s="44"/>
    </row>
    <row r="320">
      <c r="E320" s="42"/>
      <c r="G320" s="43"/>
      <c r="I320" s="44"/>
      <c r="K320" s="44"/>
    </row>
    <row r="321">
      <c r="E321" s="42"/>
      <c r="G321" s="43"/>
      <c r="I321" s="44"/>
      <c r="K321" s="44"/>
    </row>
    <row r="322">
      <c r="E322" s="42"/>
      <c r="G322" s="43"/>
      <c r="I322" s="44"/>
      <c r="K322" s="44"/>
    </row>
    <row r="323">
      <c r="E323" s="42"/>
      <c r="G323" s="43"/>
      <c r="I323" s="44"/>
      <c r="K323" s="44"/>
    </row>
    <row r="324">
      <c r="E324" s="42"/>
      <c r="G324" s="43"/>
      <c r="I324" s="44"/>
      <c r="K324" s="44"/>
    </row>
    <row r="325">
      <c r="E325" s="42"/>
      <c r="G325" s="43"/>
      <c r="I325" s="44"/>
      <c r="K325" s="44"/>
    </row>
    <row r="326">
      <c r="E326" s="42"/>
      <c r="G326" s="43"/>
      <c r="I326" s="44"/>
      <c r="K326" s="44"/>
    </row>
    <row r="327">
      <c r="E327" s="42"/>
      <c r="G327" s="43"/>
      <c r="I327" s="44"/>
      <c r="K327" s="44"/>
    </row>
    <row r="328">
      <c r="E328" s="42"/>
      <c r="G328" s="43"/>
      <c r="I328" s="44"/>
      <c r="K328" s="44"/>
    </row>
    <row r="329">
      <c r="E329" s="42"/>
      <c r="G329" s="43"/>
      <c r="I329" s="44"/>
      <c r="K329" s="44"/>
    </row>
    <row r="330">
      <c r="E330" s="42"/>
      <c r="G330" s="43"/>
      <c r="I330" s="44"/>
      <c r="K330" s="44"/>
    </row>
    <row r="331">
      <c r="E331" s="42"/>
      <c r="G331" s="43"/>
      <c r="I331" s="44"/>
      <c r="K331" s="44"/>
    </row>
    <row r="332">
      <c r="E332" s="42"/>
      <c r="G332" s="43"/>
      <c r="I332" s="44"/>
      <c r="K332" s="44"/>
    </row>
    <row r="333">
      <c r="E333" s="42"/>
      <c r="G333" s="43"/>
      <c r="I333" s="44"/>
      <c r="K333" s="44"/>
    </row>
    <row r="334">
      <c r="E334" s="42"/>
      <c r="G334" s="43"/>
      <c r="I334" s="44"/>
      <c r="K334" s="44"/>
    </row>
    <row r="335">
      <c r="E335" s="42"/>
      <c r="G335" s="43"/>
      <c r="I335" s="44"/>
      <c r="K335" s="44"/>
    </row>
    <row r="336">
      <c r="E336" s="42"/>
      <c r="G336" s="43"/>
      <c r="I336" s="44"/>
      <c r="K336" s="44"/>
    </row>
    <row r="337">
      <c r="E337" s="42"/>
      <c r="G337" s="43"/>
      <c r="I337" s="44"/>
      <c r="K337" s="44"/>
    </row>
    <row r="338">
      <c r="E338" s="42"/>
      <c r="G338" s="43"/>
      <c r="I338" s="44"/>
      <c r="K338" s="44"/>
    </row>
    <row r="339">
      <c r="E339" s="42"/>
      <c r="G339" s="43"/>
      <c r="I339" s="44"/>
      <c r="K339" s="44"/>
    </row>
    <row r="340">
      <c r="E340" s="42"/>
      <c r="G340" s="43"/>
      <c r="I340" s="44"/>
      <c r="K340" s="44"/>
    </row>
    <row r="341">
      <c r="E341" s="42"/>
      <c r="G341" s="43"/>
      <c r="I341" s="44"/>
      <c r="K341" s="44"/>
    </row>
    <row r="342">
      <c r="E342" s="42"/>
      <c r="G342" s="43"/>
      <c r="I342" s="44"/>
      <c r="K342" s="44"/>
    </row>
    <row r="343">
      <c r="E343" s="42"/>
      <c r="G343" s="43"/>
      <c r="I343" s="44"/>
      <c r="K343" s="44"/>
    </row>
    <row r="344">
      <c r="E344" s="42"/>
      <c r="G344" s="43"/>
      <c r="I344" s="44"/>
      <c r="K344" s="44"/>
    </row>
    <row r="345">
      <c r="E345" s="42"/>
      <c r="G345" s="43"/>
      <c r="I345" s="44"/>
      <c r="K345" s="44"/>
    </row>
    <row r="346">
      <c r="E346" s="42"/>
      <c r="G346" s="43"/>
      <c r="I346" s="44"/>
      <c r="K346" s="44"/>
    </row>
    <row r="347">
      <c r="E347" s="42"/>
      <c r="G347" s="43"/>
      <c r="I347" s="44"/>
      <c r="K347" s="44"/>
    </row>
    <row r="348">
      <c r="E348" s="42"/>
      <c r="G348" s="43"/>
      <c r="I348" s="44"/>
      <c r="K348" s="44"/>
    </row>
    <row r="349">
      <c r="E349" s="42"/>
      <c r="G349" s="43"/>
      <c r="I349" s="44"/>
      <c r="K349" s="44"/>
    </row>
    <row r="350">
      <c r="E350" s="42"/>
      <c r="G350" s="43"/>
      <c r="I350" s="44"/>
      <c r="K350" s="44"/>
    </row>
    <row r="351">
      <c r="E351" s="42"/>
      <c r="G351" s="43"/>
      <c r="I351" s="44"/>
      <c r="K351" s="44"/>
    </row>
    <row r="352">
      <c r="E352" s="42"/>
      <c r="G352" s="43"/>
      <c r="I352" s="44"/>
      <c r="K352" s="44"/>
    </row>
    <row r="353">
      <c r="E353" s="42"/>
      <c r="G353" s="43"/>
      <c r="I353" s="44"/>
      <c r="K353" s="44"/>
    </row>
    <row r="354">
      <c r="E354" s="42"/>
      <c r="G354" s="43"/>
      <c r="I354" s="44"/>
      <c r="K354" s="44"/>
    </row>
    <row r="355">
      <c r="E355" s="42"/>
      <c r="G355" s="43"/>
      <c r="I355" s="44"/>
      <c r="K355" s="44"/>
    </row>
    <row r="356">
      <c r="E356" s="42"/>
      <c r="G356" s="43"/>
      <c r="I356" s="44"/>
      <c r="K356" s="44"/>
    </row>
    <row r="357">
      <c r="E357" s="42"/>
      <c r="G357" s="43"/>
      <c r="I357" s="44"/>
      <c r="K357" s="44"/>
    </row>
    <row r="358">
      <c r="E358" s="42"/>
      <c r="G358" s="43"/>
      <c r="I358" s="44"/>
      <c r="K358" s="44"/>
    </row>
    <row r="359">
      <c r="E359" s="42"/>
      <c r="G359" s="43"/>
      <c r="I359" s="44"/>
      <c r="K359" s="44"/>
    </row>
    <row r="360">
      <c r="E360" s="42"/>
      <c r="G360" s="43"/>
      <c r="I360" s="44"/>
      <c r="K360" s="44"/>
    </row>
    <row r="361">
      <c r="E361" s="42"/>
      <c r="G361" s="43"/>
      <c r="I361" s="44"/>
      <c r="K361" s="44"/>
    </row>
    <row r="362">
      <c r="E362" s="42"/>
      <c r="G362" s="43"/>
      <c r="I362" s="44"/>
      <c r="K362" s="44"/>
    </row>
    <row r="363">
      <c r="E363" s="42"/>
      <c r="G363" s="43"/>
      <c r="I363" s="44"/>
      <c r="K363" s="44"/>
    </row>
    <row r="364">
      <c r="E364" s="42"/>
      <c r="G364" s="43"/>
      <c r="I364" s="44"/>
      <c r="K364" s="44"/>
    </row>
    <row r="365">
      <c r="E365" s="42"/>
      <c r="G365" s="43"/>
      <c r="I365" s="44"/>
      <c r="K365" s="44"/>
    </row>
    <row r="366">
      <c r="E366" s="42"/>
      <c r="G366" s="43"/>
      <c r="I366" s="44"/>
      <c r="K366" s="44"/>
    </row>
    <row r="367">
      <c r="E367" s="42"/>
      <c r="G367" s="43"/>
      <c r="I367" s="44"/>
      <c r="K367" s="44"/>
    </row>
    <row r="368">
      <c r="E368" s="42"/>
      <c r="G368" s="43"/>
      <c r="I368" s="44"/>
      <c r="K368" s="44"/>
    </row>
    <row r="369">
      <c r="E369" s="42"/>
      <c r="G369" s="43"/>
      <c r="I369" s="44"/>
      <c r="K369" s="44"/>
    </row>
    <row r="370">
      <c r="E370" s="42"/>
      <c r="G370" s="43"/>
      <c r="I370" s="44"/>
      <c r="K370" s="44"/>
    </row>
    <row r="371">
      <c r="E371" s="42"/>
      <c r="G371" s="43"/>
      <c r="I371" s="44"/>
      <c r="K371" s="44"/>
    </row>
    <row r="372">
      <c r="E372" s="42"/>
      <c r="G372" s="43"/>
      <c r="I372" s="44"/>
      <c r="K372" s="44"/>
    </row>
    <row r="373">
      <c r="E373" s="42"/>
      <c r="G373" s="43"/>
      <c r="I373" s="44"/>
      <c r="K373" s="44"/>
    </row>
    <row r="374">
      <c r="E374" s="42"/>
      <c r="G374" s="43"/>
      <c r="I374" s="44"/>
      <c r="K374" s="44"/>
    </row>
    <row r="375">
      <c r="E375" s="42"/>
      <c r="G375" s="43"/>
      <c r="I375" s="44"/>
      <c r="K375" s="44"/>
    </row>
    <row r="376">
      <c r="E376" s="42"/>
      <c r="G376" s="43"/>
      <c r="I376" s="44"/>
      <c r="K376" s="44"/>
    </row>
    <row r="377">
      <c r="E377" s="42"/>
      <c r="G377" s="43"/>
      <c r="I377" s="44"/>
      <c r="K377" s="44"/>
    </row>
    <row r="378">
      <c r="E378" s="42"/>
      <c r="G378" s="43"/>
      <c r="I378" s="44"/>
      <c r="K378" s="44"/>
    </row>
    <row r="379">
      <c r="E379" s="42"/>
      <c r="G379" s="43"/>
      <c r="I379" s="44"/>
      <c r="K379" s="44"/>
    </row>
    <row r="380">
      <c r="E380" s="42"/>
      <c r="G380" s="43"/>
      <c r="I380" s="44"/>
      <c r="K380" s="44"/>
    </row>
    <row r="381">
      <c r="E381" s="42"/>
      <c r="G381" s="43"/>
      <c r="I381" s="44"/>
      <c r="K381" s="44"/>
    </row>
    <row r="382">
      <c r="E382" s="42"/>
      <c r="G382" s="43"/>
      <c r="I382" s="44"/>
      <c r="K382" s="44"/>
    </row>
    <row r="383">
      <c r="E383" s="42"/>
      <c r="G383" s="43"/>
      <c r="I383" s="44"/>
      <c r="K383" s="44"/>
    </row>
    <row r="384">
      <c r="E384" s="42"/>
      <c r="G384" s="43"/>
      <c r="I384" s="44"/>
      <c r="K384" s="44"/>
    </row>
    <row r="385">
      <c r="E385" s="42"/>
      <c r="G385" s="43"/>
      <c r="I385" s="44"/>
      <c r="K385" s="44"/>
    </row>
    <row r="386">
      <c r="E386" s="42"/>
      <c r="G386" s="43"/>
      <c r="I386" s="44"/>
      <c r="K386" s="44"/>
    </row>
    <row r="387">
      <c r="E387" s="42"/>
      <c r="G387" s="43"/>
      <c r="I387" s="44"/>
      <c r="K387" s="44"/>
    </row>
    <row r="388">
      <c r="E388" s="42"/>
      <c r="G388" s="43"/>
      <c r="I388" s="44"/>
      <c r="K388" s="44"/>
    </row>
    <row r="389">
      <c r="E389" s="42"/>
      <c r="G389" s="43"/>
      <c r="I389" s="44"/>
      <c r="K389" s="44"/>
    </row>
    <row r="390">
      <c r="E390" s="42"/>
      <c r="G390" s="43"/>
      <c r="I390" s="44"/>
      <c r="K390" s="44"/>
    </row>
    <row r="391">
      <c r="E391" s="42"/>
      <c r="G391" s="43"/>
      <c r="I391" s="44"/>
      <c r="K391" s="44"/>
    </row>
    <row r="392">
      <c r="E392" s="42"/>
      <c r="G392" s="43"/>
      <c r="I392" s="44"/>
      <c r="K392" s="44"/>
    </row>
    <row r="393">
      <c r="E393" s="42"/>
      <c r="G393" s="43"/>
      <c r="I393" s="44"/>
      <c r="K393" s="44"/>
    </row>
    <row r="394">
      <c r="E394" s="42"/>
      <c r="G394" s="43"/>
      <c r="I394" s="44"/>
      <c r="K394" s="44"/>
    </row>
    <row r="395">
      <c r="E395" s="42"/>
      <c r="G395" s="43"/>
      <c r="I395" s="44"/>
      <c r="K395" s="44"/>
    </row>
    <row r="396">
      <c r="E396" s="42"/>
      <c r="G396" s="43"/>
      <c r="I396" s="44"/>
      <c r="K396" s="44"/>
    </row>
    <row r="397">
      <c r="E397" s="42"/>
      <c r="G397" s="43"/>
      <c r="I397" s="44"/>
      <c r="K397" s="44"/>
    </row>
    <row r="398">
      <c r="E398" s="42"/>
      <c r="G398" s="43"/>
      <c r="I398" s="44"/>
      <c r="K398" s="44"/>
    </row>
    <row r="399">
      <c r="E399" s="42"/>
      <c r="G399" s="43"/>
      <c r="I399" s="44"/>
      <c r="K399" s="44"/>
    </row>
    <row r="400">
      <c r="E400" s="42"/>
      <c r="G400" s="43"/>
      <c r="I400" s="44"/>
      <c r="K400" s="44"/>
    </row>
    <row r="401">
      <c r="E401" s="42"/>
      <c r="G401" s="43"/>
      <c r="I401" s="44"/>
      <c r="K401" s="44"/>
    </row>
    <row r="402">
      <c r="E402" s="42"/>
      <c r="G402" s="43"/>
      <c r="I402" s="44"/>
      <c r="K402" s="44"/>
    </row>
    <row r="403">
      <c r="E403" s="42"/>
      <c r="G403" s="43"/>
      <c r="I403" s="44"/>
      <c r="K403" s="44"/>
    </row>
    <row r="404">
      <c r="E404" s="42"/>
      <c r="G404" s="43"/>
      <c r="I404" s="44"/>
      <c r="K404" s="44"/>
    </row>
    <row r="405">
      <c r="E405" s="42"/>
      <c r="G405" s="43"/>
      <c r="I405" s="44"/>
      <c r="K405" s="44"/>
    </row>
    <row r="406">
      <c r="E406" s="42"/>
      <c r="G406" s="43"/>
      <c r="I406" s="44"/>
      <c r="K406" s="44"/>
    </row>
    <row r="407">
      <c r="E407" s="42"/>
      <c r="G407" s="43"/>
      <c r="I407" s="44"/>
      <c r="K407" s="44"/>
    </row>
    <row r="408">
      <c r="E408" s="42"/>
      <c r="G408" s="43"/>
      <c r="I408" s="44"/>
      <c r="K408" s="44"/>
    </row>
    <row r="409">
      <c r="E409" s="42"/>
      <c r="G409" s="43"/>
      <c r="I409" s="44"/>
      <c r="K409" s="44"/>
    </row>
    <row r="410">
      <c r="E410" s="42"/>
      <c r="G410" s="43"/>
      <c r="I410" s="44"/>
      <c r="K410" s="44"/>
    </row>
    <row r="411">
      <c r="E411" s="42"/>
      <c r="G411" s="43"/>
      <c r="I411" s="44"/>
      <c r="K411" s="44"/>
    </row>
    <row r="412">
      <c r="E412" s="42"/>
      <c r="G412" s="43"/>
      <c r="I412" s="44"/>
      <c r="K412" s="44"/>
    </row>
    <row r="413">
      <c r="E413" s="42"/>
      <c r="G413" s="43"/>
      <c r="I413" s="44"/>
      <c r="K413" s="44"/>
    </row>
    <row r="414">
      <c r="E414" s="42"/>
      <c r="G414" s="43"/>
      <c r="I414" s="44"/>
      <c r="K414" s="44"/>
    </row>
    <row r="415">
      <c r="E415" s="42"/>
      <c r="G415" s="43"/>
      <c r="I415" s="44"/>
      <c r="K415" s="44"/>
    </row>
    <row r="416">
      <c r="E416" s="42"/>
      <c r="G416" s="43"/>
      <c r="I416" s="44"/>
      <c r="K416" s="44"/>
    </row>
    <row r="417">
      <c r="E417" s="42"/>
      <c r="G417" s="43"/>
      <c r="I417" s="44"/>
      <c r="K417" s="44"/>
    </row>
    <row r="418">
      <c r="E418" s="42"/>
      <c r="G418" s="43"/>
      <c r="I418" s="44"/>
      <c r="K418" s="44"/>
    </row>
    <row r="419">
      <c r="E419" s="42"/>
      <c r="G419" s="43"/>
      <c r="I419" s="44"/>
      <c r="K419" s="44"/>
    </row>
    <row r="420">
      <c r="E420" s="42"/>
      <c r="G420" s="43"/>
      <c r="I420" s="44"/>
      <c r="K420" s="44"/>
    </row>
    <row r="421">
      <c r="E421" s="42"/>
      <c r="G421" s="43"/>
      <c r="I421" s="44"/>
      <c r="K421" s="44"/>
    </row>
    <row r="422">
      <c r="E422" s="42"/>
      <c r="G422" s="43"/>
      <c r="I422" s="44"/>
      <c r="K422" s="44"/>
    </row>
    <row r="423">
      <c r="E423" s="42"/>
      <c r="G423" s="43"/>
      <c r="I423" s="44"/>
      <c r="K423" s="44"/>
    </row>
    <row r="424">
      <c r="E424" s="42"/>
      <c r="G424" s="43"/>
      <c r="I424" s="44"/>
      <c r="K424" s="44"/>
    </row>
    <row r="425">
      <c r="E425" s="42"/>
      <c r="G425" s="43"/>
      <c r="I425" s="44"/>
      <c r="K425" s="44"/>
    </row>
    <row r="426">
      <c r="E426" s="42"/>
      <c r="G426" s="43"/>
      <c r="I426" s="44"/>
      <c r="K426" s="44"/>
    </row>
    <row r="427">
      <c r="E427" s="42"/>
      <c r="G427" s="43"/>
      <c r="I427" s="44"/>
      <c r="K427" s="44"/>
    </row>
    <row r="428">
      <c r="E428" s="42"/>
      <c r="G428" s="43"/>
      <c r="I428" s="44"/>
      <c r="K428" s="44"/>
    </row>
    <row r="429">
      <c r="E429" s="42"/>
      <c r="G429" s="43"/>
      <c r="I429" s="44"/>
      <c r="K429" s="44"/>
    </row>
    <row r="430">
      <c r="E430" s="42"/>
      <c r="G430" s="43"/>
      <c r="I430" s="44"/>
      <c r="K430" s="44"/>
    </row>
    <row r="431">
      <c r="E431" s="42"/>
      <c r="G431" s="43"/>
      <c r="I431" s="44"/>
      <c r="K431" s="44"/>
    </row>
    <row r="432">
      <c r="E432" s="42"/>
      <c r="G432" s="43"/>
      <c r="I432" s="44"/>
      <c r="K432" s="44"/>
    </row>
    <row r="433">
      <c r="E433" s="42"/>
      <c r="G433" s="43"/>
      <c r="I433" s="44"/>
      <c r="K433" s="44"/>
    </row>
    <row r="434">
      <c r="E434" s="42"/>
      <c r="G434" s="43"/>
      <c r="I434" s="44"/>
      <c r="K434" s="44"/>
    </row>
    <row r="435">
      <c r="E435" s="42"/>
      <c r="G435" s="43"/>
      <c r="I435" s="44"/>
      <c r="K435" s="44"/>
    </row>
    <row r="436">
      <c r="E436" s="42"/>
      <c r="G436" s="43"/>
      <c r="I436" s="44"/>
      <c r="K436" s="44"/>
    </row>
    <row r="437">
      <c r="E437" s="42"/>
      <c r="G437" s="43"/>
      <c r="I437" s="44"/>
      <c r="K437" s="44"/>
    </row>
    <row r="438">
      <c r="E438" s="42"/>
      <c r="G438" s="43"/>
      <c r="I438" s="44"/>
      <c r="K438" s="44"/>
    </row>
    <row r="439">
      <c r="E439" s="42"/>
      <c r="G439" s="43"/>
      <c r="I439" s="44"/>
      <c r="K439" s="44"/>
    </row>
    <row r="440">
      <c r="E440" s="42"/>
      <c r="G440" s="43"/>
      <c r="I440" s="44"/>
      <c r="K440" s="44"/>
    </row>
    <row r="441">
      <c r="E441" s="42"/>
      <c r="G441" s="43"/>
      <c r="I441" s="44"/>
      <c r="K441" s="44"/>
    </row>
    <row r="442">
      <c r="E442" s="42"/>
      <c r="G442" s="43"/>
      <c r="I442" s="44"/>
      <c r="K442" s="44"/>
    </row>
    <row r="443">
      <c r="E443" s="42"/>
      <c r="G443" s="43"/>
      <c r="I443" s="44"/>
      <c r="K443" s="44"/>
    </row>
    <row r="444">
      <c r="E444" s="42"/>
      <c r="G444" s="43"/>
      <c r="I444" s="44"/>
      <c r="K444" s="44"/>
    </row>
    <row r="445">
      <c r="E445" s="42"/>
      <c r="G445" s="43"/>
      <c r="I445" s="44"/>
      <c r="K445" s="44"/>
    </row>
    <row r="446">
      <c r="E446" s="42"/>
      <c r="G446" s="43"/>
      <c r="I446" s="44"/>
      <c r="K446" s="44"/>
    </row>
    <row r="447">
      <c r="E447" s="42"/>
      <c r="G447" s="43"/>
      <c r="I447" s="44"/>
      <c r="K447" s="44"/>
    </row>
    <row r="448">
      <c r="E448" s="42"/>
      <c r="G448" s="43"/>
      <c r="I448" s="44"/>
      <c r="K448" s="44"/>
    </row>
    <row r="449">
      <c r="E449" s="42"/>
      <c r="G449" s="43"/>
      <c r="I449" s="44"/>
      <c r="K449" s="44"/>
    </row>
    <row r="450">
      <c r="E450" s="42"/>
      <c r="G450" s="43"/>
      <c r="I450" s="44"/>
      <c r="K450" s="44"/>
    </row>
    <row r="451">
      <c r="E451" s="42"/>
      <c r="G451" s="43"/>
      <c r="I451" s="44"/>
      <c r="K451" s="44"/>
    </row>
    <row r="452">
      <c r="E452" s="42"/>
      <c r="G452" s="43"/>
      <c r="I452" s="44"/>
      <c r="K452" s="44"/>
    </row>
    <row r="453">
      <c r="E453" s="42"/>
      <c r="G453" s="43"/>
      <c r="I453" s="44"/>
      <c r="K453" s="44"/>
    </row>
    <row r="454">
      <c r="E454" s="42"/>
      <c r="G454" s="43"/>
      <c r="I454" s="44"/>
      <c r="K454" s="44"/>
    </row>
    <row r="455">
      <c r="E455" s="42"/>
      <c r="G455" s="43"/>
      <c r="I455" s="44"/>
      <c r="K455" s="44"/>
    </row>
    <row r="456">
      <c r="E456" s="42"/>
      <c r="G456" s="43"/>
      <c r="I456" s="44"/>
      <c r="K456" s="44"/>
    </row>
    <row r="457">
      <c r="E457" s="42"/>
      <c r="G457" s="43"/>
      <c r="I457" s="44"/>
      <c r="K457" s="44"/>
    </row>
    <row r="458">
      <c r="E458" s="42"/>
      <c r="G458" s="43"/>
      <c r="I458" s="44"/>
      <c r="K458" s="44"/>
    </row>
    <row r="459">
      <c r="E459" s="42"/>
      <c r="G459" s="43"/>
      <c r="I459" s="44"/>
      <c r="K459" s="44"/>
    </row>
    <row r="460">
      <c r="E460" s="42"/>
      <c r="G460" s="43"/>
      <c r="I460" s="44"/>
      <c r="K460" s="44"/>
    </row>
    <row r="461">
      <c r="E461" s="42"/>
      <c r="G461" s="43"/>
      <c r="I461" s="44"/>
      <c r="K461" s="44"/>
    </row>
    <row r="462">
      <c r="E462" s="42"/>
      <c r="G462" s="43"/>
      <c r="I462" s="44"/>
      <c r="K462" s="44"/>
    </row>
    <row r="463">
      <c r="E463" s="42"/>
      <c r="G463" s="43"/>
      <c r="I463" s="44"/>
      <c r="K463" s="44"/>
    </row>
    <row r="464">
      <c r="E464" s="42"/>
      <c r="G464" s="43"/>
      <c r="I464" s="44"/>
      <c r="K464" s="44"/>
    </row>
    <row r="465">
      <c r="E465" s="42"/>
      <c r="G465" s="43"/>
      <c r="I465" s="44"/>
      <c r="K465" s="44"/>
    </row>
    <row r="466">
      <c r="E466" s="42"/>
      <c r="G466" s="43"/>
      <c r="I466" s="44"/>
      <c r="K466" s="44"/>
    </row>
    <row r="467">
      <c r="E467" s="42"/>
      <c r="G467" s="43"/>
      <c r="I467" s="44"/>
      <c r="K467" s="44"/>
    </row>
    <row r="468">
      <c r="E468" s="42"/>
      <c r="G468" s="43"/>
      <c r="I468" s="44"/>
      <c r="K468" s="44"/>
    </row>
    <row r="469">
      <c r="E469" s="42"/>
      <c r="G469" s="43"/>
      <c r="I469" s="44"/>
      <c r="K469" s="44"/>
    </row>
    <row r="470">
      <c r="E470" s="42"/>
      <c r="G470" s="43"/>
      <c r="I470" s="44"/>
      <c r="K470" s="44"/>
    </row>
    <row r="471">
      <c r="E471" s="42"/>
      <c r="G471" s="43"/>
      <c r="I471" s="44"/>
      <c r="K471" s="44"/>
    </row>
    <row r="472">
      <c r="E472" s="42"/>
      <c r="G472" s="43"/>
      <c r="I472" s="44"/>
      <c r="K472" s="44"/>
    </row>
    <row r="473">
      <c r="E473" s="42"/>
      <c r="G473" s="43"/>
      <c r="I473" s="44"/>
      <c r="K473" s="44"/>
    </row>
    <row r="474">
      <c r="E474" s="42"/>
      <c r="G474" s="43"/>
      <c r="I474" s="44"/>
      <c r="K474" s="44"/>
    </row>
    <row r="475">
      <c r="E475" s="42"/>
      <c r="G475" s="43"/>
      <c r="I475" s="44"/>
      <c r="K475" s="44"/>
    </row>
    <row r="476">
      <c r="E476" s="42"/>
      <c r="G476" s="43"/>
      <c r="I476" s="44"/>
      <c r="K476" s="44"/>
    </row>
    <row r="477">
      <c r="E477" s="42"/>
      <c r="G477" s="43"/>
      <c r="I477" s="44"/>
      <c r="K477" s="44"/>
    </row>
    <row r="478">
      <c r="E478" s="42"/>
      <c r="G478" s="43"/>
      <c r="I478" s="44"/>
      <c r="K478" s="44"/>
    </row>
    <row r="479">
      <c r="E479" s="42"/>
      <c r="G479" s="43"/>
      <c r="I479" s="44"/>
      <c r="K479" s="44"/>
    </row>
    <row r="480">
      <c r="E480" s="42"/>
      <c r="G480" s="43"/>
      <c r="I480" s="44"/>
      <c r="K480" s="44"/>
    </row>
    <row r="481">
      <c r="E481" s="42"/>
      <c r="G481" s="43"/>
      <c r="I481" s="44"/>
      <c r="K481" s="44"/>
    </row>
    <row r="482">
      <c r="E482" s="42"/>
      <c r="G482" s="43"/>
      <c r="I482" s="44"/>
      <c r="K482" s="44"/>
    </row>
    <row r="483">
      <c r="E483" s="42"/>
      <c r="G483" s="43"/>
      <c r="I483" s="44"/>
      <c r="K483" s="44"/>
    </row>
    <row r="484">
      <c r="E484" s="42"/>
      <c r="G484" s="43"/>
      <c r="I484" s="44"/>
      <c r="K484" s="44"/>
    </row>
    <row r="485">
      <c r="E485" s="42"/>
      <c r="G485" s="43"/>
      <c r="I485" s="44"/>
      <c r="K485" s="44"/>
    </row>
    <row r="486">
      <c r="E486" s="42"/>
      <c r="G486" s="43"/>
      <c r="I486" s="44"/>
      <c r="K486" s="44"/>
    </row>
    <row r="487">
      <c r="E487" s="42"/>
      <c r="G487" s="43"/>
      <c r="I487" s="44"/>
      <c r="K487" s="44"/>
    </row>
    <row r="488">
      <c r="E488" s="42"/>
      <c r="G488" s="43"/>
      <c r="I488" s="44"/>
      <c r="K488" s="44"/>
    </row>
    <row r="489">
      <c r="E489" s="42"/>
      <c r="G489" s="43"/>
      <c r="I489" s="44"/>
      <c r="K489" s="44"/>
    </row>
    <row r="490">
      <c r="E490" s="42"/>
      <c r="G490" s="43"/>
      <c r="I490" s="44"/>
      <c r="K490" s="44"/>
    </row>
    <row r="491">
      <c r="E491" s="42"/>
      <c r="G491" s="43"/>
      <c r="I491" s="44"/>
      <c r="K491" s="44"/>
    </row>
    <row r="492">
      <c r="E492" s="42"/>
      <c r="G492" s="43"/>
      <c r="I492" s="44"/>
      <c r="K492" s="44"/>
    </row>
    <row r="493">
      <c r="E493" s="42"/>
      <c r="G493" s="43"/>
      <c r="I493" s="44"/>
      <c r="K493" s="44"/>
    </row>
    <row r="494">
      <c r="E494" s="42"/>
      <c r="G494" s="43"/>
      <c r="I494" s="44"/>
      <c r="K494" s="44"/>
    </row>
    <row r="495">
      <c r="E495" s="42"/>
      <c r="G495" s="43"/>
      <c r="I495" s="44"/>
      <c r="K495" s="44"/>
    </row>
    <row r="496">
      <c r="E496" s="42"/>
      <c r="G496" s="43"/>
      <c r="I496" s="44"/>
      <c r="K496" s="44"/>
    </row>
    <row r="497">
      <c r="E497" s="42"/>
      <c r="G497" s="43"/>
      <c r="I497" s="44"/>
      <c r="K497" s="44"/>
    </row>
    <row r="498">
      <c r="E498" s="42"/>
      <c r="G498" s="43"/>
      <c r="I498" s="44"/>
      <c r="K498" s="44"/>
    </row>
    <row r="499">
      <c r="E499" s="42"/>
      <c r="G499" s="43"/>
      <c r="I499" s="44"/>
      <c r="K499" s="44"/>
    </row>
    <row r="500">
      <c r="E500" s="42"/>
      <c r="G500" s="43"/>
      <c r="I500" s="44"/>
      <c r="K500" s="44"/>
    </row>
    <row r="501">
      <c r="E501" s="42"/>
      <c r="G501" s="43"/>
      <c r="I501" s="44"/>
      <c r="K501" s="44"/>
    </row>
    <row r="502">
      <c r="E502" s="42"/>
      <c r="G502" s="43"/>
      <c r="I502" s="44"/>
      <c r="K502" s="44"/>
    </row>
    <row r="503">
      <c r="E503" s="42"/>
      <c r="G503" s="43"/>
      <c r="I503" s="44"/>
      <c r="K503" s="44"/>
    </row>
    <row r="504">
      <c r="E504" s="42"/>
      <c r="G504" s="43"/>
      <c r="I504" s="44"/>
      <c r="K504" s="44"/>
    </row>
    <row r="505">
      <c r="E505" s="42"/>
      <c r="G505" s="43"/>
      <c r="I505" s="44"/>
      <c r="K505" s="44"/>
    </row>
    <row r="506">
      <c r="E506" s="42"/>
      <c r="G506" s="43"/>
      <c r="I506" s="44"/>
      <c r="K506" s="44"/>
    </row>
    <row r="507">
      <c r="E507" s="42"/>
      <c r="G507" s="43"/>
      <c r="I507" s="44"/>
      <c r="K507" s="44"/>
    </row>
    <row r="508">
      <c r="E508" s="42"/>
      <c r="G508" s="43"/>
      <c r="I508" s="44"/>
      <c r="K508" s="44"/>
    </row>
    <row r="509">
      <c r="E509" s="42"/>
      <c r="G509" s="43"/>
      <c r="I509" s="44"/>
      <c r="K509" s="44"/>
    </row>
    <row r="510">
      <c r="E510" s="42"/>
      <c r="G510" s="43"/>
      <c r="I510" s="44"/>
      <c r="K510" s="44"/>
    </row>
    <row r="511">
      <c r="E511" s="42"/>
      <c r="G511" s="43"/>
      <c r="I511" s="44"/>
      <c r="K511" s="44"/>
    </row>
    <row r="512">
      <c r="E512" s="42"/>
      <c r="G512" s="43"/>
      <c r="I512" s="44"/>
      <c r="K512" s="44"/>
    </row>
    <row r="513">
      <c r="E513" s="42"/>
      <c r="G513" s="43"/>
      <c r="I513" s="44"/>
      <c r="K513" s="44"/>
    </row>
    <row r="514">
      <c r="E514" s="42"/>
      <c r="G514" s="43"/>
      <c r="I514" s="44"/>
      <c r="K514" s="44"/>
    </row>
    <row r="515">
      <c r="E515" s="42"/>
      <c r="G515" s="43"/>
      <c r="I515" s="44"/>
      <c r="K515" s="44"/>
    </row>
    <row r="516">
      <c r="E516" s="42"/>
      <c r="G516" s="43"/>
      <c r="I516" s="44"/>
      <c r="K516" s="44"/>
    </row>
    <row r="517">
      <c r="E517" s="42"/>
      <c r="G517" s="43"/>
      <c r="I517" s="44"/>
      <c r="K517" s="44"/>
    </row>
    <row r="518">
      <c r="E518" s="42"/>
      <c r="G518" s="43"/>
      <c r="I518" s="44"/>
      <c r="K518" s="44"/>
    </row>
    <row r="519">
      <c r="E519" s="42"/>
      <c r="G519" s="43"/>
      <c r="I519" s="44"/>
      <c r="K519" s="44"/>
    </row>
    <row r="520">
      <c r="E520" s="42"/>
      <c r="G520" s="43"/>
      <c r="I520" s="44"/>
      <c r="K520" s="44"/>
    </row>
    <row r="521">
      <c r="E521" s="42"/>
      <c r="G521" s="43"/>
      <c r="I521" s="44"/>
      <c r="K521" s="44"/>
    </row>
    <row r="522">
      <c r="E522" s="42"/>
      <c r="G522" s="43"/>
      <c r="I522" s="44"/>
      <c r="K522" s="44"/>
    </row>
    <row r="523">
      <c r="E523" s="42"/>
      <c r="G523" s="43"/>
      <c r="I523" s="44"/>
      <c r="K523" s="44"/>
    </row>
    <row r="524">
      <c r="E524" s="42"/>
      <c r="G524" s="43"/>
      <c r="I524" s="44"/>
      <c r="K524" s="44"/>
    </row>
    <row r="525">
      <c r="E525" s="42"/>
      <c r="G525" s="43"/>
      <c r="I525" s="44"/>
      <c r="K525" s="44"/>
    </row>
    <row r="526">
      <c r="E526" s="42"/>
      <c r="G526" s="43"/>
      <c r="I526" s="44"/>
      <c r="K526" s="44"/>
    </row>
    <row r="527">
      <c r="E527" s="42"/>
      <c r="G527" s="43"/>
      <c r="I527" s="44"/>
      <c r="K527" s="44"/>
    </row>
    <row r="528">
      <c r="E528" s="42"/>
      <c r="G528" s="43"/>
      <c r="I528" s="44"/>
      <c r="K528" s="44"/>
    </row>
    <row r="529">
      <c r="E529" s="42"/>
      <c r="G529" s="43"/>
      <c r="I529" s="44"/>
      <c r="K529" s="44"/>
    </row>
    <row r="530">
      <c r="E530" s="42"/>
      <c r="G530" s="43"/>
      <c r="I530" s="44"/>
      <c r="K530" s="44"/>
    </row>
    <row r="531">
      <c r="E531" s="42"/>
      <c r="G531" s="43"/>
      <c r="I531" s="44"/>
      <c r="K531" s="44"/>
    </row>
    <row r="532">
      <c r="E532" s="42"/>
      <c r="G532" s="43"/>
      <c r="I532" s="44"/>
      <c r="K532" s="44"/>
    </row>
    <row r="533">
      <c r="E533" s="42"/>
      <c r="G533" s="43"/>
      <c r="I533" s="44"/>
      <c r="K533" s="44"/>
    </row>
    <row r="534">
      <c r="E534" s="42"/>
      <c r="G534" s="43"/>
      <c r="I534" s="44"/>
      <c r="K534" s="44"/>
    </row>
    <row r="535">
      <c r="E535" s="42"/>
      <c r="G535" s="43"/>
      <c r="I535" s="44"/>
      <c r="K535" s="44"/>
    </row>
    <row r="536">
      <c r="E536" s="42"/>
      <c r="G536" s="43"/>
      <c r="I536" s="44"/>
      <c r="K536" s="44"/>
    </row>
    <row r="537">
      <c r="E537" s="42"/>
      <c r="G537" s="43"/>
      <c r="I537" s="44"/>
      <c r="K537" s="44"/>
    </row>
    <row r="538">
      <c r="E538" s="42"/>
      <c r="G538" s="43"/>
      <c r="I538" s="44"/>
      <c r="K538" s="44"/>
    </row>
    <row r="539">
      <c r="E539" s="42"/>
      <c r="G539" s="43"/>
      <c r="I539" s="44"/>
      <c r="K539" s="44"/>
    </row>
    <row r="540">
      <c r="E540" s="42"/>
      <c r="G540" s="43"/>
      <c r="I540" s="44"/>
      <c r="K540" s="44"/>
    </row>
    <row r="541">
      <c r="E541" s="42"/>
      <c r="G541" s="43"/>
      <c r="I541" s="44"/>
      <c r="K541" s="44"/>
    </row>
    <row r="542">
      <c r="E542" s="42"/>
      <c r="G542" s="43"/>
      <c r="I542" s="44"/>
      <c r="K542" s="44"/>
    </row>
    <row r="543">
      <c r="E543" s="42"/>
      <c r="G543" s="43"/>
      <c r="I543" s="44"/>
      <c r="K543" s="44"/>
    </row>
    <row r="544">
      <c r="E544" s="42"/>
      <c r="G544" s="43"/>
      <c r="I544" s="44"/>
      <c r="K544" s="44"/>
    </row>
    <row r="545">
      <c r="E545" s="42"/>
      <c r="G545" s="43"/>
      <c r="I545" s="44"/>
      <c r="K545" s="44"/>
    </row>
    <row r="546">
      <c r="E546" s="42"/>
      <c r="G546" s="43"/>
      <c r="I546" s="44"/>
      <c r="K546" s="44"/>
    </row>
    <row r="547">
      <c r="E547" s="42"/>
      <c r="G547" s="43"/>
      <c r="I547" s="44"/>
      <c r="K547" s="44"/>
    </row>
    <row r="548">
      <c r="E548" s="42"/>
      <c r="G548" s="43"/>
      <c r="I548" s="44"/>
      <c r="K548" s="44"/>
    </row>
    <row r="549">
      <c r="E549" s="42"/>
      <c r="G549" s="43"/>
      <c r="I549" s="44"/>
      <c r="K549" s="44"/>
    </row>
    <row r="550">
      <c r="E550" s="42"/>
      <c r="G550" s="43"/>
      <c r="I550" s="44"/>
      <c r="K550" s="44"/>
    </row>
    <row r="551">
      <c r="E551" s="42"/>
      <c r="G551" s="43"/>
      <c r="I551" s="44"/>
      <c r="K551" s="44"/>
    </row>
    <row r="552">
      <c r="E552" s="42"/>
      <c r="G552" s="43"/>
      <c r="I552" s="44"/>
      <c r="K552" s="44"/>
    </row>
    <row r="553">
      <c r="E553" s="42"/>
      <c r="G553" s="43"/>
      <c r="I553" s="44"/>
      <c r="K553" s="44"/>
    </row>
    <row r="554">
      <c r="E554" s="42"/>
      <c r="G554" s="43"/>
      <c r="I554" s="44"/>
      <c r="K554" s="44"/>
    </row>
    <row r="555">
      <c r="E555" s="42"/>
      <c r="G555" s="43"/>
      <c r="I555" s="44"/>
      <c r="K555" s="44"/>
    </row>
    <row r="556">
      <c r="E556" s="42"/>
      <c r="G556" s="43"/>
      <c r="I556" s="44"/>
      <c r="K556" s="44"/>
    </row>
    <row r="557">
      <c r="E557" s="42"/>
      <c r="G557" s="43"/>
      <c r="I557" s="44"/>
      <c r="K557" s="44"/>
    </row>
    <row r="558">
      <c r="E558" s="42"/>
      <c r="G558" s="43"/>
      <c r="I558" s="44"/>
      <c r="K558" s="44"/>
    </row>
    <row r="559">
      <c r="E559" s="42"/>
      <c r="G559" s="43"/>
      <c r="I559" s="44"/>
      <c r="K559" s="44"/>
    </row>
    <row r="560">
      <c r="E560" s="42"/>
      <c r="G560" s="43"/>
      <c r="I560" s="44"/>
      <c r="K560" s="44"/>
    </row>
    <row r="561">
      <c r="E561" s="42"/>
      <c r="G561" s="43"/>
      <c r="I561" s="44"/>
      <c r="K561" s="44"/>
    </row>
    <row r="562">
      <c r="E562" s="42"/>
      <c r="G562" s="43"/>
      <c r="I562" s="44"/>
      <c r="K562" s="44"/>
    </row>
    <row r="563">
      <c r="E563" s="42"/>
      <c r="G563" s="43"/>
      <c r="I563" s="44"/>
      <c r="K563" s="44"/>
    </row>
    <row r="564">
      <c r="E564" s="42"/>
      <c r="G564" s="43"/>
      <c r="I564" s="44"/>
      <c r="K564" s="44"/>
    </row>
    <row r="565">
      <c r="E565" s="42"/>
      <c r="G565" s="43"/>
      <c r="I565" s="44"/>
      <c r="K565" s="44"/>
    </row>
    <row r="566">
      <c r="E566" s="42"/>
      <c r="G566" s="43"/>
      <c r="I566" s="44"/>
      <c r="K566" s="44"/>
    </row>
    <row r="567">
      <c r="E567" s="42"/>
      <c r="G567" s="43"/>
      <c r="I567" s="44"/>
      <c r="K567" s="44"/>
    </row>
    <row r="568">
      <c r="E568" s="42"/>
      <c r="G568" s="43"/>
      <c r="I568" s="44"/>
      <c r="K568" s="44"/>
    </row>
    <row r="569">
      <c r="E569" s="42"/>
      <c r="G569" s="43"/>
      <c r="I569" s="44"/>
      <c r="K569" s="44"/>
    </row>
    <row r="570">
      <c r="E570" s="42"/>
      <c r="G570" s="43"/>
      <c r="I570" s="44"/>
      <c r="K570" s="44"/>
    </row>
    <row r="571">
      <c r="E571" s="42"/>
      <c r="G571" s="43"/>
      <c r="I571" s="44"/>
      <c r="K571" s="44"/>
    </row>
    <row r="572">
      <c r="E572" s="42"/>
      <c r="G572" s="43"/>
      <c r="I572" s="44"/>
      <c r="K572" s="44"/>
    </row>
    <row r="573">
      <c r="E573" s="42"/>
      <c r="G573" s="43"/>
      <c r="I573" s="44"/>
      <c r="K573" s="44"/>
    </row>
    <row r="574">
      <c r="E574" s="42"/>
      <c r="G574" s="43"/>
      <c r="I574" s="44"/>
      <c r="K574" s="44"/>
    </row>
    <row r="575">
      <c r="E575" s="42"/>
      <c r="G575" s="43"/>
      <c r="I575" s="44"/>
      <c r="K575" s="44"/>
    </row>
    <row r="576">
      <c r="E576" s="42"/>
      <c r="G576" s="43"/>
      <c r="I576" s="44"/>
      <c r="K576" s="44"/>
    </row>
    <row r="577">
      <c r="E577" s="42"/>
      <c r="G577" s="43"/>
      <c r="I577" s="44"/>
      <c r="K577" s="44"/>
    </row>
    <row r="578">
      <c r="E578" s="42"/>
      <c r="G578" s="43"/>
      <c r="I578" s="44"/>
      <c r="K578" s="44"/>
    </row>
    <row r="579">
      <c r="E579" s="42"/>
      <c r="G579" s="43"/>
      <c r="I579" s="44"/>
      <c r="K579" s="44"/>
    </row>
    <row r="580">
      <c r="E580" s="42"/>
      <c r="G580" s="43"/>
      <c r="I580" s="44"/>
      <c r="K580" s="44"/>
    </row>
    <row r="581">
      <c r="E581" s="42"/>
      <c r="G581" s="43"/>
      <c r="I581" s="44"/>
      <c r="K581" s="44"/>
    </row>
    <row r="582">
      <c r="E582" s="42"/>
      <c r="G582" s="43"/>
      <c r="I582" s="44"/>
      <c r="K582" s="44"/>
    </row>
    <row r="583">
      <c r="E583" s="42"/>
      <c r="G583" s="43"/>
      <c r="I583" s="44"/>
      <c r="K583" s="44"/>
    </row>
    <row r="584">
      <c r="E584" s="42"/>
      <c r="G584" s="43"/>
      <c r="I584" s="44"/>
      <c r="K584" s="44"/>
    </row>
    <row r="585">
      <c r="E585" s="42"/>
      <c r="G585" s="43"/>
      <c r="I585" s="44"/>
      <c r="K585" s="44"/>
    </row>
    <row r="586">
      <c r="E586" s="42"/>
      <c r="G586" s="43"/>
      <c r="I586" s="44"/>
      <c r="K586" s="44"/>
    </row>
    <row r="587">
      <c r="E587" s="42"/>
      <c r="G587" s="43"/>
      <c r="I587" s="44"/>
      <c r="K587" s="44"/>
    </row>
    <row r="588">
      <c r="E588" s="42"/>
      <c r="G588" s="43"/>
      <c r="I588" s="44"/>
      <c r="K588" s="44"/>
    </row>
    <row r="589">
      <c r="E589" s="42"/>
      <c r="G589" s="43"/>
      <c r="I589" s="44"/>
      <c r="K589" s="44"/>
    </row>
    <row r="590">
      <c r="E590" s="42"/>
      <c r="G590" s="43"/>
      <c r="I590" s="44"/>
      <c r="K590" s="44"/>
    </row>
    <row r="591">
      <c r="E591" s="42"/>
      <c r="G591" s="43"/>
      <c r="I591" s="44"/>
      <c r="K591" s="44"/>
    </row>
    <row r="592">
      <c r="E592" s="42"/>
      <c r="G592" s="43"/>
      <c r="I592" s="44"/>
      <c r="K592" s="44"/>
    </row>
    <row r="593">
      <c r="E593" s="42"/>
      <c r="G593" s="43"/>
      <c r="I593" s="44"/>
      <c r="K593" s="44"/>
    </row>
    <row r="594">
      <c r="E594" s="42"/>
      <c r="G594" s="43"/>
      <c r="I594" s="44"/>
      <c r="K594" s="44"/>
    </row>
    <row r="595">
      <c r="E595" s="42"/>
      <c r="G595" s="43"/>
      <c r="I595" s="44"/>
      <c r="K595" s="44"/>
    </row>
    <row r="596">
      <c r="E596" s="42"/>
      <c r="G596" s="43"/>
      <c r="I596" s="44"/>
      <c r="K596" s="44"/>
    </row>
    <row r="597">
      <c r="E597" s="42"/>
      <c r="G597" s="43"/>
      <c r="I597" s="44"/>
      <c r="K597" s="44"/>
    </row>
    <row r="598">
      <c r="E598" s="42"/>
      <c r="G598" s="43"/>
      <c r="I598" s="44"/>
      <c r="K598" s="44"/>
    </row>
    <row r="599">
      <c r="E599" s="42"/>
      <c r="G599" s="43"/>
      <c r="I599" s="44"/>
      <c r="K599" s="44"/>
    </row>
    <row r="600">
      <c r="E600" s="42"/>
      <c r="G600" s="43"/>
      <c r="I600" s="44"/>
      <c r="K600" s="44"/>
    </row>
    <row r="601">
      <c r="E601" s="42"/>
      <c r="G601" s="43"/>
      <c r="I601" s="44"/>
      <c r="K601" s="44"/>
    </row>
    <row r="602">
      <c r="E602" s="42"/>
      <c r="G602" s="43"/>
      <c r="I602" s="44"/>
      <c r="K602" s="44"/>
    </row>
    <row r="603">
      <c r="E603" s="42"/>
      <c r="G603" s="43"/>
      <c r="I603" s="44"/>
      <c r="K603" s="44"/>
    </row>
    <row r="604">
      <c r="E604" s="42"/>
      <c r="G604" s="43"/>
      <c r="I604" s="44"/>
      <c r="K604" s="44"/>
    </row>
    <row r="605">
      <c r="E605" s="42"/>
      <c r="G605" s="43"/>
      <c r="I605" s="44"/>
      <c r="K605" s="44"/>
    </row>
    <row r="606">
      <c r="E606" s="42"/>
      <c r="G606" s="43"/>
      <c r="I606" s="44"/>
      <c r="K606" s="44"/>
    </row>
    <row r="607">
      <c r="E607" s="42"/>
      <c r="G607" s="43"/>
      <c r="I607" s="44"/>
      <c r="K607" s="44"/>
    </row>
    <row r="608">
      <c r="E608" s="42"/>
      <c r="G608" s="43"/>
      <c r="I608" s="44"/>
      <c r="K608" s="44"/>
    </row>
    <row r="609">
      <c r="E609" s="42"/>
      <c r="G609" s="43"/>
      <c r="I609" s="44"/>
      <c r="K609" s="44"/>
    </row>
    <row r="610">
      <c r="E610" s="42"/>
      <c r="G610" s="43"/>
      <c r="I610" s="44"/>
      <c r="K610" s="44"/>
    </row>
    <row r="611">
      <c r="E611" s="42"/>
      <c r="G611" s="43"/>
      <c r="I611" s="44"/>
      <c r="K611" s="44"/>
    </row>
    <row r="612">
      <c r="E612" s="42"/>
      <c r="G612" s="43"/>
      <c r="I612" s="44"/>
      <c r="K612" s="44"/>
    </row>
    <row r="613">
      <c r="E613" s="42"/>
      <c r="G613" s="43"/>
      <c r="I613" s="44"/>
      <c r="K613" s="44"/>
    </row>
    <row r="614">
      <c r="E614" s="42"/>
      <c r="G614" s="43"/>
      <c r="I614" s="44"/>
      <c r="K614" s="44"/>
    </row>
    <row r="615">
      <c r="E615" s="42"/>
      <c r="G615" s="43"/>
      <c r="I615" s="44"/>
      <c r="K615" s="44"/>
    </row>
    <row r="616">
      <c r="E616" s="42"/>
      <c r="G616" s="43"/>
      <c r="I616" s="44"/>
      <c r="K616" s="44"/>
    </row>
    <row r="617">
      <c r="E617" s="42"/>
      <c r="G617" s="43"/>
      <c r="I617" s="44"/>
      <c r="K617" s="44"/>
    </row>
    <row r="618">
      <c r="E618" s="42"/>
      <c r="G618" s="43"/>
      <c r="I618" s="44"/>
      <c r="K618" s="44"/>
    </row>
    <row r="619">
      <c r="E619" s="42"/>
      <c r="G619" s="43"/>
      <c r="I619" s="44"/>
      <c r="K619" s="44"/>
    </row>
    <row r="620">
      <c r="E620" s="42"/>
      <c r="G620" s="43"/>
      <c r="I620" s="44"/>
      <c r="K620" s="44"/>
    </row>
    <row r="621">
      <c r="E621" s="42"/>
      <c r="G621" s="43"/>
      <c r="I621" s="44"/>
      <c r="K621" s="44"/>
    </row>
    <row r="622">
      <c r="E622" s="42"/>
      <c r="G622" s="43"/>
      <c r="I622" s="44"/>
      <c r="K622" s="44"/>
    </row>
    <row r="623">
      <c r="E623" s="42"/>
      <c r="G623" s="43"/>
      <c r="I623" s="44"/>
      <c r="K623" s="44"/>
    </row>
    <row r="624">
      <c r="E624" s="42"/>
      <c r="G624" s="43"/>
      <c r="I624" s="44"/>
      <c r="K624" s="44"/>
    </row>
    <row r="625">
      <c r="E625" s="42"/>
      <c r="G625" s="43"/>
      <c r="I625" s="44"/>
      <c r="K625" s="44"/>
    </row>
    <row r="626">
      <c r="E626" s="42"/>
      <c r="G626" s="43"/>
      <c r="I626" s="44"/>
      <c r="K626" s="44"/>
    </row>
    <row r="627">
      <c r="E627" s="42"/>
      <c r="G627" s="43"/>
      <c r="I627" s="44"/>
      <c r="K627" s="44"/>
    </row>
    <row r="628">
      <c r="E628" s="42"/>
      <c r="G628" s="43"/>
      <c r="I628" s="44"/>
      <c r="K628" s="44"/>
    </row>
    <row r="629">
      <c r="E629" s="42"/>
      <c r="G629" s="43"/>
      <c r="I629" s="44"/>
      <c r="K629" s="44"/>
    </row>
    <row r="630">
      <c r="E630" s="42"/>
      <c r="G630" s="43"/>
      <c r="I630" s="44"/>
      <c r="K630" s="44"/>
    </row>
    <row r="631">
      <c r="E631" s="42"/>
      <c r="G631" s="43"/>
      <c r="I631" s="44"/>
      <c r="K631" s="44"/>
    </row>
    <row r="632">
      <c r="E632" s="42"/>
      <c r="G632" s="43"/>
      <c r="I632" s="44"/>
      <c r="K632" s="44"/>
    </row>
    <row r="633">
      <c r="E633" s="42"/>
      <c r="G633" s="43"/>
      <c r="I633" s="44"/>
      <c r="K633" s="44"/>
    </row>
    <row r="634">
      <c r="E634" s="42"/>
      <c r="G634" s="43"/>
      <c r="I634" s="44"/>
      <c r="K634" s="44"/>
    </row>
    <row r="635">
      <c r="E635" s="42"/>
      <c r="G635" s="43"/>
      <c r="I635" s="44"/>
      <c r="K635" s="44"/>
    </row>
    <row r="636">
      <c r="E636" s="42"/>
      <c r="G636" s="43"/>
      <c r="I636" s="44"/>
      <c r="K636" s="44"/>
    </row>
    <row r="637">
      <c r="E637" s="42"/>
      <c r="G637" s="43"/>
      <c r="I637" s="44"/>
      <c r="K637" s="44"/>
    </row>
    <row r="638">
      <c r="E638" s="42"/>
      <c r="G638" s="43"/>
      <c r="I638" s="44"/>
      <c r="K638" s="44"/>
    </row>
    <row r="639">
      <c r="E639" s="42"/>
      <c r="G639" s="43"/>
      <c r="I639" s="44"/>
      <c r="K639" s="44"/>
    </row>
    <row r="640">
      <c r="E640" s="42"/>
      <c r="G640" s="43"/>
      <c r="I640" s="44"/>
      <c r="K640" s="44"/>
    </row>
    <row r="641">
      <c r="E641" s="42"/>
      <c r="G641" s="43"/>
      <c r="I641" s="44"/>
      <c r="K641" s="44"/>
    </row>
    <row r="642">
      <c r="E642" s="42"/>
      <c r="G642" s="43"/>
      <c r="I642" s="44"/>
      <c r="K642" s="44"/>
    </row>
    <row r="643">
      <c r="E643" s="42"/>
      <c r="G643" s="43"/>
      <c r="I643" s="44"/>
      <c r="K643" s="44"/>
    </row>
    <row r="644">
      <c r="E644" s="42"/>
      <c r="G644" s="43"/>
      <c r="I644" s="44"/>
      <c r="K644" s="44"/>
    </row>
    <row r="645">
      <c r="E645" s="42"/>
      <c r="G645" s="43"/>
      <c r="I645" s="44"/>
      <c r="K645" s="44"/>
    </row>
    <row r="646">
      <c r="E646" s="42"/>
      <c r="G646" s="43"/>
      <c r="I646" s="44"/>
      <c r="K646" s="44"/>
    </row>
    <row r="647">
      <c r="E647" s="42"/>
      <c r="G647" s="43"/>
      <c r="I647" s="44"/>
      <c r="K647" s="44"/>
    </row>
    <row r="648">
      <c r="E648" s="42"/>
      <c r="G648" s="43"/>
      <c r="I648" s="44"/>
      <c r="K648" s="44"/>
    </row>
    <row r="649">
      <c r="E649" s="42"/>
      <c r="G649" s="43"/>
      <c r="I649" s="44"/>
      <c r="K649" s="44"/>
    </row>
    <row r="650">
      <c r="E650" s="42"/>
      <c r="G650" s="43"/>
      <c r="I650" s="44"/>
      <c r="K650" s="44"/>
    </row>
    <row r="651">
      <c r="E651" s="42"/>
      <c r="G651" s="43"/>
      <c r="I651" s="44"/>
      <c r="K651" s="44"/>
    </row>
    <row r="652">
      <c r="E652" s="42"/>
      <c r="G652" s="43"/>
      <c r="I652" s="44"/>
      <c r="K652" s="44"/>
    </row>
    <row r="653">
      <c r="E653" s="42"/>
      <c r="G653" s="43"/>
      <c r="I653" s="44"/>
      <c r="K653" s="44"/>
    </row>
    <row r="654">
      <c r="E654" s="42"/>
      <c r="G654" s="43"/>
      <c r="I654" s="44"/>
      <c r="K654" s="44"/>
    </row>
    <row r="655">
      <c r="E655" s="42"/>
      <c r="G655" s="43"/>
      <c r="I655" s="44"/>
      <c r="K655" s="44"/>
    </row>
    <row r="656">
      <c r="E656" s="42"/>
      <c r="G656" s="43"/>
      <c r="I656" s="44"/>
      <c r="K656" s="44"/>
    </row>
    <row r="657">
      <c r="E657" s="42"/>
      <c r="G657" s="43"/>
      <c r="I657" s="44"/>
      <c r="K657" s="44"/>
    </row>
    <row r="658">
      <c r="E658" s="42"/>
      <c r="G658" s="43"/>
      <c r="I658" s="44"/>
      <c r="K658" s="44"/>
    </row>
    <row r="659">
      <c r="E659" s="42"/>
      <c r="G659" s="43"/>
      <c r="I659" s="44"/>
      <c r="K659" s="44"/>
    </row>
    <row r="660">
      <c r="E660" s="42"/>
      <c r="G660" s="43"/>
      <c r="I660" s="44"/>
      <c r="K660" s="44"/>
    </row>
    <row r="661">
      <c r="E661" s="42"/>
      <c r="G661" s="43"/>
      <c r="I661" s="44"/>
      <c r="K661" s="44"/>
    </row>
    <row r="662">
      <c r="E662" s="42"/>
      <c r="G662" s="43"/>
      <c r="I662" s="44"/>
      <c r="K662" s="44"/>
    </row>
    <row r="663">
      <c r="E663" s="42"/>
      <c r="G663" s="43"/>
      <c r="I663" s="44"/>
      <c r="K663" s="44"/>
    </row>
    <row r="664">
      <c r="E664" s="42"/>
      <c r="G664" s="43"/>
      <c r="I664" s="44"/>
      <c r="K664" s="44"/>
    </row>
    <row r="665">
      <c r="E665" s="42"/>
      <c r="G665" s="43"/>
      <c r="I665" s="44"/>
      <c r="K665" s="44"/>
    </row>
    <row r="666">
      <c r="E666" s="42"/>
      <c r="G666" s="43"/>
      <c r="I666" s="44"/>
      <c r="K666" s="44"/>
    </row>
    <row r="667">
      <c r="E667" s="42"/>
      <c r="G667" s="43"/>
      <c r="I667" s="44"/>
      <c r="K667" s="44"/>
    </row>
    <row r="668">
      <c r="E668" s="42"/>
      <c r="G668" s="43"/>
      <c r="I668" s="44"/>
      <c r="K668" s="44"/>
    </row>
    <row r="669">
      <c r="E669" s="42"/>
      <c r="G669" s="43"/>
      <c r="I669" s="44"/>
      <c r="K669" s="44"/>
    </row>
    <row r="670">
      <c r="E670" s="42"/>
      <c r="G670" s="43"/>
      <c r="I670" s="44"/>
      <c r="K670" s="44"/>
    </row>
    <row r="671">
      <c r="E671" s="42"/>
      <c r="G671" s="43"/>
      <c r="I671" s="44"/>
      <c r="K671" s="44"/>
    </row>
    <row r="672">
      <c r="E672" s="42"/>
      <c r="G672" s="43"/>
      <c r="I672" s="44"/>
      <c r="K672" s="44"/>
    </row>
    <row r="673">
      <c r="E673" s="42"/>
      <c r="G673" s="43"/>
      <c r="I673" s="44"/>
      <c r="K673" s="44"/>
    </row>
    <row r="674">
      <c r="E674" s="42"/>
      <c r="G674" s="43"/>
      <c r="I674" s="44"/>
      <c r="K674" s="44"/>
    </row>
    <row r="675">
      <c r="E675" s="42"/>
      <c r="G675" s="43"/>
      <c r="I675" s="44"/>
      <c r="K675" s="44"/>
    </row>
    <row r="676">
      <c r="E676" s="42"/>
      <c r="G676" s="43"/>
      <c r="I676" s="44"/>
      <c r="K676" s="44"/>
    </row>
    <row r="677">
      <c r="E677" s="42"/>
      <c r="G677" s="43"/>
      <c r="I677" s="44"/>
      <c r="K677" s="44"/>
    </row>
    <row r="678">
      <c r="E678" s="42"/>
      <c r="G678" s="43"/>
      <c r="I678" s="44"/>
      <c r="K678" s="44"/>
    </row>
    <row r="679">
      <c r="E679" s="42"/>
      <c r="G679" s="43"/>
      <c r="I679" s="44"/>
      <c r="K679" s="44"/>
    </row>
    <row r="680">
      <c r="E680" s="42"/>
      <c r="G680" s="43"/>
      <c r="I680" s="44"/>
      <c r="K680" s="44"/>
    </row>
    <row r="681">
      <c r="E681" s="42"/>
      <c r="G681" s="43"/>
      <c r="I681" s="44"/>
      <c r="K681" s="44"/>
    </row>
    <row r="682">
      <c r="E682" s="42"/>
      <c r="G682" s="43"/>
      <c r="I682" s="44"/>
      <c r="K682" s="44"/>
    </row>
    <row r="683">
      <c r="E683" s="42"/>
      <c r="G683" s="43"/>
      <c r="I683" s="44"/>
      <c r="K683" s="44"/>
    </row>
    <row r="684">
      <c r="E684" s="42"/>
      <c r="G684" s="43"/>
      <c r="I684" s="44"/>
      <c r="K684" s="44"/>
    </row>
    <row r="685">
      <c r="E685" s="42"/>
      <c r="G685" s="43"/>
      <c r="I685" s="44"/>
      <c r="K685" s="44"/>
    </row>
    <row r="686">
      <c r="E686" s="42"/>
      <c r="G686" s="43"/>
      <c r="I686" s="44"/>
      <c r="K686" s="44"/>
    </row>
    <row r="687">
      <c r="E687" s="42"/>
      <c r="G687" s="43"/>
      <c r="I687" s="44"/>
      <c r="K687" s="44"/>
    </row>
    <row r="688">
      <c r="E688" s="42"/>
      <c r="G688" s="43"/>
      <c r="I688" s="44"/>
      <c r="K688" s="44"/>
    </row>
    <row r="689">
      <c r="E689" s="42"/>
      <c r="G689" s="43"/>
      <c r="I689" s="44"/>
      <c r="K689" s="44"/>
    </row>
    <row r="690">
      <c r="E690" s="42"/>
      <c r="G690" s="43"/>
      <c r="I690" s="44"/>
      <c r="K690" s="44"/>
    </row>
    <row r="691">
      <c r="E691" s="42"/>
      <c r="G691" s="43"/>
      <c r="I691" s="44"/>
      <c r="K691" s="44"/>
    </row>
    <row r="692">
      <c r="E692" s="42"/>
      <c r="G692" s="43"/>
      <c r="I692" s="44"/>
      <c r="K692" s="44"/>
    </row>
    <row r="693">
      <c r="E693" s="42"/>
      <c r="G693" s="43"/>
      <c r="I693" s="44"/>
      <c r="K693" s="44"/>
    </row>
    <row r="694">
      <c r="E694" s="42"/>
      <c r="G694" s="43"/>
      <c r="I694" s="44"/>
      <c r="K694" s="44"/>
    </row>
    <row r="695">
      <c r="E695" s="42"/>
      <c r="G695" s="43"/>
      <c r="I695" s="44"/>
      <c r="K695" s="44"/>
    </row>
    <row r="696">
      <c r="E696" s="42"/>
      <c r="G696" s="43"/>
      <c r="I696" s="44"/>
      <c r="K696" s="44"/>
    </row>
    <row r="697">
      <c r="E697" s="42"/>
      <c r="G697" s="43"/>
      <c r="I697" s="44"/>
      <c r="K697" s="44"/>
    </row>
    <row r="698">
      <c r="E698" s="42"/>
      <c r="G698" s="43"/>
      <c r="I698" s="44"/>
      <c r="K698" s="44"/>
    </row>
    <row r="699">
      <c r="E699" s="42"/>
      <c r="G699" s="43"/>
      <c r="I699" s="44"/>
      <c r="K699" s="44"/>
    </row>
    <row r="700">
      <c r="E700" s="42"/>
      <c r="G700" s="43"/>
      <c r="I700" s="44"/>
      <c r="K700" s="44"/>
    </row>
    <row r="701">
      <c r="E701" s="42"/>
      <c r="G701" s="43"/>
      <c r="I701" s="44"/>
      <c r="K701" s="44"/>
    </row>
    <row r="702">
      <c r="E702" s="42"/>
      <c r="G702" s="43"/>
      <c r="I702" s="44"/>
      <c r="K702" s="44"/>
    </row>
    <row r="703">
      <c r="E703" s="42"/>
      <c r="G703" s="43"/>
      <c r="I703" s="44"/>
      <c r="K703" s="44"/>
    </row>
    <row r="704">
      <c r="E704" s="42"/>
      <c r="G704" s="43"/>
      <c r="I704" s="44"/>
      <c r="K704" s="44"/>
    </row>
    <row r="705">
      <c r="E705" s="42"/>
      <c r="G705" s="43"/>
      <c r="I705" s="44"/>
      <c r="K705" s="44"/>
    </row>
    <row r="706">
      <c r="E706" s="42"/>
      <c r="G706" s="43"/>
      <c r="I706" s="44"/>
      <c r="K706" s="44"/>
    </row>
    <row r="707">
      <c r="E707" s="42"/>
      <c r="G707" s="43"/>
      <c r="I707" s="44"/>
      <c r="K707" s="44"/>
    </row>
    <row r="708">
      <c r="E708" s="42"/>
      <c r="G708" s="43"/>
      <c r="I708" s="44"/>
      <c r="K708" s="44"/>
    </row>
    <row r="709">
      <c r="E709" s="42"/>
      <c r="G709" s="43"/>
      <c r="I709" s="44"/>
      <c r="K709" s="44"/>
    </row>
    <row r="710">
      <c r="E710" s="42"/>
      <c r="G710" s="43"/>
      <c r="I710" s="44"/>
      <c r="K710" s="44"/>
    </row>
    <row r="711">
      <c r="E711" s="42"/>
      <c r="G711" s="43"/>
      <c r="I711" s="44"/>
      <c r="K711" s="44"/>
    </row>
    <row r="712">
      <c r="E712" s="42"/>
      <c r="G712" s="43"/>
      <c r="I712" s="44"/>
      <c r="K712" s="44"/>
    </row>
    <row r="713">
      <c r="E713" s="42"/>
      <c r="G713" s="43"/>
      <c r="I713" s="44"/>
      <c r="K713" s="44"/>
    </row>
    <row r="714">
      <c r="E714" s="42"/>
      <c r="G714" s="43"/>
      <c r="I714" s="44"/>
      <c r="K714" s="44"/>
    </row>
    <row r="715">
      <c r="E715" s="42"/>
      <c r="G715" s="43"/>
      <c r="I715" s="44"/>
      <c r="K715" s="44"/>
    </row>
    <row r="716">
      <c r="E716" s="42"/>
      <c r="G716" s="43"/>
      <c r="I716" s="44"/>
      <c r="K716" s="44"/>
    </row>
    <row r="717">
      <c r="E717" s="42"/>
      <c r="G717" s="43"/>
      <c r="I717" s="44"/>
      <c r="K717" s="44"/>
    </row>
    <row r="718">
      <c r="E718" s="42"/>
      <c r="G718" s="43"/>
      <c r="I718" s="44"/>
      <c r="K718" s="44"/>
    </row>
    <row r="719">
      <c r="E719" s="42"/>
      <c r="G719" s="43"/>
      <c r="I719" s="44"/>
      <c r="K719" s="44"/>
    </row>
    <row r="720">
      <c r="E720" s="42"/>
      <c r="G720" s="43"/>
      <c r="I720" s="44"/>
      <c r="K720" s="44"/>
    </row>
    <row r="721">
      <c r="E721" s="42"/>
      <c r="G721" s="43"/>
      <c r="I721" s="44"/>
      <c r="K721" s="44"/>
    </row>
    <row r="722">
      <c r="E722" s="42"/>
      <c r="G722" s="43"/>
      <c r="I722" s="44"/>
      <c r="K722" s="44"/>
    </row>
    <row r="723">
      <c r="E723" s="42"/>
      <c r="G723" s="43"/>
      <c r="I723" s="44"/>
      <c r="K723" s="44"/>
    </row>
    <row r="724">
      <c r="E724" s="42"/>
      <c r="G724" s="43"/>
      <c r="I724" s="44"/>
      <c r="K724" s="44"/>
    </row>
    <row r="725">
      <c r="E725" s="42"/>
      <c r="G725" s="43"/>
      <c r="I725" s="44"/>
      <c r="K725" s="44"/>
    </row>
    <row r="726">
      <c r="E726" s="42"/>
      <c r="G726" s="43"/>
      <c r="I726" s="44"/>
      <c r="K726" s="44"/>
    </row>
    <row r="727">
      <c r="E727" s="42"/>
      <c r="G727" s="43"/>
      <c r="I727" s="44"/>
      <c r="K727" s="44"/>
    </row>
    <row r="728">
      <c r="E728" s="42"/>
      <c r="G728" s="43"/>
      <c r="I728" s="44"/>
      <c r="K728" s="44"/>
    </row>
    <row r="729">
      <c r="E729" s="42"/>
      <c r="G729" s="43"/>
      <c r="I729" s="44"/>
      <c r="K729" s="44"/>
    </row>
    <row r="730">
      <c r="E730" s="42"/>
      <c r="G730" s="43"/>
      <c r="I730" s="44"/>
      <c r="K730" s="44"/>
    </row>
    <row r="731">
      <c r="E731" s="42"/>
      <c r="G731" s="43"/>
      <c r="I731" s="44"/>
      <c r="K731" s="44"/>
    </row>
    <row r="732">
      <c r="E732" s="42"/>
      <c r="G732" s="43"/>
      <c r="I732" s="44"/>
      <c r="K732" s="44"/>
    </row>
    <row r="733">
      <c r="E733" s="42"/>
      <c r="G733" s="43"/>
      <c r="I733" s="44"/>
      <c r="K733" s="44"/>
    </row>
    <row r="734">
      <c r="E734" s="42"/>
      <c r="G734" s="43"/>
      <c r="I734" s="44"/>
      <c r="K734" s="44"/>
    </row>
    <row r="735">
      <c r="E735" s="42"/>
      <c r="G735" s="43"/>
      <c r="I735" s="44"/>
      <c r="K735" s="44"/>
    </row>
    <row r="736">
      <c r="E736" s="42"/>
      <c r="G736" s="43"/>
      <c r="I736" s="44"/>
      <c r="K736" s="44"/>
    </row>
    <row r="737">
      <c r="E737" s="42"/>
      <c r="G737" s="43"/>
      <c r="I737" s="44"/>
      <c r="K737" s="44"/>
    </row>
    <row r="738">
      <c r="E738" s="42"/>
      <c r="G738" s="43"/>
      <c r="I738" s="44"/>
      <c r="K738" s="44"/>
    </row>
    <row r="739">
      <c r="E739" s="42"/>
      <c r="G739" s="43"/>
      <c r="I739" s="44"/>
      <c r="K739" s="44"/>
    </row>
    <row r="740">
      <c r="E740" s="42"/>
      <c r="G740" s="43"/>
      <c r="I740" s="44"/>
      <c r="K740" s="44"/>
    </row>
    <row r="741">
      <c r="E741" s="42"/>
      <c r="G741" s="43"/>
      <c r="I741" s="44"/>
      <c r="K741" s="44"/>
    </row>
    <row r="742">
      <c r="E742" s="42"/>
      <c r="G742" s="43"/>
      <c r="I742" s="44"/>
      <c r="K742" s="44"/>
    </row>
    <row r="743">
      <c r="E743" s="42"/>
      <c r="G743" s="43"/>
      <c r="I743" s="44"/>
      <c r="K743" s="44"/>
    </row>
    <row r="744">
      <c r="E744" s="42"/>
      <c r="G744" s="43"/>
      <c r="I744" s="44"/>
      <c r="K744" s="44"/>
    </row>
    <row r="745">
      <c r="E745" s="42"/>
      <c r="G745" s="43"/>
      <c r="I745" s="44"/>
      <c r="K745" s="44"/>
    </row>
    <row r="746">
      <c r="E746" s="42"/>
      <c r="G746" s="43"/>
      <c r="I746" s="44"/>
      <c r="K746" s="44"/>
    </row>
    <row r="747">
      <c r="E747" s="42"/>
      <c r="G747" s="43"/>
      <c r="I747" s="44"/>
      <c r="K747" s="44"/>
    </row>
    <row r="748">
      <c r="E748" s="42"/>
      <c r="G748" s="43"/>
      <c r="I748" s="44"/>
      <c r="K748" s="44"/>
    </row>
    <row r="749">
      <c r="E749" s="42"/>
      <c r="G749" s="43"/>
      <c r="I749" s="44"/>
      <c r="K749" s="44"/>
    </row>
    <row r="750">
      <c r="E750" s="42"/>
      <c r="G750" s="43"/>
      <c r="I750" s="44"/>
      <c r="K750" s="44"/>
    </row>
    <row r="751">
      <c r="E751" s="42"/>
      <c r="G751" s="43"/>
      <c r="I751" s="44"/>
      <c r="K751" s="44"/>
    </row>
    <row r="752">
      <c r="E752" s="42"/>
      <c r="G752" s="43"/>
      <c r="I752" s="44"/>
      <c r="K752" s="44"/>
    </row>
    <row r="753">
      <c r="E753" s="42"/>
      <c r="G753" s="43"/>
      <c r="I753" s="44"/>
      <c r="K753" s="44"/>
    </row>
    <row r="754">
      <c r="E754" s="42"/>
      <c r="G754" s="43"/>
      <c r="I754" s="44"/>
      <c r="K754" s="44"/>
    </row>
    <row r="755">
      <c r="E755" s="42"/>
      <c r="G755" s="43"/>
      <c r="I755" s="44"/>
      <c r="K755" s="44"/>
    </row>
    <row r="756">
      <c r="E756" s="42"/>
      <c r="G756" s="43"/>
      <c r="I756" s="44"/>
      <c r="K756" s="44"/>
    </row>
    <row r="757">
      <c r="E757" s="42"/>
      <c r="G757" s="43"/>
      <c r="I757" s="44"/>
      <c r="K757" s="44"/>
    </row>
    <row r="758">
      <c r="E758" s="42"/>
      <c r="G758" s="43"/>
      <c r="I758" s="44"/>
      <c r="K758" s="44"/>
    </row>
    <row r="759">
      <c r="E759" s="42"/>
      <c r="G759" s="43"/>
      <c r="I759" s="44"/>
      <c r="K759" s="44"/>
    </row>
    <row r="760">
      <c r="E760" s="42"/>
      <c r="G760" s="43"/>
      <c r="I760" s="44"/>
      <c r="K760" s="44"/>
    </row>
    <row r="761">
      <c r="E761" s="42"/>
      <c r="G761" s="43"/>
      <c r="I761" s="44"/>
      <c r="K761" s="44"/>
    </row>
    <row r="762">
      <c r="E762" s="42"/>
      <c r="G762" s="43"/>
      <c r="I762" s="44"/>
      <c r="K762" s="44"/>
    </row>
    <row r="763">
      <c r="E763" s="42"/>
      <c r="G763" s="43"/>
      <c r="I763" s="44"/>
      <c r="K763" s="44"/>
    </row>
    <row r="764">
      <c r="E764" s="42"/>
      <c r="G764" s="43"/>
      <c r="I764" s="44"/>
      <c r="K764" s="44"/>
    </row>
    <row r="765">
      <c r="E765" s="42"/>
      <c r="G765" s="43"/>
      <c r="I765" s="44"/>
      <c r="K765" s="44"/>
    </row>
    <row r="766">
      <c r="E766" s="42"/>
      <c r="G766" s="43"/>
      <c r="I766" s="44"/>
      <c r="K766" s="44"/>
    </row>
    <row r="767">
      <c r="E767" s="42"/>
      <c r="G767" s="43"/>
      <c r="I767" s="44"/>
      <c r="K767" s="44"/>
    </row>
    <row r="768">
      <c r="E768" s="42"/>
      <c r="G768" s="43"/>
      <c r="I768" s="44"/>
      <c r="K768" s="44"/>
    </row>
    <row r="769">
      <c r="E769" s="42"/>
      <c r="G769" s="43"/>
      <c r="I769" s="44"/>
      <c r="K769" s="44"/>
    </row>
    <row r="770">
      <c r="E770" s="42"/>
      <c r="G770" s="43"/>
      <c r="I770" s="44"/>
      <c r="K770" s="44"/>
    </row>
    <row r="771">
      <c r="E771" s="42"/>
      <c r="G771" s="43"/>
      <c r="I771" s="44"/>
      <c r="K771" s="44"/>
    </row>
    <row r="772">
      <c r="E772" s="42"/>
      <c r="G772" s="43"/>
      <c r="I772" s="44"/>
      <c r="K772" s="44"/>
    </row>
    <row r="773">
      <c r="E773" s="42"/>
      <c r="G773" s="43"/>
      <c r="I773" s="44"/>
      <c r="K773" s="44"/>
    </row>
    <row r="774">
      <c r="E774" s="42"/>
      <c r="G774" s="43"/>
      <c r="I774" s="44"/>
      <c r="K774" s="44"/>
    </row>
    <row r="775">
      <c r="E775" s="42"/>
      <c r="G775" s="43"/>
      <c r="I775" s="44"/>
      <c r="K775" s="44"/>
    </row>
    <row r="776">
      <c r="E776" s="42"/>
      <c r="G776" s="43"/>
      <c r="I776" s="44"/>
      <c r="K776" s="44"/>
    </row>
    <row r="777">
      <c r="E777" s="42"/>
      <c r="G777" s="43"/>
      <c r="I777" s="44"/>
      <c r="K777" s="44"/>
    </row>
    <row r="778">
      <c r="E778" s="42"/>
      <c r="G778" s="43"/>
      <c r="I778" s="44"/>
      <c r="K778" s="44"/>
    </row>
    <row r="779">
      <c r="E779" s="42"/>
      <c r="G779" s="43"/>
      <c r="I779" s="44"/>
      <c r="K779" s="44"/>
    </row>
    <row r="780">
      <c r="E780" s="42"/>
      <c r="G780" s="43"/>
      <c r="I780" s="44"/>
      <c r="K780" s="44"/>
    </row>
    <row r="781">
      <c r="E781" s="42"/>
      <c r="G781" s="43"/>
      <c r="I781" s="44"/>
      <c r="K781" s="44"/>
    </row>
    <row r="782">
      <c r="E782" s="42"/>
      <c r="G782" s="43"/>
      <c r="I782" s="44"/>
      <c r="K782" s="44"/>
    </row>
    <row r="783">
      <c r="E783" s="42"/>
      <c r="G783" s="43"/>
      <c r="I783" s="44"/>
      <c r="K783" s="44"/>
    </row>
    <row r="784">
      <c r="E784" s="42"/>
      <c r="G784" s="43"/>
      <c r="I784" s="44"/>
      <c r="K784" s="44"/>
    </row>
    <row r="785">
      <c r="E785" s="42"/>
      <c r="G785" s="43"/>
      <c r="I785" s="44"/>
      <c r="K785" s="44"/>
    </row>
    <row r="786">
      <c r="E786" s="42"/>
      <c r="G786" s="43"/>
      <c r="I786" s="44"/>
      <c r="K786" s="44"/>
    </row>
    <row r="787">
      <c r="E787" s="42"/>
      <c r="G787" s="43"/>
      <c r="I787" s="44"/>
      <c r="K787" s="44"/>
    </row>
    <row r="788">
      <c r="E788" s="42"/>
      <c r="G788" s="43"/>
      <c r="I788" s="44"/>
      <c r="K788" s="44"/>
    </row>
    <row r="789">
      <c r="E789" s="42"/>
      <c r="G789" s="43"/>
      <c r="I789" s="44"/>
      <c r="K789" s="44"/>
    </row>
    <row r="790">
      <c r="E790" s="42"/>
      <c r="G790" s="43"/>
      <c r="I790" s="44"/>
      <c r="K790" s="44"/>
    </row>
    <row r="791">
      <c r="E791" s="42"/>
      <c r="G791" s="43"/>
      <c r="I791" s="44"/>
      <c r="K791" s="44"/>
    </row>
    <row r="792">
      <c r="E792" s="42"/>
      <c r="G792" s="43"/>
      <c r="I792" s="44"/>
      <c r="K792" s="44"/>
    </row>
    <row r="793">
      <c r="E793" s="42"/>
      <c r="G793" s="43"/>
      <c r="I793" s="44"/>
      <c r="K793" s="44"/>
    </row>
    <row r="794">
      <c r="E794" s="42"/>
      <c r="G794" s="43"/>
      <c r="I794" s="44"/>
      <c r="K794" s="44"/>
    </row>
    <row r="795">
      <c r="E795" s="42"/>
      <c r="G795" s="43"/>
      <c r="I795" s="44"/>
      <c r="K795" s="44"/>
    </row>
    <row r="796">
      <c r="E796" s="42"/>
      <c r="G796" s="43"/>
      <c r="I796" s="44"/>
      <c r="K796" s="44"/>
    </row>
    <row r="797">
      <c r="E797" s="42"/>
      <c r="G797" s="43"/>
      <c r="I797" s="44"/>
      <c r="K797" s="44"/>
    </row>
    <row r="798">
      <c r="E798" s="42"/>
      <c r="G798" s="43"/>
      <c r="I798" s="44"/>
      <c r="K798" s="44"/>
    </row>
    <row r="799">
      <c r="E799" s="42"/>
      <c r="G799" s="43"/>
      <c r="I799" s="44"/>
      <c r="K799" s="44"/>
    </row>
    <row r="800">
      <c r="E800" s="42"/>
      <c r="G800" s="43"/>
      <c r="I800" s="44"/>
      <c r="K800" s="44"/>
    </row>
    <row r="801">
      <c r="E801" s="42"/>
      <c r="G801" s="43"/>
      <c r="I801" s="44"/>
      <c r="K801" s="44"/>
    </row>
    <row r="802">
      <c r="E802" s="42"/>
      <c r="G802" s="43"/>
      <c r="I802" s="44"/>
      <c r="K802" s="44"/>
    </row>
    <row r="803">
      <c r="E803" s="42"/>
      <c r="G803" s="43"/>
      <c r="I803" s="44"/>
      <c r="K803" s="44"/>
    </row>
    <row r="804">
      <c r="E804" s="42"/>
      <c r="G804" s="43"/>
      <c r="I804" s="44"/>
      <c r="K804" s="44"/>
    </row>
    <row r="805">
      <c r="E805" s="42"/>
      <c r="G805" s="43"/>
      <c r="I805" s="44"/>
      <c r="K805" s="44"/>
    </row>
    <row r="806">
      <c r="E806" s="42"/>
      <c r="G806" s="43"/>
      <c r="I806" s="44"/>
      <c r="K806" s="44"/>
    </row>
    <row r="807">
      <c r="E807" s="42"/>
      <c r="G807" s="43"/>
      <c r="I807" s="44"/>
      <c r="K807" s="44"/>
    </row>
    <row r="808">
      <c r="E808" s="42"/>
      <c r="G808" s="43"/>
      <c r="I808" s="44"/>
      <c r="K808" s="44"/>
    </row>
    <row r="809">
      <c r="E809" s="42"/>
      <c r="G809" s="43"/>
      <c r="I809" s="44"/>
      <c r="K809" s="44"/>
    </row>
    <row r="810">
      <c r="E810" s="42"/>
      <c r="G810" s="43"/>
      <c r="I810" s="44"/>
      <c r="K810" s="44"/>
    </row>
    <row r="811">
      <c r="E811" s="42"/>
      <c r="G811" s="43"/>
      <c r="I811" s="44"/>
      <c r="K811" s="44"/>
    </row>
    <row r="812">
      <c r="E812" s="42"/>
      <c r="G812" s="43"/>
      <c r="I812" s="44"/>
      <c r="K812" s="44"/>
    </row>
    <row r="813">
      <c r="E813" s="42"/>
      <c r="G813" s="43"/>
      <c r="I813" s="44"/>
      <c r="K813" s="44"/>
    </row>
    <row r="814">
      <c r="E814" s="42"/>
      <c r="G814" s="43"/>
      <c r="I814" s="44"/>
      <c r="K814" s="44"/>
    </row>
    <row r="815">
      <c r="E815" s="42"/>
      <c r="G815" s="43"/>
      <c r="I815" s="44"/>
      <c r="K815" s="44"/>
    </row>
    <row r="816">
      <c r="E816" s="42"/>
      <c r="G816" s="43"/>
      <c r="I816" s="44"/>
      <c r="K816" s="44"/>
    </row>
    <row r="817">
      <c r="E817" s="42"/>
      <c r="G817" s="43"/>
      <c r="I817" s="44"/>
      <c r="K817" s="44"/>
    </row>
    <row r="818">
      <c r="E818" s="42"/>
      <c r="G818" s="43"/>
      <c r="I818" s="44"/>
      <c r="K818" s="44"/>
    </row>
    <row r="819">
      <c r="E819" s="42"/>
      <c r="G819" s="43"/>
      <c r="I819" s="44"/>
      <c r="K819" s="44"/>
    </row>
    <row r="820">
      <c r="E820" s="42"/>
      <c r="G820" s="43"/>
      <c r="I820" s="44"/>
      <c r="K820" s="44"/>
    </row>
    <row r="821">
      <c r="E821" s="42"/>
      <c r="G821" s="43"/>
      <c r="I821" s="44"/>
      <c r="K821" s="44"/>
    </row>
    <row r="822">
      <c r="E822" s="42"/>
      <c r="G822" s="43"/>
      <c r="I822" s="44"/>
      <c r="K822" s="44"/>
    </row>
    <row r="823">
      <c r="E823" s="42"/>
      <c r="G823" s="43"/>
      <c r="I823" s="44"/>
      <c r="K823" s="44"/>
    </row>
    <row r="824">
      <c r="E824" s="42"/>
      <c r="G824" s="43"/>
      <c r="I824" s="44"/>
      <c r="K824" s="44"/>
    </row>
    <row r="825">
      <c r="E825" s="42"/>
      <c r="G825" s="43"/>
      <c r="I825" s="44"/>
      <c r="K825" s="44"/>
    </row>
    <row r="826">
      <c r="E826" s="42"/>
      <c r="G826" s="43"/>
      <c r="I826" s="44"/>
      <c r="K826" s="44"/>
    </row>
    <row r="827">
      <c r="E827" s="42"/>
      <c r="G827" s="43"/>
      <c r="I827" s="44"/>
      <c r="K827" s="44"/>
    </row>
    <row r="828">
      <c r="E828" s="42"/>
      <c r="G828" s="43"/>
      <c r="I828" s="44"/>
      <c r="K828" s="44"/>
    </row>
    <row r="829">
      <c r="E829" s="42"/>
      <c r="G829" s="43"/>
      <c r="I829" s="44"/>
      <c r="K829" s="44"/>
    </row>
    <row r="830">
      <c r="E830" s="42"/>
      <c r="G830" s="43"/>
      <c r="I830" s="44"/>
      <c r="K830" s="44"/>
    </row>
    <row r="831">
      <c r="E831" s="42"/>
      <c r="G831" s="43"/>
      <c r="I831" s="44"/>
      <c r="K831" s="44"/>
    </row>
    <row r="832">
      <c r="E832" s="42"/>
      <c r="G832" s="43"/>
      <c r="I832" s="44"/>
      <c r="K832" s="44"/>
    </row>
    <row r="833">
      <c r="E833" s="42"/>
      <c r="G833" s="43"/>
      <c r="I833" s="44"/>
      <c r="K833" s="44"/>
    </row>
    <row r="834">
      <c r="E834" s="42"/>
      <c r="G834" s="43"/>
      <c r="I834" s="44"/>
      <c r="K834" s="44"/>
    </row>
    <row r="835">
      <c r="E835" s="42"/>
      <c r="G835" s="43"/>
      <c r="I835" s="44"/>
      <c r="K835" s="44"/>
    </row>
    <row r="836">
      <c r="E836" s="42"/>
      <c r="G836" s="43"/>
      <c r="I836" s="44"/>
      <c r="K836" s="44"/>
    </row>
    <row r="837">
      <c r="E837" s="42"/>
      <c r="G837" s="43"/>
      <c r="I837" s="44"/>
      <c r="K837" s="44"/>
    </row>
    <row r="838">
      <c r="E838" s="42"/>
      <c r="G838" s="43"/>
      <c r="I838" s="44"/>
      <c r="K838" s="44"/>
    </row>
    <row r="839">
      <c r="E839" s="42"/>
      <c r="G839" s="43"/>
      <c r="I839" s="44"/>
      <c r="K839" s="44"/>
    </row>
    <row r="840">
      <c r="E840" s="42"/>
      <c r="G840" s="43"/>
      <c r="I840" s="44"/>
      <c r="K840" s="44"/>
    </row>
    <row r="841">
      <c r="E841" s="42"/>
      <c r="G841" s="43"/>
      <c r="I841" s="44"/>
      <c r="K841" s="44"/>
    </row>
    <row r="842">
      <c r="E842" s="42"/>
      <c r="G842" s="43"/>
      <c r="I842" s="44"/>
      <c r="K842" s="44"/>
    </row>
    <row r="843">
      <c r="E843" s="42"/>
      <c r="G843" s="43"/>
      <c r="I843" s="44"/>
      <c r="K843" s="44"/>
    </row>
    <row r="844">
      <c r="E844" s="42"/>
      <c r="G844" s="43"/>
      <c r="I844" s="44"/>
      <c r="K844" s="44"/>
    </row>
    <row r="845">
      <c r="E845" s="42"/>
      <c r="G845" s="43"/>
      <c r="I845" s="44"/>
      <c r="K845" s="44"/>
    </row>
    <row r="846">
      <c r="E846" s="42"/>
      <c r="G846" s="43"/>
      <c r="I846" s="44"/>
      <c r="K846" s="44"/>
    </row>
    <row r="847">
      <c r="E847" s="42"/>
      <c r="G847" s="43"/>
      <c r="I847" s="44"/>
      <c r="K847" s="44"/>
    </row>
    <row r="848">
      <c r="E848" s="42"/>
      <c r="G848" s="43"/>
      <c r="I848" s="44"/>
      <c r="K848" s="44"/>
    </row>
    <row r="849">
      <c r="E849" s="42"/>
      <c r="G849" s="43"/>
      <c r="I849" s="44"/>
      <c r="K849" s="44"/>
    </row>
    <row r="850">
      <c r="E850" s="42"/>
      <c r="G850" s="43"/>
      <c r="I850" s="44"/>
      <c r="K850" s="44"/>
    </row>
    <row r="851">
      <c r="E851" s="42"/>
      <c r="G851" s="43"/>
      <c r="I851" s="44"/>
      <c r="K851" s="44"/>
    </row>
    <row r="852">
      <c r="E852" s="42"/>
      <c r="G852" s="43"/>
      <c r="I852" s="44"/>
      <c r="K852" s="44"/>
    </row>
    <row r="853">
      <c r="E853" s="42"/>
      <c r="G853" s="43"/>
      <c r="I853" s="44"/>
      <c r="K853" s="44"/>
    </row>
    <row r="854">
      <c r="E854" s="42"/>
      <c r="G854" s="43"/>
      <c r="I854" s="44"/>
      <c r="K854" s="44"/>
    </row>
    <row r="855">
      <c r="E855" s="42"/>
      <c r="G855" s="43"/>
      <c r="I855" s="44"/>
      <c r="K855" s="44"/>
    </row>
    <row r="856">
      <c r="E856" s="42"/>
      <c r="G856" s="43"/>
      <c r="I856" s="44"/>
      <c r="K856" s="44"/>
    </row>
    <row r="857">
      <c r="E857" s="42"/>
      <c r="G857" s="43"/>
      <c r="I857" s="44"/>
      <c r="K857" s="44"/>
    </row>
    <row r="858">
      <c r="E858" s="42"/>
      <c r="G858" s="43"/>
      <c r="I858" s="44"/>
      <c r="K858" s="44"/>
    </row>
    <row r="859">
      <c r="E859" s="42"/>
      <c r="G859" s="43"/>
      <c r="I859" s="44"/>
      <c r="K859" s="44"/>
    </row>
    <row r="860">
      <c r="E860" s="42"/>
      <c r="G860" s="43"/>
      <c r="I860" s="44"/>
      <c r="K860" s="44"/>
    </row>
    <row r="861">
      <c r="E861" s="42"/>
      <c r="G861" s="43"/>
      <c r="I861" s="44"/>
      <c r="K861" s="44"/>
    </row>
    <row r="862">
      <c r="E862" s="42"/>
      <c r="G862" s="43"/>
      <c r="I862" s="44"/>
      <c r="K862" s="44"/>
    </row>
    <row r="863">
      <c r="E863" s="42"/>
      <c r="G863" s="43"/>
      <c r="I863" s="44"/>
      <c r="K863" s="44"/>
    </row>
    <row r="864">
      <c r="E864" s="42"/>
      <c r="G864" s="43"/>
      <c r="I864" s="44"/>
      <c r="K864" s="44"/>
    </row>
    <row r="865">
      <c r="E865" s="42"/>
      <c r="G865" s="43"/>
      <c r="I865" s="44"/>
      <c r="K865" s="44"/>
    </row>
    <row r="866">
      <c r="E866" s="42"/>
      <c r="G866" s="43"/>
      <c r="I866" s="44"/>
      <c r="K866" s="44"/>
    </row>
    <row r="867">
      <c r="E867" s="42"/>
      <c r="G867" s="43"/>
      <c r="I867" s="44"/>
      <c r="K867" s="44"/>
    </row>
    <row r="868">
      <c r="E868" s="42"/>
      <c r="G868" s="43"/>
      <c r="I868" s="44"/>
      <c r="K868" s="44"/>
    </row>
    <row r="869">
      <c r="E869" s="42"/>
      <c r="G869" s="43"/>
      <c r="I869" s="44"/>
      <c r="K869" s="44"/>
    </row>
    <row r="870">
      <c r="E870" s="42"/>
      <c r="G870" s="43"/>
      <c r="I870" s="44"/>
      <c r="K870" s="44"/>
    </row>
    <row r="871">
      <c r="E871" s="42"/>
      <c r="G871" s="43"/>
      <c r="I871" s="44"/>
      <c r="K871" s="44"/>
    </row>
    <row r="872">
      <c r="E872" s="42"/>
      <c r="G872" s="43"/>
      <c r="I872" s="44"/>
      <c r="K872" s="44"/>
    </row>
    <row r="873">
      <c r="E873" s="42"/>
      <c r="G873" s="43"/>
      <c r="I873" s="44"/>
      <c r="K873" s="44"/>
    </row>
    <row r="874">
      <c r="E874" s="42"/>
      <c r="G874" s="43"/>
      <c r="I874" s="44"/>
      <c r="K874" s="44"/>
    </row>
    <row r="875">
      <c r="E875" s="42"/>
      <c r="G875" s="43"/>
      <c r="I875" s="44"/>
      <c r="K875" s="44"/>
    </row>
    <row r="876">
      <c r="E876" s="42"/>
      <c r="G876" s="43"/>
      <c r="I876" s="44"/>
      <c r="K876" s="44"/>
    </row>
    <row r="877">
      <c r="E877" s="42"/>
      <c r="G877" s="43"/>
      <c r="I877" s="44"/>
      <c r="K877" s="44"/>
    </row>
    <row r="878">
      <c r="E878" s="42"/>
      <c r="G878" s="43"/>
      <c r="I878" s="44"/>
      <c r="K878" s="44"/>
    </row>
    <row r="879">
      <c r="E879" s="42"/>
      <c r="G879" s="43"/>
      <c r="I879" s="44"/>
      <c r="K879" s="44"/>
    </row>
    <row r="880">
      <c r="E880" s="42"/>
      <c r="G880" s="43"/>
      <c r="I880" s="44"/>
      <c r="K880" s="44"/>
    </row>
    <row r="881">
      <c r="E881" s="42"/>
      <c r="G881" s="43"/>
      <c r="I881" s="44"/>
      <c r="K881" s="44"/>
    </row>
    <row r="882">
      <c r="E882" s="42"/>
      <c r="G882" s="43"/>
      <c r="I882" s="44"/>
      <c r="K882" s="44"/>
    </row>
    <row r="883">
      <c r="E883" s="42"/>
      <c r="G883" s="43"/>
      <c r="I883" s="44"/>
      <c r="K883" s="44"/>
    </row>
    <row r="884">
      <c r="E884" s="42"/>
      <c r="G884" s="43"/>
      <c r="I884" s="44"/>
      <c r="K884" s="44"/>
    </row>
    <row r="885">
      <c r="E885" s="42"/>
      <c r="G885" s="43"/>
      <c r="I885" s="44"/>
      <c r="K885" s="44"/>
    </row>
    <row r="886">
      <c r="E886" s="42"/>
      <c r="G886" s="43"/>
      <c r="I886" s="44"/>
      <c r="K886" s="44"/>
    </row>
    <row r="887">
      <c r="E887" s="42"/>
      <c r="G887" s="43"/>
      <c r="I887" s="44"/>
      <c r="K887" s="44"/>
    </row>
    <row r="888">
      <c r="E888" s="42"/>
      <c r="G888" s="43"/>
      <c r="I888" s="44"/>
      <c r="K888" s="44"/>
    </row>
    <row r="889">
      <c r="E889" s="42"/>
      <c r="G889" s="43"/>
      <c r="I889" s="44"/>
      <c r="K889" s="44"/>
    </row>
    <row r="890">
      <c r="E890" s="42"/>
      <c r="G890" s="43"/>
      <c r="I890" s="44"/>
      <c r="K890" s="44"/>
    </row>
    <row r="891">
      <c r="E891" s="42"/>
      <c r="G891" s="43"/>
      <c r="I891" s="44"/>
      <c r="K891" s="44"/>
    </row>
    <row r="892">
      <c r="E892" s="42"/>
      <c r="G892" s="43"/>
      <c r="I892" s="44"/>
      <c r="K892" s="44"/>
    </row>
    <row r="893">
      <c r="E893" s="42"/>
      <c r="G893" s="43"/>
      <c r="I893" s="44"/>
      <c r="K893" s="44"/>
    </row>
    <row r="894">
      <c r="E894" s="42"/>
      <c r="G894" s="43"/>
      <c r="I894" s="44"/>
      <c r="K894" s="44"/>
    </row>
    <row r="895">
      <c r="E895" s="42"/>
      <c r="G895" s="43"/>
      <c r="I895" s="44"/>
      <c r="K895" s="44"/>
    </row>
    <row r="896">
      <c r="E896" s="42"/>
      <c r="G896" s="43"/>
      <c r="I896" s="44"/>
      <c r="K896" s="44"/>
    </row>
    <row r="897">
      <c r="E897" s="42"/>
      <c r="G897" s="43"/>
      <c r="I897" s="44"/>
      <c r="K897" s="44"/>
    </row>
    <row r="898">
      <c r="E898" s="42"/>
      <c r="G898" s="43"/>
      <c r="I898" s="44"/>
      <c r="K898" s="44"/>
    </row>
    <row r="899">
      <c r="E899" s="42"/>
      <c r="G899" s="43"/>
      <c r="I899" s="44"/>
      <c r="K899" s="44"/>
    </row>
    <row r="900">
      <c r="E900" s="42"/>
      <c r="G900" s="43"/>
      <c r="I900" s="44"/>
      <c r="K900" s="44"/>
    </row>
    <row r="901">
      <c r="E901" s="42"/>
      <c r="G901" s="43"/>
      <c r="I901" s="44"/>
      <c r="K901" s="44"/>
    </row>
    <row r="902">
      <c r="E902" s="42"/>
      <c r="G902" s="43"/>
      <c r="I902" s="44"/>
      <c r="K902" s="44"/>
    </row>
    <row r="903">
      <c r="E903" s="42"/>
      <c r="G903" s="43"/>
      <c r="I903" s="44"/>
      <c r="K903" s="44"/>
    </row>
    <row r="904">
      <c r="E904" s="42"/>
      <c r="G904" s="43"/>
      <c r="I904" s="44"/>
      <c r="K904" s="44"/>
    </row>
    <row r="905">
      <c r="E905" s="42"/>
      <c r="G905" s="43"/>
      <c r="I905" s="44"/>
      <c r="K905" s="44"/>
    </row>
    <row r="906">
      <c r="E906" s="42"/>
      <c r="G906" s="43"/>
      <c r="I906" s="44"/>
      <c r="K906" s="44"/>
    </row>
    <row r="907">
      <c r="E907" s="42"/>
      <c r="G907" s="43"/>
      <c r="I907" s="44"/>
      <c r="K907" s="44"/>
    </row>
    <row r="908">
      <c r="E908" s="42"/>
      <c r="G908" s="43"/>
      <c r="I908" s="44"/>
      <c r="K908" s="44"/>
    </row>
    <row r="909">
      <c r="E909" s="42"/>
      <c r="G909" s="43"/>
      <c r="I909" s="44"/>
      <c r="K909" s="44"/>
    </row>
    <row r="910">
      <c r="E910" s="42"/>
      <c r="G910" s="43"/>
      <c r="I910" s="44"/>
      <c r="K910" s="44"/>
    </row>
    <row r="911">
      <c r="E911" s="42"/>
      <c r="G911" s="43"/>
      <c r="I911" s="44"/>
      <c r="K911" s="44"/>
    </row>
    <row r="912">
      <c r="E912" s="42"/>
      <c r="G912" s="43"/>
      <c r="I912" s="44"/>
      <c r="K912" s="44"/>
    </row>
    <row r="913">
      <c r="E913" s="42"/>
      <c r="G913" s="43"/>
      <c r="I913" s="44"/>
      <c r="K913" s="44"/>
    </row>
    <row r="914">
      <c r="E914" s="42"/>
      <c r="G914" s="43"/>
      <c r="I914" s="44"/>
      <c r="K914" s="44"/>
    </row>
    <row r="915">
      <c r="E915" s="42"/>
      <c r="G915" s="43"/>
      <c r="I915" s="44"/>
      <c r="K915" s="44"/>
    </row>
    <row r="916">
      <c r="E916" s="42"/>
      <c r="G916" s="43"/>
      <c r="I916" s="44"/>
      <c r="K916" s="44"/>
    </row>
    <row r="917">
      <c r="E917" s="42"/>
      <c r="G917" s="43"/>
      <c r="I917" s="44"/>
      <c r="K917" s="44"/>
    </row>
    <row r="918">
      <c r="E918" s="42"/>
      <c r="G918" s="43"/>
      <c r="I918" s="44"/>
      <c r="K918" s="44"/>
    </row>
    <row r="919">
      <c r="E919" s="42"/>
      <c r="G919" s="43"/>
      <c r="I919" s="44"/>
      <c r="K919" s="44"/>
    </row>
    <row r="920">
      <c r="E920" s="42"/>
      <c r="G920" s="43"/>
      <c r="I920" s="44"/>
      <c r="K920" s="44"/>
    </row>
    <row r="921">
      <c r="E921" s="42"/>
      <c r="G921" s="43"/>
      <c r="I921" s="44"/>
      <c r="K921" s="44"/>
    </row>
    <row r="922">
      <c r="E922" s="42"/>
      <c r="G922" s="43"/>
      <c r="I922" s="44"/>
      <c r="K922" s="44"/>
    </row>
    <row r="923">
      <c r="E923" s="42"/>
      <c r="G923" s="43"/>
      <c r="I923" s="44"/>
      <c r="K923" s="44"/>
    </row>
    <row r="924">
      <c r="E924" s="42"/>
      <c r="G924" s="43"/>
      <c r="I924" s="44"/>
      <c r="K924" s="44"/>
    </row>
    <row r="925">
      <c r="E925" s="42"/>
      <c r="G925" s="43"/>
      <c r="I925" s="44"/>
      <c r="K925" s="44"/>
    </row>
    <row r="926">
      <c r="E926" s="42"/>
      <c r="G926" s="43"/>
      <c r="I926" s="44"/>
      <c r="K926" s="44"/>
    </row>
    <row r="927">
      <c r="E927" s="42"/>
      <c r="G927" s="43"/>
      <c r="I927" s="44"/>
      <c r="K927" s="44"/>
    </row>
    <row r="928">
      <c r="E928" s="42"/>
      <c r="G928" s="43"/>
      <c r="I928" s="44"/>
      <c r="K928" s="44"/>
    </row>
    <row r="929">
      <c r="E929" s="42"/>
      <c r="G929" s="43"/>
      <c r="I929" s="44"/>
      <c r="K929" s="44"/>
    </row>
    <row r="930">
      <c r="E930" s="42"/>
      <c r="G930" s="43"/>
      <c r="I930" s="44"/>
      <c r="K930" s="44"/>
    </row>
    <row r="931">
      <c r="E931" s="42"/>
      <c r="G931" s="43"/>
      <c r="I931" s="44"/>
      <c r="K931" s="44"/>
    </row>
    <row r="932">
      <c r="E932" s="42"/>
      <c r="G932" s="43"/>
      <c r="I932" s="44"/>
      <c r="K932" s="44"/>
    </row>
    <row r="933">
      <c r="E933" s="42"/>
      <c r="G933" s="43"/>
      <c r="I933" s="44"/>
      <c r="K933" s="44"/>
    </row>
    <row r="934">
      <c r="E934" s="42"/>
      <c r="G934" s="43"/>
      <c r="I934" s="44"/>
      <c r="K934" s="44"/>
    </row>
    <row r="935">
      <c r="E935" s="42"/>
      <c r="G935" s="43"/>
      <c r="I935" s="44"/>
      <c r="K935" s="44"/>
    </row>
    <row r="936">
      <c r="E936" s="42"/>
      <c r="G936" s="43"/>
      <c r="I936" s="44"/>
      <c r="K936" s="44"/>
    </row>
    <row r="937">
      <c r="E937" s="42"/>
      <c r="G937" s="43"/>
      <c r="I937" s="44"/>
      <c r="K937" s="44"/>
    </row>
    <row r="938">
      <c r="E938" s="42"/>
      <c r="G938" s="43"/>
      <c r="I938" s="44"/>
      <c r="K938" s="44"/>
    </row>
    <row r="939">
      <c r="E939" s="42"/>
      <c r="G939" s="43"/>
      <c r="I939" s="44"/>
      <c r="K939" s="44"/>
    </row>
    <row r="940">
      <c r="E940" s="42"/>
      <c r="G940" s="43"/>
      <c r="I940" s="44"/>
      <c r="K940" s="44"/>
    </row>
    <row r="941">
      <c r="E941" s="42"/>
      <c r="G941" s="43"/>
      <c r="I941" s="44"/>
      <c r="K941" s="44"/>
    </row>
    <row r="942">
      <c r="E942" s="42"/>
      <c r="G942" s="43"/>
      <c r="I942" s="44"/>
      <c r="K942" s="44"/>
    </row>
    <row r="943">
      <c r="E943" s="42"/>
      <c r="G943" s="43"/>
      <c r="I943" s="44"/>
      <c r="K943" s="44"/>
    </row>
    <row r="944">
      <c r="E944" s="42"/>
      <c r="G944" s="43"/>
      <c r="I944" s="44"/>
      <c r="K944" s="44"/>
    </row>
    <row r="945">
      <c r="E945" s="42"/>
      <c r="G945" s="43"/>
      <c r="I945" s="44"/>
      <c r="K945" s="44"/>
    </row>
    <row r="946">
      <c r="E946" s="42"/>
      <c r="G946" s="43"/>
      <c r="I946" s="44"/>
      <c r="K946" s="44"/>
    </row>
    <row r="947">
      <c r="E947" s="42"/>
      <c r="G947" s="43"/>
      <c r="I947" s="44"/>
      <c r="K947" s="44"/>
    </row>
    <row r="948">
      <c r="E948" s="42"/>
      <c r="G948" s="43"/>
      <c r="I948" s="44"/>
      <c r="K948" s="44"/>
    </row>
    <row r="949">
      <c r="E949" s="42"/>
      <c r="G949" s="43"/>
      <c r="I949" s="44"/>
      <c r="K949" s="44"/>
    </row>
    <row r="950">
      <c r="E950" s="42"/>
      <c r="G950" s="43"/>
      <c r="I950" s="44"/>
      <c r="K950" s="44"/>
    </row>
    <row r="951">
      <c r="E951" s="42"/>
      <c r="G951" s="43"/>
      <c r="I951" s="44"/>
      <c r="K951" s="44"/>
    </row>
    <row r="952">
      <c r="E952" s="42"/>
      <c r="G952" s="43"/>
      <c r="I952" s="44"/>
      <c r="K952" s="44"/>
    </row>
    <row r="953">
      <c r="E953" s="42"/>
      <c r="G953" s="43"/>
      <c r="I953" s="44"/>
      <c r="K953" s="44"/>
    </row>
    <row r="954">
      <c r="E954" s="42"/>
      <c r="G954" s="43"/>
      <c r="I954" s="44"/>
      <c r="K954" s="44"/>
    </row>
    <row r="955">
      <c r="E955" s="42"/>
      <c r="G955" s="43"/>
      <c r="I955" s="44"/>
      <c r="K955" s="44"/>
    </row>
    <row r="956">
      <c r="E956" s="42"/>
      <c r="G956" s="43"/>
      <c r="I956" s="44"/>
      <c r="K956" s="44"/>
    </row>
    <row r="957">
      <c r="E957" s="42"/>
      <c r="G957" s="43"/>
      <c r="I957" s="44"/>
      <c r="K957" s="44"/>
    </row>
    <row r="958">
      <c r="E958" s="42"/>
      <c r="G958" s="43"/>
      <c r="I958" s="44"/>
      <c r="K958" s="44"/>
    </row>
    <row r="959">
      <c r="E959" s="42"/>
      <c r="G959" s="43"/>
      <c r="I959" s="44"/>
      <c r="K959" s="44"/>
    </row>
    <row r="960">
      <c r="E960" s="42"/>
      <c r="G960" s="43"/>
      <c r="I960" s="44"/>
      <c r="K960" s="44"/>
    </row>
    <row r="961">
      <c r="E961" s="42"/>
      <c r="G961" s="43"/>
      <c r="I961" s="44"/>
      <c r="K961" s="44"/>
    </row>
    <row r="962">
      <c r="E962" s="42"/>
      <c r="G962" s="43"/>
      <c r="I962" s="44"/>
      <c r="K962" s="44"/>
    </row>
    <row r="963">
      <c r="E963" s="42"/>
      <c r="G963" s="43"/>
      <c r="I963" s="44"/>
      <c r="K963" s="44"/>
    </row>
    <row r="964">
      <c r="E964" s="42"/>
      <c r="G964" s="43"/>
      <c r="I964" s="44"/>
      <c r="K964" s="44"/>
    </row>
    <row r="965">
      <c r="E965" s="42"/>
      <c r="G965" s="43"/>
      <c r="I965" s="44"/>
      <c r="K965" s="44"/>
    </row>
    <row r="966">
      <c r="E966" s="42"/>
      <c r="G966" s="43"/>
      <c r="I966" s="44"/>
      <c r="K966" s="44"/>
    </row>
    <row r="967">
      <c r="E967" s="42"/>
      <c r="G967" s="43"/>
      <c r="I967" s="44"/>
      <c r="K967" s="44"/>
    </row>
    <row r="968">
      <c r="E968" s="42"/>
      <c r="G968" s="43"/>
      <c r="I968" s="44"/>
      <c r="K968" s="44"/>
    </row>
    <row r="969">
      <c r="E969" s="42"/>
      <c r="G969" s="43"/>
      <c r="I969" s="44"/>
      <c r="K969" s="44"/>
    </row>
    <row r="970">
      <c r="E970" s="42"/>
      <c r="G970" s="43"/>
      <c r="I970" s="44"/>
      <c r="K970" s="44"/>
    </row>
    <row r="971">
      <c r="E971" s="42"/>
      <c r="G971" s="43"/>
      <c r="I971" s="44"/>
      <c r="K971" s="44"/>
    </row>
    <row r="972">
      <c r="E972" s="42"/>
      <c r="G972" s="43"/>
      <c r="I972" s="44"/>
      <c r="K972" s="44"/>
    </row>
    <row r="973">
      <c r="E973" s="42"/>
      <c r="G973" s="43"/>
      <c r="I973" s="44"/>
      <c r="K973" s="44"/>
    </row>
    <row r="974">
      <c r="E974" s="42"/>
      <c r="G974" s="43"/>
      <c r="I974" s="44"/>
      <c r="K974" s="44"/>
    </row>
    <row r="975">
      <c r="E975" s="42"/>
      <c r="G975" s="43"/>
      <c r="I975" s="44"/>
      <c r="K975" s="44"/>
    </row>
    <row r="976">
      <c r="E976" s="42"/>
      <c r="G976" s="43"/>
      <c r="I976" s="44"/>
      <c r="K976" s="44"/>
    </row>
    <row r="977">
      <c r="E977" s="42"/>
      <c r="G977" s="43"/>
      <c r="I977" s="44"/>
      <c r="K977" s="44"/>
    </row>
    <row r="978">
      <c r="E978" s="42"/>
      <c r="G978" s="43"/>
      <c r="I978" s="44"/>
      <c r="K978" s="44"/>
    </row>
    <row r="979">
      <c r="E979" s="42"/>
      <c r="G979" s="43"/>
      <c r="I979" s="44"/>
      <c r="K979" s="44"/>
    </row>
    <row r="980">
      <c r="E980" s="42"/>
      <c r="G980" s="43"/>
      <c r="I980" s="44"/>
      <c r="K980" s="44"/>
    </row>
    <row r="981">
      <c r="E981" s="42"/>
      <c r="G981" s="43"/>
      <c r="I981" s="44"/>
      <c r="K981" s="44"/>
    </row>
    <row r="982">
      <c r="E982" s="42"/>
      <c r="G982" s="43"/>
      <c r="I982" s="44"/>
      <c r="K982" s="44"/>
    </row>
    <row r="983">
      <c r="E983" s="42"/>
      <c r="G983" s="43"/>
      <c r="I983" s="44"/>
      <c r="K983" s="44"/>
    </row>
    <row r="984">
      <c r="E984" s="42"/>
      <c r="G984" s="43"/>
      <c r="I984" s="44"/>
      <c r="K984" s="44"/>
    </row>
    <row r="985">
      <c r="E985" s="42"/>
      <c r="G985" s="43"/>
      <c r="I985" s="44"/>
      <c r="K985" s="44"/>
    </row>
    <row r="986">
      <c r="E986" s="42"/>
      <c r="G986" s="43"/>
      <c r="I986" s="44"/>
      <c r="K986" s="44"/>
    </row>
    <row r="987">
      <c r="E987" s="42"/>
      <c r="G987" s="43"/>
      <c r="I987" s="44"/>
      <c r="K987" s="44"/>
    </row>
    <row r="988">
      <c r="E988" s="42"/>
      <c r="G988" s="43"/>
      <c r="I988" s="44"/>
      <c r="K988" s="44"/>
    </row>
    <row r="989">
      <c r="E989" s="42"/>
      <c r="G989" s="43"/>
      <c r="I989" s="44"/>
      <c r="K989" s="44"/>
    </row>
    <row r="990">
      <c r="E990" s="42"/>
      <c r="G990" s="43"/>
      <c r="I990" s="44"/>
      <c r="K990" s="44"/>
    </row>
    <row r="991">
      <c r="E991" s="42"/>
      <c r="G991" s="43"/>
      <c r="I991" s="44"/>
      <c r="K991" s="44"/>
    </row>
    <row r="992">
      <c r="E992" s="42"/>
      <c r="G992" s="43"/>
      <c r="I992" s="44"/>
      <c r="K992" s="44"/>
    </row>
    <row r="993">
      <c r="E993" s="42"/>
      <c r="G993" s="43"/>
      <c r="I993" s="44"/>
      <c r="K993" s="44"/>
    </row>
    <row r="994">
      <c r="E994" s="42"/>
      <c r="G994" s="43"/>
      <c r="I994" s="44"/>
      <c r="K994" s="44"/>
    </row>
    <row r="995">
      <c r="E995" s="42"/>
      <c r="G995" s="43"/>
      <c r="I995" s="44"/>
      <c r="K995" s="44"/>
    </row>
    <row r="996">
      <c r="E996" s="42"/>
      <c r="G996" s="43"/>
      <c r="I996" s="44"/>
      <c r="K996" s="44"/>
    </row>
    <row r="997">
      <c r="E997" s="42"/>
      <c r="G997" s="43"/>
      <c r="I997" s="44"/>
      <c r="K997" s="44"/>
    </row>
    <row r="998">
      <c r="E998" s="42"/>
      <c r="G998" s="43"/>
      <c r="I998" s="44"/>
      <c r="K998" s="44"/>
    </row>
    <row r="999">
      <c r="E999" s="42"/>
      <c r="G999" s="43"/>
      <c r="I999" s="44"/>
      <c r="K999" s="44"/>
    </row>
    <row r="1000">
      <c r="E1000" s="42"/>
      <c r="G1000" s="43"/>
      <c r="I1000" s="44"/>
      <c r="K1000" s="44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sheetData>
    <row r="1">
      <c r="A1" s="28" t="str">
        <f>IFERROR(__xludf.DUMMYFUNCTION("QUERY(DATASET!A:F, ""SELECT A,B,C,D,E,F WHERE A='Colombia' AND C&gt; date '2020-03-15' "")"),"País")</f>
        <v>País</v>
      </c>
      <c r="B1" s="28" t="str">
        <f>IFERROR(__xludf.DUMMYFUNCTION("""COMPUTED_VALUE"""),"Fecha de Inicio")</f>
        <v>Fecha de Inicio</v>
      </c>
      <c r="C1" s="28" t="str">
        <f>IFERROR(__xludf.DUMMYFUNCTION("""COMPUTED_VALUE"""),"Fecha Fin")</f>
        <v>Fecha Fin</v>
      </c>
      <c r="D1" s="28" t="str">
        <f>IFERROR(__xludf.DUMMYFUNCTION("""COMPUTED_VALUE"""),"Semana")</f>
        <v>Semana</v>
      </c>
      <c r="E1" s="28" t="str">
        <f>IFERROR(__xludf.DUMMYFUNCTION("""COMPUTED_VALUE"""),"Total de Muertes Reportadas")</f>
        <v>Total de Muertes Reportadas</v>
      </c>
      <c r="F1" s="30" t="str">
        <f>IFERROR(__xludf.DUMMYFUNCTION("""COMPUTED_VALUE"""),"Total de Muertes por COVID")</f>
        <v>Total de Muertes por COVID</v>
      </c>
      <c r="G1" s="31" t="s">
        <v>12</v>
      </c>
      <c r="H1" s="32" t="s">
        <v>13</v>
      </c>
      <c r="I1" s="33" t="s">
        <v>14</v>
      </c>
      <c r="J1" s="34" t="s">
        <v>15</v>
      </c>
      <c r="K1" s="35" t="s">
        <v>16</v>
      </c>
      <c r="L1" s="36" t="s">
        <v>17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tr">
        <f>IFERROR(__xludf.DUMMYFUNCTION("""COMPUTED_VALUE"""),"Colombia")</f>
        <v>Colombia</v>
      </c>
      <c r="B2" s="40">
        <f>IFERROR(__xludf.DUMMYFUNCTION("""COMPUTED_VALUE"""),43906.0)</f>
        <v>43906</v>
      </c>
      <c r="C2" s="41">
        <f>IFERROR(__xludf.DUMMYFUNCTION("""COMPUTED_VALUE"""),43912.0)</f>
        <v>43912</v>
      </c>
      <c r="D2" s="39">
        <f>IFERROR(__xludf.DUMMYFUNCTION("""COMPUTED_VALUE"""),12.0)</f>
        <v>12</v>
      </c>
      <c r="E2" s="39">
        <f>IFERROR(__xludf.DUMMYFUNCTION("""COMPUTED_VALUE"""),4499.0)</f>
        <v>4499</v>
      </c>
      <c r="F2" s="39">
        <f>IFERROR(__xludf.DUMMYFUNCTION("""COMPUTED_VALUE"""),2.0)</f>
        <v>2</v>
      </c>
      <c r="G2" s="43">
        <f>AVERAGEIFS('Co pre-COVID'!$E:$E,'Co pre-COVID'!$D:$D,D2)</f>
        <v>4296.8</v>
      </c>
      <c r="H2" s="43">
        <f t="shared" ref="H2:H70" si="1">E2-G2</f>
        <v>202.2</v>
      </c>
      <c r="I2" s="44">
        <f>(F2/VLOOKUP($A$2,'Población'!$A$1:$B$5,2,0))*100000</f>
        <v>0.003901233182</v>
      </c>
      <c r="J2" s="44">
        <f>I2</f>
        <v>0.003901233182</v>
      </c>
      <c r="K2" s="44">
        <f>(H2/VLOOKUP($A$2,'Población'!$A$1:$B$5,2,0))*100000</f>
        <v>0.3944146747</v>
      </c>
      <c r="L2" s="44">
        <f>K2</f>
        <v>0.3944146747</v>
      </c>
    </row>
    <row r="3">
      <c r="A3" s="39" t="str">
        <f>IFERROR(__xludf.DUMMYFUNCTION("""COMPUTED_VALUE"""),"Colombia")</f>
        <v>Colombia</v>
      </c>
      <c r="B3" s="40">
        <f>IFERROR(__xludf.DUMMYFUNCTION("""COMPUTED_VALUE"""),43913.0)</f>
        <v>43913</v>
      </c>
      <c r="C3" s="41">
        <f>IFERROR(__xludf.DUMMYFUNCTION("""COMPUTED_VALUE"""),43919.0)</f>
        <v>43919</v>
      </c>
      <c r="D3" s="39">
        <f>IFERROR(__xludf.DUMMYFUNCTION("""COMPUTED_VALUE"""),13.0)</f>
        <v>13</v>
      </c>
      <c r="E3" s="39">
        <f>IFERROR(__xludf.DUMMYFUNCTION("""COMPUTED_VALUE"""),4337.0)</f>
        <v>4337</v>
      </c>
      <c r="F3" s="39">
        <f>IFERROR(__xludf.DUMMYFUNCTION("""COMPUTED_VALUE"""),8.0)</f>
        <v>8</v>
      </c>
      <c r="G3" s="43">
        <f>AVERAGEIFS('Co pre-COVID'!$E:$E,'Co pre-COVID'!$D:$D,D3)</f>
        <v>4316.4</v>
      </c>
      <c r="H3" s="43">
        <f t="shared" si="1"/>
        <v>20.6</v>
      </c>
      <c r="I3" s="44">
        <f>(F3/VLOOKUP($A$2,'Población'!$A$1:$B$5,2,0))*100000</f>
        <v>0.01560493273</v>
      </c>
      <c r="J3" s="44">
        <f t="shared" ref="J3:J70" si="2">I3+J2</f>
        <v>0.01950616591</v>
      </c>
      <c r="K3" s="44">
        <f>(H3/VLOOKUP($A$2,'Población'!$A$1:$B$5,2,0))*100000</f>
        <v>0.04018270177</v>
      </c>
      <c r="L3" s="44">
        <f t="shared" ref="L3:L70" si="3">K3+L2</f>
        <v>0.4345973764</v>
      </c>
    </row>
    <row r="4">
      <c r="A4" s="39" t="str">
        <f>IFERROR(__xludf.DUMMYFUNCTION("""COMPUTED_VALUE"""),"Colombia")</f>
        <v>Colombia</v>
      </c>
      <c r="B4" s="40">
        <f>IFERROR(__xludf.DUMMYFUNCTION("""COMPUTED_VALUE"""),43920.0)</f>
        <v>43920</v>
      </c>
      <c r="C4" s="41">
        <f>IFERROR(__xludf.DUMMYFUNCTION("""COMPUTED_VALUE"""),43926.0)</f>
        <v>43926</v>
      </c>
      <c r="D4" s="39">
        <f>IFERROR(__xludf.DUMMYFUNCTION("""COMPUTED_VALUE"""),14.0)</f>
        <v>14</v>
      </c>
      <c r="E4" s="39">
        <f>IFERROR(__xludf.DUMMYFUNCTION("""COMPUTED_VALUE"""),4190.0)</f>
        <v>4190</v>
      </c>
      <c r="F4" s="39">
        <f>IFERROR(__xludf.DUMMYFUNCTION("""COMPUTED_VALUE"""),25.0)</f>
        <v>25</v>
      </c>
      <c r="G4" s="43">
        <f>AVERAGEIFS('Co pre-COVID'!$E:$E,'Co pre-COVID'!$D:$D,D4)</f>
        <v>4278</v>
      </c>
      <c r="H4" s="43">
        <f t="shared" si="1"/>
        <v>-88</v>
      </c>
      <c r="I4" s="44">
        <f>(F4/VLOOKUP($A$2,'Población'!$A$1:$B$5,2,0))*100000</f>
        <v>0.04876541477</v>
      </c>
      <c r="J4" s="44">
        <f t="shared" si="2"/>
        <v>0.06827158068</v>
      </c>
      <c r="K4" s="44">
        <f>(H4/VLOOKUP($A$2,'Población'!$A$1:$B$5,2,0))*100000</f>
        <v>-0.17165426</v>
      </c>
      <c r="L4" s="44">
        <f t="shared" si="3"/>
        <v>0.2629431165</v>
      </c>
    </row>
    <row r="5">
      <c r="A5" s="39" t="str">
        <f>IFERROR(__xludf.DUMMYFUNCTION("""COMPUTED_VALUE"""),"Colombia")</f>
        <v>Colombia</v>
      </c>
      <c r="B5" s="40">
        <f>IFERROR(__xludf.DUMMYFUNCTION("""COMPUTED_VALUE"""),43927.0)</f>
        <v>43927</v>
      </c>
      <c r="C5" s="41">
        <f>IFERROR(__xludf.DUMMYFUNCTION("""COMPUTED_VALUE"""),43933.0)</f>
        <v>43933</v>
      </c>
      <c r="D5" s="39">
        <f>IFERROR(__xludf.DUMMYFUNCTION("""COMPUTED_VALUE"""),15.0)</f>
        <v>15</v>
      </c>
      <c r="E5" s="39">
        <f>IFERROR(__xludf.DUMMYFUNCTION("""COMPUTED_VALUE"""),4255.0)</f>
        <v>4255</v>
      </c>
      <c r="F5" s="39">
        <f>IFERROR(__xludf.DUMMYFUNCTION("""COMPUTED_VALUE"""),74.0)</f>
        <v>74</v>
      </c>
      <c r="G5" s="43">
        <f>AVERAGEIFS('Co pre-COVID'!$E:$E,'Co pre-COVID'!$D:$D,D5)</f>
        <v>4255</v>
      </c>
      <c r="H5" s="43">
        <f t="shared" si="1"/>
        <v>0</v>
      </c>
      <c r="I5" s="44">
        <f>(F5/VLOOKUP($A$2,'Población'!$A$1:$B$5,2,0))*100000</f>
        <v>0.1443456277</v>
      </c>
      <c r="J5" s="44">
        <f t="shared" si="2"/>
        <v>0.2126172084</v>
      </c>
      <c r="K5" s="44">
        <f>(H5/VLOOKUP($A$2,'Población'!$A$1:$B$5,2,0))*100000</f>
        <v>0</v>
      </c>
      <c r="L5" s="44">
        <f t="shared" si="3"/>
        <v>0.2629431165</v>
      </c>
    </row>
    <row r="6">
      <c r="A6" s="39" t="str">
        <f>IFERROR(__xludf.DUMMYFUNCTION("""COMPUTED_VALUE"""),"Colombia")</f>
        <v>Colombia</v>
      </c>
      <c r="B6" s="40">
        <f>IFERROR(__xludf.DUMMYFUNCTION("""COMPUTED_VALUE"""),43934.0)</f>
        <v>43934</v>
      </c>
      <c r="C6" s="41">
        <f>IFERROR(__xludf.DUMMYFUNCTION("""COMPUTED_VALUE"""),43940.0)</f>
        <v>43940</v>
      </c>
      <c r="D6" s="39">
        <f>IFERROR(__xludf.DUMMYFUNCTION("""COMPUTED_VALUE"""),16.0)</f>
        <v>16</v>
      </c>
      <c r="E6" s="39">
        <f>IFERROR(__xludf.DUMMYFUNCTION("""COMPUTED_VALUE"""),4355.0)</f>
        <v>4355</v>
      </c>
      <c r="F6" s="39">
        <f>IFERROR(__xludf.DUMMYFUNCTION("""COMPUTED_VALUE"""),70.0)</f>
        <v>70</v>
      </c>
      <c r="G6" s="43">
        <f>AVERAGEIFS('Co pre-COVID'!$E:$E,'Co pre-COVID'!$D:$D,D6)</f>
        <v>4262.8</v>
      </c>
      <c r="H6" s="43">
        <f t="shared" si="1"/>
        <v>92.2</v>
      </c>
      <c r="I6" s="44">
        <f>(F6/VLOOKUP($A$2,'Población'!$A$1:$B$5,2,0))*100000</f>
        <v>0.1365431614</v>
      </c>
      <c r="J6" s="44">
        <f t="shared" si="2"/>
        <v>0.3491603698</v>
      </c>
      <c r="K6" s="44">
        <f>(H6/VLOOKUP($A$2,'Población'!$A$1:$B$5,2,0))*100000</f>
        <v>0.1798468497</v>
      </c>
      <c r="L6" s="44">
        <f t="shared" si="3"/>
        <v>0.4427899661</v>
      </c>
    </row>
    <row r="7">
      <c r="A7" s="39" t="str">
        <f>IFERROR(__xludf.DUMMYFUNCTION("""COMPUTED_VALUE"""),"Colombia")</f>
        <v>Colombia</v>
      </c>
      <c r="B7" s="40">
        <f>IFERROR(__xludf.DUMMYFUNCTION("""COMPUTED_VALUE"""),43941.0)</f>
        <v>43941</v>
      </c>
      <c r="C7" s="41">
        <f>IFERROR(__xludf.DUMMYFUNCTION("""COMPUTED_VALUE"""),43947.0)</f>
        <v>43947</v>
      </c>
      <c r="D7" s="39">
        <f>IFERROR(__xludf.DUMMYFUNCTION("""COMPUTED_VALUE"""),17.0)</f>
        <v>17</v>
      </c>
      <c r="E7" s="39">
        <f>IFERROR(__xludf.DUMMYFUNCTION("""COMPUTED_VALUE"""),4328.0)</f>
        <v>4328</v>
      </c>
      <c r="F7" s="39">
        <f>IFERROR(__xludf.DUMMYFUNCTION("""COMPUTED_VALUE"""),65.0)</f>
        <v>65</v>
      </c>
      <c r="G7" s="43">
        <f>AVERAGEIFS('Co pre-COVID'!$E:$E,'Co pre-COVID'!$D:$D,D7)</f>
        <v>4263</v>
      </c>
      <c r="H7" s="43">
        <f t="shared" si="1"/>
        <v>65</v>
      </c>
      <c r="I7" s="44">
        <f>(F7/VLOOKUP($A$2,'Población'!$A$1:$B$5,2,0))*100000</f>
        <v>0.1267900784</v>
      </c>
      <c r="J7" s="44">
        <f t="shared" si="2"/>
        <v>0.4759504482</v>
      </c>
      <c r="K7" s="44">
        <f>(H7/VLOOKUP($A$2,'Población'!$A$1:$B$5,2,0))*100000</f>
        <v>0.1267900784</v>
      </c>
      <c r="L7" s="44">
        <f t="shared" si="3"/>
        <v>0.5695800445</v>
      </c>
    </row>
    <row r="8">
      <c r="A8" s="39" t="str">
        <f>IFERROR(__xludf.DUMMYFUNCTION("""COMPUTED_VALUE"""),"Colombia")</f>
        <v>Colombia</v>
      </c>
      <c r="B8" s="40">
        <f>IFERROR(__xludf.DUMMYFUNCTION("""COMPUTED_VALUE"""),43948.0)</f>
        <v>43948</v>
      </c>
      <c r="C8" s="41">
        <f>IFERROR(__xludf.DUMMYFUNCTION("""COMPUTED_VALUE"""),43954.0)</f>
        <v>43954</v>
      </c>
      <c r="D8" s="39">
        <f>IFERROR(__xludf.DUMMYFUNCTION("""COMPUTED_VALUE"""),18.0)</f>
        <v>18</v>
      </c>
      <c r="E8" s="39">
        <f>IFERROR(__xludf.DUMMYFUNCTION("""COMPUTED_VALUE"""),4263.0)</f>
        <v>4263</v>
      </c>
      <c r="F8" s="39">
        <f>IFERROR(__xludf.DUMMYFUNCTION("""COMPUTED_VALUE"""),96.0)</f>
        <v>96</v>
      </c>
      <c r="G8" s="43">
        <f>AVERAGEIFS('Co pre-COVID'!$E:$E,'Co pre-COVID'!$D:$D,D8)</f>
        <v>4331.2</v>
      </c>
      <c r="H8" s="43">
        <f t="shared" si="1"/>
        <v>-68.2</v>
      </c>
      <c r="I8" s="44">
        <f>(F8/VLOOKUP($A$2,'Población'!$A$1:$B$5,2,0))*100000</f>
        <v>0.1872591927</v>
      </c>
      <c r="J8" s="44">
        <f t="shared" si="2"/>
        <v>0.6632096409</v>
      </c>
      <c r="K8" s="44">
        <f>(H8/VLOOKUP($A$2,'Población'!$A$1:$B$5,2,0))*100000</f>
        <v>-0.1330320515</v>
      </c>
      <c r="L8" s="44">
        <f t="shared" si="3"/>
        <v>0.436547993</v>
      </c>
    </row>
    <row r="9">
      <c r="A9" s="39" t="str">
        <f>IFERROR(__xludf.DUMMYFUNCTION("""COMPUTED_VALUE"""),"Colombia")</f>
        <v>Colombia</v>
      </c>
      <c r="B9" s="40">
        <f>IFERROR(__xludf.DUMMYFUNCTION("""COMPUTED_VALUE"""),43955.0)</f>
        <v>43955</v>
      </c>
      <c r="C9" s="41">
        <f>IFERROR(__xludf.DUMMYFUNCTION("""COMPUTED_VALUE"""),43961.0)</f>
        <v>43961</v>
      </c>
      <c r="D9" s="39">
        <f>IFERROR(__xludf.DUMMYFUNCTION("""COMPUTED_VALUE"""),19.0)</f>
        <v>19</v>
      </c>
      <c r="E9" s="39">
        <f>IFERROR(__xludf.DUMMYFUNCTION("""COMPUTED_VALUE"""),4469.0)</f>
        <v>4469</v>
      </c>
      <c r="F9" s="39">
        <f>IFERROR(__xludf.DUMMYFUNCTION("""COMPUTED_VALUE"""),123.0)</f>
        <v>123</v>
      </c>
      <c r="G9" s="43">
        <f>AVERAGEIFS('Co pre-COVID'!$E:$E,'Co pre-COVID'!$D:$D,D9)</f>
        <v>4368.2</v>
      </c>
      <c r="H9" s="43">
        <f t="shared" si="1"/>
        <v>100.8</v>
      </c>
      <c r="I9" s="44">
        <f>(F9/VLOOKUP($A$2,'Población'!$A$1:$B$5,2,0))*100000</f>
        <v>0.2399258407</v>
      </c>
      <c r="J9" s="44">
        <f t="shared" si="2"/>
        <v>0.9031354816</v>
      </c>
      <c r="K9" s="44">
        <f>(H9/VLOOKUP($A$2,'Población'!$A$1:$B$5,2,0))*100000</f>
        <v>0.1966221524</v>
      </c>
      <c r="L9" s="44">
        <f t="shared" si="3"/>
        <v>0.6331701454</v>
      </c>
    </row>
    <row r="10">
      <c r="A10" s="39" t="str">
        <f>IFERROR(__xludf.DUMMYFUNCTION("""COMPUTED_VALUE"""),"Colombia")</f>
        <v>Colombia</v>
      </c>
      <c r="B10" s="40">
        <f>IFERROR(__xludf.DUMMYFUNCTION("""COMPUTED_VALUE"""),43962.0)</f>
        <v>43962</v>
      </c>
      <c r="C10" s="41">
        <f>IFERROR(__xludf.DUMMYFUNCTION("""COMPUTED_VALUE"""),43968.0)</f>
        <v>43968</v>
      </c>
      <c r="D10" s="39">
        <f>IFERROR(__xludf.DUMMYFUNCTION("""COMPUTED_VALUE"""),20.0)</f>
        <v>20</v>
      </c>
      <c r="E10" s="39">
        <f>IFERROR(__xludf.DUMMYFUNCTION("""COMPUTED_VALUE"""),4579.0)</f>
        <v>4579</v>
      </c>
      <c r="F10" s="39">
        <f>IFERROR(__xludf.DUMMYFUNCTION("""COMPUTED_VALUE"""),111.0)</f>
        <v>111</v>
      </c>
      <c r="G10" s="43">
        <f>AVERAGEIFS('Co pre-COVID'!$E:$E,'Co pre-COVID'!$D:$D,D10)</f>
        <v>4518.8</v>
      </c>
      <c r="H10" s="43">
        <f t="shared" si="1"/>
        <v>60.2</v>
      </c>
      <c r="I10" s="44">
        <f>(F10/VLOOKUP($A$2,'Población'!$A$1:$B$5,2,0))*100000</f>
        <v>0.2165184416</v>
      </c>
      <c r="J10" s="44">
        <f t="shared" si="2"/>
        <v>1.119653923</v>
      </c>
      <c r="K10" s="44">
        <f>(H10/VLOOKUP($A$2,'Población'!$A$1:$B$5,2,0))*100000</f>
        <v>0.1174271188</v>
      </c>
      <c r="L10" s="44">
        <f t="shared" si="3"/>
        <v>0.7505972642</v>
      </c>
    </row>
    <row r="11">
      <c r="A11" s="39" t="str">
        <f>IFERROR(__xludf.DUMMYFUNCTION("""COMPUTED_VALUE"""),"Colombia")</f>
        <v>Colombia</v>
      </c>
      <c r="B11" s="40">
        <f>IFERROR(__xludf.DUMMYFUNCTION("""COMPUTED_VALUE"""),43969.0)</f>
        <v>43969</v>
      </c>
      <c r="C11" s="41">
        <f>IFERROR(__xludf.DUMMYFUNCTION("""COMPUTED_VALUE"""),43975.0)</f>
        <v>43975</v>
      </c>
      <c r="D11" s="39">
        <f>IFERROR(__xludf.DUMMYFUNCTION("""COMPUTED_VALUE"""),21.0)</f>
        <v>21</v>
      </c>
      <c r="E11" s="39">
        <f>IFERROR(__xludf.DUMMYFUNCTION("""COMPUTED_VALUE"""),4701.0)</f>
        <v>4701</v>
      </c>
      <c r="F11" s="39">
        <f>IFERROR(__xludf.DUMMYFUNCTION("""COMPUTED_VALUE"""),153.0)</f>
        <v>153</v>
      </c>
      <c r="G11" s="43">
        <f>AVERAGEIFS('Co pre-COVID'!$E:$E,'Co pre-COVID'!$D:$D,D11)</f>
        <v>4478.2</v>
      </c>
      <c r="H11" s="43">
        <f t="shared" si="1"/>
        <v>222.8</v>
      </c>
      <c r="I11" s="44">
        <f>(F11/VLOOKUP($A$2,'Población'!$A$1:$B$5,2,0))*100000</f>
        <v>0.2984443384</v>
      </c>
      <c r="J11" s="44">
        <f t="shared" si="2"/>
        <v>1.418098262</v>
      </c>
      <c r="K11" s="44">
        <f>(H11/VLOOKUP($A$2,'Población'!$A$1:$B$5,2,0))*100000</f>
        <v>0.4345973764</v>
      </c>
      <c r="L11" s="44">
        <f t="shared" si="3"/>
        <v>1.185194641</v>
      </c>
    </row>
    <row r="12">
      <c r="A12" s="39" t="str">
        <f>IFERROR(__xludf.DUMMYFUNCTION("""COMPUTED_VALUE"""),"Colombia")</f>
        <v>Colombia</v>
      </c>
      <c r="B12" s="40">
        <f>IFERROR(__xludf.DUMMYFUNCTION("""COMPUTED_VALUE"""),43976.0)</f>
        <v>43976</v>
      </c>
      <c r="C12" s="41">
        <f>IFERROR(__xludf.DUMMYFUNCTION("""COMPUTED_VALUE"""),43982.0)</f>
        <v>43982</v>
      </c>
      <c r="D12" s="39">
        <f>IFERROR(__xludf.DUMMYFUNCTION("""COMPUTED_VALUE"""),22.0)</f>
        <v>22</v>
      </c>
      <c r="E12" s="39">
        <f>IFERROR(__xludf.DUMMYFUNCTION("""COMPUTED_VALUE"""),4738.0)</f>
        <v>4738</v>
      </c>
      <c r="F12" s="39">
        <f>IFERROR(__xludf.DUMMYFUNCTION("""COMPUTED_VALUE"""),212.0)</f>
        <v>212</v>
      </c>
      <c r="G12" s="43">
        <f>AVERAGEIFS('Co pre-COVID'!$E:$E,'Co pre-COVID'!$D:$D,D12)</f>
        <v>4485</v>
      </c>
      <c r="H12" s="43">
        <f t="shared" si="1"/>
        <v>253</v>
      </c>
      <c r="I12" s="44">
        <f>(F12/VLOOKUP($A$2,'Población'!$A$1:$B$5,2,0))*100000</f>
        <v>0.4135307173</v>
      </c>
      <c r="J12" s="44">
        <f t="shared" si="2"/>
        <v>1.831628979</v>
      </c>
      <c r="K12" s="44">
        <f>(H12/VLOOKUP($A$2,'Población'!$A$1:$B$5,2,0))*100000</f>
        <v>0.4935059975</v>
      </c>
      <c r="L12" s="44">
        <f t="shared" si="3"/>
        <v>1.678700638</v>
      </c>
    </row>
    <row r="13">
      <c r="A13" s="39" t="str">
        <f>IFERROR(__xludf.DUMMYFUNCTION("""COMPUTED_VALUE"""),"Colombia")</f>
        <v>Colombia</v>
      </c>
      <c r="B13" s="40">
        <f>IFERROR(__xludf.DUMMYFUNCTION("""COMPUTED_VALUE"""),43983.0)</f>
        <v>43983</v>
      </c>
      <c r="C13" s="41">
        <f>IFERROR(__xludf.DUMMYFUNCTION("""COMPUTED_VALUE"""),43989.0)</f>
        <v>43989</v>
      </c>
      <c r="D13" s="39">
        <f>IFERROR(__xludf.DUMMYFUNCTION("""COMPUTED_VALUE"""),23.0)</f>
        <v>23</v>
      </c>
      <c r="E13" s="39">
        <f>IFERROR(__xludf.DUMMYFUNCTION("""COMPUTED_VALUE"""),5153.0)</f>
        <v>5153</v>
      </c>
      <c r="F13" s="39">
        <f>IFERROR(__xludf.DUMMYFUNCTION("""COMPUTED_VALUE"""),320.0)</f>
        <v>320</v>
      </c>
      <c r="G13" s="43">
        <f>AVERAGEIFS('Co pre-COVID'!$E:$E,'Co pre-COVID'!$D:$D,D13)</f>
        <v>4542.6</v>
      </c>
      <c r="H13" s="43">
        <f t="shared" si="1"/>
        <v>610.4</v>
      </c>
      <c r="I13" s="44">
        <f>(F13/VLOOKUP($A$2,'Población'!$A$1:$B$5,2,0))*100000</f>
        <v>0.6241973091</v>
      </c>
      <c r="J13" s="44">
        <f t="shared" si="2"/>
        <v>2.455826288</v>
      </c>
      <c r="K13" s="44">
        <f>(H13/VLOOKUP($A$2,'Población'!$A$1:$B$5,2,0))*100000</f>
        <v>1.190656367</v>
      </c>
      <c r="L13" s="44">
        <f t="shared" si="3"/>
        <v>2.869357005</v>
      </c>
    </row>
    <row r="14">
      <c r="A14" s="39" t="str">
        <f>IFERROR(__xludf.DUMMYFUNCTION("""COMPUTED_VALUE"""),"Colombia")</f>
        <v>Colombia</v>
      </c>
      <c r="B14" s="40">
        <f>IFERROR(__xludf.DUMMYFUNCTION("""COMPUTED_VALUE"""),43990.0)</f>
        <v>43990</v>
      </c>
      <c r="C14" s="41">
        <f>IFERROR(__xludf.DUMMYFUNCTION("""COMPUTED_VALUE"""),43996.0)</f>
        <v>43996</v>
      </c>
      <c r="D14" s="39">
        <f>IFERROR(__xludf.DUMMYFUNCTION("""COMPUTED_VALUE"""),24.0)</f>
        <v>24</v>
      </c>
      <c r="E14" s="39">
        <f>IFERROR(__xludf.DUMMYFUNCTION("""COMPUTED_VALUE"""),5338.0)</f>
        <v>5338</v>
      </c>
      <c r="F14" s="39">
        <f>IFERROR(__xludf.DUMMYFUNCTION("""COMPUTED_VALUE"""),408.0)</f>
        <v>408</v>
      </c>
      <c r="G14" s="43">
        <f>AVERAGEIFS('Co pre-COVID'!$E:$E,'Co pre-COVID'!$D:$D,D14)</f>
        <v>4514.8</v>
      </c>
      <c r="H14" s="43">
        <f t="shared" si="1"/>
        <v>823.2</v>
      </c>
      <c r="I14" s="44">
        <f>(F14/VLOOKUP($A$2,'Población'!$A$1:$B$5,2,0))*100000</f>
        <v>0.7958515691</v>
      </c>
      <c r="J14" s="44">
        <f t="shared" si="2"/>
        <v>3.251677857</v>
      </c>
      <c r="K14" s="44">
        <f>(H14/VLOOKUP($A$2,'Población'!$A$1:$B$5,2,0))*100000</f>
        <v>1.605747578</v>
      </c>
      <c r="L14" s="44">
        <f t="shared" si="3"/>
        <v>4.475104583</v>
      </c>
    </row>
    <row r="15">
      <c r="A15" s="39" t="str">
        <f>IFERROR(__xludf.DUMMYFUNCTION("""COMPUTED_VALUE"""),"Colombia")</f>
        <v>Colombia</v>
      </c>
      <c r="B15" s="40">
        <f>IFERROR(__xludf.DUMMYFUNCTION("""COMPUTED_VALUE"""),43997.0)</f>
        <v>43997</v>
      </c>
      <c r="C15" s="41">
        <f>IFERROR(__xludf.DUMMYFUNCTION("""COMPUTED_VALUE"""),44003.0)</f>
        <v>44003</v>
      </c>
      <c r="D15" s="39">
        <f>IFERROR(__xludf.DUMMYFUNCTION("""COMPUTED_VALUE"""),25.0)</f>
        <v>25</v>
      </c>
      <c r="E15" s="39">
        <f>IFERROR(__xludf.DUMMYFUNCTION("""COMPUTED_VALUE"""),5778.0)</f>
        <v>5778</v>
      </c>
      <c r="F15" s="39">
        <f>IFERROR(__xludf.DUMMYFUNCTION("""COMPUTED_VALUE"""),570.0)</f>
        <v>570</v>
      </c>
      <c r="G15" s="43">
        <f>AVERAGEIFS('Co pre-COVID'!$E:$E,'Co pre-COVID'!$D:$D,D15)</f>
        <v>4554.6</v>
      </c>
      <c r="H15" s="43">
        <f t="shared" si="1"/>
        <v>1223.4</v>
      </c>
      <c r="I15" s="44">
        <f>(F15/VLOOKUP($A$2,'Población'!$A$1:$B$5,2,0))*100000</f>
        <v>1.111851457</v>
      </c>
      <c r="J15" s="44">
        <f t="shared" si="2"/>
        <v>4.363529314</v>
      </c>
      <c r="K15" s="44">
        <f>(H15/VLOOKUP($A$2,'Población'!$A$1:$B$5,2,0))*100000</f>
        <v>2.386384337</v>
      </c>
      <c r="L15" s="44">
        <f t="shared" si="3"/>
        <v>6.86148892</v>
      </c>
    </row>
    <row r="16">
      <c r="A16" s="39" t="str">
        <f>IFERROR(__xludf.DUMMYFUNCTION("""COMPUTED_VALUE"""),"Colombia")</f>
        <v>Colombia</v>
      </c>
      <c r="B16" s="40">
        <f>IFERROR(__xludf.DUMMYFUNCTION("""COMPUTED_VALUE"""),44004.0)</f>
        <v>44004</v>
      </c>
      <c r="C16" s="41">
        <f>IFERROR(__xludf.DUMMYFUNCTION("""COMPUTED_VALUE"""),44010.0)</f>
        <v>44010</v>
      </c>
      <c r="D16" s="39">
        <f>IFERROR(__xludf.DUMMYFUNCTION("""COMPUTED_VALUE"""),26.0)</f>
        <v>26</v>
      </c>
      <c r="E16" s="39">
        <f>IFERROR(__xludf.DUMMYFUNCTION("""COMPUTED_VALUE"""),6128.0)</f>
        <v>6128</v>
      </c>
      <c r="F16" s="39">
        <f>IFERROR(__xludf.DUMMYFUNCTION("""COMPUTED_VALUE"""),941.0)</f>
        <v>941</v>
      </c>
      <c r="G16" s="43">
        <f>AVERAGEIFS('Co pre-COVID'!$E:$E,'Co pre-COVID'!$D:$D,D16)</f>
        <v>4592</v>
      </c>
      <c r="H16" s="43">
        <f t="shared" si="1"/>
        <v>1536</v>
      </c>
      <c r="I16" s="44">
        <f>(F16/VLOOKUP($A$2,'Población'!$A$1:$B$5,2,0))*100000</f>
        <v>1.835530212</v>
      </c>
      <c r="J16" s="44">
        <f t="shared" si="2"/>
        <v>6.199059526</v>
      </c>
      <c r="K16" s="44">
        <f>(H16/VLOOKUP($A$2,'Población'!$A$1:$B$5,2,0))*100000</f>
        <v>2.996147084</v>
      </c>
      <c r="L16" s="44">
        <f t="shared" si="3"/>
        <v>9.857636004</v>
      </c>
    </row>
    <row r="17">
      <c r="A17" s="39" t="str">
        <f>IFERROR(__xludf.DUMMYFUNCTION("""COMPUTED_VALUE"""),"Colombia")</f>
        <v>Colombia</v>
      </c>
      <c r="B17" s="40">
        <f>IFERROR(__xludf.DUMMYFUNCTION("""COMPUTED_VALUE"""),44011.0)</f>
        <v>44011</v>
      </c>
      <c r="C17" s="41">
        <f>IFERROR(__xludf.DUMMYFUNCTION("""COMPUTED_VALUE"""),44017.0)</f>
        <v>44017</v>
      </c>
      <c r="D17" s="39">
        <f>IFERROR(__xludf.DUMMYFUNCTION("""COMPUTED_VALUE"""),27.0)</f>
        <v>27</v>
      </c>
      <c r="E17" s="39">
        <f>IFERROR(__xludf.DUMMYFUNCTION("""COMPUTED_VALUE"""),6233.0)</f>
        <v>6233</v>
      </c>
      <c r="F17" s="39">
        <f>IFERROR(__xludf.DUMMYFUNCTION("""COMPUTED_VALUE"""),886.0)</f>
        <v>886</v>
      </c>
      <c r="G17" s="43">
        <f>AVERAGEIFS('Co pre-COVID'!$E:$E,'Co pre-COVID'!$D:$D,D17)</f>
        <v>4567</v>
      </c>
      <c r="H17" s="43">
        <f t="shared" si="1"/>
        <v>1666</v>
      </c>
      <c r="I17" s="44">
        <f>(F17/VLOOKUP($A$2,'Población'!$A$1:$B$5,2,0))*100000</f>
        <v>1.7282463</v>
      </c>
      <c r="J17" s="44">
        <f t="shared" si="2"/>
        <v>7.927305825</v>
      </c>
      <c r="K17" s="44">
        <f>(H17/VLOOKUP($A$2,'Población'!$A$1:$B$5,2,0))*100000</f>
        <v>3.24972724</v>
      </c>
      <c r="L17" s="44">
        <f t="shared" si="3"/>
        <v>13.10736324</v>
      </c>
    </row>
    <row r="18">
      <c r="A18" s="39" t="str">
        <f>IFERROR(__xludf.DUMMYFUNCTION("""COMPUTED_VALUE"""),"Colombia")</f>
        <v>Colombia</v>
      </c>
      <c r="B18" s="40">
        <f>IFERROR(__xludf.DUMMYFUNCTION("""COMPUTED_VALUE"""),44018.0)</f>
        <v>44018</v>
      </c>
      <c r="C18" s="41">
        <f>IFERROR(__xludf.DUMMYFUNCTION("""COMPUTED_VALUE"""),44024.0)</f>
        <v>44024</v>
      </c>
      <c r="D18" s="39">
        <f>IFERROR(__xludf.DUMMYFUNCTION("""COMPUTED_VALUE"""),28.0)</f>
        <v>28</v>
      </c>
      <c r="E18" s="39">
        <f>IFERROR(__xludf.DUMMYFUNCTION("""COMPUTED_VALUE"""),6739.0)</f>
        <v>6739</v>
      </c>
      <c r="F18" s="39">
        <f>IFERROR(__xludf.DUMMYFUNCTION("""COMPUTED_VALUE"""),1243.0)</f>
        <v>1243</v>
      </c>
      <c r="G18" s="43">
        <f>AVERAGEIFS('Co pre-COVID'!$E:$E,'Co pre-COVID'!$D:$D,D18)</f>
        <v>4543.6</v>
      </c>
      <c r="H18" s="43">
        <f t="shared" si="1"/>
        <v>2195.4</v>
      </c>
      <c r="I18" s="44">
        <f>(F18/VLOOKUP($A$2,'Población'!$A$1:$B$5,2,0))*100000</f>
        <v>2.424616422</v>
      </c>
      <c r="J18" s="44">
        <f t="shared" si="2"/>
        <v>10.35192225</v>
      </c>
      <c r="K18" s="44">
        <f>(H18/VLOOKUP($A$2,'Población'!$A$1:$B$5,2,0))*100000</f>
        <v>4.282383664</v>
      </c>
      <c r="L18" s="44">
        <f t="shared" si="3"/>
        <v>17.38974691</v>
      </c>
    </row>
    <row r="19">
      <c r="A19" s="39" t="str">
        <f>IFERROR(__xludf.DUMMYFUNCTION("""COMPUTED_VALUE"""),"Colombia")</f>
        <v>Colombia</v>
      </c>
      <c r="B19" s="40">
        <f>IFERROR(__xludf.DUMMYFUNCTION("""COMPUTED_VALUE"""),44025.0)</f>
        <v>44025</v>
      </c>
      <c r="C19" s="41">
        <f>IFERROR(__xludf.DUMMYFUNCTION("""COMPUTED_VALUE"""),44031.0)</f>
        <v>44031</v>
      </c>
      <c r="D19" s="39">
        <f>IFERROR(__xludf.DUMMYFUNCTION("""COMPUTED_VALUE"""),29.0)</f>
        <v>29</v>
      </c>
      <c r="E19" s="39">
        <f>IFERROR(__xludf.DUMMYFUNCTION("""COMPUTED_VALUE"""),7313.0)</f>
        <v>7313</v>
      </c>
      <c r="F19" s="39">
        <f>IFERROR(__xludf.DUMMYFUNCTION("""COMPUTED_VALUE"""),1429.0)</f>
        <v>1429</v>
      </c>
      <c r="G19" s="43">
        <f>AVERAGEIFS('Co pre-COVID'!$E:$E,'Co pre-COVID'!$D:$D,D19)</f>
        <v>4444.8</v>
      </c>
      <c r="H19" s="43">
        <f t="shared" si="1"/>
        <v>2868.2</v>
      </c>
      <c r="I19" s="44">
        <f>(F19/VLOOKUP($A$2,'Población'!$A$1:$B$5,2,0))*100000</f>
        <v>2.787431108</v>
      </c>
      <c r="J19" s="44">
        <f t="shared" si="2"/>
        <v>13.13935336</v>
      </c>
      <c r="K19" s="44">
        <f>(H19/VLOOKUP($A$2,'Población'!$A$1:$B$5,2,0))*100000</f>
        <v>5.594758506</v>
      </c>
      <c r="L19" s="44">
        <f t="shared" si="3"/>
        <v>22.98450541</v>
      </c>
    </row>
    <row r="20">
      <c r="A20" s="39" t="str">
        <f>IFERROR(__xludf.DUMMYFUNCTION("""COMPUTED_VALUE"""),"Colombia")</f>
        <v>Colombia</v>
      </c>
      <c r="B20" s="40">
        <f>IFERROR(__xludf.DUMMYFUNCTION("""COMPUTED_VALUE"""),44032.0)</f>
        <v>44032</v>
      </c>
      <c r="C20" s="41">
        <f>IFERROR(__xludf.DUMMYFUNCTION("""COMPUTED_VALUE"""),44038.0)</f>
        <v>44038</v>
      </c>
      <c r="D20" s="39">
        <f>IFERROR(__xludf.DUMMYFUNCTION("""COMPUTED_VALUE"""),30.0)</f>
        <v>30</v>
      </c>
      <c r="E20" s="39">
        <f>IFERROR(__xludf.DUMMYFUNCTION("""COMPUTED_VALUE"""),7702.0)</f>
        <v>7702</v>
      </c>
      <c r="F20" s="39">
        <f>IFERROR(__xludf.DUMMYFUNCTION("""COMPUTED_VALUE"""),1789.0)</f>
        <v>1789</v>
      </c>
      <c r="G20" s="43">
        <f>AVERAGEIFS('Co pre-COVID'!$E:$E,'Co pre-COVID'!$D:$D,D20)</f>
        <v>4322.2</v>
      </c>
      <c r="H20" s="43">
        <f t="shared" si="1"/>
        <v>3379.8</v>
      </c>
      <c r="I20" s="44">
        <f>(F20/VLOOKUP($A$2,'Población'!$A$1:$B$5,2,0))*100000</f>
        <v>3.489653081</v>
      </c>
      <c r="J20" s="44">
        <f t="shared" si="2"/>
        <v>16.62900644</v>
      </c>
      <c r="K20" s="44">
        <f>(H20/VLOOKUP($A$2,'Población'!$A$1:$B$5,2,0))*100000</f>
        <v>6.592693954</v>
      </c>
      <c r="L20" s="44">
        <f t="shared" si="3"/>
        <v>29.57719937</v>
      </c>
    </row>
    <row r="21">
      <c r="A21" s="39" t="str">
        <f>IFERROR(__xludf.DUMMYFUNCTION("""COMPUTED_VALUE"""),"Colombia")</f>
        <v>Colombia</v>
      </c>
      <c r="B21" s="40">
        <f>IFERROR(__xludf.DUMMYFUNCTION("""COMPUTED_VALUE"""),44039.0)</f>
        <v>44039</v>
      </c>
      <c r="C21" s="41">
        <f>IFERROR(__xludf.DUMMYFUNCTION("""COMPUTED_VALUE"""),44045.0)</f>
        <v>44045</v>
      </c>
      <c r="D21" s="39">
        <f>IFERROR(__xludf.DUMMYFUNCTION("""COMPUTED_VALUE"""),31.0)</f>
        <v>31</v>
      </c>
      <c r="E21" s="39">
        <f>IFERROR(__xludf.DUMMYFUNCTION("""COMPUTED_VALUE"""),8070.0)</f>
        <v>8070</v>
      </c>
      <c r="F21" s="39">
        <f>IFERROR(__xludf.DUMMYFUNCTION("""COMPUTED_VALUE"""),2125.0)</f>
        <v>2125</v>
      </c>
      <c r="G21" s="43">
        <f>AVERAGEIFS('Co pre-COVID'!$E:$E,'Co pre-COVID'!$D:$D,D21)</f>
        <v>4363.8</v>
      </c>
      <c r="H21" s="43">
        <f t="shared" si="1"/>
        <v>3706.2</v>
      </c>
      <c r="I21" s="44">
        <f>(F21/VLOOKUP($A$2,'Población'!$A$1:$B$5,2,0))*100000</f>
        <v>4.145060256</v>
      </c>
      <c r="J21" s="44">
        <f t="shared" si="2"/>
        <v>20.77406669</v>
      </c>
      <c r="K21" s="44">
        <f>(H21/VLOOKUP($A$2,'Población'!$A$1:$B$5,2,0))*100000</f>
        <v>7.229375209</v>
      </c>
      <c r="L21" s="44">
        <f t="shared" si="3"/>
        <v>36.80657458</v>
      </c>
    </row>
    <row r="22">
      <c r="A22" s="39" t="str">
        <f>IFERROR(__xludf.DUMMYFUNCTION("""COMPUTED_VALUE"""),"Colombia")</f>
        <v>Colombia</v>
      </c>
      <c r="B22" s="40">
        <f>IFERROR(__xludf.DUMMYFUNCTION("""COMPUTED_VALUE"""),44046.0)</f>
        <v>44046</v>
      </c>
      <c r="C22" s="41">
        <f>IFERROR(__xludf.DUMMYFUNCTION("""COMPUTED_VALUE"""),44052.0)</f>
        <v>44052</v>
      </c>
      <c r="D22" s="39">
        <f>IFERROR(__xludf.DUMMYFUNCTION("""COMPUTED_VALUE"""),32.0)</f>
        <v>32</v>
      </c>
      <c r="E22" s="39">
        <f>IFERROR(__xludf.DUMMYFUNCTION("""COMPUTED_VALUE"""),7888.0)</f>
        <v>7888</v>
      </c>
      <c r="F22" s="39">
        <f>IFERROR(__xludf.DUMMYFUNCTION("""COMPUTED_VALUE"""),2192.0)</f>
        <v>2192</v>
      </c>
      <c r="G22" s="43">
        <f>AVERAGEIFS('Co pre-COVID'!$E:$E,'Co pre-COVID'!$D:$D,D22)</f>
        <v>4442.8</v>
      </c>
      <c r="H22" s="43">
        <f t="shared" si="1"/>
        <v>3445.2</v>
      </c>
      <c r="I22" s="44">
        <f>(F22/VLOOKUP($A$2,'Población'!$A$1:$B$5,2,0))*100000</f>
        <v>4.275751567</v>
      </c>
      <c r="J22" s="44">
        <f t="shared" si="2"/>
        <v>25.04981826</v>
      </c>
      <c r="K22" s="44">
        <f>(H22/VLOOKUP($A$2,'Población'!$A$1:$B$5,2,0))*100000</f>
        <v>6.720264279</v>
      </c>
      <c r="L22" s="44">
        <f t="shared" si="3"/>
        <v>43.52683886</v>
      </c>
    </row>
    <row r="23">
      <c r="A23" s="39" t="str">
        <f>IFERROR(__xludf.DUMMYFUNCTION("""COMPUTED_VALUE"""),"Colombia")</f>
        <v>Colombia</v>
      </c>
      <c r="B23" s="40">
        <f>IFERROR(__xludf.DUMMYFUNCTION("""COMPUTED_VALUE"""),44053.0)</f>
        <v>44053</v>
      </c>
      <c r="C23" s="41">
        <f>IFERROR(__xludf.DUMMYFUNCTION("""COMPUTED_VALUE"""),44059.0)</f>
        <v>44059</v>
      </c>
      <c r="D23" s="39">
        <f>IFERROR(__xludf.DUMMYFUNCTION("""COMPUTED_VALUE"""),33.0)</f>
        <v>33</v>
      </c>
      <c r="E23" s="39">
        <f>IFERROR(__xludf.DUMMYFUNCTION("""COMPUTED_VALUE"""),7648.0)</f>
        <v>7648</v>
      </c>
      <c r="F23" s="39">
        <f>IFERROR(__xludf.DUMMYFUNCTION("""COMPUTED_VALUE"""),2255.0)</f>
        <v>2255</v>
      </c>
      <c r="G23" s="43">
        <f>AVERAGEIFS('Co pre-COVID'!$E:$E,'Co pre-COVID'!$D:$D,D23)</f>
        <v>4399.2</v>
      </c>
      <c r="H23" s="43">
        <f t="shared" si="1"/>
        <v>3248.8</v>
      </c>
      <c r="I23" s="44">
        <f>(F23/VLOOKUP($A$2,'Población'!$A$1:$B$5,2,0))*100000</f>
        <v>4.398640412</v>
      </c>
      <c r="J23" s="44">
        <f t="shared" si="2"/>
        <v>29.44845867</v>
      </c>
      <c r="K23" s="44">
        <f>(H23/VLOOKUP($A$2,'Población'!$A$1:$B$5,2,0))*100000</f>
        <v>6.33716318</v>
      </c>
      <c r="L23" s="44">
        <f t="shared" si="3"/>
        <v>49.86400204</v>
      </c>
    </row>
    <row r="24">
      <c r="A24" s="39" t="str">
        <f>IFERROR(__xludf.DUMMYFUNCTION("""COMPUTED_VALUE"""),"Colombia")</f>
        <v>Colombia</v>
      </c>
      <c r="B24" s="40">
        <f>IFERROR(__xludf.DUMMYFUNCTION("""COMPUTED_VALUE"""),44060.0)</f>
        <v>44060</v>
      </c>
      <c r="C24" s="41">
        <f>IFERROR(__xludf.DUMMYFUNCTION("""COMPUTED_VALUE"""),44066.0)</f>
        <v>44066</v>
      </c>
      <c r="D24" s="39">
        <f>IFERROR(__xludf.DUMMYFUNCTION("""COMPUTED_VALUE"""),34.0)</f>
        <v>34</v>
      </c>
      <c r="E24" s="39">
        <f>IFERROR(__xludf.DUMMYFUNCTION("""COMPUTED_VALUE"""),7152.0)</f>
        <v>7152</v>
      </c>
      <c r="F24" s="39">
        <f>IFERROR(__xludf.DUMMYFUNCTION("""COMPUTED_VALUE"""),2219.0)</f>
        <v>2219</v>
      </c>
      <c r="G24" s="43">
        <f>AVERAGEIFS('Co pre-COVID'!$E:$E,'Co pre-COVID'!$D:$D,D24)</f>
        <v>4336</v>
      </c>
      <c r="H24" s="43">
        <f t="shared" si="1"/>
        <v>2816</v>
      </c>
      <c r="I24" s="44">
        <f>(F24/VLOOKUP($A$2,'Población'!$A$1:$B$5,2,0))*100000</f>
        <v>4.328418215</v>
      </c>
      <c r="J24" s="44">
        <f t="shared" si="2"/>
        <v>33.77687689</v>
      </c>
      <c r="K24" s="44">
        <f>(H24/VLOOKUP($A$2,'Población'!$A$1:$B$5,2,0))*100000</f>
        <v>5.49293632</v>
      </c>
      <c r="L24" s="44">
        <f t="shared" si="3"/>
        <v>55.35693836</v>
      </c>
    </row>
    <row r="25">
      <c r="A25" s="39" t="str">
        <f>IFERROR(__xludf.DUMMYFUNCTION("""COMPUTED_VALUE"""),"Colombia")</f>
        <v>Colombia</v>
      </c>
      <c r="B25" s="40">
        <f>IFERROR(__xludf.DUMMYFUNCTION("""COMPUTED_VALUE"""),44067.0)</f>
        <v>44067</v>
      </c>
      <c r="C25" s="41">
        <f>IFERROR(__xludf.DUMMYFUNCTION("""COMPUTED_VALUE"""),44073.0)</f>
        <v>44073</v>
      </c>
      <c r="D25" s="39">
        <f>IFERROR(__xludf.DUMMYFUNCTION("""COMPUTED_VALUE"""),35.0)</f>
        <v>35</v>
      </c>
      <c r="E25" s="39">
        <f>IFERROR(__xludf.DUMMYFUNCTION("""COMPUTED_VALUE"""),6798.0)</f>
        <v>6798</v>
      </c>
      <c r="F25" s="39">
        <f>IFERROR(__xludf.DUMMYFUNCTION("""COMPUTED_VALUE"""),2047.0)</f>
        <v>2047</v>
      </c>
      <c r="G25" s="43">
        <f>AVERAGEIFS('Co pre-COVID'!$E:$E,'Co pre-COVID'!$D:$D,D25)</f>
        <v>4352.6</v>
      </c>
      <c r="H25" s="43">
        <f t="shared" si="1"/>
        <v>2445.4</v>
      </c>
      <c r="I25" s="44">
        <f>(F25/VLOOKUP($A$2,'Población'!$A$1:$B$5,2,0))*100000</f>
        <v>3.992912162</v>
      </c>
      <c r="J25" s="44">
        <f t="shared" si="2"/>
        <v>37.76978905</v>
      </c>
      <c r="K25" s="44">
        <f>(H25/VLOOKUP($A$2,'Población'!$A$1:$B$5,2,0))*100000</f>
        <v>4.770037811</v>
      </c>
      <c r="L25" s="44">
        <f t="shared" si="3"/>
        <v>60.12697617</v>
      </c>
    </row>
    <row r="26">
      <c r="A26" s="39" t="str">
        <f>IFERROR(__xludf.DUMMYFUNCTION("""COMPUTED_VALUE"""),"Colombia")</f>
        <v>Colombia</v>
      </c>
      <c r="B26" s="40">
        <f>IFERROR(__xludf.DUMMYFUNCTION("""COMPUTED_VALUE"""),44074.0)</f>
        <v>44074</v>
      </c>
      <c r="C26" s="41">
        <f>IFERROR(__xludf.DUMMYFUNCTION("""COMPUTED_VALUE"""),44080.0)</f>
        <v>44080</v>
      </c>
      <c r="D26" s="39">
        <f>IFERROR(__xludf.DUMMYFUNCTION("""COMPUTED_VALUE"""),36.0)</f>
        <v>36</v>
      </c>
      <c r="E26" s="39">
        <f>IFERROR(__xludf.DUMMYFUNCTION("""COMPUTED_VALUE"""),6570.0)</f>
        <v>6570</v>
      </c>
      <c r="F26" s="39">
        <f>IFERROR(__xludf.DUMMYFUNCTION("""COMPUTED_VALUE"""),2049.0)</f>
        <v>2049</v>
      </c>
      <c r="G26" s="43">
        <f>AVERAGEIFS('Co pre-COVID'!$E:$E,'Co pre-COVID'!$D:$D,D26)</f>
        <v>4348.4</v>
      </c>
      <c r="H26" s="43">
        <f t="shared" si="1"/>
        <v>2221.6</v>
      </c>
      <c r="I26" s="44">
        <f>(F26/VLOOKUP($A$2,'Población'!$A$1:$B$5,2,0))*100000</f>
        <v>3.996813395</v>
      </c>
      <c r="J26" s="44">
        <f t="shared" si="2"/>
        <v>41.76660244</v>
      </c>
      <c r="K26" s="44">
        <f>(H26/VLOOKUP($A$2,'Población'!$A$1:$B$5,2,0))*100000</f>
        <v>4.333489818</v>
      </c>
      <c r="L26" s="44">
        <f t="shared" si="3"/>
        <v>64.46046599</v>
      </c>
    </row>
    <row r="27">
      <c r="A27" s="39" t="str">
        <f>IFERROR(__xludf.DUMMYFUNCTION("""COMPUTED_VALUE"""),"Colombia")</f>
        <v>Colombia</v>
      </c>
      <c r="B27" s="40">
        <f>IFERROR(__xludf.DUMMYFUNCTION("""COMPUTED_VALUE"""),44081.0)</f>
        <v>44081</v>
      </c>
      <c r="C27" s="41">
        <f>IFERROR(__xludf.DUMMYFUNCTION("""COMPUTED_VALUE"""),44087.0)</f>
        <v>44087</v>
      </c>
      <c r="D27" s="39">
        <f>IFERROR(__xludf.DUMMYFUNCTION("""COMPUTED_VALUE"""),37.0)</f>
        <v>37</v>
      </c>
      <c r="E27" s="39">
        <f>IFERROR(__xludf.DUMMYFUNCTION("""COMPUTED_VALUE"""),6383.0)</f>
        <v>6383</v>
      </c>
      <c r="F27" s="39">
        <f>IFERROR(__xludf.DUMMYFUNCTION("""COMPUTED_VALUE"""),1512.0)</f>
        <v>1512</v>
      </c>
      <c r="G27" s="43">
        <f>AVERAGEIFS('Co pre-COVID'!$E:$E,'Co pre-COVID'!$D:$D,D27)</f>
        <v>4310.6</v>
      </c>
      <c r="H27" s="43">
        <f t="shared" si="1"/>
        <v>2072.4</v>
      </c>
      <c r="I27" s="44">
        <f>(F27/VLOOKUP($A$2,'Población'!$A$1:$B$5,2,0))*100000</f>
        <v>2.949332285</v>
      </c>
      <c r="J27" s="44">
        <f t="shared" si="2"/>
        <v>44.71593473</v>
      </c>
      <c r="K27" s="44">
        <f>(H27/VLOOKUP($A$2,'Población'!$A$1:$B$5,2,0))*100000</f>
        <v>4.042457823</v>
      </c>
      <c r="L27" s="44">
        <f t="shared" si="3"/>
        <v>68.50292381</v>
      </c>
    </row>
    <row r="28">
      <c r="A28" s="39" t="str">
        <f>IFERROR(__xludf.DUMMYFUNCTION("""COMPUTED_VALUE"""),"Colombia")</f>
        <v>Colombia</v>
      </c>
      <c r="B28" s="40">
        <f>IFERROR(__xludf.DUMMYFUNCTION("""COMPUTED_VALUE"""),44088.0)</f>
        <v>44088</v>
      </c>
      <c r="C28" s="41">
        <f>IFERROR(__xludf.DUMMYFUNCTION("""COMPUTED_VALUE"""),44094.0)</f>
        <v>44094</v>
      </c>
      <c r="D28" s="39">
        <f>IFERROR(__xludf.DUMMYFUNCTION("""COMPUTED_VALUE"""),38.0)</f>
        <v>38</v>
      </c>
      <c r="E28" s="39">
        <f>IFERROR(__xludf.DUMMYFUNCTION("""COMPUTED_VALUE"""),6240.0)</f>
        <v>6240</v>
      </c>
      <c r="F28" s="39">
        <f>IFERROR(__xludf.DUMMYFUNCTION("""COMPUTED_VALUE"""),1284.0)</f>
        <v>1284</v>
      </c>
      <c r="G28" s="43">
        <f>AVERAGEIFS('Co pre-COVID'!$E:$E,'Co pre-COVID'!$D:$D,D28)</f>
        <v>4372.2</v>
      </c>
      <c r="H28" s="43">
        <f t="shared" si="1"/>
        <v>1867.8</v>
      </c>
      <c r="I28" s="44">
        <f>(F28/VLOOKUP($A$2,'Población'!$A$1:$B$5,2,0))*100000</f>
        <v>2.504591703</v>
      </c>
      <c r="J28" s="44">
        <f t="shared" si="2"/>
        <v>47.22052643</v>
      </c>
      <c r="K28" s="44">
        <f>(H28/VLOOKUP($A$2,'Población'!$A$1:$B$5,2,0))*100000</f>
        <v>3.643361668</v>
      </c>
      <c r="L28" s="44">
        <f t="shared" si="3"/>
        <v>72.14628548</v>
      </c>
    </row>
    <row r="29">
      <c r="A29" s="39" t="str">
        <f>IFERROR(__xludf.DUMMYFUNCTION("""COMPUTED_VALUE"""),"Colombia")</f>
        <v>Colombia</v>
      </c>
      <c r="B29" s="40">
        <f>IFERROR(__xludf.DUMMYFUNCTION("""COMPUTED_VALUE"""),44095.0)</f>
        <v>44095</v>
      </c>
      <c r="C29" s="41">
        <f>IFERROR(__xludf.DUMMYFUNCTION("""COMPUTED_VALUE"""),44101.0)</f>
        <v>44101</v>
      </c>
      <c r="D29" s="39">
        <f>IFERROR(__xludf.DUMMYFUNCTION("""COMPUTED_VALUE"""),39.0)</f>
        <v>39</v>
      </c>
      <c r="E29" s="39">
        <f>IFERROR(__xludf.DUMMYFUNCTION("""COMPUTED_VALUE"""),6161.0)</f>
        <v>6161</v>
      </c>
      <c r="F29" s="39">
        <f>IFERROR(__xludf.DUMMYFUNCTION("""COMPUTED_VALUE"""),1280.0)</f>
        <v>1280</v>
      </c>
      <c r="G29" s="43">
        <f>AVERAGEIFS('Co pre-COVID'!$E:$E,'Co pre-COVID'!$D:$D,D29)</f>
        <v>4257.6</v>
      </c>
      <c r="H29" s="43">
        <f t="shared" si="1"/>
        <v>1903.4</v>
      </c>
      <c r="I29" s="44">
        <f>(F29/VLOOKUP($A$2,'Población'!$A$1:$B$5,2,0))*100000</f>
        <v>2.496789236</v>
      </c>
      <c r="J29" s="44">
        <f t="shared" si="2"/>
        <v>49.71731567</v>
      </c>
      <c r="K29" s="44">
        <f>(H29/VLOOKUP($A$2,'Población'!$A$1:$B$5,2,0))*100000</f>
        <v>3.712803619</v>
      </c>
      <c r="L29" s="44">
        <f t="shared" si="3"/>
        <v>75.8590891</v>
      </c>
    </row>
    <row r="30">
      <c r="A30" s="39" t="str">
        <f>IFERROR(__xludf.DUMMYFUNCTION("""COMPUTED_VALUE"""),"Colombia")</f>
        <v>Colombia</v>
      </c>
      <c r="B30" s="40">
        <f>IFERROR(__xludf.DUMMYFUNCTION("""COMPUTED_VALUE"""),44102.0)</f>
        <v>44102</v>
      </c>
      <c r="C30" s="41">
        <f>IFERROR(__xludf.DUMMYFUNCTION("""COMPUTED_VALUE"""),44108.0)</f>
        <v>44108</v>
      </c>
      <c r="D30" s="39">
        <f>IFERROR(__xludf.DUMMYFUNCTION("""COMPUTED_VALUE"""),40.0)</f>
        <v>40</v>
      </c>
      <c r="E30" s="39">
        <f>IFERROR(__xludf.DUMMYFUNCTION("""COMPUTED_VALUE"""),6019.0)</f>
        <v>6019</v>
      </c>
      <c r="F30" s="39">
        <f>IFERROR(__xludf.DUMMYFUNCTION("""COMPUTED_VALUE"""),1224.0)</f>
        <v>1224</v>
      </c>
      <c r="G30" s="43">
        <f>AVERAGEIFS('Co pre-COVID'!$E:$E,'Co pre-COVID'!$D:$D,D30)</f>
        <v>4307.2</v>
      </c>
      <c r="H30" s="43">
        <f t="shared" si="1"/>
        <v>1711.8</v>
      </c>
      <c r="I30" s="44">
        <f>(F30/VLOOKUP($A$2,'Población'!$A$1:$B$5,2,0))*100000</f>
        <v>2.387554707</v>
      </c>
      <c r="J30" s="44">
        <f t="shared" si="2"/>
        <v>52.10487038</v>
      </c>
      <c r="K30" s="44">
        <f>(H30/VLOOKUP($A$2,'Población'!$A$1:$B$5,2,0))*100000</f>
        <v>3.33906548</v>
      </c>
      <c r="L30" s="44">
        <f t="shared" si="3"/>
        <v>79.19815458</v>
      </c>
    </row>
    <row r="31">
      <c r="A31" s="39" t="str">
        <f>IFERROR(__xludf.DUMMYFUNCTION("""COMPUTED_VALUE"""),"Colombia")</f>
        <v>Colombia</v>
      </c>
      <c r="B31" s="40">
        <f>IFERROR(__xludf.DUMMYFUNCTION("""COMPUTED_VALUE"""),44109.0)</f>
        <v>44109</v>
      </c>
      <c r="C31" s="41">
        <f>IFERROR(__xludf.DUMMYFUNCTION("""COMPUTED_VALUE"""),44115.0)</f>
        <v>44115</v>
      </c>
      <c r="D31" s="39">
        <f>IFERROR(__xludf.DUMMYFUNCTION("""COMPUTED_VALUE"""),41.0)</f>
        <v>41</v>
      </c>
      <c r="E31" s="39">
        <f>IFERROR(__xludf.DUMMYFUNCTION("""COMPUTED_VALUE"""),6173.0)</f>
        <v>6173</v>
      </c>
      <c r="F31" s="39">
        <f>IFERROR(__xludf.DUMMYFUNCTION("""COMPUTED_VALUE"""),1122.0)</f>
        <v>1122</v>
      </c>
      <c r="G31" s="43">
        <f>AVERAGEIFS('Co pre-COVID'!$E:$E,'Co pre-COVID'!$D:$D,D31)</f>
        <v>4335</v>
      </c>
      <c r="H31" s="43">
        <f t="shared" si="1"/>
        <v>1838</v>
      </c>
      <c r="I31" s="44">
        <f>(F31/VLOOKUP($A$2,'Población'!$A$1:$B$5,2,0))*100000</f>
        <v>2.188591815</v>
      </c>
      <c r="J31" s="44">
        <f t="shared" si="2"/>
        <v>54.29346219</v>
      </c>
      <c r="K31" s="44">
        <f>(H31/VLOOKUP($A$2,'Población'!$A$1:$B$5,2,0))*100000</f>
        <v>3.585233294</v>
      </c>
      <c r="L31" s="44">
        <f t="shared" si="3"/>
        <v>82.78338787</v>
      </c>
    </row>
    <row r="32">
      <c r="A32" s="39" t="str">
        <f>IFERROR(__xludf.DUMMYFUNCTION("""COMPUTED_VALUE"""),"Colombia")</f>
        <v>Colombia</v>
      </c>
      <c r="B32" s="40">
        <f>IFERROR(__xludf.DUMMYFUNCTION("""COMPUTED_VALUE"""),44116.0)</f>
        <v>44116</v>
      </c>
      <c r="C32" s="41">
        <f>IFERROR(__xludf.DUMMYFUNCTION("""COMPUTED_VALUE"""),44122.0)</f>
        <v>44122</v>
      </c>
      <c r="D32" s="39">
        <f>IFERROR(__xludf.DUMMYFUNCTION("""COMPUTED_VALUE"""),42.0)</f>
        <v>42</v>
      </c>
      <c r="E32" s="39">
        <f>IFERROR(__xludf.DUMMYFUNCTION("""COMPUTED_VALUE"""),6190.0)</f>
        <v>6190</v>
      </c>
      <c r="F32" s="39">
        <f>IFERROR(__xludf.DUMMYFUNCTION("""COMPUTED_VALUE"""),1136.0)</f>
        <v>1136</v>
      </c>
      <c r="G32" s="43">
        <f>AVERAGEIFS('Co pre-COVID'!$E:$E,'Co pre-COVID'!$D:$D,D32)</f>
        <v>4321.4</v>
      </c>
      <c r="H32" s="43">
        <f t="shared" si="1"/>
        <v>1868.6</v>
      </c>
      <c r="I32" s="44">
        <f>(F32/VLOOKUP($A$2,'Población'!$A$1:$B$5,2,0))*100000</f>
        <v>2.215900447</v>
      </c>
      <c r="J32" s="44">
        <f t="shared" si="2"/>
        <v>56.50936264</v>
      </c>
      <c r="K32" s="44">
        <f>(H32/VLOOKUP($A$2,'Población'!$A$1:$B$5,2,0))*100000</f>
        <v>3.644922162</v>
      </c>
      <c r="L32" s="44">
        <f t="shared" si="3"/>
        <v>86.42831003</v>
      </c>
    </row>
    <row r="33">
      <c r="A33" s="39" t="str">
        <f>IFERROR(__xludf.DUMMYFUNCTION("""COMPUTED_VALUE"""),"Colombia")</f>
        <v>Colombia</v>
      </c>
      <c r="B33" s="40">
        <f>IFERROR(__xludf.DUMMYFUNCTION("""COMPUTED_VALUE"""),44123.0)</f>
        <v>44123</v>
      </c>
      <c r="C33" s="41">
        <f>IFERROR(__xludf.DUMMYFUNCTION("""COMPUTED_VALUE"""),44129.0)</f>
        <v>44129</v>
      </c>
      <c r="D33" s="39">
        <f>IFERROR(__xludf.DUMMYFUNCTION("""COMPUTED_VALUE"""),43.0)</f>
        <v>43</v>
      </c>
      <c r="E33" s="39">
        <f>IFERROR(__xludf.DUMMYFUNCTION("""COMPUTED_VALUE"""),6303.0)</f>
        <v>6303</v>
      </c>
      <c r="F33" s="39">
        <f>IFERROR(__xludf.DUMMYFUNCTION("""COMPUTED_VALUE"""),1184.0)</f>
        <v>1184</v>
      </c>
      <c r="G33" s="43">
        <f>AVERAGEIFS('Co pre-COVID'!$E:$E,'Co pre-COVID'!$D:$D,D33)</f>
        <v>4239.4</v>
      </c>
      <c r="H33" s="43">
        <f t="shared" si="1"/>
        <v>2063.6</v>
      </c>
      <c r="I33" s="44">
        <f>(F33/VLOOKUP($A$2,'Población'!$A$1:$B$5,2,0))*100000</f>
        <v>2.309530044</v>
      </c>
      <c r="J33" s="44">
        <f t="shared" si="2"/>
        <v>58.81889268</v>
      </c>
      <c r="K33" s="44">
        <f>(H33/VLOOKUP($A$2,'Población'!$A$1:$B$5,2,0))*100000</f>
        <v>4.025292397</v>
      </c>
      <c r="L33" s="44">
        <f t="shared" si="3"/>
        <v>90.45360243</v>
      </c>
    </row>
    <row r="34">
      <c r="A34" s="39" t="str">
        <f>IFERROR(__xludf.DUMMYFUNCTION("""COMPUTED_VALUE"""),"Colombia")</f>
        <v>Colombia</v>
      </c>
      <c r="B34" s="40">
        <f>IFERROR(__xludf.DUMMYFUNCTION("""COMPUTED_VALUE"""),44130.0)</f>
        <v>44130</v>
      </c>
      <c r="C34" s="41">
        <f>IFERROR(__xludf.DUMMYFUNCTION("""COMPUTED_VALUE"""),44136.0)</f>
        <v>44136</v>
      </c>
      <c r="D34" s="39">
        <f>IFERROR(__xludf.DUMMYFUNCTION("""COMPUTED_VALUE"""),44.0)</f>
        <v>44</v>
      </c>
      <c r="E34" s="39">
        <f>IFERROR(__xludf.DUMMYFUNCTION("""COMPUTED_VALUE"""),6080.0)</f>
        <v>6080</v>
      </c>
      <c r="F34" s="39">
        <f>IFERROR(__xludf.DUMMYFUNCTION("""COMPUTED_VALUE"""),1361.0)</f>
        <v>1361</v>
      </c>
      <c r="G34" s="43">
        <f>AVERAGEIFS('Co pre-COVID'!$E:$E,'Co pre-COVID'!$D:$D,D34)</f>
        <v>4357.2</v>
      </c>
      <c r="H34" s="43">
        <f t="shared" si="1"/>
        <v>1722.8</v>
      </c>
      <c r="I34" s="44">
        <f>(F34/VLOOKUP($A$2,'Población'!$A$1:$B$5,2,0))*100000</f>
        <v>2.65478918</v>
      </c>
      <c r="J34" s="44">
        <f t="shared" si="2"/>
        <v>61.47368186</v>
      </c>
      <c r="K34" s="44">
        <f>(H34/VLOOKUP($A$2,'Población'!$A$1:$B$5,2,0))*100000</f>
        <v>3.360522263</v>
      </c>
      <c r="L34" s="44">
        <f t="shared" si="3"/>
        <v>93.81412469</v>
      </c>
    </row>
    <row r="35">
      <c r="A35" s="39" t="str">
        <f>IFERROR(__xludf.DUMMYFUNCTION("""COMPUTED_VALUE"""),"Colombia")</f>
        <v>Colombia</v>
      </c>
      <c r="B35" s="40">
        <f>IFERROR(__xludf.DUMMYFUNCTION("""COMPUTED_VALUE"""),44137.0)</f>
        <v>44137</v>
      </c>
      <c r="C35" s="41">
        <f>IFERROR(__xludf.DUMMYFUNCTION("""COMPUTED_VALUE"""),44143.0)</f>
        <v>44143</v>
      </c>
      <c r="D35" s="39">
        <f>IFERROR(__xludf.DUMMYFUNCTION("""COMPUTED_VALUE"""),45.0)</f>
        <v>45</v>
      </c>
      <c r="E35" s="39">
        <f>IFERROR(__xludf.DUMMYFUNCTION("""COMPUTED_VALUE"""),6252.0)</f>
        <v>6252</v>
      </c>
      <c r="F35" s="39">
        <f>IFERROR(__xludf.DUMMYFUNCTION("""COMPUTED_VALUE"""),1276.0)</f>
        <v>1276</v>
      </c>
      <c r="G35" s="43">
        <f>AVERAGEIFS('Co pre-COVID'!$E:$E,'Co pre-COVID'!$D:$D,D35)</f>
        <v>4379.8</v>
      </c>
      <c r="H35" s="43">
        <f t="shared" si="1"/>
        <v>1872.2</v>
      </c>
      <c r="I35" s="44">
        <f>(F35/VLOOKUP($A$2,'Población'!$A$1:$B$5,2,0))*100000</f>
        <v>2.48898677</v>
      </c>
      <c r="J35" s="44">
        <f t="shared" si="2"/>
        <v>63.96266863</v>
      </c>
      <c r="K35" s="44">
        <f>(H35/VLOOKUP($A$2,'Población'!$A$1:$B$5,2,0))*100000</f>
        <v>3.651944381</v>
      </c>
      <c r="L35" s="44">
        <f t="shared" si="3"/>
        <v>97.46606907</v>
      </c>
    </row>
    <row r="36">
      <c r="A36" s="39" t="str">
        <f>IFERROR(__xludf.DUMMYFUNCTION("""COMPUTED_VALUE"""),"Colombia")</f>
        <v>Colombia</v>
      </c>
      <c r="B36" s="40">
        <f>IFERROR(__xludf.DUMMYFUNCTION("""COMPUTED_VALUE"""),44144.0)</f>
        <v>44144</v>
      </c>
      <c r="C36" s="41">
        <f>IFERROR(__xludf.DUMMYFUNCTION("""COMPUTED_VALUE"""),44150.0)</f>
        <v>44150</v>
      </c>
      <c r="D36" s="39">
        <f>IFERROR(__xludf.DUMMYFUNCTION("""COMPUTED_VALUE"""),46.0)</f>
        <v>46</v>
      </c>
      <c r="E36" s="39">
        <f>IFERROR(__xludf.DUMMYFUNCTION("""COMPUTED_VALUE"""),6119.0)</f>
        <v>6119</v>
      </c>
      <c r="F36" s="39">
        <f>IFERROR(__xludf.DUMMYFUNCTION("""COMPUTED_VALUE"""),1240.0)</f>
        <v>1240</v>
      </c>
      <c r="G36" s="43">
        <f>AVERAGEIFS('Co pre-COVID'!$E:$E,'Co pre-COVID'!$D:$D,D36)</f>
        <v>4391.4</v>
      </c>
      <c r="H36" s="43">
        <f t="shared" si="1"/>
        <v>1727.6</v>
      </c>
      <c r="I36" s="44">
        <f>(F36/VLOOKUP($A$2,'Población'!$A$1:$B$5,2,0))*100000</f>
        <v>2.418764573</v>
      </c>
      <c r="J36" s="44">
        <f t="shared" si="2"/>
        <v>66.3814332</v>
      </c>
      <c r="K36" s="44">
        <f>(H36/VLOOKUP($A$2,'Población'!$A$1:$B$5,2,0))*100000</f>
        <v>3.369885222</v>
      </c>
      <c r="L36" s="44">
        <f t="shared" si="3"/>
        <v>100.8359543</v>
      </c>
    </row>
    <row r="37">
      <c r="A37" s="39" t="str">
        <f>IFERROR(__xludf.DUMMYFUNCTION("""COMPUTED_VALUE"""),"Colombia")</f>
        <v>Colombia</v>
      </c>
      <c r="B37" s="40">
        <f>IFERROR(__xludf.DUMMYFUNCTION("""COMPUTED_VALUE"""),44151.0)</f>
        <v>44151</v>
      </c>
      <c r="C37" s="41">
        <f>IFERROR(__xludf.DUMMYFUNCTION("""COMPUTED_VALUE"""),44157.0)</f>
        <v>44157</v>
      </c>
      <c r="D37" s="39">
        <f>IFERROR(__xludf.DUMMYFUNCTION("""COMPUTED_VALUE"""),47.0)</f>
        <v>47</v>
      </c>
      <c r="E37" s="39">
        <f>IFERROR(__xludf.DUMMYFUNCTION("""COMPUTED_VALUE"""),6242.0)</f>
        <v>6242</v>
      </c>
      <c r="F37" s="39">
        <f>IFERROR(__xludf.DUMMYFUNCTION("""COMPUTED_VALUE"""),1256.0)</f>
        <v>1256</v>
      </c>
      <c r="G37" s="43">
        <f>AVERAGEIFS('Co pre-COVID'!$E:$E,'Co pre-COVID'!$D:$D,D37)</f>
        <v>4422</v>
      </c>
      <c r="H37" s="43">
        <f t="shared" si="1"/>
        <v>1820</v>
      </c>
      <c r="I37" s="44">
        <f>(F37/VLOOKUP($A$2,'Población'!$A$1:$B$5,2,0))*100000</f>
        <v>2.449974438</v>
      </c>
      <c r="J37" s="44">
        <f t="shared" si="2"/>
        <v>68.83140764</v>
      </c>
      <c r="K37" s="44">
        <f>(H37/VLOOKUP($A$2,'Población'!$A$1:$B$5,2,0))*100000</f>
        <v>3.550122195</v>
      </c>
      <c r="L37" s="44">
        <f t="shared" si="3"/>
        <v>104.3860765</v>
      </c>
    </row>
    <row r="38">
      <c r="A38" s="39" t="str">
        <f>IFERROR(__xludf.DUMMYFUNCTION("""COMPUTED_VALUE"""),"Colombia")</f>
        <v>Colombia</v>
      </c>
      <c r="B38" s="40">
        <f>IFERROR(__xludf.DUMMYFUNCTION("""COMPUTED_VALUE"""),44158.0)</f>
        <v>44158</v>
      </c>
      <c r="C38" s="41">
        <f>IFERROR(__xludf.DUMMYFUNCTION("""COMPUTED_VALUE"""),44164.0)</f>
        <v>44164</v>
      </c>
      <c r="D38" s="39">
        <f>IFERROR(__xludf.DUMMYFUNCTION("""COMPUTED_VALUE"""),48.0)</f>
        <v>48</v>
      </c>
      <c r="E38" s="39">
        <f>IFERROR(__xludf.DUMMYFUNCTION("""COMPUTED_VALUE"""),6266.0)</f>
        <v>6266</v>
      </c>
      <c r="F38" s="39">
        <f>IFERROR(__xludf.DUMMYFUNCTION("""COMPUTED_VALUE"""),1297.0)</f>
        <v>1297</v>
      </c>
      <c r="G38" s="43">
        <f>AVERAGEIFS('Co pre-COVID'!$E:$E,'Co pre-COVID'!$D:$D,D38)</f>
        <v>4471.6</v>
      </c>
      <c r="H38" s="43">
        <f t="shared" si="1"/>
        <v>1794.4</v>
      </c>
      <c r="I38" s="44">
        <f>(F38/VLOOKUP($A$2,'Población'!$A$1:$B$5,2,0))*100000</f>
        <v>2.529949718</v>
      </c>
      <c r="J38" s="44">
        <f t="shared" si="2"/>
        <v>71.36135736</v>
      </c>
      <c r="K38" s="44">
        <f>(H38/VLOOKUP($A$2,'Población'!$A$1:$B$5,2,0))*100000</f>
        <v>3.500186411</v>
      </c>
      <c r="L38" s="44">
        <f t="shared" si="3"/>
        <v>107.8862629</v>
      </c>
    </row>
    <row r="39">
      <c r="A39" s="39" t="str">
        <f>IFERROR(__xludf.DUMMYFUNCTION("""COMPUTED_VALUE"""),"Colombia")</f>
        <v>Colombia</v>
      </c>
      <c r="B39" s="40">
        <f>IFERROR(__xludf.DUMMYFUNCTION("""COMPUTED_VALUE"""),44165.0)</f>
        <v>44165</v>
      </c>
      <c r="C39" s="41">
        <f>IFERROR(__xludf.DUMMYFUNCTION("""COMPUTED_VALUE"""),44171.0)</f>
        <v>44171</v>
      </c>
      <c r="D39" s="39">
        <f>IFERROR(__xludf.DUMMYFUNCTION("""COMPUTED_VALUE"""),49.0)</f>
        <v>49</v>
      </c>
      <c r="E39" s="39">
        <f>IFERROR(__xludf.DUMMYFUNCTION("""COMPUTED_VALUE"""),6206.0)</f>
        <v>6206</v>
      </c>
      <c r="F39" s="39">
        <f>IFERROR(__xludf.DUMMYFUNCTION("""COMPUTED_VALUE"""),1224.0)</f>
        <v>1224</v>
      </c>
      <c r="G39" s="43">
        <f>AVERAGEIFS('Co pre-COVID'!$E:$E,'Co pre-COVID'!$D:$D,D39)</f>
        <v>4591.4</v>
      </c>
      <c r="H39" s="43">
        <f t="shared" si="1"/>
        <v>1614.6</v>
      </c>
      <c r="I39" s="44">
        <f>(F39/VLOOKUP($A$2,'Población'!$A$1:$B$5,2,0))*100000</f>
        <v>2.387554707</v>
      </c>
      <c r="J39" s="44">
        <f t="shared" si="2"/>
        <v>73.74891207</v>
      </c>
      <c r="K39" s="44">
        <f>(H39/VLOOKUP($A$2,'Población'!$A$1:$B$5,2,0))*100000</f>
        <v>3.149465548</v>
      </c>
      <c r="L39" s="44">
        <f t="shared" si="3"/>
        <v>111.0357284</v>
      </c>
    </row>
    <row r="40">
      <c r="A40" s="39" t="str">
        <f>IFERROR(__xludf.DUMMYFUNCTION("""COMPUTED_VALUE"""),"Colombia")</f>
        <v>Colombia</v>
      </c>
      <c r="B40" s="40">
        <f>IFERROR(__xludf.DUMMYFUNCTION("""COMPUTED_VALUE"""),44172.0)</f>
        <v>44172</v>
      </c>
      <c r="C40" s="41">
        <f>IFERROR(__xludf.DUMMYFUNCTION("""COMPUTED_VALUE"""),44178.0)</f>
        <v>44178</v>
      </c>
      <c r="D40" s="39">
        <f>IFERROR(__xludf.DUMMYFUNCTION("""COMPUTED_VALUE"""),50.0)</f>
        <v>50</v>
      </c>
      <c r="E40" s="39">
        <f>IFERROR(__xludf.DUMMYFUNCTION("""COMPUTED_VALUE"""),6640.0)</f>
        <v>6640</v>
      </c>
      <c r="F40" s="39">
        <f>IFERROR(__xludf.DUMMYFUNCTION("""COMPUTED_VALUE"""),1245.0)</f>
        <v>1245</v>
      </c>
      <c r="G40" s="43">
        <f>AVERAGEIFS('Co pre-COVID'!$E:$E,'Co pre-COVID'!$D:$D,D40)</f>
        <v>4597.2</v>
      </c>
      <c r="H40" s="43">
        <f t="shared" si="1"/>
        <v>2042.8</v>
      </c>
      <c r="I40" s="44">
        <f>(F40/VLOOKUP($A$2,'Población'!$A$1:$B$5,2,0))*100000</f>
        <v>2.428517656</v>
      </c>
      <c r="J40" s="44">
        <f t="shared" si="2"/>
        <v>76.17742972</v>
      </c>
      <c r="K40" s="44">
        <f>(H40/VLOOKUP($A$2,'Población'!$A$1:$B$5,2,0))*100000</f>
        <v>3.984719572</v>
      </c>
      <c r="L40" s="44">
        <f t="shared" si="3"/>
        <v>115.020448</v>
      </c>
    </row>
    <row r="41">
      <c r="A41" s="39" t="str">
        <f>IFERROR(__xludf.DUMMYFUNCTION("""COMPUTED_VALUE"""),"Colombia")</f>
        <v>Colombia</v>
      </c>
      <c r="B41" s="40">
        <f>IFERROR(__xludf.DUMMYFUNCTION("""COMPUTED_VALUE"""),44179.0)</f>
        <v>44179</v>
      </c>
      <c r="C41" s="41">
        <f>IFERROR(__xludf.DUMMYFUNCTION("""COMPUTED_VALUE"""),44185.0)</f>
        <v>44185</v>
      </c>
      <c r="D41" s="39">
        <f>IFERROR(__xludf.DUMMYFUNCTION("""COMPUTED_VALUE"""),51.0)</f>
        <v>51</v>
      </c>
      <c r="E41" s="39">
        <f>IFERROR(__xludf.DUMMYFUNCTION("""COMPUTED_VALUE"""),6687.0)</f>
        <v>6687</v>
      </c>
      <c r="F41" s="39">
        <f>IFERROR(__xludf.DUMMYFUNCTION("""COMPUTED_VALUE"""),1422.0)</f>
        <v>1422</v>
      </c>
      <c r="G41" s="43">
        <f>AVERAGEIFS('Co pre-COVID'!$E:$E,'Co pre-COVID'!$D:$D,D41)</f>
        <v>4619.6</v>
      </c>
      <c r="H41" s="43">
        <f t="shared" si="1"/>
        <v>2067.4</v>
      </c>
      <c r="I41" s="44">
        <f>(F41/VLOOKUP($A$2,'Población'!$A$1:$B$5,2,0))*100000</f>
        <v>2.773776792</v>
      </c>
      <c r="J41" s="44">
        <f t="shared" si="2"/>
        <v>78.95120652</v>
      </c>
      <c r="K41" s="44">
        <f>(H41/VLOOKUP($A$2,'Población'!$A$1:$B$5,2,0))*100000</f>
        <v>4.03270474</v>
      </c>
      <c r="L41" s="44">
        <f t="shared" si="3"/>
        <v>119.0531528</v>
      </c>
    </row>
    <row r="42">
      <c r="A42" s="39" t="str">
        <f>IFERROR(__xludf.DUMMYFUNCTION("""COMPUTED_VALUE"""),"Colombia")</f>
        <v>Colombia</v>
      </c>
      <c r="B42" s="40">
        <f>IFERROR(__xludf.DUMMYFUNCTION("""COMPUTED_VALUE"""),44186.0)</f>
        <v>44186</v>
      </c>
      <c r="C42" s="41">
        <f>IFERROR(__xludf.DUMMYFUNCTION("""COMPUTED_VALUE"""),44192.0)</f>
        <v>44192</v>
      </c>
      <c r="D42" s="39">
        <f>IFERROR(__xludf.DUMMYFUNCTION("""COMPUTED_VALUE"""),52.0)</f>
        <v>52</v>
      </c>
      <c r="E42" s="39">
        <f>IFERROR(__xludf.DUMMYFUNCTION("""COMPUTED_VALUE"""),7203.0)</f>
        <v>7203</v>
      </c>
      <c r="F42" s="39">
        <f>IFERROR(__xludf.DUMMYFUNCTION("""COMPUTED_VALUE"""),1696.0)</f>
        <v>1696</v>
      </c>
      <c r="G42" s="43">
        <f>AVERAGEIFS('Co pre-COVID'!$E:$E,'Co pre-COVID'!$D:$D,D42)</f>
        <v>4794.2</v>
      </c>
      <c r="H42" s="43">
        <f t="shared" si="1"/>
        <v>2408.8</v>
      </c>
      <c r="I42" s="44">
        <f>(F42/VLOOKUP($A$2,'Población'!$A$1:$B$5,2,0))*100000</f>
        <v>3.308245738</v>
      </c>
      <c r="J42" s="44">
        <f t="shared" si="2"/>
        <v>82.25945225</v>
      </c>
      <c r="K42" s="44">
        <f>(H42/VLOOKUP($A$2,'Población'!$A$1:$B$5,2,0))*100000</f>
        <v>4.698645244</v>
      </c>
      <c r="L42" s="44">
        <f t="shared" si="3"/>
        <v>123.751798</v>
      </c>
    </row>
    <row r="43">
      <c r="A43" s="39" t="str">
        <f>IFERROR(__xludf.DUMMYFUNCTION("""COMPUTED_VALUE"""),"Colombia")</f>
        <v>Colombia</v>
      </c>
      <c r="B43" s="40">
        <f>IFERROR(__xludf.DUMMYFUNCTION("""COMPUTED_VALUE"""),44193.0)</f>
        <v>44193</v>
      </c>
      <c r="C43" s="41">
        <f>IFERROR(__xludf.DUMMYFUNCTION("""COMPUTED_VALUE"""),44199.0)</f>
        <v>44199</v>
      </c>
      <c r="D43" s="39">
        <f>IFERROR(__xludf.DUMMYFUNCTION("""COMPUTED_VALUE"""),53.0)</f>
        <v>53</v>
      </c>
      <c r="E43" s="39">
        <f>IFERROR(__xludf.DUMMYFUNCTION("""COMPUTED_VALUE"""),7814.0)</f>
        <v>7814</v>
      </c>
      <c r="F43" s="39">
        <f>IFERROR(__xludf.DUMMYFUNCTION("""COMPUTED_VALUE"""),1794.0)</f>
        <v>1794</v>
      </c>
      <c r="G43" s="43">
        <f>AVERAGEIFS('Co pre-COVID'!$E:$E,'Co pre-COVID'!$D:$D,D43)</f>
        <v>4609</v>
      </c>
      <c r="H43" s="43">
        <f t="shared" si="1"/>
        <v>3205</v>
      </c>
      <c r="I43" s="44">
        <f>(F43/VLOOKUP($A$2,'Población'!$A$1:$B$5,2,0))*100000</f>
        <v>3.499406164</v>
      </c>
      <c r="J43" s="44">
        <f t="shared" si="2"/>
        <v>85.75885842</v>
      </c>
      <c r="K43" s="44">
        <f>(H43/VLOOKUP($A$2,'Población'!$A$1:$B$5,2,0))*100000</f>
        <v>6.251726174</v>
      </c>
      <c r="L43" s="44">
        <f t="shared" si="3"/>
        <v>130.0035242</v>
      </c>
    </row>
    <row r="44">
      <c r="A44" s="39" t="str">
        <f>IFERROR(__xludf.DUMMYFUNCTION("""COMPUTED_VALUE"""),"Colombia")</f>
        <v>Colombia</v>
      </c>
      <c r="B44" s="40">
        <f>IFERROR(__xludf.DUMMYFUNCTION("""COMPUTED_VALUE"""),44200.0)</f>
        <v>44200</v>
      </c>
      <c r="C44" s="41">
        <f>IFERROR(__xludf.DUMMYFUNCTION("""COMPUTED_VALUE"""),44206.0)</f>
        <v>44206</v>
      </c>
      <c r="D44" s="39">
        <f>IFERROR(__xludf.DUMMYFUNCTION("""COMPUTED_VALUE"""),1.0)</f>
        <v>1</v>
      </c>
      <c r="E44" s="39">
        <f>IFERROR(__xludf.DUMMYFUNCTION("""COMPUTED_VALUE"""),7964.0)</f>
        <v>7964</v>
      </c>
      <c r="F44" s="39">
        <f>IFERROR(__xludf.DUMMYFUNCTION("""COMPUTED_VALUE"""),2149.0)</f>
        <v>2149</v>
      </c>
      <c r="G44" s="43">
        <f>AVERAGEIFS('Co pre-COVID'!$E:$E,'Co pre-COVID'!$D:$D,D44)</f>
        <v>4853.333333</v>
      </c>
      <c r="H44" s="43">
        <f t="shared" si="1"/>
        <v>3110.666667</v>
      </c>
      <c r="I44" s="44">
        <f>(F44/VLOOKUP($A$2,'Población'!$A$1:$B$5,2,0))*100000</f>
        <v>4.191875054</v>
      </c>
      <c r="J44" s="44">
        <f t="shared" si="2"/>
        <v>89.95073347</v>
      </c>
      <c r="K44" s="44">
        <f>(H44/VLOOKUP($A$2,'Población'!$A$1:$B$5,2,0))*100000</f>
        <v>6.067718009</v>
      </c>
      <c r="L44" s="44">
        <f t="shared" si="3"/>
        <v>136.0712422</v>
      </c>
    </row>
    <row r="45">
      <c r="A45" s="39" t="str">
        <f>IFERROR(__xludf.DUMMYFUNCTION("""COMPUTED_VALUE"""),"Colombia")</f>
        <v>Colombia</v>
      </c>
      <c r="B45" s="40">
        <f>IFERROR(__xludf.DUMMYFUNCTION("""COMPUTED_VALUE"""),44207.0)</f>
        <v>44207</v>
      </c>
      <c r="C45" s="41">
        <f>IFERROR(__xludf.DUMMYFUNCTION("""COMPUTED_VALUE"""),44213.0)</f>
        <v>44213</v>
      </c>
      <c r="D45" s="39">
        <f>IFERROR(__xludf.DUMMYFUNCTION("""COMPUTED_VALUE"""),2.0)</f>
        <v>2</v>
      </c>
      <c r="E45" s="39">
        <f>IFERROR(__xludf.DUMMYFUNCTION("""COMPUTED_VALUE"""),8440.0)</f>
        <v>8440</v>
      </c>
      <c r="F45" s="39">
        <f>IFERROR(__xludf.DUMMYFUNCTION("""COMPUTED_VALUE"""),2517.0)</f>
        <v>2517</v>
      </c>
      <c r="G45" s="43">
        <f>AVERAGEIFS('Co pre-COVID'!$E:$E,'Co pre-COVID'!$D:$D,D45)</f>
        <v>4660.666667</v>
      </c>
      <c r="H45" s="43">
        <f t="shared" si="1"/>
        <v>3779.333333</v>
      </c>
      <c r="I45" s="44">
        <f>(F45/VLOOKUP($A$2,'Población'!$A$1:$B$5,2,0))*100000</f>
        <v>4.909701959</v>
      </c>
      <c r="J45" s="44">
        <f t="shared" si="2"/>
        <v>94.86043543</v>
      </c>
      <c r="K45" s="44">
        <f>(H45/VLOOKUP($A$2,'Población'!$A$1:$B$5,2,0))*100000</f>
        <v>7.372030302</v>
      </c>
      <c r="L45" s="44">
        <f t="shared" si="3"/>
        <v>143.4432725</v>
      </c>
    </row>
    <row r="46">
      <c r="A46" s="39" t="str">
        <f>IFERROR(__xludf.DUMMYFUNCTION("""COMPUTED_VALUE"""),"Colombia")</f>
        <v>Colombia</v>
      </c>
      <c r="B46" s="40">
        <f>IFERROR(__xludf.DUMMYFUNCTION("""COMPUTED_VALUE"""),44214.0)</f>
        <v>44214</v>
      </c>
      <c r="C46" s="41">
        <f>IFERROR(__xludf.DUMMYFUNCTION("""COMPUTED_VALUE"""),44220.0)</f>
        <v>44220</v>
      </c>
      <c r="D46" s="39">
        <f>IFERROR(__xludf.DUMMYFUNCTION("""COMPUTED_VALUE"""),3.0)</f>
        <v>3</v>
      </c>
      <c r="E46" s="39">
        <f>IFERROR(__xludf.DUMMYFUNCTION("""COMPUTED_VALUE"""),8479.0)</f>
        <v>8479</v>
      </c>
      <c r="F46" s="39">
        <f>IFERROR(__xludf.DUMMYFUNCTION("""COMPUTED_VALUE"""),2743.0)</f>
        <v>2743</v>
      </c>
      <c r="G46" s="43">
        <f>AVERAGEIFS('Co pre-COVID'!$E:$E,'Co pre-COVID'!$D:$D,D46)</f>
        <v>4653.166667</v>
      </c>
      <c r="H46" s="43">
        <f t="shared" si="1"/>
        <v>3825.833333</v>
      </c>
      <c r="I46" s="44">
        <f>(F46/VLOOKUP($A$2,'Población'!$A$1:$B$5,2,0))*100000</f>
        <v>5.350541309</v>
      </c>
      <c r="J46" s="44">
        <f t="shared" si="2"/>
        <v>100.2109767</v>
      </c>
      <c r="K46" s="44">
        <f>(H46/VLOOKUP($A$2,'Población'!$A$1:$B$5,2,0))*100000</f>
        <v>7.462733974</v>
      </c>
      <c r="L46" s="44">
        <f t="shared" si="3"/>
        <v>150.9060065</v>
      </c>
    </row>
    <row r="47">
      <c r="A47" s="39" t="str">
        <f>IFERROR(__xludf.DUMMYFUNCTION("""COMPUTED_VALUE"""),"Colombia")</f>
        <v>Colombia</v>
      </c>
      <c r="B47" s="40">
        <f>IFERROR(__xludf.DUMMYFUNCTION("""COMPUTED_VALUE"""),44221.0)</f>
        <v>44221</v>
      </c>
      <c r="C47" s="41">
        <f>IFERROR(__xludf.DUMMYFUNCTION("""COMPUTED_VALUE"""),44227.0)</f>
        <v>44227</v>
      </c>
      <c r="D47" s="39">
        <f>IFERROR(__xludf.DUMMYFUNCTION("""COMPUTED_VALUE"""),4.0)</f>
        <v>4</v>
      </c>
      <c r="E47" s="39">
        <f>IFERROR(__xludf.DUMMYFUNCTION("""COMPUTED_VALUE"""),7676.0)</f>
        <v>7676</v>
      </c>
      <c r="F47" s="39">
        <f>IFERROR(__xludf.DUMMYFUNCTION("""COMPUTED_VALUE"""),2609.0)</f>
        <v>2609</v>
      </c>
      <c r="G47" s="43">
        <f>AVERAGEIFS('Co pre-COVID'!$E:$E,'Co pre-COVID'!$D:$D,D47)</f>
        <v>4519.5</v>
      </c>
      <c r="H47" s="43">
        <f t="shared" si="1"/>
        <v>3156.5</v>
      </c>
      <c r="I47" s="44">
        <f>(F47/VLOOKUP($A$2,'Población'!$A$1:$B$5,2,0))*100000</f>
        <v>5.089158686</v>
      </c>
      <c r="J47" s="44">
        <f t="shared" si="2"/>
        <v>105.3001354</v>
      </c>
      <c r="K47" s="44">
        <f>(H47/VLOOKUP($A$2,'Población'!$A$1:$B$5,2,0))*100000</f>
        <v>6.157121269</v>
      </c>
      <c r="L47" s="44">
        <f t="shared" si="3"/>
        <v>157.0631277</v>
      </c>
    </row>
    <row r="48">
      <c r="A48" s="39" t="str">
        <f>IFERROR(__xludf.DUMMYFUNCTION("""COMPUTED_VALUE"""),"Colombia")</f>
        <v>Colombia</v>
      </c>
      <c r="B48" s="40">
        <f>IFERROR(__xludf.DUMMYFUNCTION("""COMPUTED_VALUE"""),44228.0)</f>
        <v>44228</v>
      </c>
      <c r="C48" s="41">
        <f>IFERROR(__xludf.DUMMYFUNCTION("""COMPUTED_VALUE"""),44234.0)</f>
        <v>44234</v>
      </c>
      <c r="D48" s="39">
        <f>IFERROR(__xludf.DUMMYFUNCTION("""COMPUTED_VALUE"""),5.0)</f>
        <v>5</v>
      </c>
      <c r="E48" s="39">
        <f>IFERROR(__xludf.DUMMYFUNCTION("""COMPUTED_VALUE"""),7029.0)</f>
        <v>7029</v>
      </c>
      <c r="F48" s="39">
        <f>IFERROR(__xludf.DUMMYFUNCTION("""COMPUTED_VALUE"""),2010.0)</f>
        <v>2010</v>
      </c>
      <c r="G48" s="43">
        <f>AVERAGEIFS('Co pre-COVID'!$E:$E,'Co pre-COVID'!$D:$D,D48)</f>
        <v>4406.333333</v>
      </c>
      <c r="H48" s="43">
        <f t="shared" si="1"/>
        <v>2622.666667</v>
      </c>
      <c r="I48" s="44">
        <f>(F48/VLOOKUP($A$2,'Población'!$A$1:$B$5,2,0))*100000</f>
        <v>3.920739348</v>
      </c>
      <c r="J48" s="44">
        <f t="shared" si="2"/>
        <v>109.2208748</v>
      </c>
      <c r="K48" s="44">
        <f>(H48/VLOOKUP($A$2,'Población'!$A$1:$B$5,2,0))*100000</f>
        <v>5.115817112</v>
      </c>
      <c r="L48" s="44">
        <f t="shared" si="3"/>
        <v>162.1789448</v>
      </c>
    </row>
    <row r="49">
      <c r="A49" s="39" t="str">
        <f>IFERROR(__xludf.DUMMYFUNCTION("""COMPUTED_VALUE"""),"Colombia")</f>
        <v>Colombia</v>
      </c>
      <c r="B49" s="40">
        <f>IFERROR(__xludf.DUMMYFUNCTION("""COMPUTED_VALUE"""),44235.0)</f>
        <v>44235</v>
      </c>
      <c r="C49" s="41">
        <f>IFERROR(__xludf.DUMMYFUNCTION("""COMPUTED_VALUE"""),44241.0)</f>
        <v>44241</v>
      </c>
      <c r="D49" s="39">
        <f>IFERROR(__xludf.DUMMYFUNCTION("""COMPUTED_VALUE"""),6.0)</f>
        <v>6</v>
      </c>
      <c r="E49" s="39">
        <f>IFERROR(__xludf.DUMMYFUNCTION("""COMPUTED_VALUE"""),6341.0)</f>
        <v>6341</v>
      </c>
      <c r="F49" s="39">
        <f>IFERROR(__xludf.DUMMYFUNCTION("""COMPUTED_VALUE"""),1612.0)</f>
        <v>1612</v>
      </c>
      <c r="G49" s="43">
        <f>AVERAGEIFS('Co pre-COVID'!$E:$E,'Co pre-COVID'!$D:$D,D49)</f>
        <v>4375.166667</v>
      </c>
      <c r="H49" s="43">
        <f t="shared" si="1"/>
        <v>1965.833333</v>
      </c>
      <c r="I49" s="44">
        <f>(F49/VLOOKUP($A$2,'Población'!$A$1:$B$5,2,0))*100000</f>
        <v>3.144393944</v>
      </c>
      <c r="J49" s="44">
        <f t="shared" si="2"/>
        <v>112.3652687</v>
      </c>
      <c r="K49" s="44">
        <f>(H49/VLOOKUP($A$2,'Población'!$A$1:$B$5,2,0))*100000</f>
        <v>3.834587115</v>
      </c>
      <c r="L49" s="44">
        <f t="shared" si="3"/>
        <v>166.013532</v>
      </c>
    </row>
    <row r="50">
      <c r="A50" s="39" t="str">
        <f>IFERROR(__xludf.DUMMYFUNCTION("""COMPUTED_VALUE"""),"Colombia")</f>
        <v>Colombia</v>
      </c>
      <c r="B50" s="40">
        <f>IFERROR(__xludf.DUMMYFUNCTION("""COMPUTED_VALUE"""),44242.0)</f>
        <v>44242</v>
      </c>
      <c r="C50" s="41">
        <f>IFERROR(__xludf.DUMMYFUNCTION("""COMPUTED_VALUE"""),44248.0)</f>
        <v>44248</v>
      </c>
      <c r="D50" s="39">
        <f>IFERROR(__xludf.DUMMYFUNCTION("""COMPUTED_VALUE"""),7.0)</f>
        <v>7</v>
      </c>
      <c r="E50" s="39">
        <f>IFERROR(__xludf.DUMMYFUNCTION("""COMPUTED_VALUE"""),5915.0)</f>
        <v>5915</v>
      </c>
      <c r="F50" s="39">
        <f>IFERROR(__xludf.DUMMYFUNCTION("""COMPUTED_VALUE"""),1229.0)</f>
        <v>1229</v>
      </c>
      <c r="G50" s="43">
        <f>AVERAGEIFS('Co pre-COVID'!$E:$E,'Co pre-COVID'!$D:$D,D50)</f>
        <v>4324.5</v>
      </c>
      <c r="H50" s="43">
        <f t="shared" si="1"/>
        <v>1590.5</v>
      </c>
      <c r="I50" s="44">
        <f>(F50/VLOOKUP($A$2,'Población'!$A$1:$B$5,2,0))*100000</f>
        <v>2.39730779</v>
      </c>
      <c r="J50" s="44">
        <f t="shared" si="2"/>
        <v>114.7625765</v>
      </c>
      <c r="K50" s="44">
        <f>(H50/VLOOKUP($A$2,'Población'!$A$1:$B$5,2,0))*100000</f>
        <v>3.102455688</v>
      </c>
      <c r="L50" s="44">
        <f t="shared" si="3"/>
        <v>169.1159876</v>
      </c>
    </row>
    <row r="51">
      <c r="A51" s="39" t="str">
        <f>IFERROR(__xludf.DUMMYFUNCTION("""COMPUTED_VALUE"""),"Colombia")</f>
        <v>Colombia</v>
      </c>
      <c r="B51" s="40">
        <f>IFERROR(__xludf.DUMMYFUNCTION("""COMPUTED_VALUE"""),44249.0)</f>
        <v>44249</v>
      </c>
      <c r="C51" s="41">
        <f>IFERROR(__xludf.DUMMYFUNCTION("""COMPUTED_VALUE"""),44255.0)</f>
        <v>44255</v>
      </c>
      <c r="D51" s="39">
        <f>IFERROR(__xludf.DUMMYFUNCTION("""COMPUTED_VALUE"""),8.0)</f>
        <v>8</v>
      </c>
      <c r="E51" s="39">
        <f>IFERROR(__xludf.DUMMYFUNCTION("""COMPUTED_VALUE"""),5564.0)</f>
        <v>5564</v>
      </c>
      <c r="F51" s="39">
        <f>IFERROR(__xludf.DUMMYFUNCTION("""COMPUTED_VALUE"""),932.0)</f>
        <v>932</v>
      </c>
      <c r="G51" s="43">
        <f>AVERAGEIFS('Co pre-COVID'!$E:$E,'Co pre-COVID'!$D:$D,D51)</f>
        <v>4307.333333</v>
      </c>
      <c r="H51" s="43">
        <f t="shared" si="1"/>
        <v>1256.666667</v>
      </c>
      <c r="I51" s="44">
        <f>(F51/VLOOKUP($A$2,'Población'!$A$1:$B$5,2,0))*100000</f>
        <v>1.817974663</v>
      </c>
      <c r="J51" s="44">
        <f t="shared" si="2"/>
        <v>116.5805512</v>
      </c>
      <c r="K51" s="44">
        <f>(H51/VLOOKUP($A$2,'Población'!$A$1:$B$5,2,0))*100000</f>
        <v>2.451274849</v>
      </c>
      <c r="L51" s="44">
        <f t="shared" si="3"/>
        <v>171.5672625</v>
      </c>
    </row>
    <row r="52">
      <c r="A52" s="39" t="str">
        <f>IFERROR(__xludf.DUMMYFUNCTION("""COMPUTED_VALUE"""),"Colombia")</f>
        <v>Colombia</v>
      </c>
      <c r="B52" s="40">
        <f>IFERROR(__xludf.DUMMYFUNCTION("""COMPUTED_VALUE"""),44256.0)</f>
        <v>44256</v>
      </c>
      <c r="C52" s="41">
        <f>IFERROR(__xludf.DUMMYFUNCTION("""COMPUTED_VALUE"""),44262.0)</f>
        <v>44262</v>
      </c>
      <c r="D52" s="39">
        <f>IFERROR(__xludf.DUMMYFUNCTION("""COMPUTED_VALUE"""),9.0)</f>
        <v>9</v>
      </c>
      <c r="E52" s="39">
        <f>IFERROR(__xludf.DUMMYFUNCTION("""COMPUTED_VALUE"""),5562.0)</f>
        <v>5562</v>
      </c>
      <c r="F52" s="39">
        <f>IFERROR(__xludf.DUMMYFUNCTION("""COMPUTED_VALUE"""),737.0)</f>
        <v>737</v>
      </c>
      <c r="G52" s="43">
        <f>AVERAGEIFS('Co pre-COVID'!$E:$E,'Co pre-COVID'!$D:$D,D52)</f>
        <v>4312</v>
      </c>
      <c r="H52" s="43">
        <f t="shared" si="1"/>
        <v>1250</v>
      </c>
      <c r="I52" s="44">
        <f>(F52/VLOOKUP($A$2,'Población'!$A$1:$B$5,2,0))*100000</f>
        <v>1.437604427</v>
      </c>
      <c r="J52" s="44">
        <f t="shared" si="2"/>
        <v>118.0181556</v>
      </c>
      <c r="K52" s="44">
        <f>(H52/VLOOKUP($A$2,'Población'!$A$1:$B$5,2,0))*100000</f>
        <v>2.438270739</v>
      </c>
      <c r="L52" s="44">
        <f t="shared" si="3"/>
        <v>174.0055332</v>
      </c>
    </row>
    <row r="53">
      <c r="A53" s="39" t="str">
        <f>IFERROR(__xludf.DUMMYFUNCTION("""COMPUTED_VALUE"""),"Colombia")</f>
        <v>Colombia</v>
      </c>
      <c r="B53" s="40">
        <f>IFERROR(__xludf.DUMMYFUNCTION("""COMPUTED_VALUE"""),44263.0)</f>
        <v>44263</v>
      </c>
      <c r="C53" s="41">
        <f>IFERROR(__xludf.DUMMYFUNCTION("""COMPUTED_VALUE"""),44269.0)</f>
        <v>44269</v>
      </c>
      <c r="D53" s="39">
        <f>IFERROR(__xludf.DUMMYFUNCTION("""COMPUTED_VALUE"""),10.0)</f>
        <v>10</v>
      </c>
      <c r="E53" s="39">
        <f>IFERROR(__xludf.DUMMYFUNCTION("""COMPUTED_VALUE"""),5315.0)</f>
        <v>5315</v>
      </c>
      <c r="F53" s="39">
        <f>IFERROR(__xludf.DUMMYFUNCTION("""COMPUTED_VALUE"""),640.0)</f>
        <v>640</v>
      </c>
      <c r="G53" s="43">
        <f>AVERAGEIFS('Co pre-COVID'!$E:$E,'Co pre-COVID'!$D:$D,D53)</f>
        <v>4341.666667</v>
      </c>
      <c r="H53" s="43">
        <f t="shared" si="1"/>
        <v>973.3333333</v>
      </c>
      <c r="I53" s="44">
        <f>(F53/VLOOKUP($A$2,'Población'!$A$1:$B$5,2,0))*100000</f>
        <v>1.248394618</v>
      </c>
      <c r="J53" s="44">
        <f t="shared" si="2"/>
        <v>119.2665502</v>
      </c>
      <c r="K53" s="44">
        <f>(H53/VLOOKUP($A$2,'Población'!$A$1:$B$5,2,0))*100000</f>
        <v>1.898600148</v>
      </c>
      <c r="L53" s="44">
        <f t="shared" si="3"/>
        <v>175.9041334</v>
      </c>
    </row>
    <row r="54">
      <c r="A54" s="39" t="str">
        <f>IFERROR(__xludf.DUMMYFUNCTION("""COMPUTED_VALUE"""),"Colombia")</f>
        <v>Colombia</v>
      </c>
      <c r="B54" s="40">
        <f>IFERROR(__xludf.DUMMYFUNCTION("""COMPUTED_VALUE"""),44270.0)</f>
        <v>44270</v>
      </c>
      <c r="C54" s="41">
        <f>IFERROR(__xludf.DUMMYFUNCTION("""COMPUTED_VALUE"""),44276.0)</f>
        <v>44276</v>
      </c>
      <c r="D54" s="39">
        <f>IFERROR(__xludf.DUMMYFUNCTION("""COMPUTED_VALUE"""),11.0)</f>
        <v>11</v>
      </c>
      <c r="E54" s="39">
        <f>IFERROR(__xludf.DUMMYFUNCTION("""COMPUTED_VALUE"""),5569.0)</f>
        <v>5569</v>
      </c>
      <c r="F54" s="39">
        <f>IFERROR(__xludf.DUMMYFUNCTION("""COMPUTED_VALUE"""),885.0)</f>
        <v>885</v>
      </c>
      <c r="G54" s="43">
        <f>AVERAGEIFS('Co pre-COVID'!$E:$E,'Co pre-COVID'!$D:$D,D54)</f>
        <v>4366</v>
      </c>
      <c r="H54" s="43">
        <f t="shared" si="1"/>
        <v>1203</v>
      </c>
      <c r="I54" s="44">
        <f>(F54/VLOOKUP($A$2,'Población'!$A$1:$B$5,2,0))*100000</f>
        <v>1.726295683</v>
      </c>
      <c r="J54" s="44">
        <f t="shared" si="2"/>
        <v>120.9928459</v>
      </c>
      <c r="K54" s="44">
        <f>(H54/VLOOKUP($A$2,'Población'!$A$1:$B$5,2,0))*100000</f>
        <v>2.346591759</v>
      </c>
      <c r="L54" s="44">
        <f t="shared" si="3"/>
        <v>178.2507251</v>
      </c>
    </row>
    <row r="55">
      <c r="A55" s="39" t="str">
        <f>IFERROR(__xludf.DUMMYFUNCTION("""COMPUTED_VALUE"""),"Colombia")</f>
        <v>Colombia</v>
      </c>
      <c r="B55" s="40">
        <f>IFERROR(__xludf.DUMMYFUNCTION("""COMPUTED_VALUE"""),44277.0)</f>
        <v>44277</v>
      </c>
      <c r="C55" s="41">
        <f>IFERROR(__xludf.DUMMYFUNCTION("""COMPUTED_VALUE"""),44283.0)</f>
        <v>44283</v>
      </c>
      <c r="D55" s="39">
        <f>IFERROR(__xludf.DUMMYFUNCTION("""COMPUTED_VALUE"""),12.0)</f>
        <v>12</v>
      </c>
      <c r="E55" s="39">
        <f>IFERROR(__xludf.DUMMYFUNCTION("""COMPUTED_VALUE"""),5958.0)</f>
        <v>5958</v>
      </c>
      <c r="F55" s="39">
        <f>IFERROR(__xludf.DUMMYFUNCTION("""COMPUTED_VALUE"""),927.0)</f>
        <v>927</v>
      </c>
      <c r="G55" s="43">
        <f>AVERAGEIFS('Co pre-COVID'!$E:$E,'Co pre-COVID'!$D:$D,D55)</f>
        <v>4296.8</v>
      </c>
      <c r="H55" s="43">
        <f t="shared" si="1"/>
        <v>1661.2</v>
      </c>
      <c r="I55" s="44">
        <f>(F55/VLOOKUP($A$2,'Población'!$A$1:$B$5,2,0))*100000</f>
        <v>1.80822158</v>
      </c>
      <c r="J55" s="44">
        <f t="shared" si="2"/>
        <v>122.8010675</v>
      </c>
      <c r="K55" s="44">
        <f>(H55/VLOOKUP($A$2,'Población'!$A$1:$B$5,2,0))*100000</f>
        <v>3.240364281</v>
      </c>
      <c r="L55" s="44">
        <f t="shared" si="3"/>
        <v>181.4910894</v>
      </c>
    </row>
    <row r="56">
      <c r="A56" s="39" t="str">
        <f>IFERROR(__xludf.DUMMYFUNCTION("""COMPUTED_VALUE"""),"Colombia")</f>
        <v>Colombia</v>
      </c>
      <c r="B56" s="40">
        <f>IFERROR(__xludf.DUMMYFUNCTION("""COMPUTED_VALUE"""),44284.0)</f>
        <v>44284</v>
      </c>
      <c r="C56" s="41">
        <f>IFERROR(__xludf.DUMMYFUNCTION("""COMPUTED_VALUE"""),44290.0)</f>
        <v>44290</v>
      </c>
      <c r="D56" s="39">
        <f>IFERROR(__xludf.DUMMYFUNCTION("""COMPUTED_VALUE"""),13.0)</f>
        <v>13</v>
      </c>
      <c r="E56" s="39">
        <f>IFERROR(__xludf.DUMMYFUNCTION("""COMPUTED_VALUE"""),6473.0)</f>
        <v>6473</v>
      </c>
      <c r="F56" s="39">
        <f>IFERROR(__xludf.DUMMYFUNCTION("""COMPUTED_VALUE"""),1139.0)</f>
        <v>1139</v>
      </c>
      <c r="G56" s="43">
        <f>AVERAGEIFS('Co pre-COVID'!$E:$E,'Co pre-COVID'!$D:$D,D56)</f>
        <v>4316.4</v>
      </c>
      <c r="H56" s="43">
        <f t="shared" si="1"/>
        <v>2156.6</v>
      </c>
      <c r="I56" s="44">
        <f>(F56/VLOOKUP($A$2,'Población'!$A$1:$B$5,2,0))*100000</f>
        <v>2.221752297</v>
      </c>
      <c r="J56" s="44">
        <f t="shared" si="2"/>
        <v>125.0228198</v>
      </c>
      <c r="K56" s="44">
        <f>(H56/VLOOKUP($A$2,'Población'!$A$1:$B$5,2,0))*100000</f>
        <v>4.20669974</v>
      </c>
      <c r="L56" s="44">
        <f t="shared" si="3"/>
        <v>185.6977892</v>
      </c>
    </row>
    <row r="57">
      <c r="A57" s="39" t="str">
        <f>IFERROR(__xludf.DUMMYFUNCTION("""COMPUTED_VALUE"""),"Colombia")</f>
        <v>Colombia</v>
      </c>
      <c r="B57" s="40">
        <f>IFERROR(__xludf.DUMMYFUNCTION("""COMPUTED_VALUE"""),44291.0)</f>
        <v>44291</v>
      </c>
      <c r="C57" s="41">
        <f>IFERROR(__xludf.DUMMYFUNCTION("""COMPUTED_VALUE"""),44297.0)</f>
        <v>44297</v>
      </c>
      <c r="D57" s="39">
        <f>IFERROR(__xludf.DUMMYFUNCTION("""COMPUTED_VALUE"""),14.0)</f>
        <v>14</v>
      </c>
      <c r="E57" s="39">
        <f>IFERROR(__xludf.DUMMYFUNCTION("""COMPUTED_VALUE"""),7210.0)</f>
        <v>7210</v>
      </c>
      <c r="F57" s="39">
        <f>IFERROR(__xludf.DUMMYFUNCTION("""COMPUTED_VALUE"""),1795.0)</f>
        <v>1795</v>
      </c>
      <c r="G57" s="43">
        <f>AVERAGEIFS('Co pre-COVID'!$E:$E,'Co pre-COVID'!$D:$D,D57)</f>
        <v>4278</v>
      </c>
      <c r="H57" s="43">
        <f t="shared" si="1"/>
        <v>2932</v>
      </c>
      <c r="I57" s="44">
        <f>(F57/VLOOKUP($A$2,'Población'!$A$1:$B$5,2,0))*100000</f>
        <v>3.501356781</v>
      </c>
      <c r="J57" s="44">
        <f t="shared" si="2"/>
        <v>128.5241766</v>
      </c>
      <c r="K57" s="44">
        <f>(H57/VLOOKUP($A$2,'Población'!$A$1:$B$5,2,0))*100000</f>
        <v>5.719207844</v>
      </c>
      <c r="L57" s="44">
        <f t="shared" si="3"/>
        <v>191.416997</v>
      </c>
    </row>
    <row r="58">
      <c r="A58" s="39" t="str">
        <f>IFERROR(__xludf.DUMMYFUNCTION("""COMPUTED_VALUE"""),"Colombia")</f>
        <v>Colombia</v>
      </c>
      <c r="B58" s="40">
        <f>IFERROR(__xludf.DUMMYFUNCTION("""COMPUTED_VALUE"""),44298.0)</f>
        <v>44298</v>
      </c>
      <c r="C58" s="41">
        <f>IFERROR(__xludf.DUMMYFUNCTION("""COMPUTED_VALUE"""),44304.0)</f>
        <v>44304</v>
      </c>
      <c r="D58" s="39">
        <f>IFERROR(__xludf.DUMMYFUNCTION("""COMPUTED_VALUE"""),15.0)</f>
        <v>15</v>
      </c>
      <c r="E58" s="39">
        <f>IFERROR(__xludf.DUMMYFUNCTION("""COMPUTED_VALUE"""),8440.0)</f>
        <v>8440</v>
      </c>
      <c r="F58" s="39">
        <f>IFERROR(__xludf.DUMMYFUNCTION("""COMPUTED_VALUE"""),2439.0)</f>
        <v>2439</v>
      </c>
      <c r="G58" s="43">
        <f>AVERAGEIFS('Co pre-COVID'!$E:$E,'Co pre-COVID'!$D:$D,D58)</f>
        <v>4255</v>
      </c>
      <c r="H58" s="43">
        <f t="shared" si="1"/>
        <v>4185</v>
      </c>
      <c r="I58" s="44">
        <f>(F58/VLOOKUP($A$2,'Población'!$A$1:$B$5,2,0))*100000</f>
        <v>4.757553865</v>
      </c>
      <c r="J58" s="44">
        <f t="shared" si="2"/>
        <v>133.2817304</v>
      </c>
      <c r="K58" s="44">
        <f>(H58/VLOOKUP($A$2,'Población'!$A$1:$B$5,2,0))*100000</f>
        <v>8.163330433</v>
      </c>
      <c r="L58" s="44">
        <f t="shared" si="3"/>
        <v>199.5803274</v>
      </c>
    </row>
    <row r="59">
      <c r="A59" s="39" t="str">
        <f>IFERROR(__xludf.DUMMYFUNCTION("""COMPUTED_VALUE"""),"Colombia")</f>
        <v>Colombia</v>
      </c>
      <c r="B59" s="40">
        <f>IFERROR(__xludf.DUMMYFUNCTION("""COMPUTED_VALUE"""),44305.0)</f>
        <v>44305</v>
      </c>
      <c r="C59" s="41">
        <f>IFERROR(__xludf.DUMMYFUNCTION("""COMPUTED_VALUE"""),44311.0)</f>
        <v>44311</v>
      </c>
      <c r="D59" s="39">
        <f>IFERROR(__xludf.DUMMYFUNCTION("""COMPUTED_VALUE"""),16.0)</f>
        <v>16</v>
      </c>
      <c r="E59" s="39">
        <f>IFERROR(__xludf.DUMMYFUNCTION("""COMPUTED_VALUE"""),8775.0)</f>
        <v>8775</v>
      </c>
      <c r="F59" s="39">
        <f>IFERROR(__xludf.DUMMYFUNCTION("""COMPUTED_VALUE"""),3023.0)</f>
        <v>3023</v>
      </c>
      <c r="G59" s="43">
        <f>AVERAGEIFS('Co pre-COVID'!$E:$E,'Co pre-COVID'!$D:$D,D59)</f>
        <v>4262.8</v>
      </c>
      <c r="H59" s="43">
        <f t="shared" si="1"/>
        <v>4512.2</v>
      </c>
      <c r="I59" s="44">
        <f>(F59/VLOOKUP($A$2,'Población'!$A$1:$B$5,2,0))*100000</f>
        <v>5.896713954</v>
      </c>
      <c r="J59" s="44">
        <f t="shared" si="2"/>
        <v>139.1784444</v>
      </c>
      <c r="K59" s="44">
        <f>(H59/VLOOKUP($A$2,'Población'!$A$1:$B$5,2,0))*100000</f>
        <v>8.801572181</v>
      </c>
      <c r="L59" s="44">
        <f t="shared" si="3"/>
        <v>208.3818996</v>
      </c>
    </row>
    <row r="60">
      <c r="A60" s="39" t="str">
        <f>IFERROR(__xludf.DUMMYFUNCTION("""COMPUTED_VALUE"""),"Colombia")</f>
        <v>Colombia</v>
      </c>
      <c r="B60" s="40">
        <f>IFERROR(__xludf.DUMMYFUNCTION("""COMPUTED_VALUE"""),44312.0)</f>
        <v>44312</v>
      </c>
      <c r="C60" s="41">
        <f>IFERROR(__xludf.DUMMYFUNCTION("""COMPUTED_VALUE"""),44318.0)</f>
        <v>44318</v>
      </c>
      <c r="D60" s="39">
        <f>IFERROR(__xludf.DUMMYFUNCTION("""COMPUTED_VALUE"""),17.0)</f>
        <v>17</v>
      </c>
      <c r="E60" s="39">
        <f>IFERROR(__xludf.DUMMYFUNCTION("""COMPUTED_VALUE"""),8789.0)</f>
        <v>8789</v>
      </c>
      <c r="F60" s="39">
        <f>IFERROR(__xludf.DUMMYFUNCTION("""COMPUTED_VALUE"""),3126.0)</f>
        <v>3126</v>
      </c>
      <c r="G60" s="43">
        <f>AVERAGEIFS('Co pre-COVID'!$E:$E,'Co pre-COVID'!$D:$D,D60)</f>
        <v>4263</v>
      </c>
      <c r="H60" s="43">
        <f t="shared" si="1"/>
        <v>4526</v>
      </c>
      <c r="I60" s="44">
        <f>(F60/VLOOKUP($A$2,'Población'!$A$1:$B$5,2,0))*100000</f>
        <v>6.097627463</v>
      </c>
      <c r="J60" s="44">
        <f t="shared" si="2"/>
        <v>145.2760718</v>
      </c>
      <c r="K60" s="44">
        <f>(H60/VLOOKUP($A$2,'Población'!$A$1:$B$5,2,0))*100000</f>
        <v>8.82849069</v>
      </c>
      <c r="L60" s="44">
        <f t="shared" si="3"/>
        <v>217.2103903</v>
      </c>
    </row>
    <row r="61">
      <c r="A61" s="39" t="str">
        <f>IFERROR(__xludf.DUMMYFUNCTION("""COMPUTED_VALUE"""),"Colombia")</f>
        <v>Colombia</v>
      </c>
      <c r="B61" s="40">
        <f>IFERROR(__xludf.DUMMYFUNCTION("""COMPUTED_VALUE"""),44319.0)</f>
        <v>44319</v>
      </c>
      <c r="C61" s="41">
        <f>IFERROR(__xludf.DUMMYFUNCTION("""COMPUTED_VALUE"""),44325.0)</f>
        <v>44325</v>
      </c>
      <c r="D61" s="39">
        <f>IFERROR(__xludf.DUMMYFUNCTION("""COMPUTED_VALUE"""),18.0)</f>
        <v>18</v>
      </c>
      <c r="E61" s="39">
        <f>IFERROR(__xludf.DUMMYFUNCTION("""COMPUTED_VALUE"""),8882.0)</f>
        <v>8882</v>
      </c>
      <c r="F61" s="39">
        <f>IFERROR(__xludf.DUMMYFUNCTION("""COMPUTED_VALUE"""),3377.0)</f>
        <v>3377</v>
      </c>
      <c r="G61" s="43">
        <f>AVERAGEIFS('Co pre-COVID'!$E:$E,'Co pre-COVID'!$D:$D,D61)</f>
        <v>4331.2</v>
      </c>
      <c r="H61" s="43">
        <f t="shared" si="1"/>
        <v>4550.8</v>
      </c>
      <c r="I61" s="44">
        <f>(F61/VLOOKUP($A$2,'Población'!$A$1:$B$5,2,0))*100000</f>
        <v>6.587232227</v>
      </c>
      <c r="J61" s="44">
        <f t="shared" si="2"/>
        <v>151.8633041</v>
      </c>
      <c r="K61" s="44">
        <f>(H61/VLOOKUP($A$2,'Población'!$A$1:$B$5,2,0))*100000</f>
        <v>8.876865982</v>
      </c>
      <c r="L61" s="44">
        <f t="shared" si="3"/>
        <v>226.0872563</v>
      </c>
    </row>
    <row r="62">
      <c r="A62" s="39" t="str">
        <f>IFERROR(__xludf.DUMMYFUNCTION("""COMPUTED_VALUE"""),"Colombia")</f>
        <v>Colombia</v>
      </c>
      <c r="B62" s="40">
        <f>IFERROR(__xludf.DUMMYFUNCTION("""COMPUTED_VALUE"""),44326.0)</f>
        <v>44326</v>
      </c>
      <c r="C62" s="41">
        <f>IFERROR(__xludf.DUMMYFUNCTION("""COMPUTED_VALUE"""),44332.0)</f>
        <v>44332</v>
      </c>
      <c r="D62" s="39">
        <f>IFERROR(__xludf.DUMMYFUNCTION("""COMPUTED_VALUE"""),19.0)</f>
        <v>19</v>
      </c>
      <c r="E62" s="39">
        <f>IFERROR(__xludf.DUMMYFUNCTION("""COMPUTED_VALUE"""),8988.0)</f>
        <v>8988</v>
      </c>
      <c r="F62" s="39">
        <f>IFERROR(__xludf.DUMMYFUNCTION("""COMPUTED_VALUE"""),3446.0)</f>
        <v>3446</v>
      </c>
      <c r="G62" s="43">
        <f>AVERAGEIFS('Co pre-COVID'!$E:$E,'Co pre-COVID'!$D:$D,D62)</f>
        <v>4368.2</v>
      </c>
      <c r="H62" s="43">
        <f t="shared" si="1"/>
        <v>4619.8</v>
      </c>
      <c r="I62" s="44">
        <f>(F62/VLOOKUP($A$2,'Población'!$A$1:$B$5,2,0))*100000</f>
        <v>6.721824772</v>
      </c>
      <c r="J62" s="44">
        <f t="shared" si="2"/>
        <v>158.5851288</v>
      </c>
      <c r="K62" s="44">
        <f>(H62/VLOOKUP($A$2,'Población'!$A$1:$B$5,2,0))*100000</f>
        <v>9.011458527</v>
      </c>
      <c r="L62" s="44">
        <f t="shared" si="3"/>
        <v>235.0987148</v>
      </c>
    </row>
    <row r="63">
      <c r="A63" s="39" t="str">
        <f>IFERROR(__xludf.DUMMYFUNCTION("""COMPUTED_VALUE"""),"Colombia")</f>
        <v>Colombia</v>
      </c>
      <c r="B63" s="40">
        <f>IFERROR(__xludf.DUMMYFUNCTION("""COMPUTED_VALUE"""),44333.0)</f>
        <v>44333</v>
      </c>
      <c r="C63" s="41">
        <f>IFERROR(__xludf.DUMMYFUNCTION("""COMPUTED_VALUE"""),44339.0)</f>
        <v>44339</v>
      </c>
      <c r="D63" s="39">
        <f>IFERROR(__xludf.DUMMYFUNCTION("""COMPUTED_VALUE"""),20.0)</f>
        <v>20</v>
      </c>
      <c r="E63" s="39">
        <f>IFERROR(__xludf.DUMMYFUNCTION("""COMPUTED_VALUE"""),9058.0)</f>
        <v>9058</v>
      </c>
      <c r="F63" s="39">
        <f>IFERROR(__xludf.DUMMYFUNCTION("""COMPUTED_VALUE"""),3424.0)</f>
        <v>3424</v>
      </c>
      <c r="G63" s="43">
        <f>AVERAGEIFS('Co pre-COVID'!$E:$E,'Co pre-COVID'!$D:$D,D63)</f>
        <v>4518.8</v>
      </c>
      <c r="H63" s="43">
        <f t="shared" si="1"/>
        <v>4539.2</v>
      </c>
      <c r="I63" s="44">
        <f>(F63/VLOOKUP($A$2,'Población'!$A$1:$B$5,2,0))*100000</f>
        <v>6.678911207</v>
      </c>
      <c r="J63" s="44">
        <f t="shared" si="2"/>
        <v>165.26404</v>
      </c>
      <c r="K63" s="44">
        <f>(H63/VLOOKUP($A$2,'Población'!$A$1:$B$5,2,0))*100000</f>
        <v>8.854238829</v>
      </c>
      <c r="L63" s="44">
        <f t="shared" si="3"/>
        <v>243.9529537</v>
      </c>
    </row>
    <row r="64">
      <c r="A64" s="39" t="str">
        <f>IFERROR(__xludf.DUMMYFUNCTION("""COMPUTED_VALUE"""),"Colombia")</f>
        <v>Colombia</v>
      </c>
      <c r="B64" s="40">
        <f>IFERROR(__xludf.DUMMYFUNCTION("""COMPUTED_VALUE"""),44340.0)</f>
        <v>44340</v>
      </c>
      <c r="C64" s="41">
        <f>IFERROR(__xludf.DUMMYFUNCTION("""COMPUTED_VALUE"""),44346.0)</f>
        <v>44346</v>
      </c>
      <c r="D64" s="39">
        <f>IFERROR(__xludf.DUMMYFUNCTION("""COMPUTED_VALUE"""),21.0)</f>
        <v>21</v>
      </c>
      <c r="E64" s="39">
        <f>IFERROR(__xludf.DUMMYFUNCTION("""COMPUTED_VALUE"""),9296.0)</f>
        <v>9296</v>
      </c>
      <c r="F64" s="39">
        <f>IFERROR(__xludf.DUMMYFUNCTION("""COMPUTED_VALUE"""),3558.0)</f>
        <v>3558</v>
      </c>
      <c r="G64" s="43">
        <f>AVERAGEIFS('Co pre-COVID'!$E:$E,'Co pre-COVID'!$D:$D,D64)</f>
        <v>4478.2</v>
      </c>
      <c r="H64" s="43">
        <f t="shared" si="1"/>
        <v>4817.8</v>
      </c>
      <c r="I64" s="44">
        <f>(F64/VLOOKUP($A$2,'Población'!$A$1:$B$5,2,0))*100000</f>
        <v>6.94029383</v>
      </c>
      <c r="J64" s="44">
        <f t="shared" si="2"/>
        <v>172.2043339</v>
      </c>
      <c r="K64" s="44">
        <f>(H64/VLOOKUP($A$2,'Población'!$A$1:$B$5,2,0))*100000</f>
        <v>9.397680612</v>
      </c>
      <c r="L64" s="44">
        <f t="shared" si="3"/>
        <v>253.3506343</v>
      </c>
    </row>
    <row r="65">
      <c r="A65" s="39" t="str">
        <f>IFERROR(__xludf.DUMMYFUNCTION("""COMPUTED_VALUE"""),"Colombia")</f>
        <v>Colombia</v>
      </c>
      <c r="B65" s="40">
        <f>IFERROR(__xludf.DUMMYFUNCTION("""COMPUTED_VALUE"""),44347.0)</f>
        <v>44347</v>
      </c>
      <c r="C65" s="41">
        <f>IFERROR(__xludf.DUMMYFUNCTION("""COMPUTED_VALUE"""),44353.0)</f>
        <v>44353</v>
      </c>
      <c r="D65" s="39">
        <f>IFERROR(__xludf.DUMMYFUNCTION("""COMPUTED_VALUE"""),22.0)</f>
        <v>22</v>
      </c>
      <c r="E65" s="39">
        <f>IFERROR(__xludf.DUMMYFUNCTION("""COMPUTED_VALUE"""),9767.0)</f>
        <v>9767</v>
      </c>
      <c r="F65" s="39">
        <f>IFERROR(__xludf.DUMMYFUNCTION("""COMPUTED_VALUE"""),3679.0)</f>
        <v>3679</v>
      </c>
      <c r="G65" s="43">
        <f>AVERAGEIFS('Co pre-COVID'!$E:$E,'Co pre-COVID'!$D:$D,D65)</f>
        <v>4485</v>
      </c>
      <c r="H65" s="43">
        <f t="shared" si="1"/>
        <v>5282</v>
      </c>
      <c r="I65" s="44">
        <f>(F65/VLOOKUP($A$2,'Población'!$A$1:$B$5,2,0))*100000</f>
        <v>7.176318438</v>
      </c>
      <c r="J65" s="44">
        <f t="shared" si="2"/>
        <v>179.3806523</v>
      </c>
      <c r="K65" s="44">
        <f>(H65/VLOOKUP($A$2,'Población'!$A$1:$B$5,2,0))*100000</f>
        <v>10.30315683</v>
      </c>
      <c r="L65" s="44">
        <f t="shared" si="3"/>
        <v>263.6537911</v>
      </c>
    </row>
    <row r="66">
      <c r="A66" s="39" t="str">
        <f>IFERROR(__xludf.DUMMYFUNCTION("""COMPUTED_VALUE"""),"Colombia")</f>
        <v>Colombia</v>
      </c>
      <c r="B66" s="40">
        <f>IFERROR(__xludf.DUMMYFUNCTION("""COMPUTED_VALUE"""),44354.0)</f>
        <v>44354</v>
      </c>
      <c r="C66" s="41">
        <f>IFERROR(__xludf.DUMMYFUNCTION("""COMPUTED_VALUE"""),44360.0)</f>
        <v>44360</v>
      </c>
      <c r="D66" s="39">
        <f>IFERROR(__xludf.DUMMYFUNCTION("""COMPUTED_VALUE"""),23.0)</f>
        <v>23</v>
      </c>
      <c r="E66" s="39">
        <f>IFERROR(__xludf.DUMMYFUNCTION("""COMPUTED_VALUE"""),10081.0)</f>
        <v>10081</v>
      </c>
      <c r="F66" s="39">
        <f>IFERROR(__xludf.DUMMYFUNCTION("""COMPUTED_VALUE"""),3817.0)</f>
        <v>3817</v>
      </c>
      <c r="G66" s="43">
        <f>AVERAGEIFS('Co pre-COVID'!$E:$E,'Co pre-COVID'!$D:$D,D66)</f>
        <v>4542.6</v>
      </c>
      <c r="H66" s="43">
        <f t="shared" si="1"/>
        <v>5538.4</v>
      </c>
      <c r="I66" s="44">
        <f>(F66/VLOOKUP($A$2,'Población'!$A$1:$B$5,2,0))*100000</f>
        <v>7.445503527</v>
      </c>
      <c r="J66" s="44">
        <f t="shared" si="2"/>
        <v>186.8261558</v>
      </c>
      <c r="K66" s="44">
        <f>(H66/VLOOKUP($A$2,'Población'!$A$1:$B$5,2,0))*100000</f>
        <v>10.80329493</v>
      </c>
      <c r="L66" s="44">
        <f t="shared" si="3"/>
        <v>274.457086</v>
      </c>
    </row>
    <row r="67">
      <c r="A67" s="39" t="str">
        <f>IFERROR(__xludf.DUMMYFUNCTION("""COMPUTED_VALUE"""),"Colombia")</f>
        <v>Colombia</v>
      </c>
      <c r="B67" s="40">
        <f>IFERROR(__xludf.DUMMYFUNCTION("""COMPUTED_VALUE"""),44361.0)</f>
        <v>44361</v>
      </c>
      <c r="C67" s="41">
        <f>IFERROR(__xludf.DUMMYFUNCTION("""COMPUTED_VALUE"""),44367.0)</f>
        <v>44367</v>
      </c>
      <c r="D67" s="39">
        <f>IFERROR(__xludf.DUMMYFUNCTION("""COMPUTED_VALUE"""),24.0)</f>
        <v>24</v>
      </c>
      <c r="E67" s="39">
        <f>IFERROR(__xludf.DUMMYFUNCTION("""COMPUTED_VALUE"""),10451.0)</f>
        <v>10451</v>
      </c>
      <c r="F67" s="39">
        <f>IFERROR(__xludf.DUMMYFUNCTION("""COMPUTED_VALUE"""),4156.0)</f>
        <v>4156</v>
      </c>
      <c r="G67" s="43">
        <f>AVERAGEIFS('Co pre-COVID'!$E:$E,'Co pre-COVID'!$D:$D,D67)</f>
        <v>4514.8</v>
      </c>
      <c r="H67" s="43">
        <f t="shared" si="1"/>
        <v>5936.2</v>
      </c>
      <c r="I67" s="44">
        <f>(F67/VLOOKUP($A$2,'Población'!$A$1:$B$5,2,0))*100000</f>
        <v>8.106762552</v>
      </c>
      <c r="J67" s="44">
        <f t="shared" si="2"/>
        <v>194.9329184</v>
      </c>
      <c r="K67" s="44">
        <f>(H67/VLOOKUP($A$2,'Población'!$A$1:$B$5,2,0))*100000</f>
        <v>11.57925021</v>
      </c>
      <c r="L67" s="44">
        <f t="shared" si="3"/>
        <v>286.0363362</v>
      </c>
    </row>
    <row r="68">
      <c r="A68" s="39" t="str">
        <f>IFERROR(__xludf.DUMMYFUNCTION("""COMPUTED_VALUE"""),"Colombia")</f>
        <v>Colombia</v>
      </c>
      <c r="B68" s="40">
        <f>IFERROR(__xludf.DUMMYFUNCTION("""COMPUTED_VALUE"""),44368.0)</f>
        <v>44368</v>
      </c>
      <c r="C68" s="41">
        <f>IFERROR(__xludf.DUMMYFUNCTION("""COMPUTED_VALUE"""),44374.0)</f>
        <v>44374</v>
      </c>
      <c r="D68" s="39">
        <f>IFERROR(__xludf.DUMMYFUNCTION("""COMPUTED_VALUE"""),25.0)</f>
        <v>25</v>
      </c>
      <c r="E68" s="39">
        <f>IFERROR(__xludf.DUMMYFUNCTION("""COMPUTED_VALUE"""),10456.0)</f>
        <v>10456</v>
      </c>
      <c r="F68" s="39">
        <f>IFERROR(__xludf.DUMMYFUNCTION("""COMPUTED_VALUE"""),4744.0)</f>
        <v>4744</v>
      </c>
      <c r="G68" s="43">
        <f>AVERAGEIFS('Co pre-COVID'!$E:$E,'Co pre-COVID'!$D:$D,D68)</f>
        <v>4554.6</v>
      </c>
      <c r="H68" s="43">
        <f t="shared" si="1"/>
        <v>5901.4</v>
      </c>
      <c r="I68" s="44">
        <f>(F68/VLOOKUP($A$2,'Población'!$A$1:$B$5,2,0))*100000</f>
        <v>9.253725107</v>
      </c>
      <c r="J68" s="44">
        <f t="shared" si="2"/>
        <v>204.1866435</v>
      </c>
      <c r="K68" s="44">
        <f>(H68/VLOOKUP($A$2,'Población'!$A$1:$B$5,2,0))*100000</f>
        <v>11.51136875</v>
      </c>
      <c r="L68" s="44">
        <f t="shared" si="3"/>
        <v>297.547705</v>
      </c>
    </row>
    <row r="69">
      <c r="A69" s="39" t="str">
        <f>IFERROR(__xludf.DUMMYFUNCTION("""COMPUTED_VALUE"""),"Colombia")</f>
        <v>Colombia</v>
      </c>
      <c r="B69" s="40">
        <f>IFERROR(__xludf.DUMMYFUNCTION("""COMPUTED_VALUE"""),44375.0)</f>
        <v>44375</v>
      </c>
      <c r="C69" s="41">
        <f>IFERROR(__xludf.DUMMYFUNCTION("""COMPUTED_VALUE"""),44381.0)</f>
        <v>44381</v>
      </c>
      <c r="D69" s="39">
        <f>IFERROR(__xludf.DUMMYFUNCTION("""COMPUTED_VALUE"""),26.0)</f>
        <v>26</v>
      </c>
      <c r="E69" s="39">
        <f>IFERROR(__xludf.DUMMYFUNCTION("""COMPUTED_VALUE"""),10240.0)</f>
        <v>10240</v>
      </c>
      <c r="F69" s="39">
        <f>IFERROR(__xludf.DUMMYFUNCTION("""COMPUTED_VALUE"""),4218.0)</f>
        <v>4218</v>
      </c>
      <c r="G69" s="43">
        <f>AVERAGEIFS('Co pre-COVID'!$E:$E,'Co pre-COVID'!$D:$D,D69)</f>
        <v>4592</v>
      </c>
      <c r="H69" s="43">
        <f t="shared" si="1"/>
        <v>5648</v>
      </c>
      <c r="I69" s="44">
        <f>(F69/VLOOKUP($A$2,'Población'!$A$1:$B$5,2,0))*100000</f>
        <v>8.22770078</v>
      </c>
      <c r="J69" s="44">
        <f t="shared" si="2"/>
        <v>212.4143443</v>
      </c>
      <c r="K69" s="44">
        <f>(H69/VLOOKUP($A$2,'Población'!$A$1:$B$5,2,0))*100000</f>
        <v>11.01708251</v>
      </c>
      <c r="L69" s="44">
        <f t="shared" si="3"/>
        <v>308.5647875</v>
      </c>
    </row>
    <row r="70">
      <c r="A70" s="39" t="str">
        <f>IFERROR(__xludf.DUMMYFUNCTION("""COMPUTED_VALUE"""),"Colombia")</f>
        <v>Colombia</v>
      </c>
      <c r="B70" s="40">
        <f>IFERROR(__xludf.DUMMYFUNCTION("""COMPUTED_VALUE"""),44382.0)</f>
        <v>44382</v>
      </c>
      <c r="C70" s="41">
        <f>IFERROR(__xludf.DUMMYFUNCTION("""COMPUTED_VALUE"""),44388.0)</f>
        <v>44388</v>
      </c>
      <c r="D70" s="39">
        <f>IFERROR(__xludf.DUMMYFUNCTION("""COMPUTED_VALUE"""),27.0)</f>
        <v>27</v>
      </c>
      <c r="E70" s="39">
        <f>IFERROR(__xludf.DUMMYFUNCTION("""COMPUTED_VALUE"""),9485.0)</f>
        <v>9485</v>
      </c>
      <c r="F70" s="39">
        <f>IFERROR(__xludf.DUMMYFUNCTION("""COMPUTED_VALUE"""),3930.0)</f>
        <v>3930</v>
      </c>
      <c r="G70" s="43">
        <f>AVERAGEIFS('Co pre-COVID'!$E:$E,'Co pre-COVID'!$D:$D,D70)</f>
        <v>4567</v>
      </c>
      <c r="H70" s="43">
        <f t="shared" si="1"/>
        <v>4918</v>
      </c>
      <c r="I70" s="44">
        <f>(F70/VLOOKUP($A$2,'Población'!$A$1:$B$5,2,0))*100000</f>
        <v>7.665923202</v>
      </c>
      <c r="J70" s="44">
        <f t="shared" si="2"/>
        <v>220.0802675</v>
      </c>
      <c r="K70" s="44">
        <f>(H70/VLOOKUP($A$2,'Población'!$A$1:$B$5,2,0))*100000</f>
        <v>9.593132394</v>
      </c>
      <c r="L70" s="44">
        <f t="shared" si="3"/>
        <v>318.1579199</v>
      </c>
    </row>
    <row r="71">
      <c r="G71" s="43"/>
      <c r="I71" s="44"/>
      <c r="K71" s="44"/>
    </row>
    <row r="72">
      <c r="G72" s="43"/>
      <c r="I72" s="44"/>
      <c r="K72" s="44"/>
    </row>
    <row r="73">
      <c r="G73" s="43"/>
      <c r="I73" s="44"/>
      <c r="K73" s="44"/>
    </row>
    <row r="74">
      <c r="G74" s="43"/>
      <c r="I74" s="44"/>
      <c r="K74" s="44"/>
    </row>
    <row r="75">
      <c r="G75" s="43"/>
      <c r="I75" s="44"/>
      <c r="K75" s="44"/>
    </row>
    <row r="76">
      <c r="G76" s="43"/>
      <c r="I76" s="44"/>
      <c r="K76" s="44"/>
    </row>
    <row r="77">
      <c r="G77" s="43"/>
      <c r="I77" s="44"/>
      <c r="K77" s="44"/>
    </row>
    <row r="78">
      <c r="G78" s="43"/>
      <c r="I78" s="44"/>
      <c r="K78" s="44"/>
    </row>
    <row r="79">
      <c r="G79" s="43"/>
      <c r="I79" s="44"/>
      <c r="K79" s="44"/>
    </row>
    <row r="80">
      <c r="G80" s="43"/>
      <c r="I80" s="44"/>
      <c r="K80" s="44"/>
    </row>
    <row r="81">
      <c r="G81" s="43"/>
      <c r="I81" s="44"/>
      <c r="K81" s="44"/>
    </row>
    <row r="82">
      <c r="G82" s="43"/>
      <c r="I82" s="44"/>
      <c r="K82" s="44"/>
    </row>
    <row r="83">
      <c r="G83" s="43"/>
      <c r="I83" s="44"/>
      <c r="K83" s="44"/>
    </row>
    <row r="84">
      <c r="G84" s="43"/>
      <c r="I84" s="44"/>
      <c r="K84" s="44"/>
    </row>
    <row r="85">
      <c r="G85" s="43"/>
      <c r="I85" s="44"/>
      <c r="K85" s="44"/>
    </row>
    <row r="86">
      <c r="G86" s="43"/>
      <c r="I86" s="44"/>
      <c r="K86" s="44"/>
    </row>
    <row r="87">
      <c r="G87" s="43"/>
      <c r="I87" s="44"/>
      <c r="K87" s="44"/>
    </row>
    <row r="88">
      <c r="G88" s="43"/>
      <c r="I88" s="44"/>
      <c r="K88" s="44"/>
    </row>
    <row r="89">
      <c r="G89" s="43"/>
      <c r="I89" s="44"/>
      <c r="K89" s="44"/>
    </row>
    <row r="90">
      <c r="G90" s="43"/>
      <c r="I90" s="44"/>
      <c r="K90" s="44"/>
    </row>
    <row r="91">
      <c r="G91" s="43"/>
      <c r="I91" s="44"/>
      <c r="K91" s="44"/>
    </row>
    <row r="92">
      <c r="G92" s="43"/>
      <c r="I92" s="44"/>
      <c r="K92" s="44"/>
    </row>
    <row r="93">
      <c r="G93" s="43"/>
      <c r="I93" s="44"/>
      <c r="K93" s="44"/>
    </row>
    <row r="94">
      <c r="G94" s="43"/>
      <c r="I94" s="44"/>
      <c r="K94" s="44"/>
    </row>
    <row r="95">
      <c r="G95" s="43"/>
      <c r="I95" s="44"/>
      <c r="K95" s="44"/>
    </row>
    <row r="96">
      <c r="G96" s="43"/>
      <c r="I96" s="44"/>
      <c r="K96" s="44"/>
    </row>
    <row r="97">
      <c r="G97" s="43"/>
      <c r="I97" s="44"/>
      <c r="K97" s="44"/>
    </row>
    <row r="98">
      <c r="G98" s="43"/>
      <c r="I98" s="44"/>
      <c r="K98" s="44"/>
    </row>
    <row r="99">
      <c r="G99" s="43"/>
      <c r="I99" s="44"/>
      <c r="K99" s="44"/>
    </row>
    <row r="100">
      <c r="G100" s="43"/>
      <c r="I100" s="44"/>
      <c r="K100" s="44"/>
    </row>
    <row r="101">
      <c r="G101" s="43"/>
      <c r="I101" s="44"/>
      <c r="K101" s="44"/>
    </row>
    <row r="102">
      <c r="G102" s="43"/>
      <c r="I102" s="44"/>
      <c r="K102" s="44"/>
    </row>
    <row r="103">
      <c r="G103" s="43"/>
      <c r="I103" s="44"/>
      <c r="K103" s="44"/>
    </row>
    <row r="104">
      <c r="G104" s="43"/>
      <c r="I104" s="44"/>
      <c r="K104" s="44"/>
    </row>
    <row r="105">
      <c r="G105" s="43"/>
      <c r="I105" s="44"/>
      <c r="K105" s="44"/>
    </row>
    <row r="106">
      <c r="G106" s="43"/>
      <c r="I106" s="44"/>
      <c r="K106" s="44"/>
    </row>
    <row r="107">
      <c r="G107" s="43"/>
      <c r="I107" s="44"/>
      <c r="K107" s="44"/>
    </row>
    <row r="108">
      <c r="G108" s="43"/>
      <c r="I108" s="44"/>
      <c r="K108" s="44"/>
    </row>
    <row r="109">
      <c r="G109" s="43"/>
      <c r="I109" s="44"/>
      <c r="K109" s="44"/>
    </row>
    <row r="110">
      <c r="G110" s="43"/>
      <c r="I110" s="44"/>
      <c r="K110" s="44"/>
    </row>
    <row r="111">
      <c r="G111" s="43"/>
      <c r="I111" s="44"/>
      <c r="K111" s="44"/>
    </row>
    <row r="112">
      <c r="G112" s="43"/>
      <c r="I112" s="44"/>
      <c r="K112" s="44"/>
    </row>
    <row r="113">
      <c r="G113" s="43"/>
      <c r="I113" s="44"/>
      <c r="K113" s="44"/>
    </row>
    <row r="114">
      <c r="G114" s="43"/>
      <c r="I114" s="44"/>
      <c r="K114" s="44"/>
    </row>
    <row r="115">
      <c r="G115" s="43"/>
      <c r="I115" s="44"/>
      <c r="K115" s="44"/>
    </row>
    <row r="116">
      <c r="G116" s="43"/>
      <c r="I116" s="44"/>
      <c r="K116" s="44"/>
    </row>
    <row r="117">
      <c r="G117" s="43"/>
      <c r="I117" s="44"/>
      <c r="K117" s="44"/>
    </row>
    <row r="118">
      <c r="G118" s="43"/>
      <c r="I118" s="44"/>
      <c r="K118" s="44"/>
    </row>
    <row r="119">
      <c r="G119" s="43"/>
      <c r="I119" s="44"/>
      <c r="K119" s="44"/>
    </row>
    <row r="120">
      <c r="G120" s="43"/>
      <c r="I120" s="44"/>
      <c r="K120" s="44"/>
    </row>
    <row r="121">
      <c r="G121" s="43"/>
      <c r="I121" s="44"/>
      <c r="K121" s="44"/>
    </row>
    <row r="122">
      <c r="G122" s="43"/>
      <c r="I122" s="44"/>
      <c r="K122" s="44"/>
    </row>
    <row r="123">
      <c r="G123" s="43"/>
      <c r="I123" s="44"/>
      <c r="K123" s="44"/>
    </row>
    <row r="124">
      <c r="G124" s="43"/>
      <c r="I124" s="44"/>
      <c r="K124" s="44"/>
    </row>
    <row r="125">
      <c r="G125" s="43"/>
      <c r="I125" s="44"/>
      <c r="K125" s="44"/>
    </row>
    <row r="126">
      <c r="G126" s="43"/>
      <c r="I126" s="44"/>
      <c r="K126" s="44"/>
    </row>
    <row r="127">
      <c r="G127" s="43"/>
      <c r="I127" s="44"/>
      <c r="K127" s="44"/>
    </row>
    <row r="128">
      <c r="G128" s="43"/>
      <c r="I128" s="44"/>
      <c r="K128" s="44"/>
    </row>
    <row r="129">
      <c r="G129" s="43"/>
      <c r="I129" s="44"/>
      <c r="K129" s="44"/>
    </row>
    <row r="130">
      <c r="G130" s="43"/>
      <c r="I130" s="44"/>
      <c r="K130" s="44"/>
    </row>
    <row r="131">
      <c r="G131" s="43"/>
      <c r="I131" s="44"/>
      <c r="K131" s="44"/>
    </row>
    <row r="132">
      <c r="G132" s="43"/>
      <c r="I132" s="44"/>
      <c r="K132" s="44"/>
    </row>
    <row r="133">
      <c r="G133" s="43"/>
      <c r="I133" s="44"/>
      <c r="K133" s="44"/>
    </row>
    <row r="134">
      <c r="G134" s="43"/>
      <c r="I134" s="44"/>
      <c r="K134" s="44"/>
    </row>
    <row r="135">
      <c r="G135" s="43"/>
      <c r="I135" s="44"/>
      <c r="K135" s="44"/>
    </row>
    <row r="136">
      <c r="G136" s="43"/>
      <c r="I136" s="44"/>
      <c r="K136" s="44"/>
    </row>
    <row r="137">
      <c r="G137" s="43"/>
      <c r="I137" s="44"/>
      <c r="K137" s="44"/>
    </row>
    <row r="138">
      <c r="G138" s="43"/>
      <c r="I138" s="44"/>
      <c r="K138" s="44"/>
    </row>
    <row r="139">
      <c r="G139" s="43"/>
      <c r="I139" s="44"/>
      <c r="K139" s="44"/>
    </row>
    <row r="140">
      <c r="G140" s="43"/>
      <c r="I140" s="44"/>
      <c r="K140" s="44"/>
    </row>
    <row r="141">
      <c r="G141" s="43"/>
      <c r="I141" s="44"/>
      <c r="K141" s="44"/>
    </row>
    <row r="142">
      <c r="G142" s="43"/>
      <c r="I142" s="44"/>
      <c r="K142" s="44"/>
    </row>
    <row r="143">
      <c r="G143" s="43"/>
      <c r="I143" s="44"/>
      <c r="K143" s="44"/>
    </row>
    <row r="144">
      <c r="G144" s="43"/>
      <c r="I144" s="44"/>
      <c r="K144" s="44"/>
    </row>
    <row r="145">
      <c r="G145" s="43"/>
      <c r="I145" s="44"/>
      <c r="K145" s="44"/>
    </row>
    <row r="146">
      <c r="G146" s="43"/>
      <c r="I146" s="44"/>
      <c r="K146" s="44"/>
    </row>
    <row r="147">
      <c r="G147" s="43"/>
      <c r="I147" s="44"/>
      <c r="K147" s="44"/>
    </row>
    <row r="148">
      <c r="G148" s="43"/>
      <c r="I148" s="44"/>
      <c r="K148" s="44"/>
    </row>
    <row r="149">
      <c r="G149" s="43"/>
      <c r="I149" s="44"/>
      <c r="K149" s="44"/>
    </row>
    <row r="150">
      <c r="G150" s="43"/>
      <c r="I150" s="44"/>
      <c r="K150" s="44"/>
    </row>
    <row r="151">
      <c r="G151" s="43"/>
      <c r="I151" s="44"/>
      <c r="K151" s="44"/>
    </row>
    <row r="152">
      <c r="G152" s="43"/>
      <c r="I152" s="44"/>
      <c r="K152" s="44"/>
    </row>
    <row r="153">
      <c r="G153" s="43"/>
      <c r="I153" s="44"/>
      <c r="K153" s="44"/>
    </row>
    <row r="154">
      <c r="G154" s="43"/>
      <c r="I154" s="44"/>
      <c r="K154" s="44"/>
    </row>
    <row r="155">
      <c r="G155" s="43"/>
      <c r="I155" s="44"/>
      <c r="K155" s="44"/>
    </row>
    <row r="156">
      <c r="G156" s="43"/>
      <c r="I156" s="44"/>
      <c r="K156" s="44"/>
    </row>
    <row r="157">
      <c r="G157" s="43"/>
      <c r="I157" s="44"/>
      <c r="K157" s="44"/>
    </row>
    <row r="158">
      <c r="G158" s="43"/>
      <c r="I158" s="44"/>
      <c r="K158" s="44"/>
    </row>
    <row r="159">
      <c r="G159" s="43"/>
      <c r="I159" s="44"/>
      <c r="K159" s="44"/>
    </row>
    <row r="160">
      <c r="G160" s="43"/>
      <c r="I160" s="44"/>
      <c r="K160" s="44"/>
    </row>
    <row r="161">
      <c r="G161" s="43"/>
      <c r="I161" s="44"/>
      <c r="K161" s="44"/>
    </row>
    <row r="162">
      <c r="G162" s="43"/>
      <c r="I162" s="44"/>
      <c r="K162" s="44"/>
    </row>
    <row r="163">
      <c r="G163" s="43"/>
      <c r="I163" s="44"/>
      <c r="K163" s="44"/>
    </row>
    <row r="164">
      <c r="G164" s="43"/>
      <c r="I164" s="44"/>
      <c r="K164" s="44"/>
    </row>
    <row r="165">
      <c r="G165" s="43"/>
      <c r="I165" s="44"/>
      <c r="K165" s="44"/>
    </row>
    <row r="166">
      <c r="G166" s="43"/>
      <c r="I166" s="44"/>
      <c r="K166" s="44"/>
    </row>
    <row r="167">
      <c r="G167" s="43"/>
      <c r="I167" s="44"/>
      <c r="K167" s="44"/>
    </row>
    <row r="168">
      <c r="G168" s="43"/>
      <c r="I168" s="44"/>
      <c r="K168" s="44"/>
    </row>
    <row r="169">
      <c r="G169" s="43"/>
      <c r="I169" s="44"/>
      <c r="K169" s="44"/>
    </row>
    <row r="170">
      <c r="G170" s="43"/>
      <c r="I170" s="44"/>
      <c r="K170" s="44"/>
    </row>
    <row r="171">
      <c r="G171" s="43"/>
      <c r="I171" s="44"/>
      <c r="K171" s="44"/>
    </row>
    <row r="172">
      <c r="G172" s="43"/>
      <c r="I172" s="44"/>
      <c r="K172" s="44"/>
    </row>
    <row r="173">
      <c r="G173" s="43"/>
      <c r="I173" s="44"/>
      <c r="K173" s="44"/>
    </row>
    <row r="174">
      <c r="G174" s="43"/>
      <c r="I174" s="44"/>
      <c r="K174" s="44"/>
    </row>
    <row r="175">
      <c r="G175" s="43"/>
      <c r="I175" s="44"/>
      <c r="K175" s="44"/>
    </row>
    <row r="176">
      <c r="G176" s="43"/>
      <c r="I176" s="44"/>
      <c r="K176" s="44"/>
    </row>
    <row r="177">
      <c r="G177" s="43"/>
      <c r="I177" s="44"/>
      <c r="K177" s="44"/>
    </row>
    <row r="178">
      <c r="G178" s="43"/>
      <c r="I178" s="44"/>
      <c r="K178" s="44"/>
    </row>
    <row r="179">
      <c r="G179" s="43"/>
      <c r="I179" s="44"/>
      <c r="K179" s="44"/>
    </row>
    <row r="180">
      <c r="G180" s="43"/>
      <c r="I180" s="44"/>
      <c r="K180" s="44"/>
    </row>
    <row r="181">
      <c r="G181" s="43"/>
      <c r="I181" s="44"/>
      <c r="K181" s="44"/>
    </row>
    <row r="182">
      <c r="G182" s="43"/>
      <c r="I182" s="44"/>
      <c r="K182" s="44"/>
    </row>
    <row r="183">
      <c r="G183" s="43"/>
      <c r="I183" s="44"/>
      <c r="K183" s="44"/>
    </row>
    <row r="184">
      <c r="G184" s="43"/>
      <c r="I184" s="44"/>
      <c r="K184" s="44"/>
    </row>
    <row r="185">
      <c r="G185" s="43"/>
      <c r="I185" s="44"/>
      <c r="K185" s="44"/>
    </row>
    <row r="186">
      <c r="G186" s="43"/>
      <c r="I186" s="44"/>
      <c r="K186" s="44"/>
    </row>
    <row r="187">
      <c r="G187" s="43"/>
      <c r="I187" s="44"/>
      <c r="K187" s="44"/>
    </row>
    <row r="188">
      <c r="G188" s="43"/>
      <c r="I188" s="44"/>
      <c r="K188" s="44"/>
    </row>
    <row r="189">
      <c r="G189" s="43"/>
      <c r="I189" s="44"/>
      <c r="K189" s="44"/>
    </row>
    <row r="190">
      <c r="G190" s="43"/>
      <c r="I190" s="44"/>
      <c r="K190" s="44"/>
    </row>
    <row r="191">
      <c r="G191" s="43"/>
      <c r="I191" s="44"/>
      <c r="K191" s="44"/>
    </row>
    <row r="192">
      <c r="G192" s="43"/>
      <c r="I192" s="44"/>
      <c r="K192" s="44"/>
    </row>
    <row r="193">
      <c r="G193" s="43"/>
      <c r="I193" s="44"/>
      <c r="K193" s="44"/>
    </row>
    <row r="194">
      <c r="G194" s="43"/>
      <c r="I194" s="44"/>
      <c r="K194" s="44"/>
    </row>
    <row r="195">
      <c r="G195" s="43"/>
      <c r="I195" s="44"/>
      <c r="K195" s="44"/>
    </row>
    <row r="196">
      <c r="G196" s="43"/>
      <c r="I196" s="44"/>
      <c r="K196" s="44"/>
    </row>
    <row r="197">
      <c r="G197" s="43"/>
      <c r="I197" s="44"/>
      <c r="K197" s="44"/>
    </row>
    <row r="198">
      <c r="G198" s="43"/>
      <c r="I198" s="44"/>
      <c r="K198" s="44"/>
    </row>
    <row r="199">
      <c r="G199" s="43"/>
      <c r="I199" s="44"/>
      <c r="K199" s="44"/>
    </row>
    <row r="200">
      <c r="G200" s="43"/>
      <c r="I200" s="44"/>
      <c r="K200" s="44"/>
    </row>
    <row r="201">
      <c r="G201" s="43"/>
      <c r="I201" s="44"/>
      <c r="K201" s="44"/>
    </row>
    <row r="202">
      <c r="G202" s="43"/>
      <c r="I202" s="44"/>
      <c r="K202" s="44"/>
    </row>
    <row r="203">
      <c r="G203" s="43"/>
      <c r="I203" s="44"/>
      <c r="K203" s="44"/>
    </row>
    <row r="204">
      <c r="G204" s="43"/>
      <c r="I204" s="44"/>
      <c r="K204" s="44"/>
    </row>
    <row r="205">
      <c r="G205" s="43"/>
      <c r="I205" s="44"/>
      <c r="K205" s="44"/>
    </row>
    <row r="206">
      <c r="G206" s="43"/>
      <c r="I206" s="44"/>
      <c r="K206" s="44"/>
    </row>
    <row r="207">
      <c r="G207" s="43"/>
      <c r="I207" s="44"/>
      <c r="K207" s="44"/>
    </row>
    <row r="208">
      <c r="G208" s="43"/>
      <c r="I208" s="44"/>
      <c r="K208" s="44"/>
    </row>
    <row r="209">
      <c r="G209" s="43"/>
      <c r="I209" s="44"/>
      <c r="K209" s="44"/>
    </row>
    <row r="210">
      <c r="G210" s="43"/>
      <c r="I210" s="44"/>
      <c r="K210" s="44"/>
    </row>
    <row r="211">
      <c r="G211" s="43"/>
      <c r="I211" s="44"/>
      <c r="K211" s="44"/>
    </row>
    <row r="212">
      <c r="G212" s="43"/>
      <c r="I212" s="44"/>
      <c r="K212" s="44"/>
    </row>
    <row r="213">
      <c r="G213" s="43"/>
      <c r="I213" s="44"/>
      <c r="K213" s="44"/>
    </row>
    <row r="214">
      <c r="G214" s="43"/>
      <c r="I214" s="44"/>
      <c r="K214" s="44"/>
    </row>
    <row r="215">
      <c r="G215" s="43"/>
      <c r="I215" s="44"/>
      <c r="K215" s="44"/>
    </row>
    <row r="216">
      <c r="G216" s="43"/>
      <c r="I216" s="44"/>
      <c r="K216" s="44"/>
    </row>
    <row r="217">
      <c r="G217" s="43"/>
      <c r="I217" s="44"/>
      <c r="K217" s="44"/>
    </row>
    <row r="218">
      <c r="G218" s="43"/>
      <c r="I218" s="44"/>
      <c r="K218" s="44"/>
    </row>
    <row r="219">
      <c r="G219" s="43"/>
      <c r="I219" s="44"/>
      <c r="K219" s="44"/>
    </row>
    <row r="220">
      <c r="G220" s="43"/>
      <c r="I220" s="44"/>
      <c r="K220" s="44"/>
    </row>
    <row r="221">
      <c r="G221" s="43"/>
      <c r="I221" s="44"/>
      <c r="K221" s="44"/>
    </row>
    <row r="222">
      <c r="G222" s="43"/>
      <c r="I222" s="44"/>
      <c r="K222" s="44"/>
    </row>
    <row r="223">
      <c r="G223" s="43"/>
      <c r="I223" s="44"/>
      <c r="K223" s="44"/>
    </row>
    <row r="224">
      <c r="G224" s="43"/>
      <c r="I224" s="44"/>
      <c r="K224" s="44"/>
    </row>
    <row r="225">
      <c r="G225" s="43"/>
      <c r="I225" s="44"/>
      <c r="K225" s="44"/>
    </row>
    <row r="226">
      <c r="G226" s="43"/>
      <c r="I226" s="44"/>
      <c r="K226" s="44"/>
    </row>
    <row r="227">
      <c r="G227" s="43"/>
      <c r="I227" s="44"/>
      <c r="K227" s="44"/>
    </row>
    <row r="228">
      <c r="G228" s="43"/>
      <c r="I228" s="44"/>
      <c r="K228" s="44"/>
    </row>
    <row r="229">
      <c r="G229" s="43"/>
      <c r="I229" s="44"/>
      <c r="K229" s="44"/>
    </row>
    <row r="230">
      <c r="G230" s="43"/>
      <c r="I230" s="44"/>
      <c r="K230" s="44"/>
    </row>
    <row r="231">
      <c r="G231" s="43"/>
      <c r="I231" s="44"/>
      <c r="K231" s="44"/>
    </row>
    <row r="232">
      <c r="G232" s="43"/>
      <c r="I232" s="44"/>
      <c r="K232" s="44"/>
    </row>
    <row r="233">
      <c r="G233" s="43"/>
      <c r="I233" s="44"/>
      <c r="K233" s="44"/>
    </row>
    <row r="234">
      <c r="G234" s="43"/>
      <c r="I234" s="44"/>
      <c r="K234" s="44"/>
    </row>
    <row r="235">
      <c r="G235" s="43"/>
      <c r="I235" s="44"/>
      <c r="K235" s="44"/>
    </row>
    <row r="236">
      <c r="G236" s="43"/>
      <c r="I236" s="44"/>
      <c r="K236" s="44"/>
    </row>
    <row r="237">
      <c r="G237" s="43"/>
      <c r="I237" s="44"/>
      <c r="K237" s="44"/>
    </row>
    <row r="238">
      <c r="G238" s="43"/>
      <c r="I238" s="44"/>
      <c r="K238" s="44"/>
    </row>
    <row r="239">
      <c r="G239" s="43"/>
      <c r="I239" s="44"/>
      <c r="K239" s="44"/>
    </row>
    <row r="240">
      <c r="G240" s="43"/>
      <c r="I240" s="44"/>
      <c r="K240" s="44"/>
    </row>
    <row r="241">
      <c r="G241" s="43"/>
      <c r="I241" s="44"/>
      <c r="K241" s="44"/>
    </row>
    <row r="242">
      <c r="G242" s="43"/>
      <c r="I242" s="44"/>
      <c r="K242" s="44"/>
    </row>
    <row r="243">
      <c r="G243" s="43"/>
      <c r="I243" s="44"/>
      <c r="K243" s="44"/>
    </row>
    <row r="244">
      <c r="G244" s="43"/>
      <c r="I244" s="44"/>
      <c r="K244" s="44"/>
    </row>
    <row r="245">
      <c r="G245" s="43"/>
      <c r="I245" s="44"/>
      <c r="K245" s="44"/>
    </row>
    <row r="246">
      <c r="G246" s="43"/>
      <c r="I246" s="44"/>
      <c r="K246" s="44"/>
    </row>
    <row r="247">
      <c r="G247" s="43"/>
      <c r="I247" s="44"/>
      <c r="K247" s="44"/>
    </row>
    <row r="248">
      <c r="G248" s="43"/>
      <c r="I248" s="44"/>
      <c r="K248" s="44"/>
    </row>
    <row r="249">
      <c r="G249" s="43"/>
      <c r="I249" s="44"/>
      <c r="K249" s="44"/>
    </row>
    <row r="250">
      <c r="G250" s="43"/>
      <c r="I250" s="44"/>
      <c r="K250" s="44"/>
    </row>
    <row r="251">
      <c r="G251" s="43"/>
      <c r="I251" s="44"/>
      <c r="K251" s="44"/>
    </row>
    <row r="252">
      <c r="G252" s="43"/>
      <c r="I252" s="44"/>
      <c r="K252" s="44"/>
    </row>
    <row r="253">
      <c r="G253" s="43"/>
      <c r="I253" s="44"/>
      <c r="K253" s="44"/>
    </row>
    <row r="254">
      <c r="G254" s="43"/>
      <c r="I254" s="44"/>
      <c r="K254" s="44"/>
    </row>
    <row r="255">
      <c r="G255" s="43"/>
      <c r="I255" s="44"/>
      <c r="K255" s="44"/>
    </row>
    <row r="256">
      <c r="G256" s="43"/>
      <c r="I256" s="44"/>
      <c r="K256" s="44"/>
    </row>
    <row r="257">
      <c r="G257" s="43"/>
      <c r="I257" s="44"/>
      <c r="K257" s="44"/>
    </row>
    <row r="258">
      <c r="G258" s="43"/>
      <c r="I258" s="44"/>
      <c r="K258" s="44"/>
    </row>
    <row r="259">
      <c r="G259" s="43"/>
      <c r="I259" s="44"/>
      <c r="K259" s="44"/>
    </row>
    <row r="260">
      <c r="G260" s="43"/>
      <c r="I260" s="44"/>
      <c r="K260" s="44"/>
    </row>
    <row r="261">
      <c r="G261" s="43"/>
      <c r="I261" s="44"/>
      <c r="K261" s="44"/>
    </row>
    <row r="262">
      <c r="G262" s="43"/>
      <c r="I262" s="44"/>
      <c r="K262" s="44"/>
    </row>
    <row r="263">
      <c r="G263" s="43"/>
      <c r="I263" s="44"/>
      <c r="K263" s="44"/>
    </row>
    <row r="264">
      <c r="G264" s="43"/>
      <c r="I264" s="44"/>
      <c r="K264" s="44"/>
    </row>
    <row r="265">
      <c r="G265" s="43"/>
      <c r="I265" s="44"/>
      <c r="K265" s="44"/>
    </row>
    <row r="266">
      <c r="G266" s="43"/>
      <c r="I266" s="44"/>
      <c r="K266" s="44"/>
    </row>
    <row r="267">
      <c r="G267" s="43"/>
      <c r="I267" s="44"/>
      <c r="K267" s="44"/>
    </row>
    <row r="268">
      <c r="G268" s="43"/>
      <c r="I268" s="44"/>
      <c r="K268" s="44"/>
    </row>
    <row r="269">
      <c r="G269" s="43"/>
      <c r="I269" s="44"/>
      <c r="K269" s="44"/>
    </row>
    <row r="270">
      <c r="G270" s="43"/>
      <c r="I270" s="44"/>
      <c r="K270" s="44"/>
    </row>
    <row r="271">
      <c r="G271" s="43"/>
      <c r="I271" s="44"/>
      <c r="K271" s="44"/>
    </row>
    <row r="272">
      <c r="G272" s="43"/>
      <c r="I272" s="44"/>
      <c r="K272" s="44"/>
    </row>
    <row r="273">
      <c r="G273" s="43"/>
      <c r="I273" s="44"/>
      <c r="K273" s="44"/>
    </row>
    <row r="274">
      <c r="G274" s="43"/>
      <c r="I274" s="44"/>
      <c r="K274" s="44"/>
    </row>
    <row r="275">
      <c r="G275" s="43"/>
      <c r="I275" s="44"/>
      <c r="K275" s="44"/>
    </row>
    <row r="276">
      <c r="G276" s="43"/>
      <c r="I276" s="44"/>
      <c r="K276" s="44"/>
    </row>
    <row r="277">
      <c r="G277" s="43"/>
      <c r="I277" s="44"/>
      <c r="K277" s="44"/>
    </row>
    <row r="278">
      <c r="G278" s="43"/>
      <c r="I278" s="44"/>
      <c r="K278" s="44"/>
    </row>
    <row r="279">
      <c r="G279" s="43"/>
      <c r="I279" s="44"/>
      <c r="K279" s="44"/>
    </row>
    <row r="280">
      <c r="G280" s="43"/>
      <c r="I280" s="44"/>
      <c r="K280" s="44"/>
    </row>
    <row r="281">
      <c r="G281" s="43"/>
      <c r="I281" s="44"/>
      <c r="K281" s="44"/>
    </row>
    <row r="282">
      <c r="G282" s="43"/>
      <c r="I282" s="44"/>
      <c r="K282" s="44"/>
    </row>
    <row r="283">
      <c r="G283" s="43"/>
      <c r="I283" s="44"/>
      <c r="K283" s="44"/>
    </row>
    <row r="284">
      <c r="G284" s="43"/>
      <c r="I284" s="44"/>
      <c r="K284" s="44"/>
    </row>
    <row r="285">
      <c r="G285" s="43"/>
      <c r="I285" s="44"/>
      <c r="K285" s="44"/>
    </row>
    <row r="286">
      <c r="G286" s="43"/>
      <c r="I286" s="44"/>
      <c r="K286" s="44"/>
    </row>
    <row r="287">
      <c r="G287" s="43"/>
      <c r="I287" s="44"/>
      <c r="K287" s="44"/>
    </row>
    <row r="288">
      <c r="G288" s="43"/>
      <c r="I288" s="44"/>
      <c r="K288" s="44"/>
    </row>
    <row r="289">
      <c r="G289" s="43"/>
      <c r="I289" s="44"/>
      <c r="K289" s="44"/>
    </row>
    <row r="290">
      <c r="G290" s="43"/>
      <c r="I290" s="44"/>
      <c r="K290" s="44"/>
    </row>
    <row r="291">
      <c r="G291" s="43"/>
      <c r="I291" s="44"/>
      <c r="K291" s="44"/>
    </row>
    <row r="292">
      <c r="G292" s="43"/>
      <c r="I292" s="44"/>
      <c r="K292" s="44"/>
    </row>
    <row r="293">
      <c r="G293" s="43"/>
      <c r="I293" s="44"/>
      <c r="K293" s="44"/>
    </row>
    <row r="294">
      <c r="G294" s="43"/>
      <c r="I294" s="44"/>
      <c r="K294" s="44"/>
    </row>
    <row r="295">
      <c r="G295" s="43"/>
      <c r="I295" s="44"/>
      <c r="K295" s="44"/>
    </row>
    <row r="296">
      <c r="G296" s="43"/>
      <c r="I296" s="44"/>
      <c r="K296" s="44"/>
    </row>
    <row r="297">
      <c r="G297" s="43"/>
      <c r="I297" s="44"/>
      <c r="K297" s="44"/>
    </row>
    <row r="298">
      <c r="G298" s="43"/>
      <c r="I298" s="44"/>
      <c r="K298" s="44"/>
    </row>
    <row r="299">
      <c r="G299" s="43"/>
      <c r="I299" s="44"/>
      <c r="K299" s="44"/>
    </row>
    <row r="300">
      <c r="G300" s="43"/>
      <c r="I300" s="44"/>
      <c r="K300" s="44"/>
    </row>
    <row r="301">
      <c r="G301" s="43"/>
      <c r="I301" s="44"/>
      <c r="K301" s="44"/>
    </row>
    <row r="302">
      <c r="G302" s="43"/>
      <c r="I302" s="44"/>
      <c r="K302" s="44"/>
    </row>
    <row r="303">
      <c r="G303" s="43"/>
      <c r="I303" s="44"/>
      <c r="K303" s="44"/>
    </row>
    <row r="304">
      <c r="G304" s="43"/>
      <c r="I304" s="44"/>
      <c r="K304" s="44"/>
    </row>
    <row r="305">
      <c r="G305" s="43"/>
      <c r="I305" s="44"/>
      <c r="K305" s="44"/>
    </row>
    <row r="306">
      <c r="G306" s="43"/>
      <c r="I306" s="44"/>
      <c r="K306" s="44"/>
    </row>
    <row r="307">
      <c r="G307" s="43"/>
      <c r="I307" s="44"/>
      <c r="K307" s="44"/>
    </row>
    <row r="308">
      <c r="G308" s="43"/>
      <c r="I308" s="44"/>
      <c r="K308" s="44"/>
    </row>
    <row r="309">
      <c r="G309" s="43"/>
      <c r="I309" s="44"/>
      <c r="K309" s="44"/>
    </row>
    <row r="310">
      <c r="G310" s="43"/>
      <c r="I310" s="44"/>
      <c r="K310" s="44"/>
    </row>
    <row r="311">
      <c r="G311" s="43"/>
      <c r="I311" s="44"/>
      <c r="K311" s="44"/>
    </row>
    <row r="312">
      <c r="G312" s="43"/>
      <c r="I312" s="44"/>
      <c r="K312" s="44"/>
    </row>
    <row r="313">
      <c r="G313" s="43"/>
      <c r="I313" s="44"/>
      <c r="K313" s="44"/>
    </row>
    <row r="314">
      <c r="G314" s="43"/>
      <c r="I314" s="44"/>
      <c r="K314" s="44"/>
    </row>
    <row r="315">
      <c r="G315" s="43"/>
      <c r="I315" s="44"/>
      <c r="K315" s="44"/>
    </row>
    <row r="316">
      <c r="G316" s="43"/>
      <c r="I316" s="44"/>
      <c r="K316" s="44"/>
    </row>
    <row r="317">
      <c r="G317" s="43"/>
      <c r="I317" s="44"/>
      <c r="K317" s="44"/>
    </row>
    <row r="318">
      <c r="G318" s="43"/>
      <c r="I318" s="44"/>
      <c r="K318" s="44"/>
    </row>
    <row r="319">
      <c r="G319" s="43"/>
      <c r="I319" s="44"/>
      <c r="K319" s="44"/>
    </row>
    <row r="320">
      <c r="G320" s="43"/>
      <c r="I320" s="44"/>
      <c r="K320" s="44"/>
    </row>
    <row r="321">
      <c r="G321" s="43"/>
      <c r="I321" s="44"/>
      <c r="K321" s="44"/>
    </row>
    <row r="322">
      <c r="G322" s="43"/>
      <c r="I322" s="44"/>
      <c r="K322" s="44"/>
    </row>
    <row r="323">
      <c r="G323" s="43"/>
      <c r="I323" s="44"/>
      <c r="K323" s="44"/>
    </row>
    <row r="324">
      <c r="G324" s="43"/>
      <c r="I324" s="44"/>
      <c r="K324" s="44"/>
    </row>
    <row r="325">
      <c r="G325" s="43"/>
      <c r="I325" s="44"/>
      <c r="K325" s="44"/>
    </row>
    <row r="326">
      <c r="G326" s="43"/>
      <c r="I326" s="44"/>
      <c r="K326" s="44"/>
    </row>
    <row r="327">
      <c r="G327" s="43"/>
      <c r="I327" s="44"/>
      <c r="K327" s="44"/>
    </row>
    <row r="328">
      <c r="G328" s="43"/>
      <c r="I328" s="44"/>
      <c r="K328" s="44"/>
    </row>
    <row r="329">
      <c r="G329" s="43"/>
      <c r="I329" s="44"/>
      <c r="K329" s="44"/>
    </row>
    <row r="330">
      <c r="G330" s="43"/>
      <c r="I330" s="44"/>
      <c r="K330" s="44"/>
    </row>
    <row r="331">
      <c r="G331" s="43"/>
      <c r="I331" s="44"/>
      <c r="K331" s="44"/>
    </row>
    <row r="332">
      <c r="G332" s="43"/>
      <c r="I332" s="44"/>
      <c r="K332" s="44"/>
    </row>
    <row r="333">
      <c r="G333" s="43"/>
      <c r="I333" s="44"/>
      <c r="K333" s="44"/>
    </row>
    <row r="334">
      <c r="G334" s="43"/>
      <c r="I334" s="44"/>
      <c r="K334" s="44"/>
    </row>
    <row r="335">
      <c r="G335" s="43"/>
      <c r="I335" s="44"/>
      <c r="K335" s="44"/>
    </row>
    <row r="336">
      <c r="G336" s="43"/>
      <c r="I336" s="44"/>
      <c r="K336" s="44"/>
    </row>
    <row r="337">
      <c r="G337" s="43"/>
      <c r="I337" s="44"/>
      <c r="K337" s="44"/>
    </row>
    <row r="338">
      <c r="G338" s="43"/>
      <c r="I338" s="44"/>
      <c r="K338" s="44"/>
    </row>
    <row r="339">
      <c r="G339" s="43"/>
      <c r="I339" s="44"/>
      <c r="K339" s="44"/>
    </row>
    <row r="340">
      <c r="G340" s="43"/>
      <c r="I340" s="44"/>
      <c r="K340" s="44"/>
    </row>
    <row r="341">
      <c r="G341" s="43"/>
      <c r="I341" s="44"/>
      <c r="K341" s="44"/>
    </row>
    <row r="342">
      <c r="G342" s="43"/>
      <c r="I342" s="44"/>
      <c r="K342" s="44"/>
    </row>
    <row r="343">
      <c r="G343" s="43"/>
      <c r="I343" s="44"/>
      <c r="K343" s="44"/>
    </row>
    <row r="344">
      <c r="G344" s="43"/>
      <c r="I344" s="44"/>
      <c r="K344" s="44"/>
    </row>
    <row r="345">
      <c r="G345" s="43"/>
      <c r="I345" s="44"/>
      <c r="K345" s="44"/>
    </row>
    <row r="346">
      <c r="G346" s="43"/>
      <c r="I346" s="44"/>
      <c r="K346" s="44"/>
    </row>
    <row r="347">
      <c r="G347" s="43"/>
      <c r="I347" s="44"/>
      <c r="K347" s="44"/>
    </row>
    <row r="348">
      <c r="G348" s="43"/>
      <c r="I348" s="44"/>
      <c r="K348" s="44"/>
    </row>
    <row r="349">
      <c r="G349" s="43"/>
      <c r="I349" s="44"/>
      <c r="K349" s="44"/>
    </row>
    <row r="350">
      <c r="G350" s="43"/>
      <c r="I350" s="44"/>
      <c r="K350" s="44"/>
    </row>
    <row r="351">
      <c r="G351" s="43"/>
      <c r="I351" s="44"/>
      <c r="K351" s="44"/>
    </row>
    <row r="352">
      <c r="G352" s="43"/>
      <c r="I352" s="44"/>
      <c r="K352" s="44"/>
    </row>
    <row r="353">
      <c r="G353" s="43"/>
      <c r="I353" s="44"/>
      <c r="K353" s="44"/>
    </row>
    <row r="354">
      <c r="G354" s="43"/>
      <c r="I354" s="44"/>
      <c r="K354" s="44"/>
    </row>
    <row r="355">
      <c r="G355" s="43"/>
      <c r="I355" s="44"/>
      <c r="K355" s="44"/>
    </row>
    <row r="356">
      <c r="G356" s="43"/>
      <c r="I356" s="44"/>
      <c r="K356" s="44"/>
    </row>
    <row r="357">
      <c r="G357" s="43"/>
      <c r="I357" s="44"/>
      <c r="K357" s="44"/>
    </row>
    <row r="358">
      <c r="G358" s="43"/>
      <c r="I358" s="44"/>
      <c r="K358" s="44"/>
    </row>
    <row r="359">
      <c r="G359" s="43"/>
      <c r="I359" s="44"/>
      <c r="K359" s="44"/>
    </row>
    <row r="360">
      <c r="G360" s="43"/>
      <c r="I360" s="44"/>
      <c r="K360" s="44"/>
    </row>
    <row r="361">
      <c r="G361" s="43"/>
      <c r="I361" s="44"/>
      <c r="K361" s="44"/>
    </row>
    <row r="362">
      <c r="G362" s="43"/>
      <c r="I362" s="44"/>
      <c r="K362" s="44"/>
    </row>
    <row r="363">
      <c r="G363" s="43"/>
      <c r="I363" s="44"/>
      <c r="K363" s="44"/>
    </row>
    <row r="364">
      <c r="G364" s="43"/>
      <c r="I364" s="44"/>
      <c r="K364" s="44"/>
    </row>
    <row r="365">
      <c r="G365" s="43"/>
      <c r="I365" s="44"/>
      <c r="K365" s="44"/>
    </row>
    <row r="366">
      <c r="G366" s="43"/>
      <c r="I366" s="44"/>
      <c r="K366" s="44"/>
    </row>
    <row r="367">
      <c r="G367" s="43"/>
      <c r="I367" s="44"/>
      <c r="K367" s="44"/>
    </row>
    <row r="368">
      <c r="G368" s="43"/>
      <c r="I368" s="44"/>
      <c r="K368" s="44"/>
    </row>
    <row r="369">
      <c r="G369" s="43"/>
      <c r="I369" s="44"/>
      <c r="K369" s="44"/>
    </row>
    <row r="370">
      <c r="G370" s="43"/>
      <c r="I370" s="44"/>
      <c r="K370" s="44"/>
    </row>
    <row r="371">
      <c r="G371" s="43"/>
      <c r="I371" s="44"/>
      <c r="K371" s="44"/>
    </row>
    <row r="372">
      <c r="G372" s="43"/>
      <c r="I372" s="44"/>
      <c r="K372" s="44"/>
    </row>
    <row r="373">
      <c r="G373" s="43"/>
      <c r="I373" s="44"/>
      <c r="K373" s="44"/>
    </row>
    <row r="374">
      <c r="G374" s="43"/>
      <c r="I374" s="44"/>
      <c r="K374" s="44"/>
    </row>
    <row r="375">
      <c r="G375" s="43"/>
      <c r="I375" s="44"/>
      <c r="K375" s="44"/>
    </row>
    <row r="376">
      <c r="G376" s="43"/>
      <c r="I376" s="44"/>
      <c r="K376" s="44"/>
    </row>
    <row r="377">
      <c r="G377" s="43"/>
      <c r="I377" s="44"/>
      <c r="K377" s="44"/>
    </row>
    <row r="378">
      <c r="G378" s="43"/>
      <c r="I378" s="44"/>
      <c r="K378" s="44"/>
    </row>
    <row r="379">
      <c r="G379" s="43"/>
      <c r="I379" s="44"/>
      <c r="K379" s="44"/>
    </row>
    <row r="380">
      <c r="G380" s="43"/>
      <c r="I380" s="44"/>
      <c r="K380" s="44"/>
    </row>
    <row r="381">
      <c r="G381" s="43"/>
      <c r="I381" s="44"/>
      <c r="K381" s="44"/>
    </row>
    <row r="382">
      <c r="G382" s="43"/>
      <c r="I382" s="44"/>
      <c r="K382" s="44"/>
    </row>
    <row r="383">
      <c r="G383" s="43"/>
      <c r="I383" s="44"/>
      <c r="K383" s="44"/>
    </row>
    <row r="384">
      <c r="G384" s="43"/>
      <c r="I384" s="44"/>
      <c r="K384" s="44"/>
    </row>
    <row r="385">
      <c r="G385" s="43"/>
      <c r="I385" s="44"/>
      <c r="K385" s="44"/>
    </row>
    <row r="386">
      <c r="G386" s="43"/>
      <c r="I386" s="44"/>
      <c r="K386" s="44"/>
    </row>
    <row r="387">
      <c r="G387" s="43"/>
      <c r="I387" s="44"/>
      <c r="K387" s="44"/>
    </row>
    <row r="388">
      <c r="G388" s="43"/>
      <c r="I388" s="44"/>
      <c r="K388" s="44"/>
    </row>
    <row r="389">
      <c r="G389" s="43"/>
      <c r="I389" s="44"/>
      <c r="K389" s="44"/>
    </row>
    <row r="390">
      <c r="G390" s="43"/>
      <c r="I390" s="44"/>
      <c r="K390" s="44"/>
    </row>
    <row r="391">
      <c r="G391" s="43"/>
      <c r="I391" s="44"/>
      <c r="K391" s="44"/>
    </row>
    <row r="392">
      <c r="G392" s="43"/>
      <c r="I392" s="44"/>
      <c r="K392" s="44"/>
    </row>
    <row r="393">
      <c r="G393" s="43"/>
      <c r="I393" s="44"/>
      <c r="K393" s="44"/>
    </row>
    <row r="394">
      <c r="G394" s="43"/>
      <c r="I394" s="44"/>
      <c r="K394" s="44"/>
    </row>
    <row r="395">
      <c r="G395" s="43"/>
      <c r="I395" s="44"/>
      <c r="K395" s="44"/>
    </row>
    <row r="396">
      <c r="G396" s="43"/>
      <c r="I396" s="44"/>
      <c r="K396" s="44"/>
    </row>
    <row r="397">
      <c r="G397" s="43"/>
      <c r="I397" s="44"/>
      <c r="K397" s="44"/>
    </row>
    <row r="398">
      <c r="G398" s="43"/>
      <c r="I398" s="44"/>
      <c r="K398" s="44"/>
    </row>
    <row r="399">
      <c r="G399" s="43"/>
      <c r="I399" s="44"/>
      <c r="K399" s="44"/>
    </row>
    <row r="400">
      <c r="G400" s="43"/>
      <c r="I400" s="44"/>
      <c r="K400" s="44"/>
    </row>
    <row r="401">
      <c r="G401" s="43"/>
      <c r="I401" s="44"/>
      <c r="K401" s="44"/>
    </row>
    <row r="402">
      <c r="G402" s="43"/>
      <c r="I402" s="44"/>
      <c r="K402" s="44"/>
    </row>
    <row r="403">
      <c r="G403" s="43"/>
      <c r="I403" s="44"/>
      <c r="K403" s="44"/>
    </row>
    <row r="404">
      <c r="G404" s="43"/>
      <c r="I404" s="44"/>
      <c r="K404" s="44"/>
    </row>
    <row r="405">
      <c r="G405" s="43"/>
      <c r="I405" s="44"/>
      <c r="K405" s="44"/>
    </row>
    <row r="406">
      <c r="G406" s="43"/>
      <c r="I406" s="44"/>
      <c r="K406" s="44"/>
    </row>
    <row r="407">
      <c r="G407" s="43"/>
      <c r="I407" s="44"/>
      <c r="K407" s="44"/>
    </row>
    <row r="408">
      <c r="G408" s="43"/>
      <c r="I408" s="44"/>
      <c r="K408" s="44"/>
    </row>
    <row r="409">
      <c r="G409" s="43"/>
      <c r="I409" s="44"/>
      <c r="K409" s="44"/>
    </row>
    <row r="410">
      <c r="G410" s="43"/>
      <c r="I410" s="44"/>
      <c r="K410" s="44"/>
    </row>
    <row r="411">
      <c r="G411" s="43"/>
      <c r="I411" s="44"/>
      <c r="K411" s="44"/>
    </row>
    <row r="412">
      <c r="G412" s="43"/>
      <c r="I412" s="44"/>
      <c r="K412" s="44"/>
    </row>
    <row r="413">
      <c r="G413" s="43"/>
      <c r="I413" s="44"/>
      <c r="K413" s="44"/>
    </row>
    <row r="414">
      <c r="G414" s="43"/>
      <c r="I414" s="44"/>
      <c r="K414" s="44"/>
    </row>
    <row r="415">
      <c r="G415" s="43"/>
      <c r="I415" s="44"/>
      <c r="K415" s="44"/>
    </row>
    <row r="416">
      <c r="G416" s="43"/>
      <c r="I416" s="44"/>
      <c r="K416" s="44"/>
    </row>
    <row r="417">
      <c r="G417" s="43"/>
      <c r="I417" s="44"/>
      <c r="K417" s="44"/>
    </row>
    <row r="418">
      <c r="G418" s="43"/>
      <c r="I418" s="44"/>
      <c r="K418" s="44"/>
    </row>
    <row r="419">
      <c r="G419" s="43"/>
      <c r="I419" s="44"/>
      <c r="K419" s="44"/>
    </row>
    <row r="420">
      <c r="G420" s="43"/>
      <c r="I420" s="44"/>
      <c r="K420" s="44"/>
    </row>
    <row r="421">
      <c r="G421" s="43"/>
      <c r="I421" s="44"/>
      <c r="K421" s="44"/>
    </row>
    <row r="422">
      <c r="G422" s="43"/>
      <c r="I422" s="44"/>
      <c r="K422" s="44"/>
    </row>
    <row r="423">
      <c r="G423" s="43"/>
      <c r="I423" s="44"/>
      <c r="K423" s="44"/>
    </row>
    <row r="424">
      <c r="G424" s="43"/>
      <c r="I424" s="44"/>
      <c r="K424" s="44"/>
    </row>
    <row r="425">
      <c r="G425" s="43"/>
      <c r="I425" s="44"/>
      <c r="K425" s="44"/>
    </row>
    <row r="426">
      <c r="G426" s="43"/>
      <c r="I426" s="44"/>
      <c r="K426" s="44"/>
    </row>
    <row r="427">
      <c r="G427" s="43"/>
      <c r="I427" s="44"/>
      <c r="K427" s="44"/>
    </row>
    <row r="428">
      <c r="G428" s="43"/>
      <c r="I428" s="44"/>
      <c r="K428" s="44"/>
    </row>
    <row r="429">
      <c r="G429" s="43"/>
      <c r="I429" s="44"/>
      <c r="K429" s="44"/>
    </row>
    <row r="430">
      <c r="G430" s="43"/>
      <c r="I430" s="44"/>
      <c r="K430" s="44"/>
    </row>
    <row r="431">
      <c r="G431" s="43"/>
      <c r="I431" s="44"/>
      <c r="K431" s="44"/>
    </row>
    <row r="432">
      <c r="G432" s="43"/>
      <c r="I432" s="44"/>
      <c r="K432" s="44"/>
    </row>
    <row r="433">
      <c r="G433" s="43"/>
      <c r="I433" s="44"/>
      <c r="K433" s="44"/>
    </row>
    <row r="434">
      <c r="G434" s="43"/>
      <c r="I434" s="44"/>
      <c r="K434" s="44"/>
    </row>
    <row r="435">
      <c r="G435" s="43"/>
      <c r="I435" s="44"/>
      <c r="K435" s="44"/>
    </row>
    <row r="436">
      <c r="G436" s="43"/>
      <c r="I436" s="44"/>
      <c r="K436" s="44"/>
    </row>
    <row r="437">
      <c r="G437" s="43"/>
      <c r="I437" s="44"/>
      <c r="K437" s="44"/>
    </row>
    <row r="438">
      <c r="G438" s="43"/>
      <c r="I438" s="44"/>
      <c r="K438" s="44"/>
    </row>
    <row r="439">
      <c r="G439" s="43"/>
      <c r="I439" s="44"/>
      <c r="K439" s="44"/>
    </row>
    <row r="440">
      <c r="G440" s="43"/>
      <c r="I440" s="44"/>
      <c r="K440" s="44"/>
    </row>
    <row r="441">
      <c r="G441" s="43"/>
      <c r="I441" s="44"/>
      <c r="K441" s="44"/>
    </row>
    <row r="442">
      <c r="G442" s="43"/>
      <c r="I442" s="44"/>
      <c r="K442" s="44"/>
    </row>
    <row r="443">
      <c r="G443" s="43"/>
      <c r="I443" s="44"/>
      <c r="K443" s="44"/>
    </row>
    <row r="444">
      <c r="G444" s="43"/>
      <c r="I444" s="44"/>
      <c r="K444" s="44"/>
    </row>
    <row r="445">
      <c r="G445" s="43"/>
      <c r="I445" s="44"/>
      <c r="K445" s="44"/>
    </row>
    <row r="446">
      <c r="G446" s="43"/>
      <c r="I446" s="44"/>
      <c r="K446" s="44"/>
    </row>
    <row r="447">
      <c r="G447" s="43"/>
      <c r="I447" s="44"/>
      <c r="K447" s="44"/>
    </row>
    <row r="448">
      <c r="G448" s="43"/>
      <c r="I448" s="44"/>
      <c r="K448" s="44"/>
    </row>
    <row r="449">
      <c r="G449" s="43"/>
      <c r="I449" s="44"/>
      <c r="K449" s="44"/>
    </row>
    <row r="450">
      <c r="G450" s="43"/>
      <c r="I450" s="44"/>
      <c r="K450" s="44"/>
    </row>
    <row r="451">
      <c r="G451" s="43"/>
      <c r="I451" s="44"/>
      <c r="K451" s="44"/>
    </row>
    <row r="452">
      <c r="G452" s="43"/>
      <c r="I452" s="44"/>
      <c r="K452" s="44"/>
    </row>
    <row r="453">
      <c r="G453" s="43"/>
      <c r="I453" s="44"/>
      <c r="K453" s="44"/>
    </row>
    <row r="454">
      <c r="G454" s="43"/>
      <c r="I454" s="44"/>
      <c r="K454" s="44"/>
    </row>
    <row r="455">
      <c r="G455" s="43"/>
      <c r="I455" s="44"/>
      <c r="K455" s="44"/>
    </row>
    <row r="456">
      <c r="G456" s="43"/>
      <c r="I456" s="44"/>
      <c r="K456" s="44"/>
    </row>
    <row r="457">
      <c r="G457" s="43"/>
      <c r="I457" s="44"/>
      <c r="K457" s="44"/>
    </row>
    <row r="458">
      <c r="G458" s="43"/>
      <c r="I458" s="44"/>
      <c r="K458" s="44"/>
    </row>
    <row r="459">
      <c r="G459" s="43"/>
      <c r="I459" s="44"/>
      <c r="K459" s="44"/>
    </row>
    <row r="460">
      <c r="G460" s="43"/>
      <c r="I460" s="44"/>
      <c r="K460" s="44"/>
    </row>
    <row r="461">
      <c r="G461" s="43"/>
      <c r="I461" s="44"/>
      <c r="K461" s="44"/>
    </row>
    <row r="462">
      <c r="G462" s="43"/>
      <c r="I462" s="44"/>
      <c r="K462" s="44"/>
    </row>
    <row r="463">
      <c r="G463" s="43"/>
      <c r="I463" s="44"/>
      <c r="K463" s="44"/>
    </row>
    <row r="464">
      <c r="G464" s="43"/>
      <c r="I464" s="44"/>
      <c r="K464" s="44"/>
    </row>
    <row r="465">
      <c r="G465" s="43"/>
      <c r="I465" s="44"/>
      <c r="K465" s="44"/>
    </row>
    <row r="466">
      <c r="G466" s="43"/>
      <c r="I466" s="44"/>
      <c r="K466" s="44"/>
    </row>
    <row r="467">
      <c r="G467" s="43"/>
      <c r="I467" s="44"/>
      <c r="K467" s="44"/>
    </row>
    <row r="468">
      <c r="G468" s="43"/>
      <c r="I468" s="44"/>
      <c r="K468" s="44"/>
    </row>
    <row r="469">
      <c r="G469" s="43"/>
      <c r="I469" s="44"/>
      <c r="K469" s="44"/>
    </row>
    <row r="470">
      <c r="G470" s="43"/>
      <c r="I470" s="44"/>
      <c r="K470" s="44"/>
    </row>
    <row r="471">
      <c r="G471" s="43"/>
      <c r="I471" s="44"/>
      <c r="K471" s="44"/>
    </row>
    <row r="472">
      <c r="G472" s="43"/>
      <c r="I472" s="44"/>
      <c r="K472" s="44"/>
    </row>
    <row r="473">
      <c r="G473" s="43"/>
      <c r="I473" s="44"/>
      <c r="K473" s="44"/>
    </row>
    <row r="474">
      <c r="G474" s="43"/>
      <c r="I474" s="44"/>
      <c r="K474" s="44"/>
    </row>
    <row r="475">
      <c r="G475" s="43"/>
      <c r="I475" s="44"/>
      <c r="K475" s="44"/>
    </row>
    <row r="476">
      <c r="G476" s="43"/>
      <c r="I476" s="44"/>
      <c r="K476" s="44"/>
    </row>
    <row r="477">
      <c r="G477" s="43"/>
      <c r="I477" s="44"/>
      <c r="K477" s="44"/>
    </row>
    <row r="478">
      <c r="G478" s="43"/>
      <c r="I478" s="44"/>
      <c r="K478" s="44"/>
    </row>
    <row r="479">
      <c r="G479" s="43"/>
      <c r="I479" s="44"/>
      <c r="K479" s="44"/>
    </row>
    <row r="480">
      <c r="G480" s="43"/>
      <c r="I480" s="44"/>
      <c r="K480" s="44"/>
    </row>
    <row r="481">
      <c r="G481" s="43"/>
      <c r="I481" s="44"/>
      <c r="K481" s="44"/>
    </row>
    <row r="482">
      <c r="G482" s="43"/>
      <c r="I482" s="44"/>
      <c r="K482" s="44"/>
    </row>
    <row r="483">
      <c r="G483" s="43"/>
      <c r="I483" s="44"/>
      <c r="K483" s="44"/>
    </row>
    <row r="484">
      <c r="G484" s="43"/>
      <c r="I484" s="44"/>
      <c r="K484" s="44"/>
    </row>
    <row r="485">
      <c r="G485" s="43"/>
      <c r="I485" s="44"/>
      <c r="K485" s="44"/>
    </row>
    <row r="486">
      <c r="G486" s="43"/>
      <c r="I486" s="44"/>
      <c r="K486" s="44"/>
    </row>
    <row r="487">
      <c r="G487" s="43"/>
      <c r="I487" s="44"/>
      <c r="K487" s="44"/>
    </row>
    <row r="488">
      <c r="G488" s="43"/>
      <c r="I488" s="44"/>
      <c r="K488" s="44"/>
    </row>
    <row r="489">
      <c r="G489" s="43"/>
      <c r="I489" s="44"/>
      <c r="K489" s="44"/>
    </row>
    <row r="490">
      <c r="G490" s="43"/>
      <c r="I490" s="44"/>
      <c r="K490" s="44"/>
    </row>
    <row r="491">
      <c r="G491" s="43"/>
      <c r="I491" s="44"/>
      <c r="K491" s="44"/>
    </row>
    <row r="492">
      <c r="G492" s="43"/>
      <c r="I492" s="44"/>
      <c r="K492" s="44"/>
    </row>
    <row r="493">
      <c r="G493" s="43"/>
      <c r="I493" s="44"/>
      <c r="K493" s="44"/>
    </row>
    <row r="494">
      <c r="G494" s="43"/>
      <c r="I494" s="44"/>
      <c r="K494" s="44"/>
    </row>
    <row r="495">
      <c r="G495" s="43"/>
      <c r="I495" s="44"/>
      <c r="K495" s="44"/>
    </row>
    <row r="496">
      <c r="G496" s="43"/>
      <c r="I496" s="44"/>
      <c r="K496" s="44"/>
    </row>
    <row r="497">
      <c r="G497" s="43"/>
      <c r="I497" s="44"/>
      <c r="K497" s="44"/>
    </row>
    <row r="498">
      <c r="G498" s="43"/>
      <c r="I498" s="44"/>
      <c r="K498" s="44"/>
    </row>
    <row r="499">
      <c r="G499" s="43"/>
      <c r="I499" s="44"/>
      <c r="K499" s="44"/>
    </row>
    <row r="500">
      <c r="G500" s="43"/>
      <c r="I500" s="44"/>
      <c r="K500" s="44"/>
    </row>
    <row r="501">
      <c r="G501" s="43"/>
      <c r="I501" s="44"/>
      <c r="K501" s="44"/>
    </row>
    <row r="502">
      <c r="G502" s="43"/>
      <c r="I502" s="44"/>
      <c r="K502" s="44"/>
    </row>
    <row r="503">
      <c r="G503" s="43"/>
      <c r="I503" s="44"/>
      <c r="K503" s="44"/>
    </row>
    <row r="504">
      <c r="G504" s="43"/>
      <c r="I504" s="44"/>
      <c r="K504" s="44"/>
    </row>
    <row r="505">
      <c r="G505" s="43"/>
      <c r="I505" s="44"/>
      <c r="K505" s="44"/>
    </row>
    <row r="506">
      <c r="G506" s="43"/>
      <c r="I506" s="44"/>
      <c r="K506" s="44"/>
    </row>
    <row r="507">
      <c r="G507" s="43"/>
      <c r="I507" s="44"/>
      <c r="K507" s="44"/>
    </row>
    <row r="508">
      <c r="G508" s="43"/>
      <c r="I508" s="44"/>
      <c r="K508" s="44"/>
    </row>
    <row r="509">
      <c r="G509" s="43"/>
      <c r="I509" s="44"/>
      <c r="K509" s="44"/>
    </row>
    <row r="510">
      <c r="G510" s="43"/>
      <c r="I510" s="44"/>
      <c r="K510" s="44"/>
    </row>
    <row r="511">
      <c r="G511" s="43"/>
      <c r="I511" s="44"/>
      <c r="K511" s="44"/>
    </row>
    <row r="512">
      <c r="G512" s="43"/>
      <c r="I512" s="44"/>
      <c r="K512" s="44"/>
    </row>
    <row r="513">
      <c r="G513" s="43"/>
      <c r="I513" s="44"/>
      <c r="K513" s="44"/>
    </row>
    <row r="514">
      <c r="G514" s="43"/>
      <c r="I514" s="44"/>
      <c r="K514" s="44"/>
    </row>
    <row r="515">
      <c r="G515" s="43"/>
      <c r="I515" s="44"/>
      <c r="K515" s="44"/>
    </row>
    <row r="516">
      <c r="G516" s="43"/>
      <c r="I516" s="44"/>
      <c r="K516" s="44"/>
    </row>
    <row r="517">
      <c r="G517" s="43"/>
      <c r="I517" s="44"/>
      <c r="K517" s="44"/>
    </row>
    <row r="518">
      <c r="G518" s="43"/>
      <c r="I518" s="44"/>
      <c r="K518" s="44"/>
    </row>
    <row r="519">
      <c r="G519" s="43"/>
      <c r="I519" s="44"/>
      <c r="K519" s="44"/>
    </row>
    <row r="520">
      <c r="G520" s="43"/>
      <c r="I520" s="44"/>
      <c r="K520" s="44"/>
    </row>
    <row r="521">
      <c r="G521" s="43"/>
      <c r="I521" s="44"/>
      <c r="K521" s="44"/>
    </row>
    <row r="522">
      <c r="G522" s="43"/>
      <c r="I522" s="44"/>
      <c r="K522" s="44"/>
    </row>
    <row r="523">
      <c r="G523" s="43"/>
      <c r="I523" s="44"/>
      <c r="K523" s="44"/>
    </row>
    <row r="524">
      <c r="G524" s="43"/>
      <c r="I524" s="44"/>
      <c r="K524" s="44"/>
    </row>
    <row r="525">
      <c r="G525" s="43"/>
      <c r="I525" s="44"/>
      <c r="K525" s="44"/>
    </row>
    <row r="526">
      <c r="G526" s="43"/>
      <c r="I526" s="44"/>
      <c r="K526" s="44"/>
    </row>
    <row r="527">
      <c r="G527" s="43"/>
      <c r="I527" s="44"/>
      <c r="K527" s="44"/>
    </row>
    <row r="528">
      <c r="G528" s="43"/>
      <c r="I528" s="44"/>
      <c r="K528" s="44"/>
    </row>
    <row r="529">
      <c r="G529" s="43"/>
      <c r="I529" s="44"/>
      <c r="K529" s="44"/>
    </row>
    <row r="530">
      <c r="G530" s="43"/>
      <c r="I530" s="44"/>
      <c r="K530" s="44"/>
    </row>
    <row r="531">
      <c r="G531" s="43"/>
      <c r="I531" s="44"/>
      <c r="K531" s="44"/>
    </row>
    <row r="532">
      <c r="G532" s="43"/>
      <c r="I532" s="44"/>
      <c r="K532" s="44"/>
    </row>
    <row r="533">
      <c r="G533" s="43"/>
      <c r="I533" s="44"/>
      <c r="K533" s="44"/>
    </row>
    <row r="534">
      <c r="G534" s="43"/>
      <c r="I534" s="44"/>
      <c r="K534" s="44"/>
    </row>
    <row r="535">
      <c r="G535" s="43"/>
      <c r="I535" s="44"/>
      <c r="K535" s="44"/>
    </row>
    <row r="536">
      <c r="G536" s="43"/>
      <c r="I536" s="44"/>
      <c r="K536" s="44"/>
    </row>
    <row r="537">
      <c r="G537" s="43"/>
      <c r="I537" s="44"/>
      <c r="K537" s="44"/>
    </row>
    <row r="538">
      <c r="G538" s="43"/>
      <c r="I538" s="44"/>
      <c r="K538" s="44"/>
    </row>
    <row r="539">
      <c r="G539" s="43"/>
      <c r="I539" s="44"/>
      <c r="K539" s="44"/>
    </row>
    <row r="540">
      <c r="G540" s="43"/>
      <c r="I540" s="44"/>
      <c r="K540" s="44"/>
    </row>
    <row r="541">
      <c r="G541" s="43"/>
      <c r="I541" s="44"/>
      <c r="K541" s="44"/>
    </row>
    <row r="542">
      <c r="G542" s="43"/>
      <c r="I542" s="44"/>
      <c r="K542" s="44"/>
    </row>
    <row r="543">
      <c r="G543" s="43"/>
      <c r="I543" s="44"/>
      <c r="K543" s="44"/>
    </row>
    <row r="544">
      <c r="G544" s="43"/>
      <c r="I544" s="44"/>
      <c r="K544" s="44"/>
    </row>
    <row r="545">
      <c r="G545" s="43"/>
      <c r="I545" s="44"/>
      <c r="K545" s="44"/>
    </row>
    <row r="546">
      <c r="G546" s="43"/>
      <c r="I546" s="44"/>
      <c r="K546" s="44"/>
    </row>
    <row r="547">
      <c r="G547" s="43"/>
      <c r="I547" s="44"/>
      <c r="K547" s="44"/>
    </row>
    <row r="548">
      <c r="G548" s="43"/>
      <c r="I548" s="44"/>
      <c r="K548" s="44"/>
    </row>
    <row r="549">
      <c r="G549" s="43"/>
      <c r="I549" s="44"/>
      <c r="K549" s="44"/>
    </row>
    <row r="550">
      <c r="G550" s="43"/>
      <c r="I550" s="44"/>
      <c r="K550" s="44"/>
    </row>
    <row r="551">
      <c r="G551" s="43"/>
      <c r="I551" s="44"/>
      <c r="K551" s="44"/>
    </row>
    <row r="552">
      <c r="G552" s="43"/>
      <c r="I552" s="44"/>
      <c r="K552" s="44"/>
    </row>
    <row r="553">
      <c r="G553" s="43"/>
      <c r="I553" s="44"/>
      <c r="K553" s="44"/>
    </row>
    <row r="554">
      <c r="G554" s="43"/>
      <c r="I554" s="44"/>
      <c r="K554" s="44"/>
    </row>
    <row r="555">
      <c r="G555" s="43"/>
      <c r="I555" s="44"/>
      <c r="K555" s="44"/>
    </row>
    <row r="556">
      <c r="G556" s="43"/>
      <c r="I556" s="44"/>
      <c r="K556" s="44"/>
    </row>
    <row r="557">
      <c r="G557" s="43"/>
      <c r="I557" s="44"/>
      <c r="K557" s="44"/>
    </row>
    <row r="558">
      <c r="G558" s="43"/>
      <c r="I558" s="44"/>
      <c r="K558" s="44"/>
    </row>
    <row r="559">
      <c r="G559" s="43"/>
      <c r="I559" s="44"/>
      <c r="K559" s="44"/>
    </row>
    <row r="560">
      <c r="G560" s="43"/>
      <c r="I560" s="44"/>
      <c r="K560" s="44"/>
    </row>
    <row r="561">
      <c r="G561" s="43"/>
      <c r="I561" s="44"/>
      <c r="K561" s="44"/>
    </row>
    <row r="562">
      <c r="G562" s="43"/>
      <c r="I562" s="44"/>
      <c r="K562" s="44"/>
    </row>
    <row r="563">
      <c r="G563" s="43"/>
      <c r="I563" s="44"/>
      <c r="K563" s="44"/>
    </row>
    <row r="564">
      <c r="G564" s="43"/>
      <c r="I564" s="44"/>
      <c r="K564" s="44"/>
    </row>
    <row r="565">
      <c r="G565" s="43"/>
      <c r="I565" s="44"/>
      <c r="K565" s="44"/>
    </row>
    <row r="566">
      <c r="G566" s="43"/>
      <c r="I566" s="44"/>
      <c r="K566" s="44"/>
    </row>
    <row r="567">
      <c r="G567" s="43"/>
      <c r="I567" s="44"/>
      <c r="K567" s="44"/>
    </row>
    <row r="568">
      <c r="G568" s="43"/>
      <c r="I568" s="44"/>
      <c r="K568" s="44"/>
    </row>
    <row r="569">
      <c r="G569" s="43"/>
      <c r="I569" s="44"/>
      <c r="K569" s="44"/>
    </row>
    <row r="570">
      <c r="G570" s="43"/>
      <c r="I570" s="44"/>
      <c r="K570" s="44"/>
    </row>
    <row r="571">
      <c r="G571" s="43"/>
      <c r="I571" s="44"/>
      <c r="K571" s="44"/>
    </row>
    <row r="572">
      <c r="G572" s="43"/>
      <c r="I572" s="44"/>
      <c r="K572" s="44"/>
    </row>
    <row r="573">
      <c r="G573" s="43"/>
      <c r="I573" s="44"/>
      <c r="K573" s="44"/>
    </row>
    <row r="574">
      <c r="G574" s="43"/>
      <c r="I574" s="44"/>
      <c r="K574" s="44"/>
    </row>
    <row r="575">
      <c r="G575" s="43"/>
      <c r="I575" s="44"/>
      <c r="K575" s="44"/>
    </row>
    <row r="576">
      <c r="G576" s="43"/>
      <c r="I576" s="44"/>
      <c r="K576" s="44"/>
    </row>
    <row r="577">
      <c r="G577" s="43"/>
      <c r="I577" s="44"/>
      <c r="K577" s="44"/>
    </row>
    <row r="578">
      <c r="G578" s="43"/>
      <c r="I578" s="44"/>
      <c r="K578" s="44"/>
    </row>
    <row r="579">
      <c r="G579" s="43"/>
      <c r="I579" s="44"/>
      <c r="K579" s="44"/>
    </row>
    <row r="580">
      <c r="G580" s="43"/>
      <c r="I580" s="44"/>
      <c r="K580" s="44"/>
    </row>
    <row r="581">
      <c r="G581" s="43"/>
      <c r="I581" s="44"/>
      <c r="K581" s="44"/>
    </row>
    <row r="582">
      <c r="G582" s="43"/>
      <c r="I582" s="44"/>
      <c r="K582" s="44"/>
    </row>
    <row r="583">
      <c r="G583" s="43"/>
      <c r="I583" s="44"/>
      <c r="K583" s="44"/>
    </row>
    <row r="584">
      <c r="G584" s="43"/>
      <c r="I584" s="44"/>
      <c r="K584" s="44"/>
    </row>
    <row r="585">
      <c r="G585" s="43"/>
      <c r="I585" s="44"/>
      <c r="K585" s="44"/>
    </row>
    <row r="586">
      <c r="G586" s="43"/>
      <c r="I586" s="44"/>
      <c r="K586" s="44"/>
    </row>
    <row r="587">
      <c r="G587" s="43"/>
      <c r="I587" s="44"/>
      <c r="K587" s="44"/>
    </row>
    <row r="588">
      <c r="G588" s="43"/>
      <c r="I588" s="44"/>
      <c r="K588" s="44"/>
    </row>
    <row r="589">
      <c r="G589" s="43"/>
      <c r="I589" s="44"/>
      <c r="K589" s="44"/>
    </row>
    <row r="590">
      <c r="G590" s="43"/>
      <c r="I590" s="44"/>
      <c r="K590" s="44"/>
    </row>
    <row r="591">
      <c r="G591" s="43"/>
      <c r="I591" s="44"/>
      <c r="K591" s="44"/>
    </row>
    <row r="592">
      <c r="G592" s="43"/>
      <c r="I592" s="44"/>
      <c r="K592" s="44"/>
    </row>
    <row r="593">
      <c r="G593" s="43"/>
      <c r="I593" s="44"/>
      <c r="K593" s="44"/>
    </row>
    <row r="594">
      <c r="G594" s="43"/>
      <c r="I594" s="44"/>
      <c r="K594" s="44"/>
    </row>
    <row r="595">
      <c r="G595" s="43"/>
      <c r="I595" s="44"/>
      <c r="K595" s="44"/>
    </row>
    <row r="596">
      <c r="G596" s="43"/>
      <c r="I596" s="44"/>
      <c r="K596" s="44"/>
    </row>
    <row r="597">
      <c r="G597" s="43"/>
      <c r="I597" s="44"/>
      <c r="K597" s="44"/>
    </row>
    <row r="598">
      <c r="G598" s="43"/>
      <c r="I598" s="44"/>
      <c r="K598" s="44"/>
    </row>
    <row r="599">
      <c r="G599" s="43"/>
      <c r="I599" s="44"/>
      <c r="K599" s="44"/>
    </row>
    <row r="600">
      <c r="G600" s="43"/>
      <c r="I600" s="44"/>
      <c r="K600" s="44"/>
    </row>
    <row r="601">
      <c r="G601" s="43"/>
      <c r="I601" s="44"/>
      <c r="K601" s="44"/>
    </row>
    <row r="602">
      <c r="G602" s="43"/>
      <c r="I602" s="44"/>
      <c r="K602" s="44"/>
    </row>
    <row r="603">
      <c r="G603" s="43"/>
      <c r="I603" s="44"/>
      <c r="K603" s="44"/>
    </row>
    <row r="604">
      <c r="G604" s="43"/>
      <c r="I604" s="44"/>
      <c r="K604" s="44"/>
    </row>
    <row r="605">
      <c r="G605" s="43"/>
      <c r="I605" s="44"/>
      <c r="K605" s="44"/>
    </row>
    <row r="606">
      <c r="G606" s="43"/>
      <c r="I606" s="44"/>
      <c r="K606" s="44"/>
    </row>
    <row r="607">
      <c r="G607" s="43"/>
      <c r="I607" s="44"/>
      <c r="K607" s="44"/>
    </row>
    <row r="608">
      <c r="G608" s="43"/>
      <c r="I608" s="44"/>
      <c r="K608" s="44"/>
    </row>
    <row r="609">
      <c r="G609" s="43"/>
      <c r="I609" s="44"/>
      <c r="K609" s="44"/>
    </row>
    <row r="610">
      <c r="G610" s="43"/>
      <c r="I610" s="44"/>
      <c r="K610" s="44"/>
    </row>
    <row r="611">
      <c r="G611" s="43"/>
      <c r="I611" s="44"/>
      <c r="K611" s="44"/>
    </row>
    <row r="612">
      <c r="G612" s="43"/>
      <c r="I612" s="44"/>
      <c r="K612" s="44"/>
    </row>
    <row r="613">
      <c r="G613" s="43"/>
      <c r="I613" s="44"/>
      <c r="K613" s="44"/>
    </row>
    <row r="614">
      <c r="G614" s="43"/>
      <c r="I614" s="44"/>
      <c r="K614" s="44"/>
    </row>
    <row r="615">
      <c r="G615" s="43"/>
      <c r="I615" s="44"/>
      <c r="K615" s="44"/>
    </row>
    <row r="616">
      <c r="G616" s="43"/>
      <c r="I616" s="44"/>
      <c r="K616" s="44"/>
    </row>
    <row r="617">
      <c r="G617" s="43"/>
      <c r="I617" s="44"/>
      <c r="K617" s="44"/>
    </row>
    <row r="618">
      <c r="G618" s="43"/>
      <c r="I618" s="44"/>
      <c r="K618" s="44"/>
    </row>
    <row r="619">
      <c r="G619" s="43"/>
      <c r="I619" s="44"/>
      <c r="K619" s="44"/>
    </row>
    <row r="620">
      <c r="G620" s="43"/>
      <c r="I620" s="44"/>
      <c r="K620" s="44"/>
    </row>
    <row r="621">
      <c r="G621" s="43"/>
      <c r="I621" s="44"/>
      <c r="K621" s="44"/>
    </row>
    <row r="622">
      <c r="G622" s="43"/>
      <c r="I622" s="44"/>
      <c r="K622" s="44"/>
    </row>
    <row r="623">
      <c r="G623" s="43"/>
      <c r="I623" s="44"/>
      <c r="K623" s="44"/>
    </row>
    <row r="624">
      <c r="G624" s="43"/>
      <c r="I624" s="44"/>
      <c r="K624" s="44"/>
    </row>
    <row r="625">
      <c r="G625" s="43"/>
      <c r="I625" s="44"/>
      <c r="K625" s="44"/>
    </row>
    <row r="626">
      <c r="G626" s="43"/>
      <c r="I626" s="44"/>
      <c r="K626" s="44"/>
    </row>
    <row r="627">
      <c r="G627" s="43"/>
      <c r="I627" s="44"/>
      <c r="K627" s="44"/>
    </row>
    <row r="628">
      <c r="G628" s="43"/>
      <c r="I628" s="44"/>
      <c r="K628" s="44"/>
    </row>
    <row r="629">
      <c r="G629" s="43"/>
      <c r="I629" s="44"/>
      <c r="K629" s="44"/>
    </row>
    <row r="630">
      <c r="G630" s="43"/>
      <c r="I630" s="44"/>
      <c r="K630" s="44"/>
    </row>
    <row r="631">
      <c r="G631" s="43"/>
      <c r="I631" s="44"/>
      <c r="K631" s="44"/>
    </row>
    <row r="632">
      <c r="G632" s="43"/>
      <c r="I632" s="44"/>
      <c r="K632" s="44"/>
    </row>
    <row r="633">
      <c r="G633" s="43"/>
      <c r="I633" s="44"/>
      <c r="K633" s="44"/>
    </row>
    <row r="634">
      <c r="G634" s="43"/>
      <c r="I634" s="44"/>
      <c r="K634" s="44"/>
    </row>
    <row r="635">
      <c r="G635" s="43"/>
      <c r="I635" s="44"/>
      <c r="K635" s="44"/>
    </row>
    <row r="636">
      <c r="G636" s="43"/>
      <c r="I636" s="44"/>
      <c r="K636" s="44"/>
    </row>
    <row r="637">
      <c r="G637" s="43"/>
      <c r="I637" s="44"/>
      <c r="K637" s="44"/>
    </row>
    <row r="638">
      <c r="G638" s="43"/>
      <c r="I638" s="44"/>
      <c r="K638" s="44"/>
    </row>
    <row r="639">
      <c r="G639" s="43"/>
      <c r="I639" s="44"/>
      <c r="K639" s="44"/>
    </row>
    <row r="640">
      <c r="G640" s="43"/>
      <c r="I640" s="44"/>
      <c r="K640" s="44"/>
    </row>
    <row r="641">
      <c r="G641" s="43"/>
      <c r="I641" s="44"/>
      <c r="K641" s="44"/>
    </row>
    <row r="642">
      <c r="G642" s="43"/>
      <c r="I642" s="44"/>
      <c r="K642" s="44"/>
    </row>
    <row r="643">
      <c r="G643" s="43"/>
      <c r="I643" s="44"/>
      <c r="K643" s="44"/>
    </row>
    <row r="644">
      <c r="G644" s="43"/>
      <c r="I644" s="44"/>
      <c r="K644" s="44"/>
    </row>
    <row r="645">
      <c r="G645" s="43"/>
      <c r="I645" s="44"/>
      <c r="K645" s="44"/>
    </row>
    <row r="646">
      <c r="G646" s="43"/>
      <c r="I646" s="44"/>
      <c r="K646" s="44"/>
    </row>
    <row r="647">
      <c r="G647" s="43"/>
      <c r="I647" s="44"/>
      <c r="K647" s="44"/>
    </row>
    <row r="648">
      <c r="G648" s="43"/>
      <c r="I648" s="44"/>
      <c r="K648" s="44"/>
    </row>
    <row r="649">
      <c r="G649" s="43"/>
      <c r="I649" s="44"/>
      <c r="K649" s="44"/>
    </row>
    <row r="650">
      <c r="G650" s="43"/>
      <c r="I650" s="44"/>
      <c r="K650" s="44"/>
    </row>
    <row r="651">
      <c r="G651" s="43"/>
      <c r="I651" s="44"/>
      <c r="K651" s="44"/>
    </row>
    <row r="652">
      <c r="G652" s="43"/>
      <c r="I652" s="44"/>
      <c r="K652" s="44"/>
    </row>
    <row r="653">
      <c r="G653" s="43"/>
      <c r="I653" s="44"/>
      <c r="K653" s="44"/>
    </row>
    <row r="654">
      <c r="G654" s="43"/>
      <c r="I654" s="44"/>
      <c r="K654" s="44"/>
    </row>
    <row r="655">
      <c r="G655" s="43"/>
      <c r="I655" s="44"/>
      <c r="K655" s="44"/>
    </row>
    <row r="656">
      <c r="G656" s="43"/>
      <c r="I656" s="44"/>
      <c r="K656" s="44"/>
    </row>
    <row r="657">
      <c r="G657" s="43"/>
      <c r="I657" s="44"/>
      <c r="K657" s="44"/>
    </row>
    <row r="658">
      <c r="G658" s="43"/>
      <c r="I658" s="44"/>
      <c r="K658" s="44"/>
    </row>
    <row r="659">
      <c r="G659" s="43"/>
      <c r="I659" s="44"/>
      <c r="K659" s="44"/>
    </row>
    <row r="660">
      <c r="G660" s="43"/>
      <c r="I660" s="44"/>
      <c r="K660" s="44"/>
    </row>
    <row r="661">
      <c r="G661" s="43"/>
      <c r="I661" s="44"/>
      <c r="K661" s="44"/>
    </row>
    <row r="662">
      <c r="G662" s="43"/>
      <c r="I662" s="44"/>
      <c r="K662" s="44"/>
    </row>
    <row r="663">
      <c r="G663" s="43"/>
      <c r="I663" s="44"/>
      <c r="K663" s="44"/>
    </row>
    <row r="664">
      <c r="G664" s="43"/>
      <c r="I664" s="44"/>
      <c r="K664" s="44"/>
    </row>
    <row r="665">
      <c r="G665" s="43"/>
      <c r="I665" s="44"/>
      <c r="K665" s="44"/>
    </row>
    <row r="666">
      <c r="G666" s="43"/>
      <c r="I666" s="44"/>
      <c r="K666" s="44"/>
    </row>
    <row r="667">
      <c r="G667" s="43"/>
      <c r="I667" s="44"/>
      <c r="K667" s="44"/>
    </row>
    <row r="668">
      <c r="G668" s="43"/>
      <c r="I668" s="44"/>
      <c r="K668" s="44"/>
    </row>
    <row r="669">
      <c r="G669" s="43"/>
      <c r="I669" s="44"/>
      <c r="K669" s="44"/>
    </row>
    <row r="670">
      <c r="G670" s="43"/>
      <c r="I670" s="44"/>
      <c r="K670" s="44"/>
    </row>
    <row r="671">
      <c r="G671" s="43"/>
      <c r="I671" s="44"/>
      <c r="K671" s="44"/>
    </row>
    <row r="672">
      <c r="G672" s="43"/>
      <c r="I672" s="44"/>
      <c r="K672" s="44"/>
    </row>
    <row r="673">
      <c r="G673" s="43"/>
      <c r="I673" s="44"/>
      <c r="K673" s="44"/>
    </row>
    <row r="674">
      <c r="G674" s="43"/>
      <c r="I674" s="44"/>
      <c r="K674" s="44"/>
    </row>
    <row r="675">
      <c r="G675" s="43"/>
      <c r="I675" s="44"/>
      <c r="K675" s="44"/>
    </row>
    <row r="676">
      <c r="G676" s="43"/>
      <c r="I676" s="44"/>
      <c r="K676" s="44"/>
    </row>
    <row r="677">
      <c r="G677" s="43"/>
      <c r="I677" s="44"/>
      <c r="K677" s="44"/>
    </row>
    <row r="678">
      <c r="G678" s="43"/>
      <c r="I678" s="44"/>
      <c r="K678" s="44"/>
    </row>
    <row r="679">
      <c r="G679" s="43"/>
      <c r="I679" s="44"/>
      <c r="K679" s="44"/>
    </row>
    <row r="680">
      <c r="G680" s="43"/>
      <c r="I680" s="44"/>
      <c r="K680" s="44"/>
    </row>
    <row r="681">
      <c r="G681" s="43"/>
      <c r="I681" s="44"/>
      <c r="K681" s="44"/>
    </row>
    <row r="682">
      <c r="G682" s="43"/>
      <c r="I682" s="44"/>
      <c r="K682" s="44"/>
    </row>
    <row r="683">
      <c r="G683" s="43"/>
      <c r="I683" s="44"/>
      <c r="K683" s="44"/>
    </row>
    <row r="684">
      <c r="G684" s="43"/>
      <c r="I684" s="44"/>
      <c r="K684" s="44"/>
    </row>
    <row r="685">
      <c r="G685" s="43"/>
      <c r="I685" s="44"/>
      <c r="K685" s="44"/>
    </row>
    <row r="686">
      <c r="G686" s="43"/>
      <c r="I686" s="44"/>
      <c r="K686" s="44"/>
    </row>
    <row r="687">
      <c r="G687" s="43"/>
      <c r="I687" s="44"/>
      <c r="K687" s="44"/>
    </row>
    <row r="688">
      <c r="G688" s="43"/>
      <c r="I688" s="44"/>
      <c r="K688" s="44"/>
    </row>
    <row r="689">
      <c r="G689" s="43"/>
      <c r="I689" s="44"/>
      <c r="K689" s="44"/>
    </row>
    <row r="690">
      <c r="G690" s="43"/>
      <c r="I690" s="44"/>
      <c r="K690" s="44"/>
    </row>
    <row r="691">
      <c r="G691" s="43"/>
      <c r="I691" s="44"/>
      <c r="K691" s="44"/>
    </row>
    <row r="692">
      <c r="G692" s="43"/>
      <c r="I692" s="44"/>
      <c r="K692" s="44"/>
    </row>
    <row r="693">
      <c r="G693" s="43"/>
      <c r="I693" s="44"/>
      <c r="K693" s="44"/>
    </row>
    <row r="694">
      <c r="G694" s="43"/>
      <c r="I694" s="44"/>
      <c r="K694" s="44"/>
    </row>
    <row r="695">
      <c r="G695" s="43"/>
      <c r="I695" s="44"/>
      <c r="K695" s="44"/>
    </row>
    <row r="696">
      <c r="G696" s="43"/>
      <c r="I696" s="44"/>
      <c r="K696" s="44"/>
    </row>
    <row r="697">
      <c r="G697" s="43"/>
      <c r="I697" s="44"/>
      <c r="K697" s="44"/>
    </row>
    <row r="698">
      <c r="G698" s="43"/>
      <c r="I698" s="44"/>
      <c r="K698" s="44"/>
    </row>
    <row r="699">
      <c r="G699" s="43"/>
      <c r="I699" s="44"/>
      <c r="K699" s="44"/>
    </row>
    <row r="700">
      <c r="G700" s="43"/>
      <c r="I700" s="44"/>
      <c r="K700" s="44"/>
    </row>
    <row r="701">
      <c r="G701" s="43"/>
      <c r="I701" s="44"/>
      <c r="K701" s="44"/>
    </row>
    <row r="702">
      <c r="G702" s="43"/>
      <c r="I702" s="44"/>
      <c r="K702" s="44"/>
    </row>
    <row r="703">
      <c r="G703" s="43"/>
      <c r="I703" s="44"/>
      <c r="K703" s="44"/>
    </row>
    <row r="704">
      <c r="G704" s="43"/>
      <c r="I704" s="44"/>
      <c r="K704" s="44"/>
    </row>
    <row r="705">
      <c r="G705" s="43"/>
      <c r="I705" s="44"/>
      <c r="K705" s="44"/>
    </row>
    <row r="706">
      <c r="G706" s="43"/>
      <c r="I706" s="44"/>
      <c r="K706" s="44"/>
    </row>
    <row r="707">
      <c r="G707" s="43"/>
      <c r="I707" s="44"/>
      <c r="K707" s="44"/>
    </row>
    <row r="708">
      <c r="G708" s="43"/>
      <c r="I708" s="44"/>
      <c r="K708" s="44"/>
    </row>
    <row r="709">
      <c r="G709" s="43"/>
      <c r="I709" s="44"/>
      <c r="K709" s="44"/>
    </row>
    <row r="710">
      <c r="G710" s="43"/>
      <c r="I710" s="44"/>
      <c r="K710" s="44"/>
    </row>
    <row r="711">
      <c r="G711" s="43"/>
      <c r="I711" s="44"/>
      <c r="K711" s="44"/>
    </row>
    <row r="712">
      <c r="G712" s="43"/>
      <c r="I712" s="44"/>
      <c r="K712" s="44"/>
    </row>
    <row r="713">
      <c r="G713" s="43"/>
      <c r="I713" s="44"/>
      <c r="K713" s="44"/>
    </row>
    <row r="714">
      <c r="G714" s="43"/>
      <c r="I714" s="44"/>
      <c r="K714" s="44"/>
    </row>
    <row r="715">
      <c r="G715" s="43"/>
      <c r="I715" s="44"/>
      <c r="K715" s="44"/>
    </row>
    <row r="716">
      <c r="G716" s="43"/>
      <c r="I716" s="44"/>
      <c r="K716" s="44"/>
    </row>
    <row r="717">
      <c r="G717" s="43"/>
      <c r="I717" s="44"/>
      <c r="K717" s="44"/>
    </row>
    <row r="718">
      <c r="G718" s="43"/>
      <c r="I718" s="44"/>
      <c r="K718" s="44"/>
    </row>
    <row r="719">
      <c r="G719" s="43"/>
      <c r="I719" s="44"/>
      <c r="K719" s="44"/>
    </row>
    <row r="720">
      <c r="G720" s="43"/>
      <c r="I720" s="44"/>
      <c r="K720" s="44"/>
    </row>
    <row r="721">
      <c r="G721" s="43"/>
      <c r="I721" s="44"/>
      <c r="K721" s="44"/>
    </row>
    <row r="722">
      <c r="G722" s="43"/>
      <c r="I722" s="44"/>
      <c r="K722" s="44"/>
    </row>
    <row r="723">
      <c r="G723" s="43"/>
      <c r="I723" s="44"/>
      <c r="K723" s="44"/>
    </row>
    <row r="724">
      <c r="G724" s="43"/>
      <c r="I724" s="44"/>
      <c r="K724" s="44"/>
    </row>
    <row r="725">
      <c r="G725" s="43"/>
      <c r="I725" s="44"/>
      <c r="K725" s="44"/>
    </row>
    <row r="726">
      <c r="G726" s="43"/>
      <c r="I726" s="44"/>
      <c r="K726" s="44"/>
    </row>
    <row r="727">
      <c r="G727" s="43"/>
      <c r="I727" s="44"/>
      <c r="K727" s="44"/>
    </row>
    <row r="728">
      <c r="G728" s="43"/>
      <c r="I728" s="44"/>
      <c r="K728" s="44"/>
    </row>
    <row r="729">
      <c r="G729" s="43"/>
      <c r="I729" s="44"/>
      <c r="K729" s="44"/>
    </row>
    <row r="730">
      <c r="G730" s="43"/>
      <c r="I730" s="44"/>
      <c r="K730" s="44"/>
    </row>
    <row r="731">
      <c r="G731" s="43"/>
      <c r="I731" s="44"/>
      <c r="K731" s="44"/>
    </row>
    <row r="732">
      <c r="G732" s="43"/>
      <c r="I732" s="44"/>
      <c r="K732" s="44"/>
    </row>
    <row r="733">
      <c r="G733" s="43"/>
      <c r="I733" s="44"/>
      <c r="K733" s="44"/>
    </row>
    <row r="734">
      <c r="G734" s="43"/>
      <c r="I734" s="44"/>
      <c r="K734" s="44"/>
    </row>
    <row r="735">
      <c r="G735" s="43"/>
      <c r="I735" s="44"/>
      <c r="K735" s="44"/>
    </row>
    <row r="736">
      <c r="G736" s="43"/>
      <c r="I736" s="44"/>
      <c r="K736" s="44"/>
    </row>
    <row r="737">
      <c r="G737" s="43"/>
      <c r="I737" s="44"/>
      <c r="K737" s="44"/>
    </row>
    <row r="738">
      <c r="G738" s="43"/>
      <c r="I738" s="44"/>
      <c r="K738" s="44"/>
    </row>
    <row r="739">
      <c r="G739" s="43"/>
      <c r="I739" s="44"/>
      <c r="K739" s="44"/>
    </row>
    <row r="740">
      <c r="G740" s="43"/>
      <c r="I740" s="44"/>
      <c r="K740" s="44"/>
    </row>
    <row r="741">
      <c r="G741" s="43"/>
      <c r="I741" s="44"/>
      <c r="K741" s="44"/>
    </row>
    <row r="742">
      <c r="G742" s="43"/>
      <c r="I742" s="44"/>
      <c r="K742" s="44"/>
    </row>
    <row r="743">
      <c r="G743" s="43"/>
      <c r="I743" s="44"/>
      <c r="K743" s="44"/>
    </row>
    <row r="744">
      <c r="G744" s="43"/>
      <c r="I744" s="44"/>
      <c r="K744" s="44"/>
    </row>
    <row r="745">
      <c r="G745" s="43"/>
      <c r="I745" s="44"/>
      <c r="K745" s="44"/>
    </row>
    <row r="746">
      <c r="G746" s="43"/>
      <c r="I746" s="44"/>
      <c r="K746" s="44"/>
    </row>
    <row r="747">
      <c r="G747" s="43"/>
      <c r="I747" s="44"/>
      <c r="K747" s="44"/>
    </row>
    <row r="748">
      <c r="G748" s="43"/>
      <c r="I748" s="44"/>
      <c r="K748" s="44"/>
    </row>
    <row r="749">
      <c r="G749" s="43"/>
      <c r="I749" s="44"/>
      <c r="K749" s="44"/>
    </row>
    <row r="750">
      <c r="G750" s="43"/>
      <c r="I750" s="44"/>
      <c r="K750" s="44"/>
    </row>
    <row r="751">
      <c r="G751" s="43"/>
      <c r="I751" s="44"/>
      <c r="K751" s="44"/>
    </row>
    <row r="752">
      <c r="G752" s="43"/>
      <c r="I752" s="44"/>
      <c r="K752" s="44"/>
    </row>
    <row r="753">
      <c r="G753" s="43"/>
      <c r="I753" s="44"/>
      <c r="K753" s="44"/>
    </row>
    <row r="754">
      <c r="G754" s="43"/>
      <c r="I754" s="44"/>
      <c r="K754" s="44"/>
    </row>
    <row r="755">
      <c r="G755" s="43"/>
      <c r="I755" s="44"/>
      <c r="K755" s="44"/>
    </row>
    <row r="756">
      <c r="G756" s="43"/>
      <c r="I756" s="44"/>
      <c r="K756" s="44"/>
    </row>
    <row r="757">
      <c r="G757" s="43"/>
      <c r="I757" s="44"/>
      <c r="K757" s="44"/>
    </row>
    <row r="758">
      <c r="G758" s="43"/>
      <c r="I758" s="44"/>
      <c r="K758" s="44"/>
    </row>
    <row r="759">
      <c r="G759" s="43"/>
      <c r="I759" s="44"/>
      <c r="K759" s="44"/>
    </row>
    <row r="760">
      <c r="G760" s="43"/>
      <c r="I760" s="44"/>
      <c r="K760" s="44"/>
    </row>
    <row r="761">
      <c r="G761" s="43"/>
      <c r="I761" s="44"/>
      <c r="K761" s="44"/>
    </row>
    <row r="762">
      <c r="G762" s="43"/>
      <c r="I762" s="44"/>
      <c r="K762" s="44"/>
    </row>
    <row r="763">
      <c r="G763" s="43"/>
      <c r="I763" s="44"/>
      <c r="K763" s="44"/>
    </row>
    <row r="764">
      <c r="G764" s="43"/>
      <c r="I764" s="44"/>
      <c r="K764" s="44"/>
    </row>
    <row r="765">
      <c r="G765" s="43"/>
      <c r="I765" s="44"/>
      <c r="K765" s="44"/>
    </row>
    <row r="766">
      <c r="G766" s="43"/>
      <c r="I766" s="44"/>
      <c r="K766" s="44"/>
    </row>
    <row r="767">
      <c r="G767" s="43"/>
      <c r="I767" s="44"/>
      <c r="K767" s="44"/>
    </row>
    <row r="768">
      <c r="G768" s="43"/>
      <c r="I768" s="44"/>
      <c r="K768" s="44"/>
    </row>
    <row r="769">
      <c r="G769" s="43"/>
      <c r="I769" s="44"/>
      <c r="K769" s="44"/>
    </row>
    <row r="770">
      <c r="G770" s="43"/>
      <c r="I770" s="44"/>
      <c r="K770" s="44"/>
    </row>
    <row r="771">
      <c r="G771" s="43"/>
      <c r="I771" s="44"/>
      <c r="K771" s="44"/>
    </row>
    <row r="772">
      <c r="G772" s="43"/>
      <c r="I772" s="44"/>
      <c r="K772" s="44"/>
    </row>
    <row r="773">
      <c r="G773" s="43"/>
      <c r="I773" s="44"/>
      <c r="K773" s="44"/>
    </row>
    <row r="774">
      <c r="G774" s="43"/>
      <c r="I774" s="44"/>
      <c r="K774" s="44"/>
    </row>
    <row r="775">
      <c r="G775" s="43"/>
      <c r="I775" s="44"/>
      <c r="K775" s="44"/>
    </row>
    <row r="776">
      <c r="G776" s="43"/>
      <c r="I776" s="44"/>
      <c r="K776" s="44"/>
    </row>
    <row r="777">
      <c r="G777" s="43"/>
      <c r="I777" s="44"/>
      <c r="K777" s="44"/>
    </row>
    <row r="778">
      <c r="G778" s="43"/>
      <c r="I778" s="44"/>
      <c r="K778" s="44"/>
    </row>
    <row r="779">
      <c r="G779" s="43"/>
      <c r="I779" s="44"/>
      <c r="K779" s="44"/>
    </row>
    <row r="780">
      <c r="G780" s="43"/>
      <c r="I780" s="44"/>
      <c r="K780" s="44"/>
    </row>
    <row r="781">
      <c r="G781" s="43"/>
      <c r="I781" s="44"/>
      <c r="K781" s="44"/>
    </row>
    <row r="782">
      <c r="G782" s="43"/>
      <c r="I782" s="44"/>
      <c r="K782" s="44"/>
    </row>
    <row r="783">
      <c r="G783" s="43"/>
      <c r="I783" s="44"/>
      <c r="K783" s="44"/>
    </row>
    <row r="784">
      <c r="G784" s="43"/>
      <c r="I784" s="44"/>
      <c r="K784" s="44"/>
    </row>
    <row r="785">
      <c r="G785" s="43"/>
      <c r="I785" s="44"/>
      <c r="K785" s="44"/>
    </row>
    <row r="786">
      <c r="G786" s="43"/>
      <c r="I786" s="44"/>
      <c r="K786" s="44"/>
    </row>
    <row r="787">
      <c r="G787" s="43"/>
      <c r="I787" s="44"/>
      <c r="K787" s="44"/>
    </row>
    <row r="788">
      <c r="G788" s="43"/>
      <c r="I788" s="44"/>
      <c r="K788" s="44"/>
    </row>
    <row r="789">
      <c r="G789" s="43"/>
      <c r="I789" s="44"/>
      <c r="K789" s="44"/>
    </row>
    <row r="790">
      <c r="G790" s="43"/>
      <c r="I790" s="44"/>
      <c r="K790" s="44"/>
    </row>
    <row r="791">
      <c r="G791" s="43"/>
      <c r="I791" s="44"/>
      <c r="K791" s="44"/>
    </row>
    <row r="792">
      <c r="G792" s="43"/>
      <c r="I792" s="44"/>
      <c r="K792" s="44"/>
    </row>
    <row r="793">
      <c r="G793" s="43"/>
      <c r="I793" s="44"/>
      <c r="K793" s="44"/>
    </row>
    <row r="794">
      <c r="G794" s="43"/>
      <c r="I794" s="44"/>
      <c r="K794" s="44"/>
    </row>
    <row r="795">
      <c r="G795" s="43"/>
      <c r="I795" s="44"/>
      <c r="K795" s="44"/>
    </row>
    <row r="796">
      <c r="G796" s="43"/>
      <c r="I796" s="44"/>
      <c r="K796" s="44"/>
    </row>
    <row r="797">
      <c r="G797" s="43"/>
      <c r="I797" s="44"/>
      <c r="K797" s="44"/>
    </row>
    <row r="798">
      <c r="G798" s="43"/>
      <c r="I798" s="44"/>
      <c r="K798" s="44"/>
    </row>
    <row r="799">
      <c r="G799" s="43"/>
      <c r="I799" s="44"/>
      <c r="K799" s="44"/>
    </row>
    <row r="800">
      <c r="G800" s="43"/>
      <c r="I800" s="44"/>
      <c r="K800" s="44"/>
    </row>
    <row r="801">
      <c r="G801" s="43"/>
      <c r="I801" s="44"/>
      <c r="K801" s="44"/>
    </row>
    <row r="802">
      <c r="G802" s="43"/>
      <c r="I802" s="44"/>
      <c r="K802" s="44"/>
    </row>
    <row r="803">
      <c r="G803" s="43"/>
      <c r="I803" s="44"/>
      <c r="K803" s="44"/>
    </row>
    <row r="804">
      <c r="G804" s="43"/>
      <c r="I804" s="44"/>
      <c r="K804" s="44"/>
    </row>
    <row r="805">
      <c r="G805" s="43"/>
      <c r="I805" s="44"/>
      <c r="K805" s="44"/>
    </row>
    <row r="806">
      <c r="G806" s="43"/>
      <c r="I806" s="44"/>
      <c r="K806" s="44"/>
    </row>
    <row r="807">
      <c r="G807" s="43"/>
      <c r="I807" s="44"/>
      <c r="K807" s="44"/>
    </row>
    <row r="808">
      <c r="G808" s="43"/>
      <c r="I808" s="44"/>
      <c r="K808" s="44"/>
    </row>
    <row r="809">
      <c r="G809" s="43"/>
      <c r="I809" s="44"/>
      <c r="K809" s="44"/>
    </row>
    <row r="810">
      <c r="G810" s="43"/>
      <c r="I810" s="44"/>
      <c r="K810" s="44"/>
    </row>
    <row r="811">
      <c r="G811" s="43"/>
      <c r="I811" s="44"/>
      <c r="K811" s="44"/>
    </row>
    <row r="812">
      <c r="G812" s="43"/>
      <c r="I812" s="44"/>
      <c r="K812" s="44"/>
    </row>
    <row r="813">
      <c r="G813" s="43"/>
      <c r="I813" s="44"/>
      <c r="K813" s="44"/>
    </row>
    <row r="814">
      <c r="G814" s="43"/>
      <c r="I814" s="44"/>
      <c r="K814" s="44"/>
    </row>
    <row r="815">
      <c r="G815" s="43"/>
      <c r="I815" s="44"/>
      <c r="K815" s="44"/>
    </row>
    <row r="816">
      <c r="G816" s="43"/>
      <c r="I816" s="44"/>
      <c r="K816" s="44"/>
    </row>
    <row r="817">
      <c r="G817" s="43"/>
      <c r="I817" s="44"/>
      <c r="K817" s="44"/>
    </row>
    <row r="818">
      <c r="G818" s="43"/>
      <c r="I818" s="44"/>
      <c r="K818" s="44"/>
    </row>
    <row r="819">
      <c r="G819" s="43"/>
      <c r="I819" s="44"/>
      <c r="K819" s="44"/>
    </row>
    <row r="820">
      <c r="G820" s="43"/>
      <c r="I820" s="44"/>
      <c r="K820" s="44"/>
    </row>
    <row r="821">
      <c r="G821" s="43"/>
      <c r="I821" s="44"/>
      <c r="K821" s="44"/>
    </row>
    <row r="822">
      <c r="G822" s="43"/>
      <c r="I822" s="44"/>
      <c r="K822" s="44"/>
    </row>
    <row r="823">
      <c r="G823" s="43"/>
      <c r="I823" s="44"/>
      <c r="K823" s="44"/>
    </row>
    <row r="824">
      <c r="G824" s="43"/>
      <c r="I824" s="44"/>
      <c r="K824" s="44"/>
    </row>
    <row r="825">
      <c r="G825" s="43"/>
      <c r="I825" s="44"/>
      <c r="K825" s="44"/>
    </row>
    <row r="826">
      <c r="G826" s="43"/>
      <c r="I826" s="44"/>
      <c r="K826" s="44"/>
    </row>
    <row r="827">
      <c r="G827" s="43"/>
      <c r="I827" s="44"/>
      <c r="K827" s="44"/>
    </row>
    <row r="828">
      <c r="G828" s="43"/>
      <c r="I828" s="44"/>
      <c r="K828" s="44"/>
    </row>
    <row r="829">
      <c r="G829" s="43"/>
      <c r="I829" s="44"/>
      <c r="K829" s="44"/>
    </row>
    <row r="830">
      <c r="G830" s="43"/>
      <c r="I830" s="44"/>
      <c r="K830" s="44"/>
    </row>
    <row r="831">
      <c r="G831" s="43"/>
      <c r="I831" s="44"/>
      <c r="K831" s="44"/>
    </row>
    <row r="832">
      <c r="G832" s="43"/>
      <c r="I832" s="44"/>
      <c r="K832" s="44"/>
    </row>
    <row r="833">
      <c r="G833" s="43"/>
      <c r="I833" s="44"/>
      <c r="K833" s="44"/>
    </row>
    <row r="834">
      <c r="G834" s="43"/>
      <c r="I834" s="44"/>
      <c r="K834" s="44"/>
    </row>
    <row r="835">
      <c r="G835" s="43"/>
      <c r="I835" s="44"/>
      <c r="K835" s="44"/>
    </row>
    <row r="836">
      <c r="G836" s="43"/>
      <c r="I836" s="44"/>
      <c r="K836" s="44"/>
    </row>
    <row r="837">
      <c r="G837" s="43"/>
      <c r="I837" s="44"/>
      <c r="K837" s="44"/>
    </row>
    <row r="838">
      <c r="G838" s="43"/>
      <c r="I838" s="44"/>
      <c r="K838" s="44"/>
    </row>
    <row r="839">
      <c r="G839" s="43"/>
      <c r="I839" s="44"/>
      <c r="K839" s="44"/>
    </row>
    <row r="840">
      <c r="G840" s="43"/>
      <c r="I840" s="44"/>
      <c r="K840" s="44"/>
    </row>
    <row r="841">
      <c r="G841" s="43"/>
      <c r="I841" s="44"/>
      <c r="K841" s="44"/>
    </row>
    <row r="842">
      <c r="G842" s="43"/>
      <c r="I842" s="44"/>
      <c r="K842" s="44"/>
    </row>
    <row r="843">
      <c r="G843" s="43"/>
      <c r="I843" s="44"/>
      <c r="K843" s="44"/>
    </row>
    <row r="844">
      <c r="G844" s="43"/>
      <c r="I844" s="44"/>
      <c r="K844" s="44"/>
    </row>
    <row r="845">
      <c r="G845" s="43"/>
      <c r="I845" s="44"/>
      <c r="K845" s="44"/>
    </row>
    <row r="846">
      <c r="G846" s="43"/>
      <c r="I846" s="44"/>
      <c r="K846" s="44"/>
    </row>
    <row r="847">
      <c r="G847" s="43"/>
      <c r="I847" s="44"/>
      <c r="K847" s="44"/>
    </row>
    <row r="848">
      <c r="G848" s="43"/>
      <c r="I848" s="44"/>
      <c r="K848" s="44"/>
    </row>
    <row r="849">
      <c r="G849" s="43"/>
      <c r="I849" s="44"/>
      <c r="K849" s="44"/>
    </row>
    <row r="850">
      <c r="G850" s="43"/>
      <c r="I850" s="44"/>
      <c r="K850" s="44"/>
    </row>
    <row r="851">
      <c r="G851" s="43"/>
      <c r="I851" s="44"/>
      <c r="K851" s="44"/>
    </row>
    <row r="852">
      <c r="G852" s="43"/>
      <c r="I852" s="44"/>
      <c r="K852" s="44"/>
    </row>
    <row r="853">
      <c r="G853" s="43"/>
      <c r="I853" s="44"/>
      <c r="K853" s="44"/>
    </row>
    <row r="854">
      <c r="G854" s="43"/>
      <c r="I854" s="44"/>
      <c r="K854" s="44"/>
    </row>
    <row r="855">
      <c r="G855" s="43"/>
      <c r="I855" s="44"/>
      <c r="K855" s="44"/>
    </row>
    <row r="856">
      <c r="G856" s="43"/>
      <c r="I856" s="44"/>
      <c r="K856" s="44"/>
    </row>
    <row r="857">
      <c r="G857" s="43"/>
      <c r="I857" s="44"/>
      <c r="K857" s="44"/>
    </row>
    <row r="858">
      <c r="G858" s="43"/>
      <c r="I858" s="44"/>
      <c r="K858" s="44"/>
    </row>
    <row r="859">
      <c r="G859" s="43"/>
      <c r="I859" s="44"/>
      <c r="K859" s="44"/>
    </row>
    <row r="860">
      <c r="G860" s="43"/>
      <c r="I860" s="44"/>
      <c r="K860" s="44"/>
    </row>
    <row r="861">
      <c r="G861" s="43"/>
      <c r="I861" s="44"/>
      <c r="K861" s="44"/>
    </row>
    <row r="862">
      <c r="G862" s="43"/>
      <c r="I862" s="44"/>
      <c r="K862" s="44"/>
    </row>
    <row r="863">
      <c r="G863" s="43"/>
      <c r="I863" s="44"/>
      <c r="K863" s="44"/>
    </row>
    <row r="864">
      <c r="G864" s="43"/>
      <c r="I864" s="44"/>
      <c r="K864" s="44"/>
    </row>
    <row r="865">
      <c r="G865" s="43"/>
      <c r="I865" s="44"/>
      <c r="K865" s="44"/>
    </row>
    <row r="866">
      <c r="G866" s="43"/>
      <c r="I866" s="44"/>
      <c r="K866" s="44"/>
    </row>
    <row r="867">
      <c r="G867" s="43"/>
      <c r="I867" s="44"/>
      <c r="K867" s="44"/>
    </row>
    <row r="868">
      <c r="G868" s="43"/>
      <c r="I868" s="44"/>
      <c r="K868" s="44"/>
    </row>
    <row r="869">
      <c r="G869" s="43"/>
      <c r="I869" s="44"/>
      <c r="K869" s="44"/>
    </row>
    <row r="870">
      <c r="G870" s="43"/>
      <c r="I870" s="44"/>
      <c r="K870" s="44"/>
    </row>
    <row r="871">
      <c r="G871" s="43"/>
      <c r="I871" s="44"/>
      <c r="K871" s="44"/>
    </row>
    <row r="872">
      <c r="G872" s="43"/>
      <c r="I872" s="44"/>
      <c r="K872" s="44"/>
    </row>
    <row r="873">
      <c r="G873" s="43"/>
      <c r="I873" s="44"/>
      <c r="K873" s="44"/>
    </row>
    <row r="874">
      <c r="G874" s="43"/>
      <c r="I874" s="44"/>
      <c r="K874" s="44"/>
    </row>
    <row r="875">
      <c r="G875" s="43"/>
      <c r="I875" s="44"/>
      <c r="K875" s="44"/>
    </row>
    <row r="876">
      <c r="G876" s="43"/>
      <c r="I876" s="44"/>
      <c r="K876" s="44"/>
    </row>
    <row r="877">
      <c r="G877" s="43"/>
      <c r="I877" s="44"/>
      <c r="K877" s="44"/>
    </row>
    <row r="878">
      <c r="G878" s="43"/>
      <c r="I878" s="44"/>
      <c r="K878" s="44"/>
    </row>
    <row r="879">
      <c r="G879" s="43"/>
      <c r="I879" s="44"/>
      <c r="K879" s="44"/>
    </row>
    <row r="880">
      <c r="G880" s="43"/>
      <c r="I880" s="44"/>
      <c r="K880" s="44"/>
    </row>
    <row r="881">
      <c r="G881" s="43"/>
      <c r="I881" s="44"/>
      <c r="K881" s="44"/>
    </row>
    <row r="882">
      <c r="G882" s="43"/>
      <c r="I882" s="44"/>
      <c r="K882" s="44"/>
    </row>
    <row r="883">
      <c r="G883" s="43"/>
      <c r="I883" s="44"/>
      <c r="K883" s="44"/>
    </row>
    <row r="884">
      <c r="G884" s="43"/>
      <c r="I884" s="44"/>
      <c r="K884" s="44"/>
    </row>
    <row r="885">
      <c r="G885" s="43"/>
      <c r="I885" s="44"/>
      <c r="K885" s="44"/>
    </row>
    <row r="886">
      <c r="G886" s="43"/>
      <c r="I886" s="44"/>
      <c r="K886" s="44"/>
    </row>
    <row r="887">
      <c r="G887" s="43"/>
      <c r="I887" s="44"/>
      <c r="K887" s="44"/>
    </row>
    <row r="888">
      <c r="G888" s="43"/>
      <c r="I888" s="44"/>
      <c r="K888" s="44"/>
    </row>
    <row r="889">
      <c r="G889" s="43"/>
      <c r="I889" s="44"/>
      <c r="K889" s="44"/>
    </row>
    <row r="890">
      <c r="G890" s="43"/>
      <c r="I890" s="44"/>
      <c r="K890" s="44"/>
    </row>
    <row r="891">
      <c r="G891" s="43"/>
      <c r="I891" s="44"/>
      <c r="K891" s="44"/>
    </row>
    <row r="892">
      <c r="G892" s="43"/>
      <c r="I892" s="44"/>
      <c r="K892" s="44"/>
    </row>
    <row r="893">
      <c r="G893" s="43"/>
      <c r="I893" s="44"/>
      <c r="K893" s="44"/>
    </row>
    <row r="894">
      <c r="G894" s="43"/>
      <c r="I894" s="44"/>
      <c r="K894" s="44"/>
    </row>
    <row r="895">
      <c r="G895" s="43"/>
      <c r="I895" s="44"/>
      <c r="K895" s="44"/>
    </row>
    <row r="896">
      <c r="G896" s="43"/>
      <c r="I896" s="44"/>
      <c r="K896" s="44"/>
    </row>
    <row r="897">
      <c r="G897" s="43"/>
      <c r="I897" s="44"/>
      <c r="K897" s="44"/>
    </row>
    <row r="898">
      <c r="G898" s="43"/>
      <c r="I898" s="44"/>
      <c r="K898" s="44"/>
    </row>
    <row r="899">
      <c r="G899" s="43"/>
      <c r="I899" s="44"/>
      <c r="K899" s="44"/>
    </row>
    <row r="900">
      <c r="G900" s="43"/>
      <c r="I900" s="44"/>
      <c r="K900" s="44"/>
    </row>
    <row r="901">
      <c r="G901" s="43"/>
      <c r="I901" s="44"/>
      <c r="K901" s="44"/>
    </row>
    <row r="902">
      <c r="G902" s="43"/>
      <c r="I902" s="44"/>
      <c r="K902" s="44"/>
    </row>
    <row r="903">
      <c r="G903" s="43"/>
      <c r="I903" s="44"/>
      <c r="K903" s="44"/>
    </row>
    <row r="904">
      <c r="G904" s="43"/>
      <c r="I904" s="44"/>
      <c r="K904" s="44"/>
    </row>
    <row r="905">
      <c r="G905" s="43"/>
      <c r="I905" s="44"/>
      <c r="K905" s="44"/>
    </row>
    <row r="906">
      <c r="G906" s="43"/>
      <c r="I906" s="44"/>
      <c r="K906" s="44"/>
    </row>
    <row r="907">
      <c r="G907" s="43"/>
      <c r="I907" s="44"/>
      <c r="K907" s="44"/>
    </row>
    <row r="908">
      <c r="G908" s="43"/>
      <c r="I908" s="44"/>
      <c r="K908" s="44"/>
    </row>
    <row r="909">
      <c r="G909" s="43"/>
      <c r="I909" s="44"/>
      <c r="K909" s="44"/>
    </row>
    <row r="910">
      <c r="G910" s="43"/>
      <c r="I910" s="44"/>
      <c r="K910" s="44"/>
    </row>
    <row r="911">
      <c r="G911" s="43"/>
      <c r="I911" s="44"/>
      <c r="K911" s="44"/>
    </row>
    <row r="912">
      <c r="G912" s="43"/>
      <c r="I912" s="44"/>
      <c r="K912" s="44"/>
    </row>
    <row r="913">
      <c r="G913" s="43"/>
      <c r="I913" s="44"/>
      <c r="K913" s="44"/>
    </row>
    <row r="914">
      <c r="G914" s="43"/>
      <c r="I914" s="44"/>
      <c r="K914" s="44"/>
    </row>
    <row r="915">
      <c r="G915" s="43"/>
      <c r="I915" s="44"/>
      <c r="K915" s="44"/>
    </row>
    <row r="916">
      <c r="G916" s="43"/>
      <c r="I916" s="44"/>
      <c r="K916" s="44"/>
    </row>
    <row r="917">
      <c r="G917" s="43"/>
      <c r="I917" s="44"/>
      <c r="K917" s="44"/>
    </row>
    <row r="918">
      <c r="G918" s="43"/>
      <c r="I918" s="44"/>
      <c r="K918" s="44"/>
    </row>
    <row r="919">
      <c r="G919" s="43"/>
      <c r="I919" s="44"/>
      <c r="K919" s="44"/>
    </row>
    <row r="920">
      <c r="G920" s="43"/>
      <c r="I920" s="44"/>
      <c r="K920" s="44"/>
    </row>
    <row r="921">
      <c r="G921" s="43"/>
      <c r="I921" s="44"/>
      <c r="K921" s="44"/>
    </row>
    <row r="922">
      <c r="G922" s="43"/>
      <c r="I922" s="44"/>
      <c r="K922" s="44"/>
    </row>
    <row r="923">
      <c r="G923" s="43"/>
      <c r="I923" s="44"/>
      <c r="K923" s="44"/>
    </row>
    <row r="924">
      <c r="G924" s="43"/>
      <c r="I924" s="44"/>
      <c r="K924" s="44"/>
    </row>
    <row r="925">
      <c r="G925" s="43"/>
      <c r="I925" s="44"/>
      <c r="K925" s="44"/>
    </row>
    <row r="926">
      <c r="G926" s="43"/>
      <c r="I926" s="44"/>
      <c r="K926" s="44"/>
    </row>
    <row r="927">
      <c r="G927" s="43"/>
      <c r="I927" s="44"/>
      <c r="K927" s="44"/>
    </row>
    <row r="928">
      <c r="G928" s="43"/>
      <c r="I928" s="44"/>
      <c r="K928" s="44"/>
    </row>
    <row r="929">
      <c r="G929" s="43"/>
      <c r="I929" s="44"/>
      <c r="K929" s="44"/>
    </row>
    <row r="930">
      <c r="G930" s="43"/>
      <c r="I930" s="44"/>
      <c r="K930" s="44"/>
    </row>
    <row r="931">
      <c r="G931" s="43"/>
      <c r="I931" s="44"/>
      <c r="K931" s="44"/>
    </row>
    <row r="932">
      <c r="G932" s="43"/>
      <c r="I932" s="44"/>
      <c r="K932" s="44"/>
    </row>
    <row r="933">
      <c r="G933" s="43"/>
      <c r="I933" s="44"/>
      <c r="K933" s="44"/>
    </row>
    <row r="934">
      <c r="G934" s="43"/>
      <c r="I934" s="44"/>
      <c r="K934" s="44"/>
    </row>
    <row r="935">
      <c r="G935" s="43"/>
      <c r="I935" s="44"/>
      <c r="K935" s="44"/>
    </row>
    <row r="936">
      <c r="G936" s="43"/>
      <c r="I936" s="44"/>
      <c r="K936" s="44"/>
    </row>
    <row r="937">
      <c r="G937" s="43"/>
      <c r="I937" s="44"/>
      <c r="K937" s="44"/>
    </row>
    <row r="938">
      <c r="G938" s="43"/>
      <c r="I938" s="44"/>
      <c r="K938" s="44"/>
    </row>
    <row r="939">
      <c r="G939" s="43"/>
      <c r="I939" s="44"/>
      <c r="K939" s="44"/>
    </row>
    <row r="940">
      <c r="G940" s="43"/>
      <c r="I940" s="44"/>
      <c r="K940" s="44"/>
    </row>
    <row r="941">
      <c r="G941" s="43"/>
      <c r="I941" s="44"/>
      <c r="K941" s="44"/>
    </row>
    <row r="942">
      <c r="G942" s="43"/>
      <c r="I942" s="44"/>
      <c r="K942" s="44"/>
    </row>
    <row r="943">
      <c r="G943" s="43"/>
      <c r="I943" s="44"/>
      <c r="K943" s="44"/>
    </row>
    <row r="944">
      <c r="G944" s="43"/>
      <c r="I944" s="44"/>
      <c r="K944" s="44"/>
    </row>
    <row r="945">
      <c r="G945" s="43"/>
      <c r="I945" s="44"/>
      <c r="K945" s="44"/>
    </row>
    <row r="946">
      <c r="G946" s="43"/>
      <c r="I946" s="44"/>
      <c r="K946" s="44"/>
    </row>
    <row r="947">
      <c r="G947" s="43"/>
      <c r="I947" s="44"/>
      <c r="K947" s="44"/>
    </row>
    <row r="948">
      <c r="G948" s="43"/>
      <c r="I948" s="44"/>
      <c r="K948" s="44"/>
    </row>
    <row r="949">
      <c r="G949" s="43"/>
      <c r="I949" s="44"/>
      <c r="K949" s="44"/>
    </row>
    <row r="950">
      <c r="G950" s="43"/>
      <c r="I950" s="44"/>
      <c r="K950" s="44"/>
    </row>
    <row r="951">
      <c r="G951" s="43"/>
      <c r="I951" s="44"/>
      <c r="K951" s="44"/>
    </row>
    <row r="952">
      <c r="G952" s="43"/>
      <c r="I952" s="44"/>
      <c r="K952" s="44"/>
    </row>
    <row r="953">
      <c r="G953" s="43"/>
      <c r="I953" s="44"/>
      <c r="K953" s="44"/>
    </row>
    <row r="954">
      <c r="G954" s="43"/>
      <c r="I954" s="44"/>
      <c r="K954" s="44"/>
    </row>
    <row r="955">
      <c r="G955" s="43"/>
      <c r="I955" s="44"/>
      <c r="K955" s="44"/>
    </row>
    <row r="956">
      <c r="G956" s="43"/>
      <c r="I956" s="44"/>
      <c r="K956" s="44"/>
    </row>
    <row r="957">
      <c r="G957" s="43"/>
      <c r="I957" s="44"/>
      <c r="K957" s="44"/>
    </row>
    <row r="958">
      <c r="G958" s="43"/>
      <c r="I958" s="44"/>
      <c r="K958" s="44"/>
    </row>
    <row r="959">
      <c r="G959" s="43"/>
      <c r="I959" s="44"/>
      <c r="K959" s="44"/>
    </row>
    <row r="960">
      <c r="G960" s="43"/>
      <c r="I960" s="44"/>
      <c r="K960" s="44"/>
    </row>
    <row r="961">
      <c r="G961" s="43"/>
      <c r="I961" s="44"/>
      <c r="K961" s="44"/>
    </row>
    <row r="962">
      <c r="G962" s="43"/>
      <c r="I962" s="44"/>
      <c r="K962" s="44"/>
    </row>
    <row r="963">
      <c r="G963" s="43"/>
      <c r="I963" s="44"/>
      <c r="K963" s="44"/>
    </row>
    <row r="964">
      <c r="G964" s="43"/>
      <c r="I964" s="44"/>
      <c r="K964" s="44"/>
    </row>
    <row r="965">
      <c r="G965" s="43"/>
      <c r="I965" s="44"/>
      <c r="K965" s="44"/>
    </row>
    <row r="966">
      <c r="G966" s="43"/>
      <c r="I966" s="44"/>
      <c r="K966" s="44"/>
    </row>
    <row r="967">
      <c r="G967" s="43"/>
      <c r="I967" s="44"/>
      <c r="K967" s="44"/>
    </row>
    <row r="968">
      <c r="G968" s="43"/>
      <c r="I968" s="44"/>
      <c r="K968" s="44"/>
    </row>
    <row r="969">
      <c r="G969" s="43"/>
      <c r="I969" s="44"/>
      <c r="K969" s="44"/>
    </row>
    <row r="970">
      <c r="G970" s="43"/>
      <c r="I970" s="44"/>
      <c r="K970" s="44"/>
    </row>
    <row r="971">
      <c r="G971" s="43"/>
      <c r="I971" s="44"/>
      <c r="K971" s="44"/>
    </row>
    <row r="972">
      <c r="G972" s="43"/>
      <c r="I972" s="44"/>
      <c r="K972" s="44"/>
    </row>
    <row r="973">
      <c r="G973" s="43"/>
      <c r="I973" s="44"/>
      <c r="K973" s="44"/>
    </row>
    <row r="974">
      <c r="G974" s="43"/>
      <c r="I974" s="44"/>
      <c r="K974" s="44"/>
    </row>
    <row r="975">
      <c r="G975" s="43"/>
      <c r="I975" s="44"/>
      <c r="K975" s="44"/>
    </row>
    <row r="976">
      <c r="G976" s="43"/>
      <c r="I976" s="44"/>
      <c r="K976" s="44"/>
    </row>
    <row r="977">
      <c r="G977" s="43"/>
      <c r="I977" s="44"/>
      <c r="K977" s="44"/>
    </row>
    <row r="978">
      <c r="G978" s="43"/>
      <c r="I978" s="44"/>
      <c r="K978" s="44"/>
    </row>
    <row r="979">
      <c r="G979" s="43"/>
      <c r="I979" s="44"/>
      <c r="K979" s="44"/>
    </row>
    <row r="980">
      <c r="G980" s="43"/>
      <c r="I980" s="44"/>
      <c r="K980" s="44"/>
    </row>
    <row r="981">
      <c r="G981" s="43"/>
      <c r="I981" s="44"/>
      <c r="K981" s="44"/>
    </row>
    <row r="982">
      <c r="G982" s="43"/>
      <c r="I982" s="44"/>
      <c r="K982" s="44"/>
    </row>
    <row r="983">
      <c r="G983" s="43"/>
      <c r="I983" s="44"/>
      <c r="K983" s="44"/>
    </row>
    <row r="984">
      <c r="G984" s="43"/>
      <c r="I984" s="44"/>
      <c r="K984" s="44"/>
    </row>
    <row r="985">
      <c r="G985" s="43"/>
      <c r="I985" s="44"/>
      <c r="K985" s="44"/>
    </row>
    <row r="986">
      <c r="G986" s="43"/>
      <c r="I986" s="44"/>
      <c r="K986" s="44"/>
    </row>
    <row r="987">
      <c r="G987" s="43"/>
      <c r="I987" s="44"/>
      <c r="K987" s="44"/>
    </row>
    <row r="988">
      <c r="G988" s="43"/>
      <c r="I988" s="44"/>
      <c r="K988" s="44"/>
    </row>
    <row r="989">
      <c r="G989" s="43"/>
      <c r="I989" s="44"/>
      <c r="K989" s="44"/>
    </row>
    <row r="990">
      <c r="G990" s="43"/>
      <c r="I990" s="44"/>
      <c r="K990" s="44"/>
    </row>
    <row r="991">
      <c r="G991" s="43"/>
      <c r="I991" s="44"/>
      <c r="K991" s="44"/>
    </row>
    <row r="992">
      <c r="G992" s="43"/>
      <c r="I992" s="44"/>
      <c r="K992" s="44"/>
    </row>
    <row r="993">
      <c r="G993" s="43"/>
      <c r="I993" s="44"/>
      <c r="K993" s="44"/>
    </row>
    <row r="994">
      <c r="G994" s="43"/>
      <c r="I994" s="44"/>
      <c r="K994" s="44"/>
    </row>
    <row r="995">
      <c r="G995" s="43"/>
      <c r="I995" s="44"/>
      <c r="K995" s="44"/>
    </row>
    <row r="996">
      <c r="G996" s="43"/>
      <c r="I996" s="44"/>
      <c r="K996" s="44"/>
    </row>
    <row r="997">
      <c r="G997" s="43"/>
      <c r="I997" s="44"/>
      <c r="K997" s="44"/>
    </row>
    <row r="998">
      <c r="G998" s="43"/>
      <c r="I998" s="44"/>
      <c r="K998" s="44"/>
    </row>
    <row r="999">
      <c r="G999" s="43"/>
      <c r="I999" s="44"/>
      <c r="K999" s="44"/>
    </row>
    <row r="1000">
      <c r="G1000" s="43"/>
      <c r="I1000" s="44"/>
      <c r="K1000" s="44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7.5" customHeight="1">
      <c r="A1" s="38" t="s">
        <v>6</v>
      </c>
      <c r="B1" s="38" t="s">
        <v>7</v>
      </c>
      <c r="C1" s="38" t="s">
        <v>8</v>
      </c>
      <c r="D1" s="38" t="s">
        <v>9</v>
      </c>
      <c r="E1" s="57" t="s">
        <v>10</v>
      </c>
      <c r="F1" s="38" t="s">
        <v>11</v>
      </c>
      <c r="G1" s="31" t="s">
        <v>12</v>
      </c>
      <c r="H1" s="37" t="s">
        <v>13</v>
      </c>
      <c r="I1" s="58" t="s">
        <v>14</v>
      </c>
      <c r="J1" s="37" t="s">
        <v>15</v>
      </c>
      <c r="K1" s="58" t="s">
        <v>16</v>
      </c>
      <c r="L1" s="37" t="s">
        <v>17</v>
      </c>
      <c r="M1" s="38" t="s">
        <v>18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2</v>
      </c>
      <c r="B2" s="40">
        <v>43906.0</v>
      </c>
      <c r="C2" s="41">
        <v>43912.0</v>
      </c>
      <c r="D2" s="39">
        <v>12.0</v>
      </c>
      <c r="E2" s="42">
        <v>13187.0</v>
      </c>
      <c r="F2" s="39">
        <v>3.0</v>
      </c>
      <c r="G2" s="43">
        <v>2001.6666666666667</v>
      </c>
      <c r="H2" s="43">
        <v>11185.333333333334</v>
      </c>
      <c r="I2" s="44">
        <v>0.002303046884967875</v>
      </c>
      <c r="J2" s="44">
        <v>0.002303046884967875</v>
      </c>
      <c r="K2" s="44">
        <v>8.586782363553557</v>
      </c>
      <c r="L2" s="44">
        <v>8.586782363553557</v>
      </c>
    </row>
    <row r="3">
      <c r="A3" s="39" t="s">
        <v>2</v>
      </c>
      <c r="B3" s="40">
        <v>43913.0</v>
      </c>
      <c r="C3" s="41">
        <v>43919.0</v>
      </c>
      <c r="D3" s="39">
        <v>13.0</v>
      </c>
      <c r="E3" s="42">
        <v>13698.0</v>
      </c>
      <c r="F3" s="39">
        <v>17.0</v>
      </c>
      <c r="G3" s="43">
        <v>1975.0</v>
      </c>
      <c r="H3" s="43">
        <v>11723.0</v>
      </c>
      <c r="I3" s="44">
        <v>0.013050599014817959</v>
      </c>
      <c r="J3" s="44">
        <v>0.015353645899785833</v>
      </c>
      <c r="K3" s="44">
        <v>8.999539544159465</v>
      </c>
      <c r="L3" s="44">
        <v>17.58632190771302</v>
      </c>
    </row>
    <row r="4">
      <c r="A4" s="39" t="s">
        <v>2</v>
      </c>
      <c r="B4" s="40">
        <v>43920.0</v>
      </c>
      <c r="C4" s="41">
        <v>43926.0</v>
      </c>
      <c r="D4" s="39">
        <v>14.0</v>
      </c>
      <c r="E4" s="42">
        <v>13533.0</v>
      </c>
      <c r="F4" s="39">
        <v>74.0</v>
      </c>
      <c r="G4" s="43">
        <v>1898.6666666666667</v>
      </c>
      <c r="H4" s="43">
        <v>11634.333333333334</v>
      </c>
      <c r="I4" s="44">
        <v>0.056808489829207574</v>
      </c>
      <c r="J4" s="44">
        <v>0.07216213572899341</v>
      </c>
      <c r="K4" s="44">
        <v>8.931471714003749</v>
      </c>
      <c r="L4" s="44">
        <v>26.51779362171677</v>
      </c>
    </row>
    <row r="5">
      <c r="A5" s="39" t="s">
        <v>2</v>
      </c>
      <c r="B5" s="40">
        <v>43927.0</v>
      </c>
      <c r="C5" s="41">
        <v>43933.0</v>
      </c>
      <c r="D5" s="39">
        <v>15.0</v>
      </c>
      <c r="E5" s="42">
        <v>14030.0</v>
      </c>
      <c r="F5" s="39">
        <v>202.0</v>
      </c>
      <c r="G5" s="43">
        <v>1960.6666666666667</v>
      </c>
      <c r="H5" s="43">
        <v>12069.333333333334</v>
      </c>
      <c r="I5" s="44">
        <v>0.1550718235878369</v>
      </c>
      <c r="J5" s="44">
        <v>0.2272339593168303</v>
      </c>
      <c r="K5" s="44">
        <v>9.265413512324091</v>
      </c>
      <c r="L5" s="44">
        <v>35.783207134040865</v>
      </c>
    </row>
    <row r="6">
      <c r="A6" s="39" t="s">
        <v>2</v>
      </c>
      <c r="B6" s="40">
        <v>43934.0</v>
      </c>
      <c r="C6" s="41">
        <v>43940.0</v>
      </c>
      <c r="D6" s="39">
        <v>16.0</v>
      </c>
      <c r="E6" s="42">
        <v>14993.0</v>
      </c>
      <c r="F6" s="39">
        <v>390.0</v>
      </c>
      <c r="G6" s="43">
        <v>1939.3333333333333</v>
      </c>
      <c r="H6" s="43">
        <v>13053.666666666666</v>
      </c>
      <c r="I6" s="44">
        <v>0.2993960950458237</v>
      </c>
      <c r="J6" s="44">
        <v>0.526630054362654</v>
      </c>
      <c r="K6" s="44">
        <v>10.021068784691883</v>
      </c>
      <c r="L6" s="44">
        <v>45.80427591873275</v>
      </c>
    </row>
    <row r="7">
      <c r="A7" s="39" t="s">
        <v>2</v>
      </c>
      <c r="B7" s="40">
        <v>43941.0</v>
      </c>
      <c r="C7" s="41">
        <v>43947.0</v>
      </c>
      <c r="D7" s="39">
        <v>17.0</v>
      </c>
      <c r="E7" s="42">
        <v>17068.0</v>
      </c>
      <c r="F7" s="39">
        <v>665.0</v>
      </c>
      <c r="G7" s="43">
        <v>1952.0</v>
      </c>
      <c r="H7" s="43">
        <v>15116.0</v>
      </c>
      <c r="I7" s="44">
        <v>0.5105087261678789</v>
      </c>
      <c r="J7" s="44">
        <v>1.0371387805305328</v>
      </c>
      <c r="K7" s="44">
        <v>11.604285571058131</v>
      </c>
      <c r="L7" s="44">
        <v>57.408561489790884</v>
      </c>
    </row>
    <row r="8">
      <c r="A8" s="39" t="s">
        <v>2</v>
      </c>
      <c r="B8" s="40">
        <v>43948.0</v>
      </c>
      <c r="C8" s="41">
        <v>43954.0</v>
      </c>
      <c r="D8" s="39">
        <v>18.0</v>
      </c>
      <c r="E8" s="42">
        <v>18811.0</v>
      </c>
      <c r="F8" s="39">
        <v>803.0</v>
      </c>
      <c r="G8" s="43">
        <v>1920.6666666666667</v>
      </c>
      <c r="H8" s="43">
        <v>16890.333333333332</v>
      </c>
      <c r="I8" s="44">
        <v>0.6164488828764012</v>
      </c>
      <c r="J8" s="44">
        <v>1.653587663406934</v>
      </c>
      <c r="K8" s="44">
        <v>12.966409856467463</v>
      </c>
      <c r="L8" s="44">
        <v>70.37497134625835</v>
      </c>
    </row>
    <row r="9">
      <c r="A9" s="39" t="s">
        <v>2</v>
      </c>
      <c r="B9" s="40">
        <v>43955.0</v>
      </c>
      <c r="C9" s="41">
        <v>43961.0</v>
      </c>
      <c r="D9" s="39">
        <v>19.0</v>
      </c>
      <c r="E9" s="42">
        <v>20622.0</v>
      </c>
      <c r="F9" s="39">
        <v>1311.0</v>
      </c>
      <c r="G9" s="43">
        <v>1963.3333333333333</v>
      </c>
      <c r="H9" s="43">
        <v>18658.666666666668</v>
      </c>
      <c r="I9" s="44">
        <v>1.0064314887309613</v>
      </c>
      <c r="J9" s="44">
        <v>2.6600191521378953</v>
      </c>
      <c r="K9" s="44">
        <v>14.323928048106863</v>
      </c>
      <c r="L9" s="44">
        <v>84.69889939436521</v>
      </c>
    </row>
    <row r="10">
      <c r="A10" s="39" t="s">
        <v>2</v>
      </c>
      <c r="B10" s="40">
        <v>43962.0</v>
      </c>
      <c r="C10" s="41">
        <v>43968.0</v>
      </c>
      <c r="D10" s="39">
        <v>20.0</v>
      </c>
      <c r="E10" s="42">
        <v>22313.0</v>
      </c>
      <c r="F10" s="39">
        <v>1712.0</v>
      </c>
      <c r="G10" s="43">
        <v>2034.0</v>
      </c>
      <c r="H10" s="43">
        <v>20279.0</v>
      </c>
      <c r="I10" s="44">
        <v>1.3142720890216673</v>
      </c>
      <c r="J10" s="44">
        <v>3.9742912411595626</v>
      </c>
      <c r="K10" s="44">
        <v>15.567829260087844</v>
      </c>
      <c r="L10" s="44">
        <v>100.26672865445306</v>
      </c>
    </row>
    <row r="11">
      <c r="A11" s="39" t="s">
        <v>2</v>
      </c>
      <c r="B11" s="40">
        <v>43969.0</v>
      </c>
      <c r="C11" s="41">
        <v>43975.0</v>
      </c>
      <c r="D11" s="39">
        <v>21.0</v>
      </c>
      <c r="E11" s="42">
        <v>23231.0</v>
      </c>
      <c r="F11" s="39">
        <v>2217.0</v>
      </c>
      <c r="G11" s="43">
        <v>2060.3333333333335</v>
      </c>
      <c r="H11" s="43">
        <v>21170.666666666668</v>
      </c>
      <c r="I11" s="44">
        <v>1.7019516479912593</v>
      </c>
      <c r="J11" s="44">
        <v>5.676242889150822</v>
      </c>
      <c r="K11" s="44">
        <v>16.252345973119965</v>
      </c>
      <c r="L11" s="44">
        <v>116.51907462757302</v>
      </c>
    </row>
    <row r="12">
      <c r="A12" s="39" t="s">
        <v>2</v>
      </c>
      <c r="B12" s="40">
        <v>43976.0</v>
      </c>
      <c r="C12" s="41">
        <v>43982.0</v>
      </c>
      <c r="D12" s="39">
        <v>22.0</v>
      </c>
      <c r="E12" s="42">
        <v>23167.0</v>
      </c>
      <c r="F12" s="39">
        <v>2536.0</v>
      </c>
      <c r="G12" s="43">
        <v>2084.3333333333335</v>
      </c>
      <c r="H12" s="43">
        <v>21082.666666666668</v>
      </c>
      <c r="I12" s="44">
        <v>1.9468423000928434</v>
      </c>
      <c r="J12" s="44">
        <v>7.623085189243665</v>
      </c>
      <c r="K12" s="44">
        <v>16.184789931160907</v>
      </c>
      <c r="L12" s="44">
        <v>132.70386455873393</v>
      </c>
    </row>
    <row r="13">
      <c r="A13" s="39" t="s">
        <v>2</v>
      </c>
      <c r="B13" s="40">
        <v>43983.0</v>
      </c>
      <c r="C13" s="41">
        <v>43989.0</v>
      </c>
      <c r="D13" s="39">
        <v>23.0</v>
      </c>
      <c r="E13" s="42">
        <v>24121.0</v>
      </c>
      <c r="F13" s="39">
        <v>3769.0</v>
      </c>
      <c r="G13" s="43">
        <v>2181.6666666666665</v>
      </c>
      <c r="H13" s="43">
        <v>21939.333333333332</v>
      </c>
      <c r="I13" s="44">
        <v>2.8933945698146397</v>
      </c>
      <c r="J13" s="44">
        <v>10.516479759058305</v>
      </c>
      <c r="K13" s="44">
        <v>16.842437763868396</v>
      </c>
      <c r="L13" s="44">
        <v>149.54630232260232</v>
      </c>
    </row>
    <row r="14">
      <c r="A14" s="39" t="s">
        <v>2</v>
      </c>
      <c r="B14" s="40">
        <v>43990.0</v>
      </c>
      <c r="C14" s="41">
        <v>43996.0</v>
      </c>
      <c r="D14" s="39">
        <v>24.0</v>
      </c>
      <c r="E14" s="42">
        <v>24719.0</v>
      </c>
      <c r="F14" s="39">
        <v>3442.0</v>
      </c>
      <c r="G14" s="43">
        <v>2197.3333333333335</v>
      </c>
      <c r="H14" s="43">
        <v>22521.666666666668</v>
      </c>
      <c r="I14" s="44">
        <v>2.6423624593531416</v>
      </c>
      <c r="J14" s="44">
        <v>13.158842218411447</v>
      </c>
      <c r="K14" s="44">
        <v>17.2894847536505</v>
      </c>
      <c r="L14" s="44">
        <v>166.8357870762528</v>
      </c>
    </row>
    <row r="15">
      <c r="A15" s="39" t="s">
        <v>2</v>
      </c>
      <c r="B15" s="40">
        <v>43997.0</v>
      </c>
      <c r="C15" s="41">
        <v>44003.0</v>
      </c>
      <c r="D15" s="39">
        <v>25.0</v>
      </c>
      <c r="E15" s="42">
        <v>24945.0</v>
      </c>
      <c r="F15" s="39">
        <v>4684.0</v>
      </c>
      <c r="G15" s="43">
        <v>2184.3333333333335</v>
      </c>
      <c r="H15" s="43">
        <v>22760.666666666668</v>
      </c>
      <c r="I15" s="44">
        <v>3.595823869729842</v>
      </c>
      <c r="J15" s="44">
        <v>16.75466608814129</v>
      </c>
      <c r="K15" s="44">
        <v>17.472960822152935</v>
      </c>
      <c r="L15" s="44">
        <v>184.30874789840576</v>
      </c>
    </row>
    <row r="16">
      <c r="A16" s="39" t="s">
        <v>2</v>
      </c>
      <c r="B16" s="40">
        <v>44004.0</v>
      </c>
      <c r="C16" s="41">
        <v>44010.0</v>
      </c>
      <c r="D16" s="39">
        <v>26.0</v>
      </c>
      <c r="E16" s="42">
        <v>24718.0</v>
      </c>
      <c r="F16" s="39">
        <v>4823.0</v>
      </c>
      <c r="G16" s="43">
        <v>2225.3333333333335</v>
      </c>
      <c r="H16" s="43">
        <v>22492.666666666668</v>
      </c>
      <c r="I16" s="44">
        <v>3.7025317087333534</v>
      </c>
      <c r="J16" s="44">
        <v>20.45719779687464</v>
      </c>
      <c r="K16" s="44">
        <v>17.267221967095807</v>
      </c>
      <c r="L16" s="44">
        <v>201.57596986550158</v>
      </c>
    </row>
    <row r="17">
      <c r="A17" s="39" t="s">
        <v>2</v>
      </c>
      <c r="B17" s="40">
        <v>44011.0</v>
      </c>
      <c r="C17" s="41">
        <v>44017.0</v>
      </c>
      <c r="D17" s="39">
        <v>27.0</v>
      </c>
      <c r="E17" s="42">
        <v>25495.0</v>
      </c>
      <c r="F17" s="39">
        <v>3991.0</v>
      </c>
      <c r="G17" s="43">
        <v>2170.3333333333335</v>
      </c>
      <c r="H17" s="43">
        <v>23324.666666666668</v>
      </c>
      <c r="I17" s="44">
        <v>3.063820039302263</v>
      </c>
      <c r="J17" s="44">
        <v>23.521017836176906</v>
      </c>
      <c r="K17" s="44">
        <v>17.905933636526896</v>
      </c>
      <c r="L17" s="44">
        <v>219.48190350202847</v>
      </c>
    </row>
    <row r="18">
      <c r="A18" s="39" t="s">
        <v>2</v>
      </c>
      <c r="B18" s="40">
        <v>44018.0</v>
      </c>
      <c r="C18" s="41">
        <v>44024.0</v>
      </c>
      <c r="D18" s="39">
        <v>28.0</v>
      </c>
      <c r="E18" s="42">
        <v>26446.0</v>
      </c>
      <c r="F18" s="39">
        <v>4367.0</v>
      </c>
      <c r="G18" s="43">
        <v>2189.0</v>
      </c>
      <c r="H18" s="43">
        <v>24257.0</v>
      </c>
      <c r="I18" s="44">
        <v>3.3524685822182363</v>
      </c>
      <c r="J18" s="44">
        <v>26.873486418395142</v>
      </c>
      <c r="K18" s="44">
        <v>18.621669429555247</v>
      </c>
      <c r="L18" s="44">
        <v>238.10357293158373</v>
      </c>
    </row>
    <row r="19">
      <c r="A19" s="39" t="s">
        <v>2</v>
      </c>
      <c r="B19" s="40">
        <v>44025.0</v>
      </c>
      <c r="C19" s="41">
        <v>44031.0</v>
      </c>
      <c r="D19" s="39">
        <v>29.0</v>
      </c>
      <c r="E19" s="42">
        <v>26446.0</v>
      </c>
      <c r="F19" s="39">
        <v>4178.0</v>
      </c>
      <c r="G19" s="43">
        <v>2199.0</v>
      </c>
      <c r="H19" s="43">
        <v>24247.0</v>
      </c>
      <c r="I19" s="44">
        <v>3.2073766284652603</v>
      </c>
      <c r="J19" s="44">
        <v>30.0808630468604</v>
      </c>
      <c r="K19" s="44">
        <v>18.613992606605354</v>
      </c>
      <c r="L19" s="44">
        <v>256.7175655381891</v>
      </c>
    </row>
    <row r="20">
      <c r="A20" s="39" t="s">
        <v>2</v>
      </c>
      <c r="B20" s="40">
        <v>44032.0</v>
      </c>
      <c r="C20" s="41">
        <v>44038.0</v>
      </c>
      <c r="D20" s="39">
        <v>30.0</v>
      </c>
      <c r="E20" s="42">
        <v>25733.0</v>
      </c>
      <c r="F20" s="39">
        <v>4496.0</v>
      </c>
      <c r="G20" s="43">
        <v>2207.6666666666665</v>
      </c>
      <c r="H20" s="43">
        <v>23525.333333333332</v>
      </c>
      <c r="I20" s="44">
        <v>3.451499598271855</v>
      </c>
      <c r="J20" s="44">
        <v>33.53236264513225</v>
      </c>
      <c r="K20" s="44">
        <v>18.059981883721413</v>
      </c>
      <c r="L20" s="44">
        <v>274.7775474219105</v>
      </c>
    </row>
    <row r="21">
      <c r="A21" s="39" t="s">
        <v>2</v>
      </c>
      <c r="B21" s="40">
        <v>44039.0</v>
      </c>
      <c r="C21" s="41">
        <v>44045.0</v>
      </c>
      <c r="D21" s="39">
        <v>31.0</v>
      </c>
      <c r="E21" s="42">
        <v>24795.0</v>
      </c>
      <c r="F21" s="39">
        <v>4066.0</v>
      </c>
      <c r="G21" s="43">
        <v>2219.3333333333335</v>
      </c>
      <c r="H21" s="43">
        <v>22575.666666666668</v>
      </c>
      <c r="I21" s="44">
        <v>3.1213962114264593</v>
      </c>
      <c r="J21" s="44">
        <v>36.65375885655871</v>
      </c>
      <c r="K21" s="44">
        <v>17.330939597579917</v>
      </c>
      <c r="L21" s="44">
        <v>292.10848701949044</v>
      </c>
    </row>
    <row r="22">
      <c r="A22" s="39" t="s">
        <v>2</v>
      </c>
      <c r="B22" s="40">
        <v>44046.0</v>
      </c>
      <c r="C22" s="41">
        <v>44052.0</v>
      </c>
      <c r="D22" s="39">
        <v>32.0</v>
      </c>
      <c r="E22" s="42">
        <v>23817.0</v>
      </c>
      <c r="F22" s="39">
        <v>4552.0</v>
      </c>
      <c r="G22" s="43">
        <v>2151.3333333333335</v>
      </c>
      <c r="H22" s="43">
        <v>21665.666666666668</v>
      </c>
      <c r="I22" s="44">
        <v>3.4944898067912553</v>
      </c>
      <c r="J22" s="44">
        <v>40.14824866334997</v>
      </c>
      <c r="K22" s="44">
        <v>16.632348709139663</v>
      </c>
      <c r="L22" s="44">
        <v>308.7408357286301</v>
      </c>
    </row>
    <row r="23">
      <c r="A23" s="39" t="s">
        <v>2</v>
      </c>
      <c r="B23" s="40">
        <v>44053.0</v>
      </c>
      <c r="C23" s="41">
        <v>44059.0</v>
      </c>
      <c r="D23" s="39">
        <v>33.0</v>
      </c>
      <c r="E23" s="42">
        <v>22666.0</v>
      </c>
      <c r="F23" s="39">
        <v>4459.0</v>
      </c>
      <c r="G23" s="43">
        <v>2104.3333333333335</v>
      </c>
      <c r="H23" s="43">
        <v>20561.666666666668</v>
      </c>
      <c r="I23" s="44">
        <v>3.423095353357251</v>
      </c>
      <c r="J23" s="44">
        <v>43.571344016707215</v>
      </c>
      <c r="K23" s="44">
        <v>15.784827455471486</v>
      </c>
      <c r="L23" s="44">
        <v>324.5256631841016</v>
      </c>
    </row>
    <row r="24">
      <c r="A24" s="39" t="s">
        <v>2</v>
      </c>
      <c r="B24" s="40">
        <v>44060.0</v>
      </c>
      <c r="C24" s="41">
        <v>44066.0</v>
      </c>
      <c r="D24" s="39">
        <v>34.0</v>
      </c>
      <c r="E24" s="42">
        <v>21725.0</v>
      </c>
      <c r="F24" s="39">
        <v>3723.0</v>
      </c>
      <c r="G24" s="43">
        <v>2192.3333333333335</v>
      </c>
      <c r="H24" s="43">
        <v>19532.666666666668</v>
      </c>
      <c r="I24" s="44">
        <v>2.8580811842451324</v>
      </c>
      <c r="J24" s="44">
        <v>46.429425200952345</v>
      </c>
      <c r="K24" s="44">
        <v>14.994882373927505</v>
      </c>
      <c r="L24" s="44">
        <v>339.5205455580291</v>
      </c>
    </row>
    <row r="25">
      <c r="A25" s="39" t="s">
        <v>2</v>
      </c>
      <c r="B25" s="40">
        <v>44067.0</v>
      </c>
      <c r="C25" s="41">
        <v>44073.0</v>
      </c>
      <c r="D25" s="39">
        <v>35.0</v>
      </c>
      <c r="E25" s="42">
        <v>20837.0</v>
      </c>
      <c r="F25" s="39">
        <v>3678.0</v>
      </c>
      <c r="G25" s="43">
        <v>2149.6666666666665</v>
      </c>
      <c r="H25" s="43">
        <v>18687.333333333332</v>
      </c>
      <c r="I25" s="44">
        <v>2.8235354809706146</v>
      </c>
      <c r="J25" s="44">
        <v>49.25296068192296</v>
      </c>
      <c r="K25" s="44">
        <v>14.345934940563222</v>
      </c>
      <c r="L25" s="44">
        <v>353.8664804985923</v>
      </c>
    </row>
    <row r="26">
      <c r="A26" s="39" t="s">
        <v>2</v>
      </c>
      <c r="B26" s="40">
        <v>44074.0</v>
      </c>
      <c r="C26" s="41">
        <v>44080.0</v>
      </c>
      <c r="D26" s="39">
        <v>36.0</v>
      </c>
      <c r="E26" s="42">
        <v>20156.0</v>
      </c>
      <c r="F26" s="39">
        <v>3400.0</v>
      </c>
      <c r="G26" s="43">
        <v>2164.6666666666665</v>
      </c>
      <c r="H26" s="43">
        <v>17991.333333333332</v>
      </c>
      <c r="I26" s="44">
        <v>2.6101198029635917</v>
      </c>
      <c r="J26" s="44">
        <v>51.86308048488655</v>
      </c>
      <c r="K26" s="44">
        <v>13.811628063250675</v>
      </c>
      <c r="L26" s="44">
        <v>367.678108561843</v>
      </c>
    </row>
    <row r="27">
      <c r="A27" s="39" t="s">
        <v>2</v>
      </c>
      <c r="B27" s="40">
        <v>44081.0</v>
      </c>
      <c r="C27" s="41">
        <v>44087.0</v>
      </c>
      <c r="D27" s="39">
        <v>37.0</v>
      </c>
      <c r="E27" s="42">
        <v>19490.0</v>
      </c>
      <c r="F27" s="39">
        <v>3263.0</v>
      </c>
      <c r="G27" s="43">
        <v>2228.0</v>
      </c>
      <c r="H27" s="43">
        <v>17262.0</v>
      </c>
      <c r="I27" s="44">
        <v>2.5049473285500583</v>
      </c>
      <c r="J27" s="44">
        <v>54.36802781343661</v>
      </c>
      <c r="K27" s="44">
        <v>13.251731776105151</v>
      </c>
      <c r="L27" s="44">
        <v>380.9298403379481</v>
      </c>
    </row>
    <row r="28">
      <c r="A28" s="39" t="s">
        <v>2</v>
      </c>
      <c r="B28" s="40">
        <v>44088.0</v>
      </c>
      <c r="C28" s="41">
        <v>44094.0</v>
      </c>
      <c r="D28" s="39">
        <v>38.0</v>
      </c>
      <c r="E28" s="42">
        <v>18805.0</v>
      </c>
      <c r="F28" s="39">
        <v>2672.0</v>
      </c>
      <c r="G28" s="43">
        <v>2195.0</v>
      </c>
      <c r="H28" s="43">
        <v>16610.0</v>
      </c>
      <c r="I28" s="44">
        <v>2.051247092211387</v>
      </c>
      <c r="J28" s="44">
        <v>56.419274905647995</v>
      </c>
      <c r="K28" s="44">
        <v>12.751202919772135</v>
      </c>
      <c r="L28" s="44">
        <v>393.68104325772026</v>
      </c>
    </row>
    <row r="29">
      <c r="A29" s="39" t="s">
        <v>2</v>
      </c>
      <c r="B29" s="40">
        <v>44095.0</v>
      </c>
      <c r="C29" s="41">
        <v>44101.0</v>
      </c>
      <c r="D29" s="39">
        <v>39.0</v>
      </c>
      <c r="E29" s="42">
        <v>18933.0</v>
      </c>
      <c r="F29" s="39">
        <v>2937.0</v>
      </c>
      <c r="G29" s="43">
        <v>2189.0</v>
      </c>
      <c r="H29" s="43">
        <v>16744.0</v>
      </c>
      <c r="I29" s="44">
        <v>2.2546829003835493</v>
      </c>
      <c r="J29" s="44">
        <v>58.673957806031545</v>
      </c>
      <c r="K29" s="44">
        <v>12.854072347300699</v>
      </c>
      <c r="L29" s="44">
        <v>406.53511560502096</v>
      </c>
    </row>
    <row r="30">
      <c r="A30" s="39" t="s">
        <v>2</v>
      </c>
      <c r="B30" s="40">
        <v>44102.0</v>
      </c>
      <c r="C30" s="41">
        <v>44108.0</v>
      </c>
      <c r="D30" s="39">
        <v>40.0</v>
      </c>
      <c r="E30" s="42">
        <v>18484.0</v>
      </c>
      <c r="F30" s="39">
        <v>2658.0</v>
      </c>
      <c r="G30" s="43">
        <v>2155.6666666666665</v>
      </c>
      <c r="H30" s="43">
        <v>16328.333333333334</v>
      </c>
      <c r="I30" s="44">
        <v>2.0404995400815373</v>
      </c>
      <c r="J30" s="44">
        <v>60.71445734611308</v>
      </c>
      <c r="K30" s="44">
        <v>12.534972406683483</v>
      </c>
      <c r="L30" s="44">
        <v>419.07008801170446</v>
      </c>
    </row>
    <row r="31">
      <c r="A31" s="39" t="s">
        <v>2</v>
      </c>
      <c r="B31" s="40">
        <v>44109.0</v>
      </c>
      <c r="C31" s="41">
        <v>44115.0</v>
      </c>
      <c r="D31" s="39">
        <v>41.0</v>
      </c>
      <c r="E31" s="42">
        <v>18834.0</v>
      </c>
      <c r="F31" s="39">
        <v>4693.0</v>
      </c>
      <c r="G31" s="43">
        <v>2235.3333333333335</v>
      </c>
      <c r="H31" s="43">
        <v>16598.666666666668</v>
      </c>
      <c r="I31" s="44">
        <v>3.6027330103847452</v>
      </c>
      <c r="J31" s="44">
        <v>64.31719035649782</v>
      </c>
      <c r="K31" s="44">
        <v>12.742502520428923</v>
      </c>
      <c r="L31" s="44">
        <v>431.81259053213336</v>
      </c>
    </row>
    <row r="32">
      <c r="A32" s="39" t="s">
        <v>2</v>
      </c>
      <c r="B32" s="40">
        <v>44116.0</v>
      </c>
      <c r="C32" s="41">
        <v>44122.0</v>
      </c>
      <c r="D32" s="39">
        <v>42.0</v>
      </c>
      <c r="E32" s="42">
        <v>18815.0</v>
      </c>
      <c r="F32" s="39">
        <v>2386.0</v>
      </c>
      <c r="G32" s="43">
        <v>2195.3333333333335</v>
      </c>
      <c r="H32" s="43">
        <v>16619.666666666668</v>
      </c>
      <c r="I32" s="44">
        <v>1.8316899558444497</v>
      </c>
      <c r="J32" s="44">
        <v>66.14888031234227</v>
      </c>
      <c r="K32" s="44">
        <v>12.758623848623698</v>
      </c>
      <c r="L32" s="44">
        <v>444.57121438075706</v>
      </c>
    </row>
    <row r="33">
      <c r="A33" s="39" t="s">
        <v>2</v>
      </c>
      <c r="B33" s="40">
        <v>44123.0</v>
      </c>
      <c r="C33" s="41">
        <v>44129.0</v>
      </c>
      <c r="D33" s="39">
        <v>43.0</v>
      </c>
      <c r="E33" s="42">
        <v>19567.0</v>
      </c>
      <c r="F33" s="39">
        <v>2757.0</v>
      </c>
      <c r="G33" s="43">
        <v>2209.0</v>
      </c>
      <c r="H33" s="43">
        <v>17358.0</v>
      </c>
      <c r="I33" s="44">
        <v>2.116500087285477</v>
      </c>
      <c r="J33" s="44">
        <v>68.26538039962774</v>
      </c>
      <c r="K33" s="44">
        <v>13.325429276424122</v>
      </c>
      <c r="L33" s="44">
        <v>457.8966436571812</v>
      </c>
    </row>
    <row r="34">
      <c r="A34" s="39" t="s">
        <v>2</v>
      </c>
      <c r="B34" s="40">
        <v>44130.0</v>
      </c>
      <c r="C34" s="41">
        <v>44136.0</v>
      </c>
      <c r="D34" s="39">
        <v>44.0</v>
      </c>
      <c r="E34" s="42">
        <v>20224.0</v>
      </c>
      <c r="F34" s="39">
        <v>2971.0</v>
      </c>
      <c r="G34" s="43">
        <v>2178.6666666666665</v>
      </c>
      <c r="H34" s="43">
        <v>18045.333333333332</v>
      </c>
      <c r="I34" s="44">
        <v>2.2807840984131853</v>
      </c>
      <c r="J34" s="44">
        <v>70.54616449804092</v>
      </c>
      <c r="K34" s="44">
        <v>13.853082907180095</v>
      </c>
      <c r="L34" s="44">
        <v>471.74972656436125</v>
      </c>
    </row>
    <row r="35">
      <c r="A35" s="39" t="s">
        <v>2</v>
      </c>
      <c r="B35" s="40">
        <v>44137.0</v>
      </c>
      <c r="C35" s="41">
        <v>44143.0</v>
      </c>
      <c r="D35" s="39">
        <v>45.0</v>
      </c>
      <c r="E35" s="42">
        <v>21326.0</v>
      </c>
      <c r="F35" s="39">
        <v>3132.0</v>
      </c>
      <c r="G35" s="43">
        <v>2092.6666666666665</v>
      </c>
      <c r="H35" s="43">
        <v>19233.333333333332</v>
      </c>
      <c r="I35" s="44">
        <v>2.404380947906461</v>
      </c>
      <c r="J35" s="44">
        <v>72.95054544594738</v>
      </c>
      <c r="K35" s="44">
        <v>14.765089473627373</v>
      </c>
      <c r="L35" s="44">
        <v>486.5148160379886</v>
      </c>
    </row>
    <row r="36">
      <c r="A36" s="39" t="s">
        <v>2</v>
      </c>
      <c r="B36" s="40">
        <v>44144.0</v>
      </c>
      <c r="C36" s="41">
        <v>44150.0</v>
      </c>
      <c r="D36" s="39">
        <v>46.0</v>
      </c>
      <c r="E36" s="42">
        <v>21619.0</v>
      </c>
      <c r="F36" s="39">
        <v>3515.0</v>
      </c>
      <c r="G36" s="43">
        <v>2035.0</v>
      </c>
      <c r="H36" s="43">
        <v>19584.0</v>
      </c>
      <c r="I36" s="44">
        <v>2.69840326688736</v>
      </c>
      <c r="J36" s="44">
        <v>75.64894871283474</v>
      </c>
      <c r="K36" s="44">
        <v>15.034290065070287</v>
      </c>
      <c r="L36" s="44">
        <v>501.54910610305893</v>
      </c>
    </row>
    <row r="37">
      <c r="A37" s="39" t="s">
        <v>2</v>
      </c>
      <c r="B37" s="40">
        <v>44151.0</v>
      </c>
      <c r="C37" s="41">
        <v>44157.0</v>
      </c>
      <c r="D37" s="39">
        <v>47.0</v>
      </c>
      <c r="E37" s="42">
        <v>22294.0</v>
      </c>
      <c r="F37" s="39">
        <v>3134.0</v>
      </c>
      <c r="G37" s="43">
        <v>2087.0</v>
      </c>
      <c r="H37" s="43">
        <v>20207.0</v>
      </c>
      <c r="I37" s="44">
        <v>2.40591631249644</v>
      </c>
      <c r="J37" s="44">
        <v>78.05486502533118</v>
      </c>
      <c r="K37" s="44">
        <v>15.512556134848616</v>
      </c>
      <c r="L37" s="44">
        <v>517.0616622379075</v>
      </c>
    </row>
    <row r="38">
      <c r="A38" s="39" t="s">
        <v>2</v>
      </c>
      <c r="B38" s="40">
        <v>44158.0</v>
      </c>
      <c r="C38" s="41">
        <v>44164.0</v>
      </c>
      <c r="D38" s="39">
        <v>48.0</v>
      </c>
      <c r="E38" s="42">
        <v>22534.0</v>
      </c>
      <c r="F38" s="39">
        <v>3979.0</v>
      </c>
      <c r="G38" s="43">
        <v>2116.3333333333335</v>
      </c>
      <c r="H38" s="43">
        <v>20417.666666666668</v>
      </c>
      <c r="I38" s="44">
        <v>3.054607851762391</v>
      </c>
      <c r="J38" s="44">
        <v>81.10947287709357</v>
      </c>
      <c r="K38" s="44">
        <v>15.674281204993028</v>
      </c>
      <c r="L38" s="44">
        <v>532.7359434429005</v>
      </c>
    </row>
    <row r="39">
      <c r="A39" s="39" t="s">
        <v>2</v>
      </c>
      <c r="B39" s="40">
        <v>44165.0</v>
      </c>
      <c r="C39" s="41">
        <v>44171.0</v>
      </c>
      <c r="D39" s="39">
        <v>49.0</v>
      </c>
      <c r="E39" s="42">
        <v>23495.0</v>
      </c>
      <c r="F39" s="39">
        <v>4062.0</v>
      </c>
      <c r="G39" s="43">
        <v>2081.3333333333335</v>
      </c>
      <c r="H39" s="43">
        <v>21413.666666666668</v>
      </c>
      <c r="I39" s="44">
        <v>3.1183254822465023</v>
      </c>
      <c r="J39" s="44">
        <v>84.22779835934007</v>
      </c>
      <c r="K39" s="44">
        <v>16.43889277080236</v>
      </c>
      <c r="L39" s="44">
        <v>549.1748362137029</v>
      </c>
    </row>
    <row r="40">
      <c r="A40" s="39" t="s">
        <v>2</v>
      </c>
      <c r="B40" s="40">
        <v>44172.0</v>
      </c>
      <c r="C40" s="41">
        <v>44178.0</v>
      </c>
      <c r="D40" s="39">
        <v>50.0</v>
      </c>
      <c r="E40" s="42">
        <v>25342.0</v>
      </c>
      <c r="F40" s="39">
        <v>4236.0</v>
      </c>
      <c r="G40" s="43">
        <v>2107.0</v>
      </c>
      <c r="H40" s="43">
        <v>23235.0</v>
      </c>
      <c r="I40" s="44">
        <v>3.2519022015746395</v>
      </c>
      <c r="J40" s="44">
        <v>87.47970056091471</v>
      </c>
      <c r="K40" s="44">
        <v>17.83709812407619</v>
      </c>
      <c r="L40" s="44">
        <v>567.011934337779</v>
      </c>
    </row>
    <row r="41">
      <c r="A41" s="39" t="s">
        <v>2</v>
      </c>
      <c r="B41" s="40">
        <v>44179.0</v>
      </c>
      <c r="C41" s="41">
        <v>44185.0</v>
      </c>
      <c r="D41" s="39">
        <v>51.0</v>
      </c>
      <c r="E41" s="42">
        <v>26560.0</v>
      </c>
      <c r="F41" s="39">
        <v>4249.0</v>
      </c>
      <c r="G41" s="43">
        <v>2159.3333333333335</v>
      </c>
      <c r="H41" s="43">
        <v>24400.666666666668</v>
      </c>
      <c r="I41" s="44">
        <v>3.2618820714094996</v>
      </c>
      <c r="J41" s="44">
        <v>90.74158263232421</v>
      </c>
      <c r="K41" s="44">
        <v>18.731959785935377</v>
      </c>
      <c r="L41" s="44">
        <v>585.7438941237144</v>
      </c>
    </row>
    <row r="42">
      <c r="A42" s="39" t="s">
        <v>2</v>
      </c>
      <c r="B42" s="40">
        <v>44186.0</v>
      </c>
      <c r="C42" s="41">
        <v>44192.0</v>
      </c>
      <c r="D42" s="39">
        <v>52.0</v>
      </c>
      <c r="E42" s="42">
        <v>29609.0</v>
      </c>
      <c r="F42" s="39">
        <v>4224.0</v>
      </c>
      <c r="G42" s="43">
        <v>2197.6666666666665</v>
      </c>
      <c r="H42" s="43">
        <v>27411.333333333332</v>
      </c>
      <c r="I42" s="44">
        <v>3.242690014034768</v>
      </c>
      <c r="J42" s="44">
        <v>93.98427264635897</v>
      </c>
      <c r="K42" s="44">
        <v>21.0431952820498</v>
      </c>
      <c r="L42" s="44">
        <v>606.7870894057643</v>
      </c>
    </row>
    <row r="43">
      <c r="A43" s="39" t="s">
        <v>2</v>
      </c>
      <c r="B43" s="40">
        <v>44193.0</v>
      </c>
      <c r="C43" s="41">
        <v>44199.0</v>
      </c>
      <c r="D43" s="39">
        <v>53.0</v>
      </c>
      <c r="E43" s="42">
        <v>32637.0</v>
      </c>
      <c r="F43" s="39">
        <v>4787.0</v>
      </c>
      <c r="G43" s="43">
        <v>1987.0</v>
      </c>
      <c r="H43" s="43">
        <v>30650.0</v>
      </c>
      <c r="I43" s="44">
        <v>3.674895146113739</v>
      </c>
      <c r="J43" s="44">
        <v>97.65916779247272</v>
      </c>
      <c r="K43" s="44">
        <v>23.529462341421787</v>
      </c>
      <c r="L43" s="44">
        <v>630.316551747186</v>
      </c>
    </row>
    <row r="44">
      <c r="A44" s="39" t="s">
        <v>2</v>
      </c>
      <c r="B44" s="40">
        <v>44200.0</v>
      </c>
      <c r="C44" s="41">
        <v>44206.0</v>
      </c>
      <c r="D44" s="39">
        <v>1.0</v>
      </c>
      <c r="E44" s="42">
        <v>36287.0</v>
      </c>
      <c r="F44" s="39">
        <v>6493.0</v>
      </c>
      <c r="G44" s="43">
        <v>2030.0</v>
      </c>
      <c r="H44" s="43">
        <v>34257.0</v>
      </c>
      <c r="I44" s="44">
        <v>4.984561141365471</v>
      </c>
      <c r="J44" s="44">
        <v>102.64372893383819</v>
      </c>
      <c r="K44" s="44">
        <v>26.298492379448163</v>
      </c>
      <c r="L44" s="44">
        <v>656.6150441266342</v>
      </c>
    </row>
    <row r="45">
      <c r="A45" s="39" t="s">
        <v>2</v>
      </c>
      <c r="B45" s="40">
        <v>44207.0</v>
      </c>
      <c r="C45" s="41">
        <v>44213.0</v>
      </c>
      <c r="D45" s="39">
        <v>2.0</v>
      </c>
      <c r="E45" s="42">
        <v>43427.0</v>
      </c>
      <c r="F45" s="39">
        <v>6998.0</v>
      </c>
      <c r="G45" s="43">
        <v>2013.75</v>
      </c>
      <c r="H45" s="43">
        <v>41413.25</v>
      </c>
      <c r="I45" s="44">
        <v>5.3722407003350625</v>
      </c>
      <c r="J45" s="44">
        <v>108.01596963417325</v>
      </c>
      <c r="K45" s="44">
        <v>31.792218802965284</v>
      </c>
      <c r="L45" s="44">
        <v>688.4072629295995</v>
      </c>
    </row>
    <row r="46">
      <c r="A46" s="39" t="s">
        <v>2</v>
      </c>
      <c r="B46" s="40">
        <v>44214.0</v>
      </c>
      <c r="C46" s="41">
        <v>44220.0</v>
      </c>
      <c r="D46" s="39">
        <v>3.0</v>
      </c>
      <c r="E46" s="42">
        <v>44667.0</v>
      </c>
      <c r="F46" s="39">
        <v>8910.0</v>
      </c>
      <c r="G46" s="43">
        <v>2044.25</v>
      </c>
      <c r="H46" s="43">
        <v>42622.75</v>
      </c>
      <c r="I46" s="44">
        <v>6.840049248354588</v>
      </c>
      <c r="J46" s="44">
        <v>114.85601888252783</v>
      </c>
      <c r="K46" s="44">
        <v>32.72073053875483</v>
      </c>
      <c r="L46" s="44">
        <v>721.1279934683544</v>
      </c>
    </row>
    <row r="47">
      <c r="A47" s="39" t="s">
        <v>2</v>
      </c>
      <c r="B47" s="40">
        <v>44221.0</v>
      </c>
      <c r="C47" s="41">
        <v>44227.0</v>
      </c>
      <c r="D47" s="39">
        <v>4.0</v>
      </c>
      <c r="E47" s="42">
        <v>36617.0</v>
      </c>
      <c r="F47" s="39">
        <v>8922.0</v>
      </c>
      <c r="G47" s="43">
        <v>2062.0</v>
      </c>
      <c r="H47" s="43">
        <v>34555.0</v>
      </c>
      <c r="I47" s="44">
        <v>6.8492614358944595</v>
      </c>
      <c r="J47" s="44">
        <v>121.7052803184223</v>
      </c>
      <c r="K47" s="44">
        <v>26.527261703354974</v>
      </c>
      <c r="L47" s="44">
        <v>747.6552551717093</v>
      </c>
    </row>
    <row r="48">
      <c r="A48" s="39" t="s">
        <v>2</v>
      </c>
      <c r="B48" s="40">
        <v>44228.0</v>
      </c>
      <c r="C48" s="41">
        <v>44234.0</v>
      </c>
      <c r="D48" s="39">
        <v>5.0</v>
      </c>
      <c r="E48" s="42">
        <v>31825.0</v>
      </c>
      <c r="F48" s="39">
        <v>7664.0</v>
      </c>
      <c r="G48" s="43">
        <v>2108.0</v>
      </c>
      <c r="H48" s="43">
        <v>29717.0</v>
      </c>
      <c r="I48" s="44">
        <v>5.883517108797931</v>
      </c>
      <c r="J48" s="44">
        <v>127.58879742722023</v>
      </c>
      <c r="K48" s="44">
        <v>22.81321476019678</v>
      </c>
      <c r="L48" s="44">
        <v>770.468469931906</v>
      </c>
    </row>
    <row r="49">
      <c r="A49" s="39" t="s">
        <v>2</v>
      </c>
      <c r="B49" s="40">
        <v>44235.0</v>
      </c>
      <c r="C49" s="41">
        <v>44241.0</v>
      </c>
      <c r="D49" s="39">
        <v>6.0</v>
      </c>
      <c r="E49" s="42">
        <v>26858.0</v>
      </c>
      <c r="F49" s="39">
        <v>8007.0</v>
      </c>
      <c r="G49" s="43">
        <v>2077.75</v>
      </c>
      <c r="H49" s="43">
        <v>24780.25</v>
      </c>
      <c r="I49" s="44">
        <v>6.146832135979258</v>
      </c>
      <c r="J49" s="44">
        <v>133.7356295631995</v>
      </c>
      <c r="K49" s="44">
        <v>19.023359190408392</v>
      </c>
      <c r="L49" s="44">
        <v>789.4918291223145</v>
      </c>
    </row>
    <row r="50">
      <c r="A50" s="39" t="s">
        <v>2</v>
      </c>
      <c r="B50" s="40">
        <v>44242.0</v>
      </c>
      <c r="C50" s="41">
        <v>44248.0</v>
      </c>
      <c r="D50" s="39">
        <v>7.0</v>
      </c>
      <c r="E50" s="42">
        <v>25330.0</v>
      </c>
      <c r="F50" s="39">
        <v>5900.0</v>
      </c>
      <c r="G50" s="43">
        <v>2081.5</v>
      </c>
      <c r="H50" s="43">
        <v>23248.5</v>
      </c>
      <c r="I50" s="44">
        <v>4.52932554043682</v>
      </c>
      <c r="J50" s="44">
        <v>138.2649551036363</v>
      </c>
      <c r="K50" s="44">
        <v>17.847461835058546</v>
      </c>
      <c r="L50" s="44">
        <v>807.339290957373</v>
      </c>
    </row>
    <row r="51">
      <c r="A51" s="39" t="s">
        <v>2</v>
      </c>
      <c r="B51" s="40">
        <v>44249.0</v>
      </c>
      <c r="C51" s="41">
        <v>44255.0</v>
      </c>
      <c r="D51" s="39">
        <v>8.0</v>
      </c>
      <c r="E51" s="42">
        <v>24010.0</v>
      </c>
      <c r="F51" s="39">
        <v>5608.0</v>
      </c>
      <c r="G51" s="43">
        <v>2167.25</v>
      </c>
      <c r="H51" s="43">
        <v>21842.75</v>
      </c>
      <c r="I51" s="44">
        <v>4.305162310299948</v>
      </c>
      <c r="J51" s="44">
        <v>142.57011741393626</v>
      </c>
      <c r="K51" s="44">
        <v>16.768292448877347</v>
      </c>
      <c r="L51" s="44">
        <v>824.1075834062503</v>
      </c>
    </row>
    <row r="52">
      <c r="A52" s="39" t="s">
        <v>2</v>
      </c>
      <c r="B52" s="40">
        <v>44256.0</v>
      </c>
      <c r="C52" s="41">
        <v>44262.0</v>
      </c>
      <c r="D52" s="39">
        <v>9.0</v>
      </c>
      <c r="E52" s="42">
        <v>20488.0</v>
      </c>
      <c r="F52" s="39">
        <v>4889.0</v>
      </c>
      <c r="G52" s="43">
        <v>2079.3333333333335</v>
      </c>
      <c r="H52" s="43">
        <v>18408.666666666668</v>
      </c>
      <c r="I52" s="44">
        <v>3.7531987402026465</v>
      </c>
      <c r="J52" s="44">
        <v>146.3233161541389</v>
      </c>
      <c r="K52" s="44">
        <v>14.132007474359542</v>
      </c>
      <c r="L52" s="44">
        <v>838.2395908806099</v>
      </c>
    </row>
    <row r="53">
      <c r="A53" s="39" t="s">
        <v>2</v>
      </c>
      <c r="B53" s="40">
        <v>44263.0</v>
      </c>
      <c r="C53" s="41">
        <v>44269.0</v>
      </c>
      <c r="D53" s="39">
        <v>10.0</v>
      </c>
      <c r="E53" s="42">
        <v>19752.0</v>
      </c>
      <c r="F53" s="39">
        <v>4106.0</v>
      </c>
      <c r="G53" s="43">
        <v>2021.0</v>
      </c>
      <c r="H53" s="43">
        <v>17731.0</v>
      </c>
      <c r="I53" s="44">
        <v>3.1521035032260314</v>
      </c>
      <c r="J53" s="44">
        <v>149.47541965736494</v>
      </c>
      <c r="K53" s="44">
        <v>13.61177477245513</v>
      </c>
      <c r="L53" s="44">
        <v>851.8513656530649</v>
      </c>
    </row>
    <row r="54">
      <c r="A54" s="39" t="s">
        <v>2</v>
      </c>
      <c r="B54" s="40">
        <v>44270.0</v>
      </c>
      <c r="C54" s="41">
        <v>44276.0</v>
      </c>
      <c r="D54" s="39">
        <v>11.0</v>
      </c>
      <c r="E54" s="42">
        <v>18508.0</v>
      </c>
      <c r="F54" s="39">
        <v>3326.0</v>
      </c>
      <c r="G54" s="43">
        <v>2002.6666666666667</v>
      </c>
      <c r="H54" s="43">
        <v>16505.333333333332</v>
      </c>
      <c r="I54" s="44">
        <v>2.553311313134384</v>
      </c>
      <c r="J54" s="44">
        <v>152.0287309704993</v>
      </c>
      <c r="K54" s="44">
        <v>12.670852172896586</v>
      </c>
      <c r="L54" s="44">
        <v>864.5222178259615</v>
      </c>
    </row>
    <row r="55">
      <c r="A55" s="39" t="s">
        <v>2</v>
      </c>
      <c r="B55" s="40">
        <v>44277.0</v>
      </c>
      <c r="C55" s="41">
        <v>44283.0</v>
      </c>
      <c r="D55" s="39">
        <v>12.0</v>
      </c>
      <c r="E55" s="42">
        <v>17801.0</v>
      </c>
      <c r="F55" s="39">
        <v>3587.0</v>
      </c>
      <c r="G55" s="43">
        <v>2001.6666666666667</v>
      </c>
      <c r="H55" s="43">
        <v>15799.333333333334</v>
      </c>
      <c r="I55" s="44">
        <v>2.753676392126589</v>
      </c>
      <c r="J55" s="44">
        <v>154.7824073626259</v>
      </c>
      <c r="K55" s="44">
        <v>12.12886847263415</v>
      </c>
      <c r="L55" s="44">
        <v>876.6510862985957</v>
      </c>
    </row>
    <row r="56">
      <c r="A56" s="39" t="s">
        <v>2</v>
      </c>
      <c r="B56" s="40">
        <v>44284.0</v>
      </c>
      <c r="C56" s="41">
        <v>44290.0</v>
      </c>
      <c r="D56" s="39">
        <v>13.0</v>
      </c>
      <c r="E56" s="42">
        <v>16992.0</v>
      </c>
      <c r="F56" s="39">
        <v>2524.0</v>
      </c>
      <c r="G56" s="43">
        <v>1975.0</v>
      </c>
      <c r="H56" s="43">
        <v>15017.0</v>
      </c>
      <c r="I56" s="44">
        <v>1.937630112552972</v>
      </c>
      <c r="J56" s="44">
        <v>156.72003747517886</v>
      </c>
      <c r="K56" s="44">
        <v>11.528285023854192</v>
      </c>
      <c r="L56" s="44">
        <v>888.1793713224499</v>
      </c>
    </row>
    <row r="57">
      <c r="A57" s="39" t="s">
        <v>2</v>
      </c>
      <c r="B57" s="40">
        <v>44291.0</v>
      </c>
      <c r="C57" s="41">
        <v>44297.0</v>
      </c>
      <c r="D57" s="39">
        <v>14.0</v>
      </c>
      <c r="E57" s="42">
        <v>17364.0</v>
      </c>
      <c r="F57" s="39">
        <v>5191.0</v>
      </c>
      <c r="G57" s="43">
        <v>1898.6666666666667</v>
      </c>
      <c r="H57" s="43">
        <v>15465.333333333334</v>
      </c>
      <c r="I57" s="44">
        <v>3.9850387932894127</v>
      </c>
      <c r="J57" s="44">
        <v>160.70507626846828</v>
      </c>
      <c r="K57" s="44">
        <v>11.872462586107725</v>
      </c>
      <c r="L57" s="44">
        <v>900.0518339085577</v>
      </c>
    </row>
    <row r="58">
      <c r="A58" s="39" t="s">
        <v>2</v>
      </c>
      <c r="B58" s="40">
        <v>44298.0</v>
      </c>
      <c r="C58" s="41">
        <v>44304.0</v>
      </c>
      <c r="D58" s="39">
        <v>15.0</v>
      </c>
      <c r="E58" s="42">
        <v>16927.0</v>
      </c>
      <c r="F58" s="39">
        <v>3001.0</v>
      </c>
      <c r="G58" s="43">
        <v>1960.6666666666667</v>
      </c>
      <c r="H58" s="43">
        <v>14966.333333333334</v>
      </c>
      <c r="I58" s="44">
        <v>2.3038145672628643</v>
      </c>
      <c r="J58" s="44">
        <v>163.00889083573114</v>
      </c>
      <c r="K58" s="44">
        <v>11.489389120908069</v>
      </c>
      <c r="L58" s="44">
        <v>911.5412230294658</v>
      </c>
    </row>
    <row r="59">
      <c r="A59" s="39" t="s">
        <v>2</v>
      </c>
      <c r="B59" s="40">
        <v>44305.0</v>
      </c>
      <c r="C59" s="41">
        <v>44311.0</v>
      </c>
      <c r="D59" s="39">
        <v>16.0</v>
      </c>
      <c r="E59" s="42">
        <v>16037.0</v>
      </c>
      <c r="F59" s="39">
        <v>2608.0</v>
      </c>
      <c r="G59" s="43">
        <v>1939.3333333333333</v>
      </c>
      <c r="H59" s="43">
        <v>14097.666666666666</v>
      </c>
      <c r="I59" s="44">
        <v>2.0021154253320725</v>
      </c>
      <c r="J59" s="44">
        <v>165.01100626106322</v>
      </c>
      <c r="K59" s="44">
        <v>10.822529100660702</v>
      </c>
      <c r="L59" s="44">
        <v>922.3637521301265</v>
      </c>
    </row>
    <row r="60">
      <c r="A60" s="39" t="s">
        <v>2</v>
      </c>
      <c r="B60" s="40">
        <v>44312.0</v>
      </c>
      <c r="C60" s="41">
        <v>44318.0</v>
      </c>
      <c r="D60" s="39">
        <v>17.0</v>
      </c>
      <c r="E60" s="42">
        <v>15511.0</v>
      </c>
      <c r="F60" s="39">
        <v>2286.0</v>
      </c>
      <c r="G60" s="43">
        <v>1952.0</v>
      </c>
      <c r="H60" s="43">
        <v>13559.0</v>
      </c>
      <c r="I60" s="44">
        <v>1.7549217263455206</v>
      </c>
      <c r="J60" s="44">
        <v>166.76592798740873</v>
      </c>
      <c r="K60" s="44">
        <v>10.409004237759806</v>
      </c>
      <c r="L60" s="44">
        <v>932.7727563678864</v>
      </c>
    </row>
    <row r="61">
      <c r="A61" s="39" t="s">
        <v>2</v>
      </c>
      <c r="B61" s="40">
        <v>44319.0</v>
      </c>
      <c r="C61" s="41">
        <v>44325.0</v>
      </c>
      <c r="D61" s="39">
        <v>18.0</v>
      </c>
      <c r="E61" s="42">
        <v>15125.0</v>
      </c>
      <c r="F61" s="39">
        <v>1752.0</v>
      </c>
      <c r="G61" s="43">
        <v>1920.6666666666667</v>
      </c>
      <c r="H61" s="43">
        <v>13204.333333333334</v>
      </c>
      <c r="I61" s="44">
        <v>1.344979380821239</v>
      </c>
      <c r="J61" s="44">
        <v>168.11090736822996</v>
      </c>
      <c r="K61" s="44">
        <v>10.136732917136937</v>
      </c>
      <c r="L61" s="44">
        <v>942.9094892850233</v>
      </c>
    </row>
    <row r="62">
      <c r="A62" s="39" t="s">
        <v>2</v>
      </c>
      <c r="B62" s="40">
        <v>44326.0</v>
      </c>
      <c r="C62" s="41">
        <v>44332.0</v>
      </c>
      <c r="D62" s="39">
        <v>19.0</v>
      </c>
      <c r="E62" s="42">
        <v>14734.0</v>
      </c>
      <c r="F62" s="39">
        <v>1452.0</v>
      </c>
      <c r="G62" s="43">
        <v>1963.3333333333333</v>
      </c>
      <c r="H62" s="43">
        <v>12770.666666666666</v>
      </c>
      <c r="I62" s="44">
        <v>1.1146746923244513</v>
      </c>
      <c r="J62" s="44">
        <v>169.22558206055442</v>
      </c>
      <c r="K62" s="44">
        <v>9.803814695209914</v>
      </c>
      <c r="L62" s="44">
        <v>952.7133039802331</v>
      </c>
    </row>
    <row r="63">
      <c r="A63" s="39" t="s">
        <v>2</v>
      </c>
      <c r="B63" s="40">
        <v>44333.0</v>
      </c>
      <c r="C63" s="41">
        <v>44339.0</v>
      </c>
      <c r="D63" s="39">
        <v>20.0</v>
      </c>
      <c r="E63" s="42">
        <v>14264.0</v>
      </c>
      <c r="F63" s="39">
        <v>1210.0</v>
      </c>
      <c r="G63" s="43">
        <v>2034.0</v>
      </c>
      <c r="H63" s="43">
        <v>12230.0</v>
      </c>
      <c r="I63" s="44">
        <v>0.9288955769370428</v>
      </c>
      <c r="J63" s="44">
        <v>170.15447763749145</v>
      </c>
      <c r="K63" s="44">
        <v>9.388754467719036</v>
      </c>
      <c r="L63" s="44">
        <v>962.1020584479522</v>
      </c>
    </row>
    <row r="64">
      <c r="A64" s="39" t="s">
        <v>2</v>
      </c>
      <c r="B64" s="40">
        <v>44340.0</v>
      </c>
      <c r="C64" s="41">
        <v>44346.0</v>
      </c>
      <c r="D64" s="39">
        <v>21.0</v>
      </c>
      <c r="E64" s="42">
        <v>14358.0</v>
      </c>
      <c r="F64" s="39">
        <v>1860.0</v>
      </c>
      <c r="G64" s="43">
        <v>2060.3333333333335</v>
      </c>
      <c r="H64" s="43">
        <v>12297.666666666666</v>
      </c>
      <c r="I64" s="44">
        <v>1.4278890686800823</v>
      </c>
      <c r="J64" s="44">
        <v>171.58236670617154</v>
      </c>
      <c r="K64" s="44">
        <v>9.440700969679979</v>
      </c>
      <c r="L64" s="44">
        <v>971.5427594176322</v>
      </c>
    </row>
    <row r="65">
      <c r="A65" s="39" t="s">
        <v>2</v>
      </c>
      <c r="B65" s="40">
        <v>44347.0</v>
      </c>
      <c r="C65" s="41">
        <v>44353.0</v>
      </c>
      <c r="D65" s="39">
        <v>22.0</v>
      </c>
      <c r="E65" s="42">
        <v>13943.0</v>
      </c>
      <c r="F65" s="39">
        <v>1025.0</v>
      </c>
      <c r="G65" s="43">
        <v>2084.3333333333335</v>
      </c>
      <c r="H65" s="43">
        <v>11858.666666666666</v>
      </c>
      <c r="I65" s="44">
        <v>0.7868743523640239</v>
      </c>
      <c r="J65" s="44">
        <v>172.36924105853558</v>
      </c>
      <c r="K65" s="44">
        <v>9.103688442179678</v>
      </c>
      <c r="L65" s="44">
        <v>980.6464478598118</v>
      </c>
    </row>
    <row r="66">
      <c r="A66" s="39" t="s">
        <v>2</v>
      </c>
      <c r="B66" s="40">
        <v>44354.0</v>
      </c>
      <c r="C66" s="41">
        <v>44360.0</v>
      </c>
      <c r="D66" s="39">
        <v>23.0</v>
      </c>
      <c r="E66" s="42">
        <v>14140.0</v>
      </c>
      <c r="F66" s="39">
        <v>1346.0</v>
      </c>
      <c r="G66" s="43">
        <v>2181.6666666666665</v>
      </c>
      <c r="H66" s="43">
        <v>11958.333333333334</v>
      </c>
      <c r="I66" s="44">
        <v>1.0333003690555864</v>
      </c>
      <c r="J66" s="44">
        <v>173.40254142759116</v>
      </c>
      <c r="K66" s="44">
        <v>9.180200777580279</v>
      </c>
      <c r="L66" s="44">
        <v>989.826648637392</v>
      </c>
    </row>
    <row r="67">
      <c r="A67" s="39" t="s">
        <v>2</v>
      </c>
      <c r="B67" s="40">
        <v>44361.0</v>
      </c>
      <c r="C67" s="41">
        <v>44367.0</v>
      </c>
      <c r="D67" s="39">
        <v>24.0</v>
      </c>
      <c r="E67" s="42">
        <v>14261.0</v>
      </c>
      <c r="F67" s="39">
        <v>1037.0</v>
      </c>
      <c r="G67" s="43">
        <v>2197.3333333333335</v>
      </c>
      <c r="H67" s="43">
        <v>12063.666666666666</v>
      </c>
      <c r="I67" s="44">
        <v>0.7960865399038954</v>
      </c>
      <c r="J67" s="44">
        <v>174.19862796749504</v>
      </c>
      <c r="K67" s="44">
        <v>9.261063312652484</v>
      </c>
      <c r="L67" s="44">
        <v>999.0877119500445</v>
      </c>
    </row>
    <row r="68">
      <c r="A68" s="39" t="s">
        <v>2</v>
      </c>
      <c r="B68" s="40">
        <v>44368.0</v>
      </c>
      <c r="C68" s="41">
        <v>44374.0</v>
      </c>
      <c r="D68" s="39">
        <v>25.0</v>
      </c>
      <c r="E68" s="42">
        <v>14323.0</v>
      </c>
      <c r="F68" s="39">
        <v>1377.0</v>
      </c>
      <c r="G68" s="43">
        <v>2184.3333333333335</v>
      </c>
      <c r="H68" s="43">
        <v>12138.666666666666</v>
      </c>
      <c r="I68" s="44">
        <v>1.0570985202002545</v>
      </c>
      <c r="J68" s="44">
        <v>175.25572648769528</v>
      </c>
      <c r="K68" s="44">
        <v>9.31863948477668</v>
      </c>
      <c r="L68" s="44">
        <v>1008.4063514348212</v>
      </c>
    </row>
    <row r="69">
      <c r="A69" s="39" t="s">
        <v>2</v>
      </c>
      <c r="B69" s="40">
        <v>44375.0</v>
      </c>
      <c r="C69" s="41">
        <v>44381.0</v>
      </c>
      <c r="D69" s="39">
        <v>26.0</v>
      </c>
      <c r="E69" s="42">
        <v>14582.0</v>
      </c>
      <c r="F69" s="39">
        <v>1058.0</v>
      </c>
      <c r="G69" s="43">
        <v>2225.3333333333335</v>
      </c>
      <c r="H69" s="43">
        <v>12356.666666666666</v>
      </c>
      <c r="I69" s="44">
        <v>0.8122078680986705</v>
      </c>
      <c r="J69" s="44">
        <v>176.06793435579397</v>
      </c>
      <c r="K69" s="44">
        <v>9.485994225084347</v>
      </c>
      <c r="L69" s="44">
        <v>1017.8923456599056</v>
      </c>
    </row>
    <row r="70">
      <c r="A70" s="39" t="s">
        <v>2</v>
      </c>
      <c r="B70" s="40">
        <v>44382.0</v>
      </c>
      <c r="C70" s="41">
        <v>44388.0</v>
      </c>
      <c r="D70" s="39">
        <v>27.0</v>
      </c>
      <c r="E70" s="42">
        <v>15444.0</v>
      </c>
      <c r="F70" s="39">
        <v>1347.0</v>
      </c>
      <c r="G70" s="43">
        <v>2170.3333333333335</v>
      </c>
      <c r="H70" s="43">
        <v>13273.666666666666</v>
      </c>
      <c r="I70" s="44">
        <v>1.0340680513505758</v>
      </c>
      <c r="J70" s="44">
        <v>177.10200240714454</v>
      </c>
      <c r="K70" s="44">
        <v>10.189958889589526</v>
      </c>
      <c r="L70" s="44">
        <v>1028.0823045494951</v>
      </c>
    </row>
    <row r="71">
      <c r="A71" s="39" t="s">
        <v>2</v>
      </c>
      <c r="B71" s="40">
        <v>44389.0</v>
      </c>
      <c r="C71" s="41">
        <v>44395.0</v>
      </c>
      <c r="D71" s="39">
        <v>28.0</v>
      </c>
      <c r="E71" s="42">
        <v>16410.0</v>
      </c>
      <c r="F71" s="39">
        <v>1362.0</v>
      </c>
      <c r="G71" s="43">
        <v>2189.0</v>
      </c>
      <c r="H71" s="43">
        <v>14221.0</v>
      </c>
      <c r="I71" s="44">
        <v>1.0455832857754153</v>
      </c>
      <c r="J71" s="44">
        <v>178.14758569291996</v>
      </c>
      <c r="K71" s="44">
        <v>10.917209917042717</v>
      </c>
      <c r="L71" s="44">
        <v>1038.999514466538</v>
      </c>
    </row>
    <row r="72">
      <c r="A72" s="39" t="s">
        <v>2</v>
      </c>
      <c r="B72" s="40">
        <v>44396.0</v>
      </c>
      <c r="C72" s="41">
        <v>44402.0</v>
      </c>
      <c r="D72" s="39">
        <v>29.0</v>
      </c>
      <c r="E72" s="42">
        <v>18342.0</v>
      </c>
      <c r="F72" s="39">
        <v>2093.0</v>
      </c>
      <c r="G72" s="43">
        <v>2199.0</v>
      </c>
      <c r="H72" s="43">
        <v>16143.0</v>
      </c>
      <c r="I72" s="44">
        <v>1.6067590434125874</v>
      </c>
      <c r="J72" s="44">
        <v>179.75434473633254</v>
      </c>
      <c r="K72" s="44">
        <v>12.392695288012133</v>
      </c>
      <c r="L72" s="44">
        <v>1051.39220975455</v>
      </c>
    </row>
    <row r="73">
      <c r="A73" s="39" t="s">
        <v>2</v>
      </c>
      <c r="B73" s="40">
        <v>44403.0</v>
      </c>
      <c r="C73" s="41">
        <v>44409.0</v>
      </c>
      <c r="D73" s="39">
        <v>30.0</v>
      </c>
      <c r="E73" s="42">
        <v>20721.0</v>
      </c>
      <c r="F73" s="39">
        <v>2610.0</v>
      </c>
      <c r="G73" s="43">
        <v>2207.6666666666665</v>
      </c>
      <c r="H73" s="43">
        <v>18513.333333333332</v>
      </c>
      <c r="I73" s="44">
        <v>2.003650789922051</v>
      </c>
      <c r="J73" s="44">
        <v>181.7579955262546</v>
      </c>
      <c r="K73" s="44">
        <v>14.212358221235084</v>
      </c>
      <c r="L73" s="44">
        <v>1065.6045679757851</v>
      </c>
    </row>
    <row r="74">
      <c r="A74" s="39" t="s">
        <v>2</v>
      </c>
      <c r="B74" s="40">
        <v>44410.0</v>
      </c>
      <c r="C74" s="41">
        <v>44416.0</v>
      </c>
      <c r="D74" s="39">
        <v>31.0</v>
      </c>
      <c r="E74" s="42">
        <v>23457.0</v>
      </c>
      <c r="F74" s="39">
        <v>3386.0</v>
      </c>
      <c r="G74" s="43">
        <v>2219.3333333333335</v>
      </c>
      <c r="H74" s="43">
        <v>21237.666666666668</v>
      </c>
      <c r="I74" s="44">
        <v>2.599372250833741</v>
      </c>
      <c r="J74" s="44">
        <v>184.35736777708834</v>
      </c>
      <c r="K74" s="44">
        <v>16.303780686884245</v>
      </c>
      <c r="L74" s="44">
        <v>1081.9083486626694</v>
      </c>
    </row>
    <row r="75">
      <c r="A75" s="39" t="s">
        <v>2</v>
      </c>
      <c r="B75" s="40">
        <v>44417.0</v>
      </c>
      <c r="C75" s="41">
        <v>44423.0</v>
      </c>
      <c r="D75" s="39">
        <v>32.0</v>
      </c>
      <c r="E75" s="42">
        <v>25423.0</v>
      </c>
      <c r="F75" s="39">
        <v>3747.0</v>
      </c>
      <c r="G75" s="43">
        <v>2151.3333333333335</v>
      </c>
      <c r="H75" s="43">
        <v>23271.666666666668</v>
      </c>
      <c r="I75" s="44">
        <v>2.8765055593248756</v>
      </c>
      <c r="J75" s="44">
        <v>187.2338733364132</v>
      </c>
      <c r="K75" s="44">
        <v>17.865246474892466</v>
      </c>
      <c r="L75" s="44">
        <v>1099.7735951375619</v>
      </c>
    </row>
    <row r="76">
      <c r="A76" s="39" t="s">
        <v>2</v>
      </c>
      <c r="B76" s="40">
        <v>44424.0</v>
      </c>
      <c r="C76" s="41">
        <v>44430.0</v>
      </c>
      <c r="D76" s="39">
        <v>33.0</v>
      </c>
      <c r="E76" s="42">
        <v>26786.0</v>
      </c>
      <c r="F76" s="39">
        <v>4988.0</v>
      </c>
      <c r="G76" s="43">
        <v>2104.3333333333335</v>
      </c>
      <c r="H76" s="43">
        <v>24681.666666666668</v>
      </c>
      <c r="I76" s="44">
        <v>3.8291992874065865</v>
      </c>
      <c r="J76" s="44">
        <v>191.0630726238198</v>
      </c>
      <c r="K76" s="44">
        <v>18.947678510827366</v>
      </c>
      <c r="L76" s="44">
        <v>1118.7212736483893</v>
      </c>
    </row>
    <row r="77">
      <c r="A77" s="39" t="s">
        <v>2</v>
      </c>
      <c r="B77" s="40">
        <v>44431.0</v>
      </c>
      <c r="C77" s="41">
        <v>44437.0</v>
      </c>
      <c r="D77" s="39">
        <v>34.0</v>
      </c>
      <c r="E77" s="42">
        <v>25778.0</v>
      </c>
      <c r="F77" s="39">
        <v>5010.0</v>
      </c>
      <c r="G77" s="43">
        <v>2192.3333333333335</v>
      </c>
      <c r="H77" s="43">
        <v>23585.666666666668</v>
      </c>
      <c r="I77" s="44">
        <v>3.8460882978963506</v>
      </c>
      <c r="J77" s="44">
        <v>194.90916092171616</v>
      </c>
      <c r="K77" s="44">
        <v>18.106298715519102</v>
      </c>
      <c r="L77" s="44">
        <v>1136.8275723639085</v>
      </c>
    </row>
    <row r="78">
      <c r="A78" s="39" t="s">
        <v>2</v>
      </c>
      <c r="B78" s="40">
        <v>44438.0</v>
      </c>
      <c r="C78" s="41">
        <v>44444.0</v>
      </c>
      <c r="D78" s="39">
        <v>35.0</v>
      </c>
      <c r="E78" s="42">
        <v>25052.0</v>
      </c>
      <c r="F78" s="39">
        <v>4975.0</v>
      </c>
      <c r="G78" s="43">
        <v>2149.6666666666665</v>
      </c>
      <c r="H78" s="43">
        <v>22902.333333333332</v>
      </c>
      <c r="I78" s="44">
        <v>3.8192194175717256</v>
      </c>
      <c r="J78" s="44">
        <v>198.7283803392879</v>
      </c>
      <c r="K78" s="44">
        <v>17.581715813943084</v>
      </c>
      <c r="L78" s="44">
        <v>1154.4092881778515</v>
      </c>
    </row>
    <row r="79">
      <c r="A79" s="39" t="s">
        <v>2</v>
      </c>
      <c r="B79" s="40">
        <v>44445.0</v>
      </c>
      <c r="C79" s="41">
        <v>44451.0</v>
      </c>
      <c r="D79" s="39">
        <v>36.0</v>
      </c>
      <c r="E79" s="42">
        <v>23022.0</v>
      </c>
      <c r="F79" s="39">
        <v>4608.0</v>
      </c>
      <c r="G79" s="43">
        <v>2164.6666666666665</v>
      </c>
      <c r="H79" s="43">
        <v>20857.333333333332</v>
      </c>
      <c r="I79" s="44">
        <v>3.537480015310656</v>
      </c>
      <c r="J79" s="44">
        <v>202.26586035459854</v>
      </c>
      <c r="K79" s="44">
        <v>16.011805520689986</v>
      </c>
      <c r="L79" s="44">
        <v>1170.4210936985414</v>
      </c>
    </row>
    <row r="80">
      <c r="A80" s="39" t="s">
        <v>2</v>
      </c>
      <c r="B80" s="40">
        <v>44452.0</v>
      </c>
      <c r="C80" s="41">
        <v>44458.0</v>
      </c>
      <c r="D80" s="39">
        <v>37.0</v>
      </c>
      <c r="E80" s="42">
        <v>21506.0</v>
      </c>
      <c r="F80" s="39">
        <v>3755.0</v>
      </c>
      <c r="G80" s="43">
        <v>2228.0</v>
      </c>
      <c r="H80" s="43">
        <v>19278.0</v>
      </c>
      <c r="I80" s="44">
        <v>2.88264701768479</v>
      </c>
      <c r="J80" s="44">
        <v>205.14850737228335</v>
      </c>
      <c r="K80" s="44">
        <v>14.799379282803564</v>
      </c>
      <c r="L80" s="44">
        <v>1185.220472981345</v>
      </c>
    </row>
    <row r="81">
      <c r="A81" s="39" t="s">
        <v>2</v>
      </c>
      <c r="B81" s="40">
        <v>44459.0</v>
      </c>
      <c r="C81" s="41">
        <v>44465.0</v>
      </c>
      <c r="D81" s="39">
        <v>38.0</v>
      </c>
      <c r="E81" s="42">
        <v>19587.0</v>
      </c>
      <c r="F81" s="39">
        <v>3947.0</v>
      </c>
      <c r="G81" s="43">
        <v>2195.0</v>
      </c>
      <c r="H81" s="43">
        <v>17392.0</v>
      </c>
      <c r="I81" s="44">
        <v>3.030042018322734</v>
      </c>
      <c r="J81" s="44">
        <v>208.1785493906061</v>
      </c>
      <c r="K81" s="44">
        <v>13.351530474453758</v>
      </c>
      <c r="L81" s="44">
        <v>1198.5720034557987</v>
      </c>
    </row>
    <row r="82">
      <c r="A82" s="39" t="s">
        <v>2</v>
      </c>
      <c r="B82" s="40">
        <v>44466.0</v>
      </c>
      <c r="C82" s="41">
        <v>44472.0</v>
      </c>
      <c r="D82" s="39">
        <v>39.0</v>
      </c>
      <c r="E82" s="42">
        <v>17718.0</v>
      </c>
      <c r="F82" s="39">
        <v>3142.0</v>
      </c>
      <c r="G82" s="43">
        <v>2189.0</v>
      </c>
      <c r="H82" s="43">
        <v>15529.0</v>
      </c>
      <c r="I82" s="44">
        <v>2.412057770856354</v>
      </c>
      <c r="J82" s="44">
        <v>210.59060716146246</v>
      </c>
      <c r="K82" s="44">
        <v>11.92133835888871</v>
      </c>
      <c r="L82" s="44">
        <v>1210.4933418146875</v>
      </c>
    </row>
    <row r="83">
      <c r="A83" s="39" t="s">
        <v>2</v>
      </c>
      <c r="B83" s="40">
        <v>44473.0</v>
      </c>
      <c r="C83" s="41">
        <v>44479.0</v>
      </c>
      <c r="D83" s="39">
        <v>40.0</v>
      </c>
      <c r="E83" s="42">
        <v>15572.0</v>
      </c>
      <c r="F83" s="39">
        <v>3494.0</v>
      </c>
      <c r="G83" s="43">
        <v>2155.6666666666665</v>
      </c>
      <c r="H83" s="43">
        <v>13416.333333333334</v>
      </c>
      <c r="I83" s="44">
        <v>2.6822819386925847</v>
      </c>
      <c r="J83" s="44">
        <v>213.27288910015506</v>
      </c>
      <c r="K83" s="44">
        <v>10.299481563674666</v>
      </c>
      <c r="L83" s="44">
        <v>1220.792823378362</v>
      </c>
    </row>
    <row r="84">
      <c r="A84" s="39" t="s">
        <v>3</v>
      </c>
      <c r="B84" s="40">
        <v>43892.0</v>
      </c>
      <c r="C84" s="41">
        <v>43898.0</v>
      </c>
      <c r="D84" s="39">
        <v>10.0</v>
      </c>
      <c r="E84" s="39">
        <v>2409.0</v>
      </c>
      <c r="F84" s="39">
        <v>2.0</v>
      </c>
      <c r="G84" s="43">
        <v>2008.3333333333333</v>
      </c>
      <c r="H84" s="43">
        <v>400.66666666666674</v>
      </c>
      <c r="I84" s="44">
        <v>0.005995308970496035</v>
      </c>
      <c r="J84" s="44">
        <v>0.005995308970496035</v>
      </c>
      <c r="K84" s="44">
        <v>1.201060230422706</v>
      </c>
      <c r="L84" s="44">
        <v>1.201060230422706</v>
      </c>
    </row>
    <row r="85">
      <c r="A85" s="39" t="s">
        <v>3</v>
      </c>
      <c r="B85" s="40">
        <v>43899.0</v>
      </c>
      <c r="C85" s="41">
        <v>43905.0</v>
      </c>
      <c r="D85" s="39">
        <v>11.0</v>
      </c>
      <c r="E85" s="39">
        <v>2469.0</v>
      </c>
      <c r="F85" s="39">
        <v>3.0</v>
      </c>
      <c r="G85" s="43">
        <v>2051.6666666666665</v>
      </c>
      <c r="H85" s="43">
        <v>417.3333333333335</v>
      </c>
      <c r="I85" s="44">
        <v>0.008992963455744053</v>
      </c>
      <c r="J85" s="44">
        <v>0.014988272426240089</v>
      </c>
      <c r="K85" s="44">
        <v>1.251021138510173</v>
      </c>
      <c r="L85" s="44">
        <v>2.452081368932879</v>
      </c>
    </row>
    <row r="86">
      <c r="A86" s="39" t="s">
        <v>3</v>
      </c>
      <c r="B86" s="40">
        <v>43906.0</v>
      </c>
      <c r="C86" s="41">
        <v>43912.0</v>
      </c>
      <c r="D86" s="39">
        <v>12.0</v>
      </c>
      <c r="E86" s="39">
        <v>2185.0</v>
      </c>
      <c r="F86" s="39">
        <v>29.0</v>
      </c>
      <c r="G86" s="43">
        <v>1996.0</v>
      </c>
      <c r="H86" s="43">
        <v>189.0</v>
      </c>
      <c r="I86" s="44">
        <v>0.08693198007219251</v>
      </c>
      <c r="J86" s="44">
        <v>0.10192025249843259</v>
      </c>
      <c r="K86" s="44">
        <v>0.5665566977118753</v>
      </c>
      <c r="L86" s="44">
        <v>3.0186380666447543</v>
      </c>
    </row>
    <row r="87">
      <c r="A87" s="39" t="s">
        <v>3</v>
      </c>
      <c r="B87" s="40">
        <v>43913.0</v>
      </c>
      <c r="C87" s="41">
        <v>43919.0</v>
      </c>
      <c r="D87" s="39">
        <v>13.0</v>
      </c>
      <c r="E87" s="39">
        <v>2150.0</v>
      </c>
      <c r="F87" s="39">
        <v>61.0</v>
      </c>
      <c r="G87" s="43">
        <v>1960.0</v>
      </c>
      <c r="H87" s="43">
        <v>190.0</v>
      </c>
      <c r="I87" s="44">
        <v>0.1828569236001291</v>
      </c>
      <c r="J87" s="44">
        <v>0.2847771760985617</v>
      </c>
      <c r="K87" s="44">
        <v>0.5695543521971234</v>
      </c>
      <c r="L87" s="44">
        <v>3.588192418841878</v>
      </c>
    </row>
    <row r="88">
      <c r="A88" s="39" t="s">
        <v>3</v>
      </c>
      <c r="B88" s="40">
        <v>43920.0</v>
      </c>
      <c r="C88" s="41">
        <v>43926.0</v>
      </c>
      <c r="D88" s="39">
        <v>14.0</v>
      </c>
      <c r="E88" s="39">
        <v>2390.0</v>
      </c>
      <c r="F88" s="39">
        <v>222.0</v>
      </c>
      <c r="G88" s="43">
        <v>1968.0</v>
      </c>
      <c r="H88" s="43">
        <v>422.0</v>
      </c>
      <c r="I88" s="44">
        <v>0.6654792957250599</v>
      </c>
      <c r="J88" s="44">
        <v>0.9502564718236216</v>
      </c>
      <c r="K88" s="44">
        <v>1.2650101927746635</v>
      </c>
      <c r="L88" s="44">
        <v>4.853202611616542</v>
      </c>
    </row>
    <row r="89">
      <c r="A89" s="39" t="s">
        <v>3</v>
      </c>
      <c r="B89" s="40">
        <v>43927.0</v>
      </c>
      <c r="C89" s="41">
        <v>43933.0</v>
      </c>
      <c r="D89" s="39">
        <v>15.0</v>
      </c>
      <c r="E89" s="39">
        <v>2514.0</v>
      </c>
      <c r="F89" s="39">
        <v>529.0</v>
      </c>
      <c r="G89" s="43">
        <v>1896.3333333333333</v>
      </c>
      <c r="H89" s="43">
        <v>617.6666666666667</v>
      </c>
      <c r="I89" s="44">
        <v>1.5857592226962014</v>
      </c>
      <c r="J89" s="44">
        <v>2.536015694519823</v>
      </c>
      <c r="K89" s="44">
        <v>1.8515512537215257</v>
      </c>
      <c r="L89" s="44">
        <v>6.704753865338068</v>
      </c>
    </row>
    <row r="90">
      <c r="A90" s="39" t="s">
        <v>3</v>
      </c>
      <c r="B90" s="40">
        <v>43934.0</v>
      </c>
      <c r="C90" s="41">
        <v>43940.0</v>
      </c>
      <c r="D90" s="39">
        <v>16.0</v>
      </c>
      <c r="E90" s="39">
        <v>3096.0</v>
      </c>
      <c r="F90" s="39">
        <v>940.0</v>
      </c>
      <c r="G90" s="43">
        <v>1976.0</v>
      </c>
      <c r="H90" s="43">
        <v>1120.0</v>
      </c>
      <c r="I90" s="44">
        <v>2.8177952161331365</v>
      </c>
      <c r="J90" s="44">
        <v>5.353810910652959</v>
      </c>
      <c r="K90" s="44">
        <v>3.3573730234777797</v>
      </c>
      <c r="L90" s="44">
        <v>10.062126888815847</v>
      </c>
    </row>
    <row r="91">
      <c r="A91" s="39" t="s">
        <v>3</v>
      </c>
      <c r="B91" s="40">
        <v>43941.0</v>
      </c>
      <c r="C91" s="41">
        <v>43947.0</v>
      </c>
      <c r="D91" s="39">
        <v>17.0</v>
      </c>
      <c r="E91" s="39">
        <v>3881.0</v>
      </c>
      <c r="F91" s="39">
        <v>1702.0</v>
      </c>
      <c r="G91" s="43">
        <v>1899.6666666666667</v>
      </c>
      <c r="H91" s="43">
        <v>1981.3333333333333</v>
      </c>
      <c r="I91" s="44">
        <v>5.102007933892126</v>
      </c>
      <c r="J91" s="44">
        <v>10.455818844545085</v>
      </c>
      <c r="K91" s="44">
        <v>5.939352753438072</v>
      </c>
      <c r="L91" s="44">
        <v>16.00147964225392</v>
      </c>
    </row>
    <row r="92">
      <c r="A92" s="39" t="s">
        <v>3</v>
      </c>
      <c r="B92" s="40">
        <v>43948.0</v>
      </c>
      <c r="C92" s="41">
        <v>43954.0</v>
      </c>
      <c r="D92" s="39">
        <v>18.0</v>
      </c>
      <c r="E92" s="39">
        <v>4752.0</v>
      </c>
      <c r="F92" s="39">
        <v>2516.0</v>
      </c>
      <c r="G92" s="43">
        <v>1983.6666666666667</v>
      </c>
      <c r="H92" s="43">
        <v>2768.333333333333</v>
      </c>
      <c r="I92" s="44">
        <v>7.542098684884012</v>
      </c>
      <c r="J92" s="44">
        <v>17.997917529429095</v>
      </c>
      <c r="K92" s="44">
        <v>8.298506833328261</v>
      </c>
      <c r="L92" s="44">
        <v>24.29998647558218</v>
      </c>
    </row>
    <row r="93">
      <c r="A93" s="39" t="s">
        <v>3</v>
      </c>
      <c r="B93" s="40">
        <v>43955.0</v>
      </c>
      <c r="C93" s="41">
        <v>43961.0</v>
      </c>
      <c r="D93" s="39">
        <v>19.0</v>
      </c>
      <c r="E93" s="39">
        <v>5451.0</v>
      </c>
      <c r="F93" s="39">
        <v>3254.0</v>
      </c>
      <c r="G93" s="43">
        <v>1911.0</v>
      </c>
      <c r="H93" s="43">
        <v>3540.0</v>
      </c>
      <c r="I93" s="44">
        <v>9.75436769499705</v>
      </c>
      <c r="J93" s="44">
        <v>27.752285224426146</v>
      </c>
      <c r="K93" s="44">
        <v>10.611696877777982</v>
      </c>
      <c r="L93" s="44">
        <v>34.91168335336016</v>
      </c>
    </row>
    <row r="94">
      <c r="A94" s="39" t="s">
        <v>3</v>
      </c>
      <c r="B94" s="40">
        <v>43962.0</v>
      </c>
      <c r="C94" s="41">
        <v>43968.0</v>
      </c>
      <c r="D94" s="39">
        <v>20.0</v>
      </c>
      <c r="E94" s="39">
        <v>5967.0</v>
      </c>
      <c r="F94" s="39">
        <v>3577.0</v>
      </c>
      <c r="G94" s="43">
        <v>1984.0</v>
      </c>
      <c r="H94" s="43">
        <v>3983.0</v>
      </c>
      <c r="I94" s="44">
        <v>10.72261009373216</v>
      </c>
      <c r="J94" s="44">
        <v>38.4748953181583</v>
      </c>
      <c r="K94" s="44">
        <v>11.939657814742853</v>
      </c>
      <c r="L94" s="44">
        <v>46.85134116810301</v>
      </c>
    </row>
    <row r="95">
      <c r="A95" s="39" t="s">
        <v>3</v>
      </c>
      <c r="B95" s="40">
        <v>43969.0</v>
      </c>
      <c r="C95" s="41">
        <v>43975.0</v>
      </c>
      <c r="D95" s="39">
        <v>21.0</v>
      </c>
      <c r="E95" s="39">
        <v>6347.0</v>
      </c>
      <c r="F95" s="39">
        <v>3809.0</v>
      </c>
      <c r="G95" s="43">
        <v>2034.0</v>
      </c>
      <c r="H95" s="43">
        <v>4313.0</v>
      </c>
      <c r="I95" s="44">
        <v>11.418065934309698</v>
      </c>
      <c r="J95" s="44">
        <v>49.892961252468</v>
      </c>
      <c r="K95" s="44">
        <v>12.9288837948747</v>
      </c>
      <c r="L95" s="44">
        <v>59.78022496297771</v>
      </c>
    </row>
    <row r="96">
      <c r="A96" s="39" t="s">
        <v>3</v>
      </c>
      <c r="B96" s="40">
        <v>43976.0</v>
      </c>
      <c r="C96" s="41">
        <v>43982.0</v>
      </c>
      <c r="D96" s="39">
        <v>22.0</v>
      </c>
      <c r="E96" s="39">
        <v>6554.0</v>
      </c>
      <c r="F96" s="39">
        <v>4066.0</v>
      </c>
      <c r="G96" s="43">
        <v>2050.0</v>
      </c>
      <c r="H96" s="43">
        <v>4504.0</v>
      </c>
      <c r="I96" s="44">
        <v>12.18846313701844</v>
      </c>
      <c r="J96" s="44">
        <v>62.081424389486436</v>
      </c>
      <c r="K96" s="44">
        <v>13.501435801557072</v>
      </c>
      <c r="L96" s="44">
        <v>73.28166076453479</v>
      </c>
    </row>
    <row r="97">
      <c r="A97" s="39" t="s">
        <v>3</v>
      </c>
      <c r="B97" s="40">
        <v>43983.0</v>
      </c>
      <c r="C97" s="41">
        <v>43989.0</v>
      </c>
      <c r="D97" s="39">
        <v>23.0</v>
      </c>
      <c r="E97" s="39">
        <v>6647.0</v>
      </c>
      <c r="F97" s="39">
        <v>4124.0</v>
      </c>
      <c r="G97" s="43">
        <v>2135.0</v>
      </c>
      <c r="H97" s="43">
        <v>4512.0</v>
      </c>
      <c r="I97" s="44">
        <v>12.362327097162826</v>
      </c>
      <c r="J97" s="44">
        <v>74.44375148664926</v>
      </c>
      <c r="K97" s="44">
        <v>13.525417037439055</v>
      </c>
      <c r="L97" s="44">
        <v>86.80707780197385</v>
      </c>
    </row>
    <row r="98">
      <c r="A98" s="39" t="s">
        <v>3</v>
      </c>
      <c r="B98" s="40">
        <v>43990.0</v>
      </c>
      <c r="C98" s="41">
        <v>43996.0</v>
      </c>
      <c r="D98" s="39">
        <v>24.0</v>
      </c>
      <c r="E98" s="39">
        <v>6725.0</v>
      </c>
      <c r="F98" s="39">
        <v>4176.0</v>
      </c>
      <c r="G98" s="43">
        <v>2150.0</v>
      </c>
      <c r="H98" s="43">
        <v>4575.0</v>
      </c>
      <c r="I98" s="44">
        <v>12.518205130395723</v>
      </c>
      <c r="J98" s="44">
        <v>86.96195661704499</v>
      </c>
      <c r="K98" s="44">
        <v>13.71426927000968</v>
      </c>
      <c r="L98" s="44">
        <v>100.52134707198353</v>
      </c>
    </row>
    <row r="99">
      <c r="A99" s="39" t="s">
        <v>3</v>
      </c>
      <c r="B99" s="40">
        <v>43997.0</v>
      </c>
      <c r="C99" s="41">
        <v>44003.0</v>
      </c>
      <c r="D99" s="39">
        <v>25.0</v>
      </c>
      <c r="E99" s="39">
        <v>6593.0</v>
      </c>
      <c r="F99" s="39">
        <v>4330.0</v>
      </c>
      <c r="G99" s="43">
        <v>2223.3333333333335</v>
      </c>
      <c r="H99" s="43">
        <v>4369.666666666666</v>
      </c>
      <c r="I99" s="44">
        <v>12.979843921123916</v>
      </c>
      <c r="J99" s="44">
        <v>99.9418005381689</v>
      </c>
      <c r="K99" s="44">
        <v>13.098750882372087</v>
      </c>
      <c r="L99" s="44">
        <v>113.62009795435561</v>
      </c>
    </row>
    <row r="100">
      <c r="A100" s="39" t="s">
        <v>3</v>
      </c>
      <c r="B100" s="40">
        <v>44004.0</v>
      </c>
      <c r="C100" s="41">
        <v>44010.0</v>
      </c>
      <c r="D100" s="39">
        <v>26.0</v>
      </c>
      <c r="E100" s="39">
        <v>6159.0</v>
      </c>
      <c r="F100" s="39">
        <v>3530.0</v>
      </c>
      <c r="G100" s="43">
        <v>2200.3333333333335</v>
      </c>
      <c r="H100" s="43">
        <v>3958.6666666666665</v>
      </c>
      <c r="I100" s="44">
        <v>10.581720332925503</v>
      </c>
      <c r="J100" s="44">
        <v>110.5235208710944</v>
      </c>
      <c r="K100" s="44">
        <v>11.866714888935153</v>
      </c>
      <c r="L100" s="44">
        <v>125.48681284329076</v>
      </c>
    </row>
    <row r="101">
      <c r="A101" s="39" t="s">
        <v>3</v>
      </c>
      <c r="B101" s="40">
        <v>44011.0</v>
      </c>
      <c r="C101" s="41">
        <v>44017.0</v>
      </c>
      <c r="D101" s="39">
        <v>27.0</v>
      </c>
      <c r="E101" s="39">
        <v>6237.0</v>
      </c>
      <c r="F101" s="39">
        <v>3755.0</v>
      </c>
      <c r="G101" s="43">
        <v>2240.0</v>
      </c>
      <c r="H101" s="43">
        <v>3997.0</v>
      </c>
      <c r="I101" s="44">
        <v>11.256192592106308</v>
      </c>
      <c r="J101" s="44">
        <v>121.77971346320071</v>
      </c>
      <c r="K101" s="44">
        <v>11.981624977536327</v>
      </c>
      <c r="L101" s="44">
        <v>137.4684378208271</v>
      </c>
    </row>
    <row r="102">
      <c r="A102" s="39" t="s">
        <v>3</v>
      </c>
      <c r="B102" s="40">
        <v>44018.0</v>
      </c>
      <c r="C102" s="41">
        <v>44024.0</v>
      </c>
      <c r="D102" s="39">
        <v>28.0</v>
      </c>
      <c r="E102" s="39">
        <v>6493.0</v>
      </c>
      <c r="F102" s="39">
        <v>3903.0</v>
      </c>
      <c r="G102" s="43">
        <v>2141.6666666666665</v>
      </c>
      <c r="H102" s="43">
        <v>4351.333333333334</v>
      </c>
      <c r="I102" s="44">
        <v>11.699845455923013</v>
      </c>
      <c r="J102" s="44">
        <v>133.47955891912372</v>
      </c>
      <c r="K102" s="44">
        <v>13.043793883475875</v>
      </c>
      <c r="L102" s="44">
        <v>150.51223170430296</v>
      </c>
    </row>
    <row r="103">
      <c r="A103" s="39" t="s">
        <v>3</v>
      </c>
      <c r="B103" s="40">
        <v>44025.0</v>
      </c>
      <c r="C103" s="41">
        <v>44031.0</v>
      </c>
      <c r="D103" s="39">
        <v>29.0</v>
      </c>
      <c r="E103" s="39">
        <v>6763.0</v>
      </c>
      <c r="F103" s="39">
        <v>4901.0</v>
      </c>
      <c r="G103" s="43">
        <v>2199.6666666666665</v>
      </c>
      <c r="H103" s="43">
        <v>4563.333333333334</v>
      </c>
      <c r="I103" s="44">
        <v>14.691504632200536</v>
      </c>
      <c r="J103" s="44">
        <v>148.17106355132427</v>
      </c>
      <c r="K103" s="44">
        <v>13.679296634348455</v>
      </c>
      <c r="L103" s="44">
        <v>164.1915283386514</v>
      </c>
    </row>
    <row r="104">
      <c r="A104" s="39" t="s">
        <v>3</v>
      </c>
      <c r="B104" s="40">
        <v>44032.0</v>
      </c>
      <c r="C104" s="41">
        <v>44038.0</v>
      </c>
      <c r="D104" s="39">
        <v>30.0</v>
      </c>
      <c r="E104" s="39">
        <v>6778.0</v>
      </c>
      <c r="F104" s="39">
        <v>3480.0</v>
      </c>
      <c r="G104" s="43">
        <v>2215.3333333333335</v>
      </c>
      <c r="H104" s="43">
        <v>4562.666666666666</v>
      </c>
      <c r="I104" s="44">
        <v>10.431837608663102</v>
      </c>
      <c r="J104" s="44">
        <v>158.60290115998737</v>
      </c>
      <c r="K104" s="44">
        <v>13.677298198024953</v>
      </c>
      <c r="L104" s="44">
        <v>177.86882653667635</v>
      </c>
    </row>
    <row r="105">
      <c r="A105" s="39" t="s">
        <v>3</v>
      </c>
      <c r="B105" s="40">
        <v>44039.0</v>
      </c>
      <c r="C105" s="41">
        <v>44045.0</v>
      </c>
      <c r="D105" s="39">
        <v>31.0</v>
      </c>
      <c r="E105" s="39">
        <v>6918.0</v>
      </c>
      <c r="F105" s="39">
        <v>4376.0</v>
      </c>
      <c r="G105" s="43">
        <v>2182.6666666666665</v>
      </c>
      <c r="H105" s="43">
        <v>4735.333333333334</v>
      </c>
      <c r="I105" s="44">
        <v>13.117736027445327</v>
      </c>
      <c r="J105" s="44">
        <v>171.7206371874327</v>
      </c>
      <c r="K105" s="44">
        <v>14.194893205811114</v>
      </c>
      <c r="L105" s="44">
        <v>192.06371974248748</v>
      </c>
    </row>
    <row r="106">
      <c r="A106" s="39" t="s">
        <v>3</v>
      </c>
      <c r="B106" s="40">
        <v>44046.0</v>
      </c>
      <c r="C106" s="41">
        <v>44052.0</v>
      </c>
      <c r="D106" s="39">
        <v>32.0</v>
      </c>
      <c r="E106" s="39">
        <v>7120.0</v>
      </c>
      <c r="F106" s="39">
        <v>4433.0</v>
      </c>
      <c r="G106" s="43">
        <v>2230.3333333333335</v>
      </c>
      <c r="H106" s="43">
        <v>4889.666666666666</v>
      </c>
      <c r="I106" s="44">
        <v>13.288602333104462</v>
      </c>
      <c r="J106" s="44">
        <v>185.00923952053714</v>
      </c>
      <c r="K106" s="44">
        <v>14.657531214701056</v>
      </c>
      <c r="L106" s="44">
        <v>206.72125095718854</v>
      </c>
    </row>
    <row r="107">
      <c r="A107" s="39" t="s">
        <v>3</v>
      </c>
      <c r="B107" s="40">
        <v>44053.0</v>
      </c>
      <c r="C107" s="41">
        <v>44059.0</v>
      </c>
      <c r="D107" s="39">
        <v>33.0</v>
      </c>
      <c r="E107" s="39">
        <v>6717.0</v>
      </c>
      <c r="F107" s="39">
        <v>4322.0</v>
      </c>
      <c r="G107" s="43">
        <v>2135.0</v>
      </c>
      <c r="H107" s="43">
        <v>4582.0</v>
      </c>
      <c r="I107" s="44">
        <v>12.955862685241934</v>
      </c>
      <c r="J107" s="44">
        <v>197.96510220577906</v>
      </c>
      <c r="K107" s="44">
        <v>13.735252851406416</v>
      </c>
      <c r="L107" s="44">
        <v>220.45650380859496</v>
      </c>
    </row>
    <row r="108">
      <c r="A108" s="39" t="s">
        <v>3</v>
      </c>
      <c r="B108" s="40">
        <v>44060.0</v>
      </c>
      <c r="C108" s="41">
        <v>44066.0</v>
      </c>
      <c r="D108" s="39">
        <v>34.0</v>
      </c>
      <c r="E108" s="39">
        <v>6128.0</v>
      </c>
      <c r="F108" s="39">
        <v>3786.0</v>
      </c>
      <c r="G108" s="43">
        <v>2123.0</v>
      </c>
      <c r="H108" s="43">
        <v>4005.0</v>
      </c>
      <c r="I108" s="44">
        <v>11.349119881148996</v>
      </c>
      <c r="J108" s="44">
        <v>209.31422208692805</v>
      </c>
      <c r="K108" s="44">
        <v>12.00560621341831</v>
      </c>
      <c r="L108" s="44">
        <v>232.46211002201326</v>
      </c>
    </row>
    <row r="109">
      <c r="A109" s="39" t="s">
        <v>3</v>
      </c>
      <c r="B109" s="40">
        <v>44067.0</v>
      </c>
      <c r="C109" s="41">
        <v>44073.0</v>
      </c>
      <c r="D109" s="39">
        <v>35.0</v>
      </c>
      <c r="E109" s="39">
        <v>5578.0</v>
      </c>
      <c r="F109" s="39">
        <v>3401.0</v>
      </c>
      <c r="G109" s="43">
        <v>2193.3333333333335</v>
      </c>
      <c r="H109" s="43">
        <v>3384.6666666666665</v>
      </c>
      <c r="I109" s="44">
        <v>10.195022904328509</v>
      </c>
      <c r="J109" s="44">
        <v>219.50924499125657</v>
      </c>
      <c r="K109" s="44">
        <v>10.14606121440279</v>
      </c>
      <c r="L109" s="44">
        <v>242.60817123641604</v>
      </c>
    </row>
    <row r="110">
      <c r="A110" s="39" t="s">
        <v>3</v>
      </c>
      <c r="B110" s="40">
        <v>44074.0</v>
      </c>
      <c r="C110" s="41">
        <v>44080.0</v>
      </c>
      <c r="D110" s="39">
        <v>36.0</v>
      </c>
      <c r="E110" s="39">
        <v>4730.0</v>
      </c>
      <c r="F110" s="39">
        <v>2674.0</v>
      </c>
      <c r="G110" s="43">
        <v>2168.0</v>
      </c>
      <c r="H110" s="43">
        <v>2562.0</v>
      </c>
      <c r="I110" s="44">
        <v>8.0157280935532</v>
      </c>
      <c r="J110" s="44">
        <v>227.52497308480977</v>
      </c>
      <c r="K110" s="44">
        <v>7.67999079120542</v>
      </c>
      <c r="L110" s="44">
        <v>250.28816202762147</v>
      </c>
    </row>
    <row r="111">
      <c r="A111" s="39" t="s">
        <v>3</v>
      </c>
      <c r="B111" s="40">
        <v>44081.0</v>
      </c>
      <c r="C111" s="41">
        <v>44087.0</v>
      </c>
      <c r="D111" s="39">
        <v>37.0</v>
      </c>
      <c r="E111" s="39">
        <v>4275.0</v>
      </c>
      <c r="F111" s="39">
        <v>2214.0</v>
      </c>
      <c r="G111" s="43">
        <v>2175.0</v>
      </c>
      <c r="H111" s="43">
        <v>2100.0</v>
      </c>
      <c r="I111" s="44">
        <v>6.636807030339111</v>
      </c>
      <c r="J111" s="44">
        <v>234.16178011514887</v>
      </c>
      <c r="K111" s="44">
        <v>6.295074419020837</v>
      </c>
      <c r="L111" s="44">
        <v>256.58323644664233</v>
      </c>
    </row>
    <row r="112">
      <c r="A112" s="39" t="s">
        <v>3</v>
      </c>
      <c r="B112" s="40">
        <v>44088.0</v>
      </c>
      <c r="C112" s="41">
        <v>44094.0</v>
      </c>
      <c r="D112" s="39">
        <v>38.0</v>
      </c>
      <c r="E112" s="39">
        <v>3885.0</v>
      </c>
      <c r="F112" s="39">
        <v>1889.0</v>
      </c>
      <c r="G112" s="43">
        <v>2213.3333333333335</v>
      </c>
      <c r="H112" s="43">
        <v>1671.6666666666665</v>
      </c>
      <c r="I112" s="44">
        <v>5.662569322633505</v>
      </c>
      <c r="J112" s="44">
        <v>239.8243494377824</v>
      </c>
      <c r="K112" s="44">
        <v>5.011079081172936</v>
      </c>
      <c r="L112" s="44">
        <v>261.59431552781524</v>
      </c>
    </row>
    <row r="113">
      <c r="A113" s="39" t="s">
        <v>3</v>
      </c>
      <c r="B113" s="40">
        <v>44095.0</v>
      </c>
      <c r="C113" s="41">
        <v>44101.0</v>
      </c>
      <c r="D113" s="39">
        <v>39.0</v>
      </c>
      <c r="E113" s="39">
        <v>3483.0</v>
      </c>
      <c r="F113" s="39">
        <v>1591.0</v>
      </c>
      <c r="G113" s="43">
        <v>2217.3333333333335</v>
      </c>
      <c r="H113" s="43">
        <v>1265.6666666666665</v>
      </c>
      <c r="I113" s="44">
        <v>4.769268286029596</v>
      </c>
      <c r="J113" s="44">
        <v>244.59361772381197</v>
      </c>
      <c r="K113" s="44">
        <v>3.7940313601622404</v>
      </c>
      <c r="L113" s="44">
        <v>265.3883468879775</v>
      </c>
    </row>
    <row r="114">
      <c r="A114" s="39" t="s">
        <v>3</v>
      </c>
      <c r="B114" s="40">
        <v>44102.0</v>
      </c>
      <c r="C114" s="41">
        <v>44108.0</v>
      </c>
      <c r="D114" s="39">
        <v>40.0</v>
      </c>
      <c r="E114" s="39">
        <v>3235.0</v>
      </c>
      <c r="F114" s="39">
        <v>1213.0</v>
      </c>
      <c r="G114" s="43">
        <v>2151.6666666666665</v>
      </c>
      <c r="H114" s="43">
        <v>1083.3333333333335</v>
      </c>
      <c r="I114" s="44">
        <v>3.636154890605846</v>
      </c>
      <c r="J114" s="44">
        <v>248.2297726144178</v>
      </c>
      <c r="K114" s="44">
        <v>3.2474590256853526</v>
      </c>
      <c r="L114" s="44">
        <v>268.63580591366286</v>
      </c>
    </row>
    <row r="115">
      <c r="A115" s="39" t="s">
        <v>3</v>
      </c>
      <c r="B115" s="40">
        <v>44109.0</v>
      </c>
      <c r="C115" s="41">
        <v>44115.0</v>
      </c>
      <c r="D115" s="39">
        <v>41.0</v>
      </c>
      <c r="E115" s="39">
        <v>3147.0</v>
      </c>
      <c r="F115" s="39">
        <v>1170.0</v>
      </c>
      <c r="G115" s="43">
        <v>2191.6666666666665</v>
      </c>
      <c r="H115" s="43">
        <v>955.3333333333335</v>
      </c>
      <c r="I115" s="44">
        <v>3.5072557477401807</v>
      </c>
      <c r="J115" s="44">
        <v>251.737028362158</v>
      </c>
      <c r="K115" s="44">
        <v>2.863759251573607</v>
      </c>
      <c r="L115" s="44">
        <v>271.49956516523645</v>
      </c>
    </row>
    <row r="116">
      <c r="A116" s="39" t="s">
        <v>3</v>
      </c>
      <c r="B116" s="40">
        <v>44116.0</v>
      </c>
      <c r="C116" s="41">
        <v>44122.0</v>
      </c>
      <c r="D116" s="39">
        <v>42.0</v>
      </c>
      <c r="E116" s="39">
        <v>3001.0</v>
      </c>
      <c r="F116" s="39">
        <v>978.0</v>
      </c>
      <c r="G116" s="43">
        <v>2233.0</v>
      </c>
      <c r="H116" s="43">
        <v>768.0</v>
      </c>
      <c r="I116" s="44">
        <v>2.9317060865725613</v>
      </c>
      <c r="J116" s="44">
        <v>254.66873444873056</v>
      </c>
      <c r="K116" s="44">
        <v>2.3021986446704776</v>
      </c>
      <c r="L116" s="44">
        <v>273.8017638099069</v>
      </c>
    </row>
    <row r="117">
      <c r="A117" s="39" t="s">
        <v>3</v>
      </c>
      <c r="B117" s="40">
        <v>44123.0</v>
      </c>
      <c r="C117" s="41">
        <v>44129.0</v>
      </c>
      <c r="D117" s="39">
        <v>43.0</v>
      </c>
      <c r="E117" s="39">
        <v>2961.0</v>
      </c>
      <c r="F117" s="39">
        <v>860.0</v>
      </c>
      <c r="G117" s="43">
        <v>2185.6666666666665</v>
      </c>
      <c r="H117" s="43">
        <v>775.3333333333335</v>
      </c>
      <c r="I117" s="44">
        <v>2.577982857313295</v>
      </c>
      <c r="J117" s="44">
        <v>257.2467173060439</v>
      </c>
      <c r="K117" s="44">
        <v>2.3241814442289632</v>
      </c>
      <c r="L117" s="44">
        <v>276.12594525413584</v>
      </c>
    </row>
    <row r="118">
      <c r="A118" s="39" t="s">
        <v>3</v>
      </c>
      <c r="B118" s="40">
        <v>44130.0</v>
      </c>
      <c r="C118" s="41">
        <v>44136.0</v>
      </c>
      <c r="D118" s="39">
        <v>44.0</v>
      </c>
      <c r="E118" s="39">
        <v>2794.0</v>
      </c>
      <c r="F118" s="39">
        <v>772.0</v>
      </c>
      <c r="G118" s="43">
        <v>2205.0</v>
      </c>
      <c r="H118" s="43">
        <v>589.0</v>
      </c>
      <c r="I118" s="44">
        <v>2.3141892626114697</v>
      </c>
      <c r="J118" s="44">
        <v>259.56090656865535</v>
      </c>
      <c r="K118" s="44">
        <v>1.7656184918110824</v>
      </c>
      <c r="L118" s="44">
        <v>277.89156374594694</v>
      </c>
    </row>
    <row r="119">
      <c r="A119" s="39" t="s">
        <v>3</v>
      </c>
      <c r="B119" s="40">
        <v>44137.0</v>
      </c>
      <c r="C119" s="41">
        <v>44143.0</v>
      </c>
      <c r="D119" s="39">
        <v>45.0</v>
      </c>
      <c r="E119" s="39">
        <v>2861.0</v>
      </c>
      <c r="F119" s="39">
        <v>739.0</v>
      </c>
      <c r="G119" s="43">
        <v>2168.0</v>
      </c>
      <c r="H119" s="43">
        <v>693.0</v>
      </c>
      <c r="I119" s="44">
        <v>2.215266664598285</v>
      </c>
      <c r="J119" s="44">
        <v>261.77617323325364</v>
      </c>
      <c r="K119" s="44">
        <v>2.077374558276876</v>
      </c>
      <c r="L119" s="44">
        <v>279.9689383042238</v>
      </c>
    </row>
    <row r="120">
      <c r="A120" s="39" t="s">
        <v>3</v>
      </c>
      <c r="B120" s="40">
        <v>44144.0</v>
      </c>
      <c r="C120" s="41">
        <v>44150.0</v>
      </c>
      <c r="D120" s="39">
        <v>46.0</v>
      </c>
      <c r="E120" s="39">
        <v>2850.0</v>
      </c>
      <c r="F120" s="39">
        <v>730.0</v>
      </c>
      <c r="G120" s="43">
        <v>2057.6666666666665</v>
      </c>
      <c r="H120" s="43">
        <v>792.3333333333335</v>
      </c>
      <c r="I120" s="44">
        <v>2.188287774231053</v>
      </c>
      <c r="J120" s="44">
        <v>263.9644610074847</v>
      </c>
      <c r="K120" s="44">
        <v>2.37514157047818</v>
      </c>
      <c r="L120" s="44">
        <v>282.344079874702</v>
      </c>
    </row>
    <row r="121">
      <c r="A121" s="39" t="s">
        <v>3</v>
      </c>
      <c r="B121" s="40">
        <v>44151.0</v>
      </c>
      <c r="C121" s="41">
        <v>44157.0</v>
      </c>
      <c r="D121" s="39">
        <v>47.0</v>
      </c>
      <c r="E121" s="39">
        <v>2755.0</v>
      </c>
      <c r="F121" s="39">
        <v>646.0</v>
      </c>
      <c r="G121" s="43">
        <v>2082.6666666666665</v>
      </c>
      <c r="H121" s="43">
        <v>672.3333333333335</v>
      </c>
      <c r="I121" s="44">
        <v>1.9364847974702195</v>
      </c>
      <c r="J121" s="44">
        <v>265.9009458049549</v>
      </c>
      <c r="K121" s="44">
        <v>2.0154230322484175</v>
      </c>
      <c r="L121" s="44">
        <v>284.3595029069504</v>
      </c>
    </row>
    <row r="122">
      <c r="A122" s="39" t="s">
        <v>3</v>
      </c>
      <c r="B122" s="40">
        <v>44158.0</v>
      </c>
      <c r="C122" s="41">
        <v>44164.0</v>
      </c>
      <c r="D122" s="39">
        <v>48.0</v>
      </c>
      <c r="E122" s="39">
        <v>2635.0</v>
      </c>
      <c r="F122" s="39">
        <v>661.0</v>
      </c>
      <c r="G122" s="43">
        <v>2059.0</v>
      </c>
      <c r="H122" s="43">
        <v>576.0</v>
      </c>
      <c r="I122" s="44">
        <v>1.9814496147489395</v>
      </c>
      <c r="J122" s="44">
        <v>267.88239541970387</v>
      </c>
      <c r="K122" s="44">
        <v>1.726648983502858</v>
      </c>
      <c r="L122" s="44">
        <v>286.08615189045327</v>
      </c>
    </row>
    <row r="123">
      <c r="A123" s="39" t="s">
        <v>3</v>
      </c>
      <c r="B123" s="40">
        <v>44165.0</v>
      </c>
      <c r="C123" s="41">
        <v>44171.0</v>
      </c>
      <c r="D123" s="39">
        <v>49.0</v>
      </c>
      <c r="E123" s="39">
        <v>2800.0</v>
      </c>
      <c r="F123" s="39">
        <v>686.0</v>
      </c>
      <c r="G123" s="43">
        <v>2088.6666666666665</v>
      </c>
      <c r="H123" s="43">
        <v>711.3333333333335</v>
      </c>
      <c r="I123" s="44">
        <v>2.05639097688014</v>
      </c>
      <c r="J123" s="44">
        <v>269.938786396584</v>
      </c>
      <c r="K123" s="44">
        <v>2.13233155717309</v>
      </c>
      <c r="L123" s="44">
        <v>288.21848344762634</v>
      </c>
    </row>
    <row r="124">
      <c r="A124" s="39" t="s">
        <v>3</v>
      </c>
      <c r="B124" s="40">
        <v>44172.0</v>
      </c>
      <c r="C124" s="41">
        <v>44178.0</v>
      </c>
      <c r="D124" s="39">
        <v>50.0</v>
      </c>
      <c r="E124" s="39">
        <v>2964.0</v>
      </c>
      <c r="F124" s="39">
        <v>747.0</v>
      </c>
      <c r="G124" s="43">
        <v>2114.6666666666665</v>
      </c>
      <c r="H124" s="43">
        <v>849.3333333333335</v>
      </c>
      <c r="I124" s="44">
        <v>2.2392479004802692</v>
      </c>
      <c r="J124" s="44">
        <v>272.1780342970643</v>
      </c>
      <c r="K124" s="44">
        <v>2.546007876137317</v>
      </c>
      <c r="L124" s="44">
        <v>290.76449132376365</v>
      </c>
    </row>
    <row r="125">
      <c r="A125" s="39" t="s">
        <v>3</v>
      </c>
      <c r="B125" s="40">
        <v>44179.0</v>
      </c>
      <c r="C125" s="41">
        <v>44185.0</v>
      </c>
      <c r="D125" s="39">
        <v>51.0</v>
      </c>
      <c r="E125" s="39">
        <v>3151.0</v>
      </c>
      <c r="F125" s="39">
        <v>816.0</v>
      </c>
      <c r="G125" s="43">
        <v>2100.6666666666665</v>
      </c>
      <c r="H125" s="43">
        <v>1050.3333333333335</v>
      </c>
      <c r="I125" s="44">
        <v>2.4460860599623824</v>
      </c>
      <c r="J125" s="44">
        <v>274.6241203570267</v>
      </c>
      <c r="K125" s="44">
        <v>3.1485364276721683</v>
      </c>
      <c r="L125" s="44">
        <v>293.91302775143583</v>
      </c>
    </row>
    <row r="126">
      <c r="A126" s="39" t="s">
        <v>3</v>
      </c>
      <c r="B126" s="40">
        <v>44186.0</v>
      </c>
      <c r="C126" s="41">
        <v>44192.0</v>
      </c>
      <c r="D126" s="39">
        <v>52.0</v>
      </c>
      <c r="E126" s="39">
        <v>3253.0</v>
      </c>
      <c r="F126" s="39">
        <v>880.0</v>
      </c>
      <c r="G126" s="43">
        <v>2159.0</v>
      </c>
      <c r="H126" s="43">
        <v>1094.0</v>
      </c>
      <c r="I126" s="44">
        <v>2.6379359470182555</v>
      </c>
      <c r="J126" s="44">
        <v>277.26205630404496</v>
      </c>
      <c r="K126" s="44">
        <v>3.2794340068613317</v>
      </c>
      <c r="L126" s="44">
        <v>297.19246175829716</v>
      </c>
    </row>
    <row r="127">
      <c r="A127" s="39" t="s">
        <v>3</v>
      </c>
      <c r="B127" s="40">
        <v>44193.0</v>
      </c>
      <c r="C127" s="41">
        <v>44199.0</v>
      </c>
      <c r="D127" s="39">
        <v>53.0</v>
      </c>
      <c r="E127" s="39">
        <v>3502.0</v>
      </c>
      <c r="F127" s="39">
        <v>1082.0</v>
      </c>
      <c r="G127" s="43">
        <v>2159.0</v>
      </c>
      <c r="H127" s="43">
        <v>1343.0</v>
      </c>
      <c r="I127" s="44">
        <v>3.243462153038355</v>
      </c>
      <c r="J127" s="44">
        <v>280.5055184570833</v>
      </c>
      <c r="K127" s="44">
        <v>4.0258499736880875</v>
      </c>
      <c r="L127" s="44">
        <v>301.21831173198524</v>
      </c>
    </row>
    <row r="128">
      <c r="A128" s="39" t="s">
        <v>3</v>
      </c>
      <c r="B128" s="40">
        <v>44200.0</v>
      </c>
      <c r="C128" s="41">
        <v>44206.0</v>
      </c>
      <c r="D128" s="39">
        <v>1.0</v>
      </c>
      <c r="E128" s="39">
        <v>3985.0</v>
      </c>
      <c r="F128" s="39">
        <v>1401.0</v>
      </c>
      <c r="G128" s="43">
        <v>2054.5</v>
      </c>
      <c r="H128" s="43">
        <v>1930.5</v>
      </c>
      <c r="I128" s="44">
        <v>4.199713933832473</v>
      </c>
      <c r="J128" s="44">
        <v>284.7052323909158</v>
      </c>
      <c r="K128" s="44">
        <v>5.786971983771298</v>
      </c>
      <c r="L128" s="44">
        <v>307.00528371575655</v>
      </c>
    </row>
    <row r="129">
      <c r="A129" s="39" t="s">
        <v>3</v>
      </c>
      <c r="B129" s="40">
        <v>44207.0</v>
      </c>
      <c r="C129" s="41">
        <v>44213.0</v>
      </c>
      <c r="D129" s="39">
        <v>2.0</v>
      </c>
      <c r="E129" s="39">
        <v>4638.0</v>
      </c>
      <c r="F129" s="39">
        <v>2027.0</v>
      </c>
      <c r="G129" s="43">
        <v>2051.5</v>
      </c>
      <c r="H129" s="43">
        <v>2586.5</v>
      </c>
      <c r="I129" s="44">
        <v>6.0762456415977315</v>
      </c>
      <c r="J129" s="44">
        <v>290.7814780325135</v>
      </c>
      <c r="K129" s="44">
        <v>7.753433326093998</v>
      </c>
      <c r="L129" s="44">
        <v>314.75871704185056</v>
      </c>
    </row>
    <row r="130">
      <c r="A130" s="39" t="s">
        <v>3</v>
      </c>
      <c r="B130" s="40">
        <v>44214.0</v>
      </c>
      <c r="C130" s="41">
        <v>44220.0</v>
      </c>
      <c r="D130" s="39">
        <v>3.0</v>
      </c>
      <c r="E130" s="39">
        <v>5704.0</v>
      </c>
      <c r="F130" s="39">
        <v>2907.0</v>
      </c>
      <c r="G130" s="43">
        <v>2030.75</v>
      </c>
      <c r="H130" s="43">
        <v>3673.25</v>
      </c>
      <c r="I130" s="44">
        <v>8.714181588615988</v>
      </c>
      <c r="J130" s="44">
        <v>299.4956596211295</v>
      </c>
      <c r="K130" s="44">
        <v>11.01113433793728</v>
      </c>
      <c r="L130" s="44">
        <v>325.76985137978784</v>
      </c>
    </row>
    <row r="131">
      <c r="A131" s="39" t="s">
        <v>3</v>
      </c>
      <c r="B131" s="40">
        <v>44221.0</v>
      </c>
      <c r="C131" s="41">
        <v>44227.0</v>
      </c>
      <c r="D131" s="39">
        <v>4.0</v>
      </c>
      <c r="E131" s="39">
        <v>6707.0</v>
      </c>
      <c r="F131" s="39">
        <v>3900.0</v>
      </c>
      <c r="G131" s="43">
        <v>2049.25</v>
      </c>
      <c r="H131" s="43">
        <v>4657.75</v>
      </c>
      <c r="I131" s="44">
        <v>11.690852492467268</v>
      </c>
      <c r="J131" s="44">
        <v>311.1865121135968</v>
      </c>
      <c r="K131" s="44">
        <v>13.962325178663955</v>
      </c>
      <c r="L131" s="44">
        <v>339.7321765584518</v>
      </c>
    </row>
    <row r="132">
      <c r="A132" s="39" t="s">
        <v>3</v>
      </c>
      <c r="B132" s="40">
        <v>44228.0</v>
      </c>
      <c r="C132" s="41">
        <v>44234.0</v>
      </c>
      <c r="D132" s="39">
        <v>5.0</v>
      </c>
      <c r="E132" s="39">
        <v>7021.0</v>
      </c>
      <c r="F132" s="39">
        <v>4052.0</v>
      </c>
      <c r="G132" s="43">
        <v>2092.25</v>
      </c>
      <c r="H132" s="43">
        <v>4928.75</v>
      </c>
      <c r="I132" s="44">
        <v>12.146495974224967</v>
      </c>
      <c r="J132" s="44">
        <v>323.3330080878218</v>
      </c>
      <c r="K132" s="44">
        <v>14.774689544166167</v>
      </c>
      <c r="L132" s="44">
        <v>354.50686610261795</v>
      </c>
    </row>
    <row r="133">
      <c r="A133" s="39" t="s">
        <v>3</v>
      </c>
      <c r="B133" s="40">
        <v>44235.0</v>
      </c>
      <c r="C133" s="41">
        <v>44241.0</v>
      </c>
      <c r="D133" s="39">
        <v>6.0</v>
      </c>
      <c r="E133" s="39">
        <v>7687.0</v>
      </c>
      <c r="F133" s="39">
        <v>4761.0</v>
      </c>
      <c r="G133" s="43">
        <v>2058.25</v>
      </c>
      <c r="H133" s="43">
        <v>5628.75</v>
      </c>
      <c r="I133" s="44">
        <v>14.271833004265812</v>
      </c>
      <c r="J133" s="44">
        <v>337.6048410920876</v>
      </c>
      <c r="K133" s="44">
        <v>16.87304768383978</v>
      </c>
      <c r="L133" s="44">
        <v>371.37991378645773</v>
      </c>
    </row>
    <row r="134">
      <c r="A134" s="39" t="s">
        <v>3</v>
      </c>
      <c r="B134" s="40">
        <v>44242.0</v>
      </c>
      <c r="C134" s="41">
        <v>44248.0</v>
      </c>
      <c r="D134" s="39">
        <v>7.0</v>
      </c>
      <c r="E134" s="39">
        <v>7711.0</v>
      </c>
      <c r="F134" s="39">
        <v>5122.0</v>
      </c>
      <c r="G134" s="43">
        <v>2086.0</v>
      </c>
      <c r="H134" s="43">
        <v>5625.0</v>
      </c>
      <c r="I134" s="44">
        <v>15.353986273440345</v>
      </c>
      <c r="J134" s="44">
        <v>352.95882736552795</v>
      </c>
      <c r="K134" s="44">
        <v>16.861806479520098</v>
      </c>
      <c r="L134" s="44">
        <v>388.24172026597785</v>
      </c>
    </row>
    <row r="135">
      <c r="A135" s="39" t="s">
        <v>3</v>
      </c>
      <c r="B135" s="40">
        <v>44249.0</v>
      </c>
      <c r="C135" s="41">
        <v>44255.0</v>
      </c>
      <c r="D135" s="39">
        <v>8.0</v>
      </c>
      <c r="E135" s="39">
        <v>7393.0</v>
      </c>
      <c r="F135" s="39">
        <v>4757.0</v>
      </c>
      <c r="G135" s="43">
        <v>2136.0</v>
      </c>
      <c r="H135" s="43">
        <v>5257.0</v>
      </c>
      <c r="I135" s="44">
        <v>14.25984238632482</v>
      </c>
      <c r="J135" s="44">
        <v>367.21866975185276</v>
      </c>
      <c r="K135" s="44">
        <v>15.758669628948828</v>
      </c>
      <c r="L135" s="44">
        <v>404.0003898949267</v>
      </c>
    </row>
    <row r="136">
      <c r="A136" s="39" t="s">
        <v>3</v>
      </c>
      <c r="B136" s="40">
        <v>44256.0</v>
      </c>
      <c r="C136" s="41">
        <v>44262.0</v>
      </c>
      <c r="D136" s="39">
        <v>9.0</v>
      </c>
      <c r="E136" s="39">
        <v>7500.0</v>
      </c>
      <c r="F136" s="39">
        <v>4737.0</v>
      </c>
      <c r="G136" s="43">
        <v>2197.0</v>
      </c>
      <c r="H136" s="43">
        <v>5303.0</v>
      </c>
      <c r="I136" s="44">
        <v>14.19988929661986</v>
      </c>
      <c r="J136" s="44">
        <v>381.4185590484726</v>
      </c>
      <c r="K136" s="44">
        <v>15.896561735270238</v>
      </c>
      <c r="L136" s="44">
        <v>419.8969516301969</v>
      </c>
    </row>
    <row r="137">
      <c r="A137" s="39" t="s">
        <v>3</v>
      </c>
      <c r="B137" s="40">
        <v>44263.0</v>
      </c>
      <c r="C137" s="41">
        <v>44269.0</v>
      </c>
      <c r="D137" s="39">
        <v>10.0</v>
      </c>
      <c r="E137" s="39">
        <v>7379.0</v>
      </c>
      <c r="F137" s="39">
        <v>4296.0</v>
      </c>
      <c r="G137" s="43">
        <v>2008.3333333333333</v>
      </c>
      <c r="H137" s="43">
        <v>5370.666666666667</v>
      </c>
      <c r="I137" s="44">
        <v>12.877923668625483</v>
      </c>
      <c r="J137" s="44">
        <v>394.2964827170981</v>
      </c>
      <c r="K137" s="44">
        <v>16.099403022105356</v>
      </c>
      <c r="L137" s="44">
        <v>435.9963546523023</v>
      </c>
    </row>
    <row r="138">
      <c r="A138" s="39" t="s">
        <v>3</v>
      </c>
      <c r="B138" s="40">
        <v>44270.0</v>
      </c>
      <c r="C138" s="41">
        <v>44276.0</v>
      </c>
      <c r="D138" s="39">
        <v>11.0</v>
      </c>
      <c r="E138" s="39">
        <v>7427.0</v>
      </c>
      <c r="F138" s="39">
        <v>4741.0</v>
      </c>
      <c r="G138" s="43">
        <v>2051.6666666666665</v>
      </c>
      <c r="H138" s="43">
        <v>5375.333333333334</v>
      </c>
      <c r="I138" s="44">
        <v>14.211879914560852</v>
      </c>
      <c r="J138" s="44">
        <v>408.50836263165894</v>
      </c>
      <c r="K138" s="44">
        <v>16.113392076369845</v>
      </c>
      <c r="L138" s="44">
        <v>452.1097467286721</v>
      </c>
    </row>
    <row r="139">
      <c r="A139" s="39" t="s">
        <v>3</v>
      </c>
      <c r="B139" s="40">
        <v>44277.0</v>
      </c>
      <c r="C139" s="41">
        <v>44283.0</v>
      </c>
      <c r="D139" s="39">
        <v>12.0</v>
      </c>
      <c r="E139" s="39">
        <v>7570.0</v>
      </c>
      <c r="F139" s="39">
        <v>4994.0</v>
      </c>
      <c r="G139" s="43">
        <v>1996.0</v>
      </c>
      <c r="H139" s="43">
        <v>5574.0</v>
      </c>
      <c r="I139" s="44">
        <v>14.9702864993286</v>
      </c>
      <c r="J139" s="44">
        <v>423.47864913098755</v>
      </c>
      <c r="K139" s="44">
        <v>16.70892610077245</v>
      </c>
      <c r="L139" s="44">
        <v>468.81867282944455</v>
      </c>
    </row>
    <row r="140">
      <c r="A140" s="39" t="s">
        <v>3</v>
      </c>
      <c r="B140" s="40">
        <v>44284.0</v>
      </c>
      <c r="C140" s="41">
        <v>44290.0</v>
      </c>
      <c r="D140" s="39">
        <v>13.0</v>
      </c>
      <c r="E140" s="39">
        <v>7900.0</v>
      </c>
      <c r="F140" s="39">
        <v>5157.0</v>
      </c>
      <c r="G140" s="43">
        <v>1960.0</v>
      </c>
      <c r="H140" s="43">
        <v>5940.0</v>
      </c>
      <c r="I140" s="44">
        <v>15.458904180424028</v>
      </c>
      <c r="J140" s="44">
        <v>438.9375533114116</v>
      </c>
      <c r="K140" s="44">
        <v>17.806067642373225</v>
      </c>
      <c r="L140" s="44">
        <v>486.6247404718178</v>
      </c>
    </row>
    <row r="141">
      <c r="A141" s="39" t="s">
        <v>3</v>
      </c>
      <c r="B141" s="40">
        <v>44291.0</v>
      </c>
      <c r="C141" s="41">
        <v>44297.0</v>
      </c>
      <c r="D141" s="39">
        <v>14.0</v>
      </c>
      <c r="E141" s="39">
        <v>8468.0</v>
      </c>
      <c r="F141" s="39">
        <v>5460.0</v>
      </c>
      <c r="G141" s="43">
        <v>1968.0</v>
      </c>
      <c r="H141" s="43">
        <v>6500.0</v>
      </c>
      <c r="I141" s="44">
        <v>16.367193489454177</v>
      </c>
      <c r="J141" s="44">
        <v>455.30474680086576</v>
      </c>
      <c r="K141" s="44">
        <v>19.484754154112114</v>
      </c>
      <c r="L141" s="44">
        <v>506.1094946259299</v>
      </c>
    </row>
    <row r="142">
      <c r="A142" s="39" t="s">
        <v>3</v>
      </c>
      <c r="B142" s="40">
        <v>44298.0</v>
      </c>
      <c r="C142" s="41">
        <v>44304.0</v>
      </c>
      <c r="D142" s="39">
        <v>15.0</v>
      </c>
      <c r="E142" s="39">
        <v>8426.0</v>
      </c>
      <c r="F142" s="39">
        <v>5356.0</v>
      </c>
      <c r="G142" s="43">
        <v>1896.3333333333333</v>
      </c>
      <c r="H142" s="43">
        <v>6529.666666666667</v>
      </c>
      <c r="I142" s="44">
        <v>16.055437422988383</v>
      </c>
      <c r="J142" s="44">
        <v>471.36018422385416</v>
      </c>
      <c r="K142" s="44">
        <v>19.573684570507808</v>
      </c>
      <c r="L142" s="44">
        <v>525.6831791964378</v>
      </c>
    </row>
    <row r="143">
      <c r="A143" s="39" t="s">
        <v>3</v>
      </c>
      <c r="B143" s="40">
        <v>44305.0</v>
      </c>
      <c r="C143" s="41">
        <v>44311.0</v>
      </c>
      <c r="D143" s="39">
        <v>16.0</v>
      </c>
      <c r="E143" s="39">
        <v>8246.0</v>
      </c>
      <c r="F143" s="39">
        <v>5963.0</v>
      </c>
      <c r="G143" s="43">
        <v>1976.0</v>
      </c>
      <c r="H143" s="43">
        <v>6270.0</v>
      </c>
      <c r="I143" s="44">
        <v>17.87501369553393</v>
      </c>
      <c r="J143" s="44">
        <v>489.2351979193881</v>
      </c>
      <c r="K143" s="44">
        <v>18.79529362250507</v>
      </c>
      <c r="L143" s="44">
        <v>544.4784728189428</v>
      </c>
    </row>
    <row r="144">
      <c r="A144" s="39" t="s">
        <v>3</v>
      </c>
      <c r="B144" s="40">
        <v>44312.0</v>
      </c>
      <c r="C144" s="41">
        <v>44318.0</v>
      </c>
      <c r="D144" s="39">
        <v>17.0</v>
      </c>
      <c r="E144" s="39">
        <v>7695.0</v>
      </c>
      <c r="F144" s="39">
        <v>4914.0</v>
      </c>
      <c r="G144" s="43">
        <v>1899.6666666666667</v>
      </c>
      <c r="H144" s="43">
        <v>5795.333333333333</v>
      </c>
      <c r="I144" s="44">
        <v>14.73047414050876</v>
      </c>
      <c r="J144" s="44">
        <v>503.96567205989686</v>
      </c>
      <c r="K144" s="44">
        <v>17.37240696017401</v>
      </c>
      <c r="L144" s="44">
        <v>561.8508797791168</v>
      </c>
    </row>
    <row r="145">
      <c r="A145" s="39" t="s">
        <v>3</v>
      </c>
      <c r="B145" s="40">
        <v>44319.0</v>
      </c>
      <c r="C145" s="41">
        <v>44325.0</v>
      </c>
      <c r="D145" s="39">
        <v>18.0</v>
      </c>
      <c r="E145" s="39">
        <v>7171.0</v>
      </c>
      <c r="F145" s="39">
        <v>4983.0</v>
      </c>
      <c r="G145" s="43">
        <v>1983.6666666666667</v>
      </c>
      <c r="H145" s="43">
        <v>5187.333333333333</v>
      </c>
      <c r="I145" s="44">
        <v>14.937312299990872</v>
      </c>
      <c r="J145" s="44">
        <v>518.9029843598877</v>
      </c>
      <c r="K145" s="44">
        <v>15.549833033143216</v>
      </c>
      <c r="L145" s="44">
        <v>577.40071281226</v>
      </c>
    </row>
    <row r="146">
      <c r="A146" s="39" t="s">
        <v>3</v>
      </c>
      <c r="B146" s="40">
        <v>44326.0</v>
      </c>
      <c r="C146" s="41">
        <v>44332.0</v>
      </c>
      <c r="D146" s="39">
        <v>19.0</v>
      </c>
      <c r="E146" s="39">
        <v>6533.0</v>
      </c>
      <c r="F146" s="39">
        <v>4093.0</v>
      </c>
      <c r="G146" s="43">
        <v>1911.0</v>
      </c>
      <c r="H146" s="43">
        <v>4622.0</v>
      </c>
      <c r="I146" s="44">
        <v>12.269399808120138</v>
      </c>
      <c r="J146" s="44">
        <v>531.1723841680079</v>
      </c>
      <c r="K146" s="44">
        <v>13.855159030816338</v>
      </c>
      <c r="L146" s="44">
        <v>591.2558718430764</v>
      </c>
    </row>
    <row r="147">
      <c r="A147" s="39" t="s">
        <v>3</v>
      </c>
      <c r="B147" s="40">
        <v>44333.0</v>
      </c>
      <c r="C147" s="41">
        <v>44339.0</v>
      </c>
      <c r="D147" s="39">
        <v>20.0</v>
      </c>
      <c r="E147" s="39">
        <v>6053.0</v>
      </c>
      <c r="F147" s="39">
        <v>3409.0</v>
      </c>
      <c r="G147" s="43">
        <v>1984.0</v>
      </c>
      <c r="H147" s="43">
        <v>4069.0</v>
      </c>
      <c r="I147" s="44">
        <v>10.219004140210492</v>
      </c>
      <c r="J147" s="44">
        <v>541.3913883082183</v>
      </c>
      <c r="K147" s="44">
        <v>12.197456100474184</v>
      </c>
      <c r="L147" s="44">
        <v>603.4533279435506</v>
      </c>
    </row>
    <row r="148">
      <c r="A148" s="39" t="s">
        <v>3</v>
      </c>
      <c r="B148" s="40">
        <v>44340.0</v>
      </c>
      <c r="C148" s="41">
        <v>44346.0</v>
      </c>
      <c r="D148" s="39">
        <v>21.0</v>
      </c>
      <c r="E148" s="39">
        <v>5629.0</v>
      </c>
      <c r="F148" s="39">
        <v>2786.0</v>
      </c>
      <c r="G148" s="43">
        <v>2034.0</v>
      </c>
      <c r="H148" s="43">
        <v>3595.0</v>
      </c>
      <c r="I148" s="44">
        <v>8.351465395900977</v>
      </c>
      <c r="J148" s="44">
        <v>549.7428537041193</v>
      </c>
      <c r="K148" s="44">
        <v>10.776567874466624</v>
      </c>
      <c r="L148" s="44">
        <v>614.2298958180172</v>
      </c>
    </row>
    <row r="149">
      <c r="A149" s="39" t="s">
        <v>3</v>
      </c>
      <c r="B149" s="40">
        <v>44347.0</v>
      </c>
      <c r="C149" s="41">
        <v>44353.0</v>
      </c>
      <c r="D149" s="39">
        <v>22.0</v>
      </c>
      <c r="E149" s="39">
        <v>5291.0</v>
      </c>
      <c r="F149" s="39">
        <v>2682.0</v>
      </c>
      <c r="G149" s="43">
        <v>2050.0</v>
      </c>
      <c r="H149" s="43">
        <v>3241.0</v>
      </c>
      <c r="I149" s="44">
        <v>8.039709329435183</v>
      </c>
      <c r="J149" s="44">
        <v>557.7825630335544</v>
      </c>
      <c r="K149" s="44">
        <v>9.715398186688827</v>
      </c>
      <c r="L149" s="44">
        <v>623.945294004706</v>
      </c>
    </row>
    <row r="150">
      <c r="A150" s="39" t="s">
        <v>3</v>
      </c>
      <c r="B150" s="40">
        <v>44354.0</v>
      </c>
      <c r="C150" s="41">
        <v>44360.0</v>
      </c>
      <c r="D150" s="39">
        <v>23.0</v>
      </c>
      <c r="E150" s="39">
        <v>4726.0</v>
      </c>
      <c r="F150" s="39">
        <v>2635.0</v>
      </c>
      <c r="G150" s="43">
        <v>2135.0</v>
      </c>
      <c r="H150" s="43">
        <v>2591.0</v>
      </c>
      <c r="I150" s="44">
        <v>7.898819568628526</v>
      </c>
      <c r="J150" s="44">
        <v>565.6813826021829</v>
      </c>
      <c r="K150" s="44">
        <v>7.766922771277614</v>
      </c>
      <c r="L150" s="44">
        <v>631.7122167759836</v>
      </c>
    </row>
    <row r="151">
      <c r="A151" s="39" t="s">
        <v>3</v>
      </c>
      <c r="B151" s="40">
        <v>44361.0</v>
      </c>
      <c r="C151" s="41">
        <v>44367.0</v>
      </c>
      <c r="D151" s="39">
        <v>24.0</v>
      </c>
      <c r="E151" s="39">
        <v>4333.0</v>
      </c>
      <c r="F151" s="39">
        <v>1494.0</v>
      </c>
      <c r="G151" s="43">
        <v>2150.0</v>
      </c>
      <c r="H151" s="43">
        <v>2183.0</v>
      </c>
      <c r="I151" s="44">
        <v>4.4784958009605385</v>
      </c>
      <c r="J151" s="44">
        <v>570.1598784031435</v>
      </c>
      <c r="K151" s="44">
        <v>6.543879741296423</v>
      </c>
      <c r="L151" s="44">
        <v>638.2560965172801</v>
      </c>
    </row>
    <row r="152">
      <c r="A152" s="39" t="s">
        <v>3</v>
      </c>
      <c r="B152" s="40">
        <v>44368.0</v>
      </c>
      <c r="C152" s="41">
        <v>44374.0</v>
      </c>
      <c r="D152" s="39">
        <v>25.0</v>
      </c>
      <c r="E152" s="39">
        <v>4024.0</v>
      </c>
      <c r="F152" s="39">
        <v>1382.0</v>
      </c>
      <c r="G152" s="43">
        <v>2223.3333333333335</v>
      </c>
      <c r="H152" s="43">
        <v>1800.6666666666665</v>
      </c>
      <c r="I152" s="44">
        <v>4.14275849861276</v>
      </c>
      <c r="J152" s="44">
        <v>574.3026369017563</v>
      </c>
      <c r="K152" s="44">
        <v>5.397776509769931</v>
      </c>
      <c r="L152" s="44">
        <v>643.65387302705</v>
      </c>
    </row>
    <row r="153">
      <c r="A153" s="39" t="s">
        <v>3</v>
      </c>
      <c r="B153" s="40">
        <v>44375.0</v>
      </c>
      <c r="C153" s="41">
        <v>44381.0</v>
      </c>
      <c r="D153" s="39">
        <v>26.0</v>
      </c>
      <c r="E153" s="39">
        <v>3816.0</v>
      </c>
      <c r="F153" s="39">
        <v>1646.0</v>
      </c>
      <c r="G153" s="43">
        <v>2200.3333333333335</v>
      </c>
      <c r="H153" s="43">
        <v>1615.6666666666665</v>
      </c>
      <c r="I153" s="44">
        <v>4.934139282718237</v>
      </c>
      <c r="J153" s="44">
        <v>579.2367761844745</v>
      </c>
      <c r="K153" s="44">
        <v>4.843210429999046</v>
      </c>
      <c r="L153" s="44">
        <v>648.4970834570491</v>
      </c>
    </row>
    <row r="154">
      <c r="A154" s="39" t="s">
        <v>3</v>
      </c>
      <c r="B154" s="40">
        <v>44382.0</v>
      </c>
      <c r="C154" s="41">
        <v>44388.0</v>
      </c>
      <c r="D154" s="39">
        <v>27.0</v>
      </c>
      <c r="E154" s="39">
        <v>3599.0</v>
      </c>
      <c r="F154" s="39">
        <v>1157.0</v>
      </c>
      <c r="G154" s="43">
        <v>2240.0</v>
      </c>
      <c r="H154" s="43">
        <v>1359.0</v>
      </c>
      <c r="I154" s="44">
        <v>3.468286239431956</v>
      </c>
      <c r="J154" s="44">
        <v>582.7050624239064</v>
      </c>
      <c r="K154" s="44">
        <v>4.073812445452056</v>
      </c>
      <c r="L154" s="44">
        <v>652.5708959025012</v>
      </c>
    </row>
    <row r="155">
      <c r="A155" s="39" t="s">
        <v>3</v>
      </c>
      <c r="B155" s="40">
        <v>44389.0</v>
      </c>
      <c r="C155" s="41">
        <v>44395.0</v>
      </c>
      <c r="D155" s="39">
        <v>28.0</v>
      </c>
      <c r="E155" s="39">
        <v>3333.0</v>
      </c>
      <c r="F155" s="39">
        <v>759.0</v>
      </c>
      <c r="G155" s="43">
        <v>2141.6666666666665</v>
      </c>
      <c r="H155" s="43">
        <v>1191.3333333333335</v>
      </c>
      <c r="I155" s="44">
        <v>2.2752197543032455</v>
      </c>
      <c r="J155" s="44">
        <v>584.9802821782097</v>
      </c>
      <c r="K155" s="44">
        <v>3.571205710092139</v>
      </c>
      <c r="L155" s="44">
        <v>656.1421016125934</v>
      </c>
    </row>
    <row r="156">
      <c r="A156" s="39" t="s">
        <v>3</v>
      </c>
      <c r="B156" s="40">
        <v>44396.0</v>
      </c>
      <c r="C156" s="41">
        <v>44402.0</v>
      </c>
      <c r="D156" s="39">
        <v>29.0</v>
      </c>
      <c r="E156" s="39">
        <v>3250.0</v>
      </c>
      <c r="F156" s="39">
        <v>744.0</v>
      </c>
      <c r="G156" s="43">
        <v>2199.6666666666665</v>
      </c>
      <c r="H156" s="43">
        <v>1050.3333333333335</v>
      </c>
      <c r="I156" s="44">
        <v>2.2302549370245255</v>
      </c>
      <c r="J156" s="44">
        <v>587.2105371152342</v>
      </c>
      <c r="K156" s="44">
        <v>3.1485364276721683</v>
      </c>
      <c r="L156" s="44">
        <v>659.2906380402655</v>
      </c>
    </row>
    <row r="157">
      <c r="A157" s="39" t="s">
        <v>3</v>
      </c>
      <c r="B157" s="40">
        <v>44403.0</v>
      </c>
      <c r="C157" s="41">
        <v>44409.0</v>
      </c>
      <c r="D157" s="39">
        <v>30.0</v>
      </c>
      <c r="E157" s="39">
        <v>3164.0</v>
      </c>
      <c r="F157" s="39">
        <v>548.0</v>
      </c>
      <c r="G157" s="43">
        <v>2215.3333333333335</v>
      </c>
      <c r="H157" s="43">
        <v>948.6666666666665</v>
      </c>
      <c r="I157" s="44">
        <v>1.6427146579159138</v>
      </c>
      <c r="J157" s="44">
        <v>588.8532517731501</v>
      </c>
      <c r="K157" s="44">
        <v>2.843774888338619</v>
      </c>
      <c r="L157" s="44">
        <v>662.1344129286042</v>
      </c>
    </row>
    <row r="158">
      <c r="A158" s="39" t="s">
        <v>3</v>
      </c>
      <c r="B158" s="40">
        <v>44410.0</v>
      </c>
      <c r="C158" s="41">
        <v>44416.0</v>
      </c>
      <c r="D158" s="39">
        <v>31.0</v>
      </c>
      <c r="E158" s="39">
        <v>3062.0</v>
      </c>
      <c r="F158" s="39">
        <v>512.0</v>
      </c>
      <c r="G158" s="43">
        <v>2182.6666666666665</v>
      </c>
      <c r="H158" s="43">
        <v>879.3333333333335</v>
      </c>
      <c r="I158" s="44">
        <v>1.5347990964469849</v>
      </c>
      <c r="J158" s="44">
        <v>590.388050869597</v>
      </c>
      <c r="K158" s="44">
        <v>2.6359375106947573</v>
      </c>
      <c r="L158" s="44">
        <v>664.7703504392989</v>
      </c>
    </row>
    <row r="159">
      <c r="A159" s="39" t="s">
        <v>3</v>
      </c>
      <c r="B159" s="40">
        <v>44417.0</v>
      </c>
      <c r="C159" s="41">
        <v>44423.0</v>
      </c>
      <c r="D159" s="39">
        <v>32.0</v>
      </c>
      <c r="E159" s="39">
        <v>3112.0</v>
      </c>
      <c r="F159" s="39">
        <v>443.0</v>
      </c>
      <c r="G159" s="43">
        <v>2230.3333333333335</v>
      </c>
      <c r="H159" s="43">
        <v>881.6666666666665</v>
      </c>
      <c r="I159" s="44">
        <v>1.327960936964872</v>
      </c>
      <c r="J159" s="44">
        <v>591.7160118065619</v>
      </c>
      <c r="K159" s="44">
        <v>2.642932037827002</v>
      </c>
      <c r="L159" s="44">
        <v>667.4132824771259</v>
      </c>
    </row>
    <row r="160">
      <c r="A160" s="39" t="s">
        <v>3</v>
      </c>
      <c r="B160" s="40">
        <v>44424.0</v>
      </c>
      <c r="C160" s="41">
        <v>44430.0</v>
      </c>
      <c r="D160" s="39">
        <v>33.0</v>
      </c>
      <c r="E160" s="39">
        <v>2936.0</v>
      </c>
      <c r="F160" s="39">
        <v>486.0</v>
      </c>
      <c r="G160" s="43">
        <v>2135.0</v>
      </c>
      <c r="H160" s="43">
        <v>801.0</v>
      </c>
      <c r="I160" s="44">
        <v>1.4568600798305367</v>
      </c>
      <c r="J160" s="44">
        <v>593.1728718863925</v>
      </c>
      <c r="K160" s="44">
        <v>2.401121242683662</v>
      </c>
      <c r="L160" s="44">
        <v>669.8144037198095</v>
      </c>
    </row>
    <row r="161">
      <c r="A161" s="39" t="s">
        <v>3</v>
      </c>
      <c r="B161" s="40">
        <v>44431.0</v>
      </c>
      <c r="C161" s="41">
        <v>44437.0</v>
      </c>
      <c r="D161" s="39">
        <v>34.0</v>
      </c>
      <c r="E161" s="39">
        <v>3107.0</v>
      </c>
      <c r="F161" s="39">
        <v>236.0</v>
      </c>
      <c r="G161" s="43">
        <v>2123.0</v>
      </c>
      <c r="H161" s="43">
        <v>984.0</v>
      </c>
      <c r="I161" s="44">
        <v>0.7074464585185322</v>
      </c>
      <c r="J161" s="44">
        <v>593.8803183449111</v>
      </c>
      <c r="K161" s="44">
        <v>2.949692013484049</v>
      </c>
      <c r="L161" s="44">
        <v>672.7640957332936</v>
      </c>
    </row>
    <row r="162">
      <c r="A162" s="39" t="s">
        <v>3</v>
      </c>
      <c r="B162" s="40">
        <v>44438.0</v>
      </c>
      <c r="C162" s="41">
        <v>44444.0</v>
      </c>
      <c r="D162" s="39">
        <v>35.0</v>
      </c>
      <c r="E162" s="39">
        <v>2983.0</v>
      </c>
      <c r="F162" s="39">
        <v>373.0</v>
      </c>
      <c r="G162" s="43">
        <v>2193.3333333333335</v>
      </c>
      <c r="H162" s="43">
        <v>789.6666666666665</v>
      </c>
      <c r="I162" s="44">
        <v>1.1181251229975104</v>
      </c>
      <c r="J162" s="44">
        <v>594.9984434679086</v>
      </c>
      <c r="K162" s="44">
        <v>2.367147825184184</v>
      </c>
      <c r="L162" s="44">
        <v>675.1312435584778</v>
      </c>
    </row>
    <row r="163">
      <c r="A163" s="39" t="s">
        <v>3</v>
      </c>
      <c r="B163" s="40">
        <v>44445.0</v>
      </c>
      <c r="C163" s="41">
        <v>44451.0</v>
      </c>
      <c r="D163" s="39">
        <v>36.0</v>
      </c>
      <c r="E163" s="39">
        <v>2887.0</v>
      </c>
      <c r="F163" s="39">
        <v>276.0</v>
      </c>
      <c r="G163" s="43">
        <v>2168.0</v>
      </c>
      <c r="H163" s="43">
        <v>719.0</v>
      </c>
      <c r="I163" s="44">
        <v>0.8273526379284529</v>
      </c>
      <c r="J163" s="44">
        <v>595.8257961058371</v>
      </c>
      <c r="K163" s="44">
        <v>2.155313574893325</v>
      </c>
      <c r="L163" s="44">
        <v>677.286557133371</v>
      </c>
    </row>
    <row r="164">
      <c r="A164" s="39" t="s">
        <v>3</v>
      </c>
      <c r="B164" s="40">
        <v>44452.0</v>
      </c>
      <c r="C164" s="41">
        <v>44458.0</v>
      </c>
      <c r="D164" s="39">
        <v>37.0</v>
      </c>
      <c r="E164" s="39">
        <v>2890.0</v>
      </c>
      <c r="F164" s="39">
        <v>302.0</v>
      </c>
      <c r="G164" s="43">
        <v>2175.0</v>
      </c>
      <c r="H164" s="43">
        <v>715.0</v>
      </c>
      <c r="I164" s="44">
        <v>0.9052916545449015</v>
      </c>
      <c r="J164" s="44">
        <v>596.731087760382</v>
      </c>
      <c r="K164" s="44">
        <v>2.143322956952333</v>
      </c>
      <c r="L164" s="44">
        <v>679.4298800903234</v>
      </c>
    </row>
    <row r="165">
      <c r="A165" s="39" t="s">
        <v>3</v>
      </c>
      <c r="B165" s="40">
        <v>44459.0</v>
      </c>
      <c r="C165" s="41">
        <v>44465.0</v>
      </c>
      <c r="D165" s="39">
        <v>38.0</v>
      </c>
      <c r="E165" s="39">
        <v>2945.0</v>
      </c>
      <c r="F165" s="39">
        <v>226.0</v>
      </c>
      <c r="G165" s="43">
        <v>2213.3333333333335</v>
      </c>
      <c r="H165" s="43">
        <v>731.6666666666665</v>
      </c>
      <c r="I165" s="44">
        <v>0.6774699136660519</v>
      </c>
      <c r="J165" s="44">
        <v>597.4085576740481</v>
      </c>
      <c r="K165" s="44">
        <v>2.193283865039799</v>
      </c>
      <c r="L165" s="44">
        <v>681.6231639553632</v>
      </c>
    </row>
    <row r="166">
      <c r="A166" s="39" t="s">
        <v>3</v>
      </c>
      <c r="B166" s="40">
        <v>44466.0</v>
      </c>
      <c r="C166" s="41">
        <v>44472.0</v>
      </c>
      <c r="D166" s="39">
        <v>39.0</v>
      </c>
      <c r="E166" s="39">
        <v>2875.0</v>
      </c>
      <c r="F166" s="39">
        <v>193.0</v>
      </c>
      <c r="G166" s="43">
        <v>2217.3333333333335</v>
      </c>
      <c r="H166" s="43">
        <v>657.6666666666665</v>
      </c>
      <c r="I166" s="44">
        <v>0.5785473156528674</v>
      </c>
      <c r="J166" s="44">
        <v>597.9871049897009</v>
      </c>
      <c r="K166" s="44">
        <v>1.9714574331314458</v>
      </c>
      <c r="L166" s="44">
        <v>683.5946213884947</v>
      </c>
    </row>
    <row r="167">
      <c r="A167" s="39" t="s">
        <v>3</v>
      </c>
      <c r="B167" s="40">
        <v>44473.0</v>
      </c>
      <c r="C167" s="41">
        <v>44479.0</v>
      </c>
      <c r="D167" s="39">
        <v>40.0</v>
      </c>
      <c r="E167" s="39">
        <v>2951.0</v>
      </c>
      <c r="F167" s="39">
        <v>190.0</v>
      </c>
      <c r="G167" s="43">
        <v>2151.6666666666665</v>
      </c>
      <c r="H167" s="43">
        <v>799.3333333333335</v>
      </c>
      <c r="I167" s="44">
        <v>0.5695543521971234</v>
      </c>
      <c r="J167" s="44">
        <v>598.556659341898</v>
      </c>
      <c r="K167" s="44">
        <v>2.396125151874916</v>
      </c>
      <c r="L167" s="44">
        <v>685.9907465403696</v>
      </c>
    </row>
    <row r="168">
      <c r="A168" s="39" t="s">
        <v>3</v>
      </c>
      <c r="B168" s="40">
        <v>44480.0</v>
      </c>
      <c r="C168" s="41">
        <v>44486.0</v>
      </c>
      <c r="D168" s="39">
        <v>41.0</v>
      </c>
      <c r="E168" s="39">
        <v>2855.0</v>
      </c>
      <c r="F168" s="39">
        <v>168.0</v>
      </c>
      <c r="G168" s="43">
        <v>2191.6666666666665</v>
      </c>
      <c r="H168" s="43">
        <v>663.3333333333335</v>
      </c>
      <c r="I168" s="44">
        <v>0.5036059535216669</v>
      </c>
      <c r="J168" s="44">
        <v>599.0602652954196</v>
      </c>
      <c r="K168" s="44">
        <v>1.9884441418811853</v>
      </c>
      <c r="L168" s="44">
        <v>687.9791906822508</v>
      </c>
    </row>
    <row r="169">
      <c r="A169" s="39" t="s">
        <v>3</v>
      </c>
      <c r="B169" s="40">
        <v>44487.0</v>
      </c>
      <c r="C169" s="41">
        <v>44493.0</v>
      </c>
      <c r="D169" s="39">
        <v>42.0</v>
      </c>
      <c r="E169" s="39">
        <v>2831.0</v>
      </c>
      <c r="F169" s="39">
        <v>209.0</v>
      </c>
      <c r="G169" s="43">
        <v>2233.0</v>
      </c>
      <c r="H169" s="43">
        <v>598.0</v>
      </c>
      <c r="I169" s="44">
        <v>0.6265097874168357</v>
      </c>
      <c r="J169" s="44">
        <v>599.6867750828364</v>
      </c>
      <c r="K169" s="44">
        <v>1.7925973821783145</v>
      </c>
      <c r="L169" s="44">
        <v>689.7717880644291</v>
      </c>
    </row>
    <row r="170">
      <c r="A170" s="39" t="s">
        <v>3</v>
      </c>
      <c r="B170" s="40">
        <v>44494.0</v>
      </c>
      <c r="C170" s="41">
        <v>44500.0</v>
      </c>
      <c r="D170" s="39">
        <v>43.0</v>
      </c>
      <c r="E170" s="39">
        <v>2754.0</v>
      </c>
      <c r="F170" s="39">
        <v>194.0</v>
      </c>
      <c r="G170" s="43">
        <v>2185.6666666666665</v>
      </c>
      <c r="H170" s="43">
        <v>568.3333333333335</v>
      </c>
      <c r="I170" s="44">
        <v>0.5815449701381155</v>
      </c>
      <c r="J170" s="44">
        <v>600.2683200529746</v>
      </c>
      <c r="K170" s="44">
        <v>1.7036669657826238</v>
      </c>
      <c r="L170" s="44">
        <v>691.4754550302117</v>
      </c>
    </row>
    <row r="171">
      <c r="A171" s="39" t="s">
        <v>3</v>
      </c>
      <c r="B171" s="40">
        <v>44501.0</v>
      </c>
      <c r="C171" s="41">
        <v>44507.0</v>
      </c>
      <c r="D171" s="39">
        <v>44.0</v>
      </c>
      <c r="E171" s="39">
        <v>2834.0</v>
      </c>
      <c r="F171" s="39">
        <v>184.0</v>
      </c>
      <c r="G171" s="43">
        <v>2205.0</v>
      </c>
      <c r="H171" s="43">
        <v>629.0</v>
      </c>
      <c r="I171" s="44">
        <v>0.5515684252856352</v>
      </c>
      <c r="J171" s="44">
        <v>600.8198884782602</v>
      </c>
      <c r="K171" s="44">
        <v>1.885524671221003</v>
      </c>
      <c r="L171" s="44">
        <v>693.3609797014327</v>
      </c>
    </row>
    <row r="172">
      <c r="A172" s="39" t="s">
        <v>4</v>
      </c>
      <c r="B172" s="40">
        <v>43906.0</v>
      </c>
      <c r="C172" s="41">
        <v>43912.0</v>
      </c>
      <c r="D172" s="39">
        <v>12.0</v>
      </c>
      <c r="E172" s="42">
        <v>2008.0</v>
      </c>
      <c r="F172" s="39">
        <v>1.0</v>
      </c>
      <c r="G172" s="43">
        <v>1806.0</v>
      </c>
      <c r="H172" s="43">
        <v>202.0</v>
      </c>
      <c r="I172" s="44">
        <v>0.005204982083931169</v>
      </c>
      <c r="J172" s="44">
        <v>0.005204982083931169</v>
      </c>
      <c r="K172" s="44">
        <v>1.051406380954096</v>
      </c>
      <c r="L172" s="44">
        <v>1.051406380954096</v>
      </c>
    </row>
    <row r="173">
      <c r="A173" s="39" t="s">
        <v>4</v>
      </c>
      <c r="B173" s="40">
        <v>43913.0</v>
      </c>
      <c r="C173" s="41">
        <v>43919.0</v>
      </c>
      <c r="D173" s="39">
        <v>13.0</v>
      </c>
      <c r="E173" s="42">
        <v>2006.0</v>
      </c>
      <c r="F173" s="39">
        <v>6.0</v>
      </c>
      <c r="G173" s="43">
        <v>1841.5</v>
      </c>
      <c r="H173" s="43">
        <v>164.5</v>
      </c>
      <c r="I173" s="44">
        <v>0.03122989250358701</v>
      </c>
      <c r="J173" s="44">
        <v>0.03643487458751818</v>
      </c>
      <c r="K173" s="44">
        <v>0.8562195528066773</v>
      </c>
      <c r="L173" s="44">
        <v>1.9076259337607735</v>
      </c>
    </row>
    <row r="174">
      <c r="A174" s="39" t="s">
        <v>4</v>
      </c>
      <c r="B174" s="40">
        <v>43920.0</v>
      </c>
      <c r="C174" s="41">
        <v>43926.0</v>
      </c>
      <c r="D174" s="39">
        <v>14.0</v>
      </c>
      <c r="E174" s="42">
        <v>2081.0</v>
      </c>
      <c r="F174" s="39">
        <v>27.0</v>
      </c>
      <c r="G174" s="43">
        <v>1886.5</v>
      </c>
      <c r="H174" s="43">
        <v>194.5</v>
      </c>
      <c r="I174" s="44">
        <v>0.14053451626614158</v>
      </c>
      <c r="J174" s="44">
        <v>0.17696939085365976</v>
      </c>
      <c r="K174" s="44">
        <v>1.0123690153246123</v>
      </c>
      <c r="L174" s="44">
        <v>2.919994949085386</v>
      </c>
    </row>
    <row r="175">
      <c r="A175" s="39" t="s">
        <v>4</v>
      </c>
      <c r="B175" s="40">
        <v>43927.0</v>
      </c>
      <c r="C175" s="41">
        <v>43933.0</v>
      </c>
      <c r="D175" s="39">
        <v>15.0</v>
      </c>
      <c r="E175" s="42">
        <v>2010.0</v>
      </c>
      <c r="F175" s="39">
        <v>46.0</v>
      </c>
      <c r="G175" s="43">
        <v>1951.5</v>
      </c>
      <c r="H175" s="43">
        <v>58.5</v>
      </c>
      <c r="I175" s="44">
        <v>0.2394291758608338</v>
      </c>
      <c r="J175" s="44">
        <v>0.41639856671449355</v>
      </c>
      <c r="K175" s="44">
        <v>0.3044914519099734</v>
      </c>
      <c r="L175" s="44">
        <v>3.2244864009953593</v>
      </c>
    </row>
    <row r="176">
      <c r="A176" s="39" t="s">
        <v>4</v>
      </c>
      <c r="B176" s="40">
        <v>43934.0</v>
      </c>
      <c r="C176" s="41">
        <v>43940.0</v>
      </c>
      <c r="D176" s="39">
        <v>16.0</v>
      </c>
      <c r="E176" s="42">
        <v>2087.0</v>
      </c>
      <c r="F176" s="39">
        <v>53.0</v>
      </c>
      <c r="G176" s="43">
        <v>1909.0</v>
      </c>
      <c r="H176" s="43">
        <v>178.0</v>
      </c>
      <c r="I176" s="44">
        <v>0.27586405044835194</v>
      </c>
      <c r="J176" s="44">
        <v>0.6922626171628454</v>
      </c>
      <c r="K176" s="44">
        <v>0.926486810939748</v>
      </c>
      <c r="L176" s="44">
        <v>4.150973211935107</v>
      </c>
    </row>
    <row r="177">
      <c r="A177" s="39" t="s">
        <v>4</v>
      </c>
      <c r="B177" s="40">
        <v>43941.0</v>
      </c>
      <c r="C177" s="41">
        <v>43947.0</v>
      </c>
      <c r="D177" s="39">
        <v>17.0</v>
      </c>
      <c r="E177" s="42">
        <v>2095.0</v>
      </c>
      <c r="F177" s="39">
        <v>56.0</v>
      </c>
      <c r="G177" s="43">
        <v>1984.5</v>
      </c>
      <c r="H177" s="43">
        <v>110.5</v>
      </c>
      <c r="I177" s="44">
        <v>0.29147899670014543</v>
      </c>
      <c r="J177" s="44">
        <v>0.9837416138629909</v>
      </c>
      <c r="K177" s="44">
        <v>0.5751505202743942</v>
      </c>
      <c r="L177" s="44">
        <v>4.726123732209501</v>
      </c>
    </row>
    <row r="178">
      <c r="A178" s="39" t="s">
        <v>4</v>
      </c>
      <c r="B178" s="40">
        <v>43948.0</v>
      </c>
      <c r="C178" s="41">
        <v>43954.0</v>
      </c>
      <c r="D178" s="39">
        <v>18.0</v>
      </c>
      <c r="E178" s="42">
        <v>2083.0</v>
      </c>
      <c r="F178" s="39">
        <v>71.0</v>
      </c>
      <c r="G178" s="43">
        <v>1979.25</v>
      </c>
      <c r="H178" s="43">
        <v>103.75</v>
      </c>
      <c r="I178" s="44">
        <v>0.36955372795911295</v>
      </c>
      <c r="J178" s="44">
        <v>1.3532953418221039</v>
      </c>
      <c r="K178" s="44">
        <v>0.5400168912078588</v>
      </c>
      <c r="L178" s="44">
        <v>5.2661406234173604</v>
      </c>
    </row>
    <row r="179">
      <c r="A179" s="39" t="s">
        <v>4</v>
      </c>
      <c r="B179" s="40">
        <v>43955.0</v>
      </c>
      <c r="C179" s="41">
        <v>43961.0</v>
      </c>
      <c r="D179" s="39">
        <v>19.0</v>
      </c>
      <c r="E179" s="42">
        <v>2342.0</v>
      </c>
      <c r="F179" s="39">
        <v>52.0</v>
      </c>
      <c r="G179" s="43">
        <v>1955.5</v>
      </c>
      <c r="H179" s="43">
        <v>386.5</v>
      </c>
      <c r="I179" s="44">
        <v>0.2706590683644208</v>
      </c>
      <c r="J179" s="44">
        <v>1.6239544101865246</v>
      </c>
      <c r="K179" s="44">
        <v>2.011725575439397</v>
      </c>
      <c r="L179" s="44">
        <v>7.277866198856757</v>
      </c>
    </row>
    <row r="180">
      <c r="A180" s="39" t="s">
        <v>4</v>
      </c>
      <c r="B180" s="40">
        <v>43962.0</v>
      </c>
      <c r="C180" s="41">
        <v>43968.0</v>
      </c>
      <c r="D180" s="39">
        <v>20.0</v>
      </c>
      <c r="E180" s="42">
        <v>2438.0</v>
      </c>
      <c r="F180" s="39">
        <v>138.0</v>
      </c>
      <c r="G180" s="43">
        <v>2037.25</v>
      </c>
      <c r="H180" s="43">
        <v>400.75</v>
      </c>
      <c r="I180" s="44">
        <v>0.7182875275825014</v>
      </c>
      <c r="J180" s="44">
        <v>2.342241937769026</v>
      </c>
      <c r="K180" s="44">
        <v>2.0858965701354157</v>
      </c>
      <c r="L180" s="44">
        <v>9.363762768992173</v>
      </c>
    </row>
    <row r="181">
      <c r="A181" s="39" t="s">
        <v>4</v>
      </c>
      <c r="B181" s="40">
        <v>43969.0</v>
      </c>
      <c r="C181" s="41">
        <v>43975.0</v>
      </c>
      <c r="D181" s="39">
        <v>21.0</v>
      </c>
      <c r="E181" s="42">
        <v>2933.0</v>
      </c>
      <c r="F181" s="39">
        <v>268.0</v>
      </c>
      <c r="G181" s="43">
        <v>2176.5</v>
      </c>
      <c r="H181" s="43">
        <v>756.5</v>
      </c>
      <c r="I181" s="44">
        <v>1.3949351984935532</v>
      </c>
      <c r="J181" s="44">
        <v>3.737177136262579</v>
      </c>
      <c r="K181" s="44">
        <v>3.937568946493929</v>
      </c>
      <c r="L181" s="44">
        <v>13.301331715486102</v>
      </c>
    </row>
    <row r="182">
      <c r="A182" s="39" t="s">
        <v>4</v>
      </c>
      <c r="B182" s="40">
        <v>43976.0</v>
      </c>
      <c r="C182" s="41">
        <v>43982.0</v>
      </c>
      <c r="D182" s="39">
        <v>22.0</v>
      </c>
      <c r="E182" s="42">
        <v>3394.0</v>
      </c>
      <c r="F182" s="39">
        <v>336.0</v>
      </c>
      <c r="G182" s="43">
        <v>2208.0</v>
      </c>
      <c r="H182" s="43">
        <v>1186.0</v>
      </c>
      <c r="I182" s="44">
        <v>1.7488739802008728</v>
      </c>
      <c r="J182" s="44">
        <v>5.486051116463452</v>
      </c>
      <c r="K182" s="44">
        <v>6.173108751542367</v>
      </c>
      <c r="L182" s="44">
        <v>19.47444046702847</v>
      </c>
    </row>
    <row r="183">
      <c r="A183" s="39" t="s">
        <v>4</v>
      </c>
      <c r="B183" s="40">
        <v>43983.0</v>
      </c>
      <c r="C183" s="41">
        <v>43989.0</v>
      </c>
      <c r="D183" s="39">
        <v>23.0</v>
      </c>
      <c r="E183" s="42">
        <v>3899.0</v>
      </c>
      <c r="F183" s="39">
        <v>583.0</v>
      </c>
      <c r="G183" s="43">
        <v>2310.75</v>
      </c>
      <c r="H183" s="43">
        <v>1588.25</v>
      </c>
      <c r="I183" s="44">
        <v>3.034504554931871</v>
      </c>
      <c r="J183" s="44">
        <v>8.520555671395323</v>
      </c>
      <c r="K183" s="44">
        <v>8.266812794803679</v>
      </c>
      <c r="L183" s="44">
        <v>27.74125326183215</v>
      </c>
    </row>
    <row r="184">
      <c r="A184" s="39" t="s">
        <v>4</v>
      </c>
      <c r="B184" s="40">
        <v>43990.0</v>
      </c>
      <c r="C184" s="41">
        <v>43996.0</v>
      </c>
      <c r="D184" s="39">
        <v>24.0</v>
      </c>
      <c r="E184" s="42">
        <v>3983.0</v>
      </c>
      <c r="F184" s="39">
        <v>1686.0</v>
      </c>
      <c r="G184" s="43">
        <v>2415.25</v>
      </c>
      <c r="H184" s="43">
        <v>1567.75</v>
      </c>
      <c r="I184" s="44">
        <v>8.77559979350795</v>
      </c>
      <c r="J184" s="44">
        <v>17.296155464903272</v>
      </c>
      <c r="K184" s="44">
        <v>8.16011066208309</v>
      </c>
      <c r="L184" s="44">
        <v>35.90136392391524</v>
      </c>
    </row>
    <row r="185">
      <c r="A185" s="39" t="s">
        <v>4</v>
      </c>
      <c r="B185" s="40">
        <v>43997.0</v>
      </c>
      <c r="C185" s="41">
        <v>44003.0</v>
      </c>
      <c r="D185" s="39">
        <v>25.0</v>
      </c>
      <c r="E185" s="42">
        <v>3732.0</v>
      </c>
      <c r="F185" s="39">
        <v>1156.0</v>
      </c>
      <c r="G185" s="43">
        <v>2425.5</v>
      </c>
      <c r="H185" s="43">
        <v>1306.5</v>
      </c>
      <c r="I185" s="44">
        <v>6.016959289024431</v>
      </c>
      <c r="J185" s="44">
        <v>23.313114753927703</v>
      </c>
      <c r="K185" s="44">
        <v>6.800309092656072</v>
      </c>
      <c r="L185" s="44">
        <v>42.70167301657131</v>
      </c>
    </row>
    <row r="186">
      <c r="A186" s="39" t="s">
        <v>4</v>
      </c>
      <c r="B186" s="40">
        <v>44004.0</v>
      </c>
      <c r="C186" s="41">
        <v>44010.0</v>
      </c>
      <c r="D186" s="39">
        <v>26.0</v>
      </c>
      <c r="E186" s="42">
        <v>3519.0</v>
      </c>
      <c r="F186" s="39">
        <v>1030.0</v>
      </c>
      <c r="G186" s="43">
        <v>2440.75</v>
      </c>
      <c r="H186" s="43">
        <v>1078.25</v>
      </c>
      <c r="I186" s="44">
        <v>5.361131546449104</v>
      </c>
      <c r="J186" s="44">
        <v>28.674246300376808</v>
      </c>
      <c r="K186" s="44">
        <v>5.612271931998783</v>
      </c>
      <c r="L186" s="44">
        <v>48.3139449485701</v>
      </c>
    </row>
    <row r="187">
      <c r="A187" s="39" t="s">
        <v>4</v>
      </c>
      <c r="B187" s="40">
        <v>44011.0</v>
      </c>
      <c r="C187" s="41">
        <v>44017.0</v>
      </c>
      <c r="D187" s="39">
        <v>27.0</v>
      </c>
      <c r="E187" s="42">
        <v>3070.0</v>
      </c>
      <c r="F187" s="39">
        <v>799.0</v>
      </c>
      <c r="G187" s="43">
        <v>2390.0</v>
      </c>
      <c r="H187" s="43">
        <v>680.0</v>
      </c>
      <c r="I187" s="44">
        <v>4.158780685061004</v>
      </c>
      <c r="J187" s="44">
        <v>32.83302698543781</v>
      </c>
      <c r="K187" s="44">
        <v>3.5393878170731945</v>
      </c>
      <c r="L187" s="44">
        <v>51.85333276564329</v>
      </c>
    </row>
    <row r="188">
      <c r="A188" s="39" t="s">
        <v>4</v>
      </c>
      <c r="B188" s="40">
        <v>44018.0</v>
      </c>
      <c r="C188" s="41">
        <v>44024.0</v>
      </c>
      <c r="D188" s="39">
        <v>28.0</v>
      </c>
      <c r="E188" s="42">
        <v>2967.0</v>
      </c>
      <c r="F188" s="39">
        <v>671.0</v>
      </c>
      <c r="G188" s="43">
        <v>2360.75</v>
      </c>
      <c r="H188" s="43">
        <v>606.25</v>
      </c>
      <c r="I188" s="44">
        <v>3.4925429783178146</v>
      </c>
      <c r="J188" s="44">
        <v>36.325569963755626</v>
      </c>
      <c r="K188" s="44">
        <v>3.1555203883832714</v>
      </c>
      <c r="L188" s="44">
        <v>55.00885315402656</v>
      </c>
    </row>
    <row r="189">
      <c r="A189" s="39" t="s">
        <v>4</v>
      </c>
      <c r="B189" s="40">
        <v>44025.0</v>
      </c>
      <c r="C189" s="41">
        <v>44031.0</v>
      </c>
      <c r="D189" s="39">
        <v>29.0</v>
      </c>
      <c r="E189" s="42">
        <v>2814.0</v>
      </c>
      <c r="F189" s="39">
        <v>1524.0</v>
      </c>
      <c r="G189" s="43">
        <v>2424.75</v>
      </c>
      <c r="H189" s="43">
        <v>389.25</v>
      </c>
      <c r="I189" s="44">
        <v>7.932392695911102</v>
      </c>
      <c r="J189" s="44">
        <v>44.25796265966673</v>
      </c>
      <c r="K189" s="44">
        <v>2.0260392761702075</v>
      </c>
      <c r="L189" s="44">
        <v>57.03489243019677</v>
      </c>
    </row>
    <row r="190">
      <c r="A190" s="39" t="s">
        <v>4</v>
      </c>
      <c r="B190" s="40">
        <v>44032.0</v>
      </c>
      <c r="C190" s="41">
        <v>44038.0</v>
      </c>
      <c r="D190" s="39">
        <v>30.0</v>
      </c>
      <c r="E190" s="42">
        <v>2698.0</v>
      </c>
      <c r="F190" s="39">
        <v>609.0</v>
      </c>
      <c r="G190" s="43">
        <v>2369.75</v>
      </c>
      <c r="H190" s="43">
        <v>328.25</v>
      </c>
      <c r="I190" s="44">
        <v>3.1698340891140817</v>
      </c>
      <c r="J190" s="44">
        <v>47.427796748780814</v>
      </c>
      <c r="K190" s="44">
        <v>1.7085353690504064</v>
      </c>
      <c r="L190" s="44">
        <v>58.74342779924718</v>
      </c>
    </row>
    <row r="191">
      <c r="A191" s="39" t="s">
        <v>4</v>
      </c>
      <c r="B191" s="40">
        <v>44039.0</v>
      </c>
      <c r="C191" s="41">
        <v>44045.0</v>
      </c>
      <c r="D191" s="39">
        <v>31.0</v>
      </c>
      <c r="E191" s="42">
        <v>2653.0</v>
      </c>
      <c r="F191" s="39">
        <v>496.0</v>
      </c>
      <c r="G191" s="43">
        <v>2344.0</v>
      </c>
      <c r="H191" s="43">
        <v>309.0</v>
      </c>
      <c r="I191" s="44">
        <v>2.58167111362986</v>
      </c>
      <c r="J191" s="44">
        <v>50.00946786241067</v>
      </c>
      <c r="K191" s="44">
        <v>1.6083394639347313</v>
      </c>
      <c r="L191" s="44">
        <v>60.35176726318191</v>
      </c>
    </row>
    <row r="192">
      <c r="A192" s="39" t="s">
        <v>4</v>
      </c>
      <c r="B192" s="40">
        <v>44046.0</v>
      </c>
      <c r="C192" s="41">
        <v>44052.0</v>
      </c>
      <c r="D192" s="39">
        <v>32.0</v>
      </c>
      <c r="E192" s="42">
        <v>2516.0</v>
      </c>
      <c r="F192" s="39">
        <v>469.0</v>
      </c>
      <c r="G192" s="43">
        <v>2277.75</v>
      </c>
      <c r="H192" s="43">
        <v>238.25</v>
      </c>
      <c r="I192" s="44">
        <v>2.4411365973637182</v>
      </c>
      <c r="J192" s="44">
        <v>52.45060445977439</v>
      </c>
      <c r="K192" s="44">
        <v>1.240086981496601</v>
      </c>
      <c r="L192" s="44">
        <v>61.591854244678515</v>
      </c>
    </row>
    <row r="193">
      <c r="A193" s="39" t="s">
        <v>4</v>
      </c>
      <c r="B193" s="40">
        <v>44053.0</v>
      </c>
      <c r="C193" s="41">
        <v>44059.0</v>
      </c>
      <c r="D193" s="39">
        <v>33.0</v>
      </c>
      <c r="E193" s="42">
        <v>2431.0</v>
      </c>
      <c r="F193" s="39">
        <v>375.0</v>
      </c>
      <c r="G193" s="43">
        <v>2245.0</v>
      </c>
      <c r="H193" s="43">
        <v>186.0</v>
      </c>
      <c r="I193" s="44">
        <v>1.9518682814741883</v>
      </c>
      <c r="J193" s="44">
        <v>54.40247274124858</v>
      </c>
      <c r="K193" s="44">
        <v>0.9681266676111975</v>
      </c>
      <c r="L193" s="44">
        <v>62.55998091228971</v>
      </c>
    </row>
    <row r="194">
      <c r="A194" s="39" t="s">
        <v>4</v>
      </c>
      <c r="B194" s="40">
        <v>44060.0</v>
      </c>
      <c r="C194" s="41">
        <v>44066.0</v>
      </c>
      <c r="D194" s="39">
        <v>34.0</v>
      </c>
      <c r="E194" s="42">
        <v>2596.0</v>
      </c>
      <c r="F194" s="39">
        <v>400.0</v>
      </c>
      <c r="G194" s="43">
        <v>2223.0</v>
      </c>
      <c r="H194" s="43">
        <v>373.0</v>
      </c>
      <c r="I194" s="44">
        <v>2.0819928335724676</v>
      </c>
      <c r="J194" s="44">
        <v>56.484465574821044</v>
      </c>
      <c r="K194" s="44">
        <v>1.941458317306326</v>
      </c>
      <c r="L194" s="44">
        <v>64.50143922959603</v>
      </c>
    </row>
    <row r="195">
      <c r="A195" s="39" t="s">
        <v>4</v>
      </c>
      <c r="B195" s="40">
        <v>44067.0</v>
      </c>
      <c r="C195" s="41">
        <v>44073.0</v>
      </c>
      <c r="D195" s="39">
        <v>35.0</v>
      </c>
      <c r="E195" s="42">
        <v>2479.0</v>
      </c>
      <c r="F195" s="39">
        <v>392.0</v>
      </c>
      <c r="G195" s="43">
        <v>2155.0</v>
      </c>
      <c r="H195" s="43">
        <v>324.0</v>
      </c>
      <c r="I195" s="44">
        <v>2.0403529769010182</v>
      </c>
      <c r="J195" s="44">
        <v>58.52481855172206</v>
      </c>
      <c r="K195" s="44">
        <v>1.6864141951936986</v>
      </c>
      <c r="L195" s="44">
        <v>66.18785342478972</v>
      </c>
    </row>
    <row r="196">
      <c r="A196" s="39" t="s">
        <v>4</v>
      </c>
      <c r="B196" s="40">
        <v>44074.0</v>
      </c>
      <c r="C196" s="41">
        <v>44080.0</v>
      </c>
      <c r="D196" s="39">
        <v>36.0</v>
      </c>
      <c r="E196" s="42">
        <v>2395.0</v>
      </c>
      <c r="F196" s="39">
        <v>348.0</v>
      </c>
      <c r="G196" s="43">
        <v>2213.25</v>
      </c>
      <c r="H196" s="43">
        <v>181.75</v>
      </c>
      <c r="I196" s="44">
        <v>1.8113337652080468</v>
      </c>
      <c r="J196" s="44">
        <v>60.33615231693011</v>
      </c>
      <c r="K196" s="44">
        <v>0.94600549375449</v>
      </c>
      <c r="L196" s="44">
        <v>67.1338589185442</v>
      </c>
    </row>
    <row r="197">
      <c r="A197" s="39" t="s">
        <v>4</v>
      </c>
      <c r="B197" s="40">
        <v>44081.0</v>
      </c>
      <c r="C197" s="41">
        <v>44087.0</v>
      </c>
      <c r="D197" s="39">
        <v>37.0</v>
      </c>
      <c r="E197" s="42">
        <v>2405.0</v>
      </c>
      <c r="F197" s="39">
        <v>357.0</v>
      </c>
      <c r="G197" s="43">
        <v>2154.25</v>
      </c>
      <c r="H197" s="43">
        <v>250.75</v>
      </c>
      <c r="I197" s="44">
        <v>1.8581786039634272</v>
      </c>
      <c r="J197" s="44">
        <v>62.194330920893535</v>
      </c>
      <c r="K197" s="44">
        <v>1.3051492575457406</v>
      </c>
      <c r="L197" s="44">
        <v>68.43900817608994</v>
      </c>
    </row>
    <row r="198">
      <c r="A198" s="39" t="s">
        <v>4</v>
      </c>
      <c r="B198" s="40">
        <v>44088.0</v>
      </c>
      <c r="C198" s="41">
        <v>44094.0</v>
      </c>
      <c r="D198" s="39">
        <v>38.0</v>
      </c>
      <c r="E198" s="42">
        <v>2401.0</v>
      </c>
      <c r="F198" s="39">
        <v>337.0</v>
      </c>
      <c r="G198" s="43">
        <v>2213.75</v>
      </c>
      <c r="H198" s="43">
        <v>187.25</v>
      </c>
      <c r="I198" s="44">
        <v>1.7540789622848039</v>
      </c>
      <c r="J198" s="44">
        <v>63.948409883178336</v>
      </c>
      <c r="K198" s="44">
        <v>0.9746328952161113</v>
      </c>
      <c r="L198" s="44">
        <v>69.41364107130606</v>
      </c>
    </row>
    <row r="199">
      <c r="A199" s="39" t="s">
        <v>4</v>
      </c>
      <c r="B199" s="40">
        <v>44095.0</v>
      </c>
      <c r="C199" s="41">
        <v>44101.0</v>
      </c>
      <c r="D199" s="39">
        <v>39.0</v>
      </c>
      <c r="E199" s="42">
        <v>2364.0</v>
      </c>
      <c r="F199" s="39">
        <v>355.0</v>
      </c>
      <c r="G199" s="43">
        <v>2122.5</v>
      </c>
      <c r="H199" s="43">
        <v>241.5</v>
      </c>
      <c r="I199" s="44">
        <v>1.847768639795565</v>
      </c>
      <c r="J199" s="44">
        <v>65.7961785229739</v>
      </c>
      <c r="K199" s="44">
        <v>1.2570031732693774</v>
      </c>
      <c r="L199" s="44">
        <v>70.67064424457544</v>
      </c>
    </row>
    <row r="200">
      <c r="A200" s="39" t="s">
        <v>4</v>
      </c>
      <c r="B200" s="40">
        <v>44102.0</v>
      </c>
      <c r="C200" s="41">
        <v>44108.0</v>
      </c>
      <c r="D200" s="39">
        <v>40.0</v>
      </c>
      <c r="E200" s="42">
        <v>2340.0</v>
      </c>
      <c r="F200" s="39">
        <v>338.0</v>
      </c>
      <c r="G200" s="43">
        <v>2069.25</v>
      </c>
      <c r="H200" s="43">
        <v>270.75</v>
      </c>
      <c r="I200" s="44">
        <v>1.7592839443687351</v>
      </c>
      <c r="J200" s="44">
        <v>67.55546246734264</v>
      </c>
      <c r="K200" s="44">
        <v>1.4092488992243641</v>
      </c>
      <c r="L200" s="44">
        <v>72.07989314379981</v>
      </c>
    </row>
    <row r="201">
      <c r="A201" s="39" t="s">
        <v>4</v>
      </c>
      <c r="B201" s="40">
        <v>44109.0</v>
      </c>
      <c r="C201" s="41">
        <v>44115.0</v>
      </c>
      <c r="D201" s="39">
        <v>41.0</v>
      </c>
      <c r="E201" s="42">
        <v>2396.0</v>
      </c>
      <c r="F201" s="39">
        <v>339.0</v>
      </c>
      <c r="G201" s="43">
        <v>2005.5</v>
      </c>
      <c r="H201" s="43">
        <v>390.5</v>
      </c>
      <c r="I201" s="44">
        <v>1.7644889264526662</v>
      </c>
      <c r="J201" s="44">
        <v>69.31995139379531</v>
      </c>
      <c r="K201" s="44">
        <v>2.0325455037751214</v>
      </c>
      <c r="L201" s="44">
        <v>74.11243864757493</v>
      </c>
    </row>
    <row r="202">
      <c r="A202" s="39" t="s">
        <v>4</v>
      </c>
      <c r="B202" s="40">
        <v>44116.0</v>
      </c>
      <c r="C202" s="41">
        <v>44122.0</v>
      </c>
      <c r="D202" s="39">
        <v>42.0</v>
      </c>
      <c r="E202" s="42">
        <v>2307.0</v>
      </c>
      <c r="F202" s="39">
        <v>317.0</v>
      </c>
      <c r="G202" s="43">
        <v>1981.25</v>
      </c>
      <c r="H202" s="43">
        <v>325.75</v>
      </c>
      <c r="I202" s="44">
        <v>1.6499793206061806</v>
      </c>
      <c r="J202" s="44">
        <v>70.96993071440149</v>
      </c>
      <c r="K202" s="44">
        <v>1.6955229138405783</v>
      </c>
      <c r="L202" s="44">
        <v>75.80796156141551</v>
      </c>
    </row>
    <row r="203">
      <c r="A203" s="39" t="s">
        <v>4</v>
      </c>
      <c r="B203" s="40">
        <v>44123.0</v>
      </c>
      <c r="C203" s="41">
        <v>44129.0</v>
      </c>
      <c r="D203" s="39">
        <v>43.0</v>
      </c>
      <c r="E203" s="42">
        <v>2304.0</v>
      </c>
      <c r="F203" s="39">
        <v>309.0</v>
      </c>
      <c r="G203" s="43">
        <v>1958.0</v>
      </c>
      <c r="H203" s="43">
        <v>346.0</v>
      </c>
      <c r="I203" s="44">
        <v>1.6083394639347313</v>
      </c>
      <c r="J203" s="44">
        <v>72.57827017833621</v>
      </c>
      <c r="K203" s="44">
        <v>1.8009238010401842</v>
      </c>
      <c r="L203" s="44">
        <v>77.6088853624557</v>
      </c>
    </row>
    <row r="204">
      <c r="A204" s="39" t="s">
        <v>4</v>
      </c>
      <c r="B204" s="40">
        <v>44130.0</v>
      </c>
      <c r="C204" s="41">
        <v>44136.0</v>
      </c>
      <c r="D204" s="39">
        <v>44.0</v>
      </c>
      <c r="E204" s="42">
        <v>2268.0</v>
      </c>
      <c r="F204" s="39">
        <v>303.0</v>
      </c>
      <c r="G204" s="43">
        <v>1942.0</v>
      </c>
      <c r="H204" s="43">
        <v>326.0</v>
      </c>
      <c r="I204" s="44">
        <v>1.577109571431144</v>
      </c>
      <c r="J204" s="44">
        <v>74.15537974976735</v>
      </c>
      <c r="K204" s="44">
        <v>1.6968241593615612</v>
      </c>
      <c r="L204" s="44">
        <v>79.30570952181725</v>
      </c>
    </row>
    <row r="205">
      <c r="A205" s="39" t="s">
        <v>4</v>
      </c>
      <c r="B205" s="40">
        <v>44137.0</v>
      </c>
      <c r="C205" s="41">
        <v>44143.0</v>
      </c>
      <c r="D205" s="39">
        <v>45.0</v>
      </c>
      <c r="E205" s="42">
        <v>2239.0</v>
      </c>
      <c r="F205" s="39">
        <v>296.0</v>
      </c>
      <c r="G205" s="43">
        <v>1946.5</v>
      </c>
      <c r="H205" s="43">
        <v>292.5</v>
      </c>
      <c r="I205" s="44">
        <v>1.540674696843626</v>
      </c>
      <c r="J205" s="44">
        <v>75.69605444661097</v>
      </c>
      <c r="K205" s="44">
        <v>1.5224572595498669</v>
      </c>
      <c r="L205" s="44">
        <v>80.82816678136712</v>
      </c>
    </row>
    <row r="206">
      <c r="A206" s="39" t="s">
        <v>4</v>
      </c>
      <c r="B206" s="40">
        <v>44144.0</v>
      </c>
      <c r="C206" s="41">
        <v>44150.0</v>
      </c>
      <c r="D206" s="39">
        <v>46.0</v>
      </c>
      <c r="E206" s="42">
        <v>2121.0</v>
      </c>
      <c r="F206" s="39">
        <v>276.0</v>
      </c>
      <c r="G206" s="43">
        <v>1898.0</v>
      </c>
      <c r="H206" s="43">
        <v>223.0</v>
      </c>
      <c r="I206" s="44">
        <v>1.4365750551650027</v>
      </c>
      <c r="J206" s="44">
        <v>77.13262950177598</v>
      </c>
      <c r="K206" s="44">
        <v>1.1607110047166507</v>
      </c>
      <c r="L206" s="44">
        <v>81.98887778608376</v>
      </c>
    </row>
    <row r="207">
      <c r="A207" s="39" t="s">
        <v>4</v>
      </c>
      <c r="B207" s="40">
        <v>44151.0</v>
      </c>
      <c r="C207" s="41">
        <v>44157.0</v>
      </c>
      <c r="D207" s="39">
        <v>47.0</v>
      </c>
      <c r="E207" s="42">
        <v>2184.0</v>
      </c>
      <c r="F207" s="39">
        <v>250.0</v>
      </c>
      <c r="G207" s="43">
        <v>1942.25</v>
      </c>
      <c r="H207" s="43">
        <v>241.75</v>
      </c>
      <c r="I207" s="44">
        <v>1.3012455209827922</v>
      </c>
      <c r="J207" s="44">
        <v>78.43387502275877</v>
      </c>
      <c r="K207" s="44">
        <v>1.25830441879036</v>
      </c>
      <c r="L207" s="44">
        <v>83.24718220487412</v>
      </c>
    </row>
    <row r="208">
      <c r="A208" s="39" t="s">
        <v>4</v>
      </c>
      <c r="B208" s="40">
        <v>44158.0</v>
      </c>
      <c r="C208" s="41">
        <v>44164.0</v>
      </c>
      <c r="D208" s="39">
        <v>48.0</v>
      </c>
      <c r="E208" s="42">
        <v>2203.0</v>
      </c>
      <c r="F208" s="39">
        <v>287.0</v>
      </c>
      <c r="G208" s="43">
        <v>1895.75</v>
      </c>
      <c r="H208" s="43">
        <v>307.25</v>
      </c>
      <c r="I208" s="44">
        <v>1.4938298580882454</v>
      </c>
      <c r="J208" s="44">
        <v>79.92770488084702</v>
      </c>
      <c r="K208" s="44">
        <v>1.5992307452878516</v>
      </c>
      <c r="L208" s="44">
        <v>84.84641295016198</v>
      </c>
    </row>
    <row r="209">
      <c r="A209" s="39" t="s">
        <v>4</v>
      </c>
      <c r="B209" s="40">
        <v>44165.0</v>
      </c>
      <c r="C209" s="41">
        <v>44171.0</v>
      </c>
      <c r="D209" s="39">
        <v>49.0</v>
      </c>
      <c r="E209" s="42">
        <v>2174.0</v>
      </c>
      <c r="F209" s="39">
        <v>272.0</v>
      </c>
      <c r="G209" s="43">
        <v>1850.25</v>
      </c>
      <c r="H209" s="43">
        <v>323.75</v>
      </c>
      <c r="I209" s="44">
        <v>1.4157551268292778</v>
      </c>
      <c r="J209" s="44">
        <v>81.3434600076763</v>
      </c>
      <c r="K209" s="44">
        <v>1.685112949672716</v>
      </c>
      <c r="L209" s="44">
        <v>86.53152589983469</v>
      </c>
    </row>
    <row r="210">
      <c r="A210" s="39" t="s">
        <v>4</v>
      </c>
      <c r="B210" s="40">
        <v>44172.0</v>
      </c>
      <c r="C210" s="41">
        <v>44178.0</v>
      </c>
      <c r="D210" s="39">
        <v>50.0</v>
      </c>
      <c r="E210" s="42">
        <v>2187.0</v>
      </c>
      <c r="F210" s="39">
        <v>258.0</v>
      </c>
      <c r="G210" s="43">
        <v>1890.0</v>
      </c>
      <c r="H210" s="43">
        <v>297.0</v>
      </c>
      <c r="I210" s="44">
        <v>1.3428853776542415</v>
      </c>
      <c r="J210" s="44">
        <v>82.68634538533054</v>
      </c>
      <c r="K210" s="44">
        <v>1.545879678927557</v>
      </c>
      <c r="L210" s="44">
        <v>88.07740557876225</v>
      </c>
    </row>
    <row r="211">
      <c r="A211" s="39" t="s">
        <v>4</v>
      </c>
      <c r="B211" s="40">
        <v>44179.0</v>
      </c>
      <c r="C211" s="41">
        <v>44185.0</v>
      </c>
      <c r="D211" s="39">
        <v>51.0</v>
      </c>
      <c r="E211" s="42">
        <v>2155.0</v>
      </c>
      <c r="F211" s="39">
        <v>268.0</v>
      </c>
      <c r="G211" s="43">
        <v>1883.75</v>
      </c>
      <c r="H211" s="43">
        <v>271.25</v>
      </c>
      <c r="I211" s="44">
        <v>1.3949351984935532</v>
      </c>
      <c r="J211" s="44">
        <v>84.0812805838241</v>
      </c>
      <c r="K211" s="44">
        <v>1.4118513902663297</v>
      </c>
      <c r="L211" s="44">
        <v>89.48925696902859</v>
      </c>
    </row>
    <row r="212">
      <c r="A212" s="39" t="s">
        <v>4</v>
      </c>
      <c r="B212" s="40">
        <v>44186.0</v>
      </c>
      <c r="C212" s="41">
        <v>44192.0</v>
      </c>
      <c r="D212" s="39">
        <v>52.0</v>
      </c>
      <c r="E212" s="42">
        <v>2291.0</v>
      </c>
      <c r="F212" s="39">
        <v>289.0</v>
      </c>
      <c r="G212" s="43">
        <v>1811.5</v>
      </c>
      <c r="H212" s="43">
        <v>479.5</v>
      </c>
      <c r="I212" s="44">
        <v>1.5042398222561078</v>
      </c>
      <c r="J212" s="44">
        <v>85.5855204060802</v>
      </c>
      <c r="K212" s="44">
        <v>2.4957889092449954</v>
      </c>
      <c r="L212" s="44">
        <v>91.98504587827358</v>
      </c>
    </row>
    <row r="213">
      <c r="A213" s="39" t="s">
        <v>4</v>
      </c>
      <c r="B213" s="40">
        <v>44193.0</v>
      </c>
      <c r="C213" s="41">
        <v>44199.0</v>
      </c>
      <c r="D213" s="39">
        <v>53.0</v>
      </c>
      <c r="E213" s="42">
        <v>2236.0</v>
      </c>
      <c r="F213" s="39">
        <v>324.0</v>
      </c>
      <c r="G213" s="43">
        <v>1811.5</v>
      </c>
      <c r="H213" s="43">
        <v>424.5</v>
      </c>
      <c r="I213" s="44">
        <v>1.6864141951936986</v>
      </c>
      <c r="J213" s="44">
        <v>87.2719346012739</v>
      </c>
      <c r="K213" s="44">
        <v>2.2095148946287813</v>
      </c>
      <c r="L213" s="44">
        <v>94.19456077290236</v>
      </c>
    </row>
    <row r="214">
      <c r="A214" s="39" t="s">
        <v>4</v>
      </c>
      <c r="B214" s="40">
        <v>44200.0</v>
      </c>
      <c r="C214" s="41">
        <v>44206.0</v>
      </c>
      <c r="D214" s="39">
        <v>1.0</v>
      </c>
      <c r="E214" s="42">
        <v>2445.0</v>
      </c>
      <c r="F214" s="39">
        <v>329.0</v>
      </c>
      <c r="G214" s="43">
        <v>1967.2</v>
      </c>
      <c r="H214" s="43">
        <v>477.79999999999995</v>
      </c>
      <c r="I214" s="44">
        <v>1.7124391056133546</v>
      </c>
      <c r="J214" s="44">
        <v>88.98437370688725</v>
      </c>
      <c r="K214" s="44">
        <v>2.4869404397023125</v>
      </c>
      <c r="L214" s="44">
        <v>96.68150121260467</v>
      </c>
    </row>
    <row r="215">
      <c r="A215" s="39" t="s">
        <v>4</v>
      </c>
      <c r="B215" s="40">
        <v>44207.0</v>
      </c>
      <c r="C215" s="41">
        <v>44213.0</v>
      </c>
      <c r="D215" s="39">
        <v>2.0</v>
      </c>
      <c r="E215" s="42">
        <v>2438.0</v>
      </c>
      <c r="F215" s="39">
        <v>381.0</v>
      </c>
      <c r="G215" s="43">
        <v>1885.6</v>
      </c>
      <c r="H215" s="43">
        <v>552.4000000000001</v>
      </c>
      <c r="I215" s="44">
        <v>1.9830981739777755</v>
      </c>
      <c r="J215" s="44">
        <v>90.96747188086503</v>
      </c>
      <c r="K215" s="44">
        <v>2.875232103163578</v>
      </c>
      <c r="L215" s="44">
        <v>99.55673331576826</v>
      </c>
    </row>
    <row r="216">
      <c r="A216" s="39" t="s">
        <v>4</v>
      </c>
      <c r="B216" s="40">
        <v>44214.0</v>
      </c>
      <c r="C216" s="41">
        <v>44220.0</v>
      </c>
      <c r="D216" s="39">
        <v>3.0</v>
      </c>
      <c r="E216" s="42">
        <v>2701.0</v>
      </c>
      <c r="F216" s="39">
        <v>456.0</v>
      </c>
      <c r="G216" s="43">
        <v>1926.0</v>
      </c>
      <c r="H216" s="43">
        <v>775.0</v>
      </c>
      <c r="I216" s="44">
        <v>2.373471830272613</v>
      </c>
      <c r="J216" s="44">
        <v>93.34094371113764</v>
      </c>
      <c r="K216" s="44">
        <v>4.033861115046656</v>
      </c>
      <c r="L216" s="44">
        <v>103.59059443081492</v>
      </c>
    </row>
    <row r="217">
      <c r="A217" s="39" t="s">
        <v>4</v>
      </c>
      <c r="B217" s="40">
        <v>44221.0</v>
      </c>
      <c r="C217" s="41">
        <v>44227.0</v>
      </c>
      <c r="D217" s="39">
        <v>4.0</v>
      </c>
      <c r="E217" s="42">
        <v>2557.0</v>
      </c>
      <c r="F217" s="39">
        <v>519.0</v>
      </c>
      <c r="G217" s="43">
        <v>1920.8</v>
      </c>
      <c r="H217" s="43">
        <v>636.2</v>
      </c>
      <c r="I217" s="44">
        <v>2.7013857015602767</v>
      </c>
      <c r="J217" s="44">
        <v>96.04232941269791</v>
      </c>
      <c r="K217" s="44">
        <v>3.31140960179701</v>
      </c>
      <c r="L217" s="44">
        <v>106.90200403261193</v>
      </c>
    </row>
    <row r="218">
      <c r="A218" s="39" t="s">
        <v>4</v>
      </c>
      <c r="B218" s="40">
        <v>44228.0</v>
      </c>
      <c r="C218" s="41">
        <v>44234.0</v>
      </c>
      <c r="D218" s="39">
        <v>5.0</v>
      </c>
      <c r="E218" s="42">
        <v>2633.0</v>
      </c>
      <c r="F218" s="39">
        <v>522.0</v>
      </c>
      <c r="G218" s="43">
        <v>1925.8</v>
      </c>
      <c r="H218" s="43">
        <v>707.2</v>
      </c>
      <c r="I218" s="44">
        <v>2.7170006478120703</v>
      </c>
      <c r="J218" s="44">
        <v>98.75933006050998</v>
      </c>
      <c r="K218" s="44">
        <v>3.680963329756123</v>
      </c>
      <c r="L218" s="44">
        <v>110.58296736236805</v>
      </c>
    </row>
    <row r="219">
      <c r="A219" s="39" t="s">
        <v>4</v>
      </c>
      <c r="B219" s="40">
        <v>44235.0</v>
      </c>
      <c r="C219" s="41">
        <v>44241.0</v>
      </c>
      <c r="D219" s="39">
        <v>6.0</v>
      </c>
      <c r="E219" s="42">
        <v>2506.0</v>
      </c>
      <c r="F219" s="39">
        <v>567.0</v>
      </c>
      <c r="G219" s="43">
        <v>1868.0</v>
      </c>
      <c r="H219" s="43">
        <v>638.0</v>
      </c>
      <c r="I219" s="44">
        <v>2.9512248415889726</v>
      </c>
      <c r="J219" s="44">
        <v>101.71055490209895</v>
      </c>
      <c r="K219" s="44">
        <v>3.320778569548086</v>
      </c>
      <c r="L219" s="44">
        <v>113.90374593191613</v>
      </c>
    </row>
    <row r="220">
      <c r="A220" s="39" t="s">
        <v>4</v>
      </c>
      <c r="B220" s="40">
        <v>44242.0</v>
      </c>
      <c r="C220" s="41">
        <v>44248.0</v>
      </c>
      <c r="D220" s="39">
        <v>7.0</v>
      </c>
      <c r="E220" s="42">
        <v>2502.0</v>
      </c>
      <c r="F220" s="39">
        <v>501.0</v>
      </c>
      <c r="G220" s="43">
        <v>1848.4</v>
      </c>
      <c r="H220" s="43">
        <v>653.5999999999999</v>
      </c>
      <c r="I220" s="44">
        <v>2.6076960240495155</v>
      </c>
      <c r="J220" s="44">
        <v>104.31825092614847</v>
      </c>
      <c r="K220" s="44">
        <v>3.4019762900574113</v>
      </c>
      <c r="L220" s="44">
        <v>117.30572222197354</v>
      </c>
    </row>
    <row r="221">
      <c r="A221" s="39" t="s">
        <v>4</v>
      </c>
      <c r="B221" s="40">
        <v>44249.0</v>
      </c>
      <c r="C221" s="41">
        <v>44255.0</v>
      </c>
      <c r="D221" s="39">
        <v>8.0</v>
      </c>
      <c r="E221" s="42">
        <v>2606.0</v>
      </c>
      <c r="F221" s="39">
        <v>530.0</v>
      </c>
      <c r="G221" s="43">
        <v>1884.2</v>
      </c>
      <c r="H221" s="43">
        <v>721.8</v>
      </c>
      <c r="I221" s="44">
        <v>2.7586405044835196</v>
      </c>
      <c r="J221" s="44">
        <v>107.07689143063199</v>
      </c>
      <c r="K221" s="44">
        <v>3.7569560681815175</v>
      </c>
      <c r="L221" s="44">
        <v>121.06267829015506</v>
      </c>
    </row>
    <row r="222">
      <c r="A222" s="39" t="s">
        <v>4</v>
      </c>
      <c r="B222" s="40">
        <v>44256.0</v>
      </c>
      <c r="C222" s="41">
        <v>44262.0</v>
      </c>
      <c r="D222" s="39">
        <v>9.0</v>
      </c>
      <c r="E222" s="42">
        <v>2661.0</v>
      </c>
      <c r="F222" s="39">
        <v>505.0</v>
      </c>
      <c r="G222" s="43">
        <v>1802.8</v>
      </c>
      <c r="H222" s="43">
        <v>858.2</v>
      </c>
      <c r="I222" s="44">
        <v>2.62851595238524</v>
      </c>
      <c r="J222" s="44">
        <v>109.70540738301723</v>
      </c>
      <c r="K222" s="44">
        <v>4.4669156244297294</v>
      </c>
      <c r="L222" s="44">
        <v>125.5295939145848</v>
      </c>
    </row>
    <row r="223">
      <c r="A223" s="39" t="s">
        <v>4</v>
      </c>
      <c r="B223" s="40">
        <v>44263.0</v>
      </c>
      <c r="C223" s="41">
        <v>44269.0</v>
      </c>
      <c r="D223" s="39">
        <v>10.0</v>
      </c>
      <c r="E223" s="42">
        <v>2656.0</v>
      </c>
      <c r="F223" s="39">
        <v>597.0</v>
      </c>
      <c r="G223" s="43">
        <v>1808.4</v>
      </c>
      <c r="H223" s="43">
        <v>847.5999999999999</v>
      </c>
      <c r="I223" s="44">
        <v>3.107374304106908</v>
      </c>
      <c r="J223" s="44">
        <v>112.81278168712414</v>
      </c>
      <c r="K223" s="44">
        <v>4.411742814340059</v>
      </c>
      <c r="L223" s="44">
        <v>129.94133672892485</v>
      </c>
    </row>
    <row r="224">
      <c r="A224" s="39" t="s">
        <v>4</v>
      </c>
      <c r="B224" s="40">
        <v>44270.0</v>
      </c>
      <c r="C224" s="41">
        <v>44276.0</v>
      </c>
      <c r="D224" s="39">
        <v>11.0</v>
      </c>
      <c r="E224" s="42">
        <v>2550.0</v>
      </c>
      <c r="F224" s="39">
        <v>605.0</v>
      </c>
      <c r="G224" s="43">
        <v>1821.8</v>
      </c>
      <c r="H224" s="43">
        <v>728.2</v>
      </c>
      <c r="I224" s="44">
        <v>3.149014160778357</v>
      </c>
      <c r="J224" s="44">
        <v>115.9617958479025</v>
      </c>
      <c r="K224" s="44">
        <v>3.790267953518677</v>
      </c>
      <c r="L224" s="44">
        <v>133.73160468244353</v>
      </c>
    </row>
    <row r="225">
      <c r="A225" s="39" t="s">
        <v>4</v>
      </c>
      <c r="B225" s="40">
        <v>44277.0</v>
      </c>
      <c r="C225" s="41">
        <v>44283.0</v>
      </c>
      <c r="D225" s="39">
        <v>12.0</v>
      </c>
      <c r="E225" s="42">
        <v>2741.0</v>
      </c>
      <c r="F225" s="39">
        <v>475.0</v>
      </c>
      <c r="G225" s="43">
        <v>1806.0</v>
      </c>
      <c r="H225" s="43">
        <v>935.0</v>
      </c>
      <c r="I225" s="44">
        <v>2.4723664898673055</v>
      </c>
      <c r="J225" s="44">
        <v>118.4341623377698</v>
      </c>
      <c r="K225" s="44">
        <v>4.866658248475643</v>
      </c>
      <c r="L225" s="44">
        <v>138.59826293091916</v>
      </c>
    </row>
    <row r="226">
      <c r="A226" s="39" t="s">
        <v>4</v>
      </c>
      <c r="B226" s="40">
        <v>44284.0</v>
      </c>
      <c r="C226" s="41">
        <v>44290.0</v>
      </c>
      <c r="D226" s="39">
        <v>13.0</v>
      </c>
      <c r="E226" s="42">
        <v>2833.0</v>
      </c>
      <c r="F226" s="39">
        <v>890.0</v>
      </c>
      <c r="G226" s="43">
        <v>1841.5</v>
      </c>
      <c r="H226" s="43">
        <v>991.5</v>
      </c>
      <c r="I226" s="44">
        <v>4.632434054698741</v>
      </c>
      <c r="J226" s="44">
        <v>123.06659639246854</v>
      </c>
      <c r="K226" s="44">
        <v>5.160739736217754</v>
      </c>
      <c r="L226" s="44">
        <v>143.7590026671369</v>
      </c>
    </row>
    <row r="227">
      <c r="A227" s="39" t="s">
        <v>4</v>
      </c>
      <c r="B227" s="40">
        <v>44291.0</v>
      </c>
      <c r="C227" s="41">
        <v>44297.0</v>
      </c>
      <c r="D227" s="39">
        <v>14.0</v>
      </c>
      <c r="E227" s="42">
        <v>2849.0</v>
      </c>
      <c r="F227" s="39">
        <v>702.0</v>
      </c>
      <c r="G227" s="43">
        <v>1886.5</v>
      </c>
      <c r="H227" s="43">
        <v>962.5</v>
      </c>
      <c r="I227" s="44">
        <v>3.653897422919681</v>
      </c>
      <c r="J227" s="44">
        <v>126.72049381538822</v>
      </c>
      <c r="K227" s="44">
        <v>5.00979525578375</v>
      </c>
      <c r="L227" s="44">
        <v>148.76879792292067</v>
      </c>
    </row>
    <row r="228">
      <c r="A228" s="39" t="s">
        <v>4</v>
      </c>
      <c r="B228" s="40">
        <v>44298.0</v>
      </c>
      <c r="C228" s="41">
        <v>44304.0</v>
      </c>
      <c r="D228" s="39">
        <v>15.0</v>
      </c>
      <c r="E228" s="42">
        <v>2897.0</v>
      </c>
      <c r="F228" s="39">
        <v>831.0</v>
      </c>
      <c r="G228" s="43">
        <v>1951.5</v>
      </c>
      <c r="H228" s="43">
        <v>945.5</v>
      </c>
      <c r="I228" s="44">
        <v>4.325340111746801</v>
      </c>
      <c r="J228" s="44">
        <v>131.04583392713502</v>
      </c>
      <c r="K228" s="44">
        <v>4.92131056035692</v>
      </c>
      <c r="L228" s="44">
        <v>153.69010848327758</v>
      </c>
    </row>
    <row r="229">
      <c r="A229" s="39" t="s">
        <v>4</v>
      </c>
      <c r="B229" s="40">
        <v>44305.0</v>
      </c>
      <c r="C229" s="41">
        <v>44311.0</v>
      </c>
      <c r="D229" s="39">
        <v>16.0</v>
      </c>
      <c r="E229" s="42">
        <v>2664.0</v>
      </c>
      <c r="F229" s="39">
        <v>679.0</v>
      </c>
      <c r="G229" s="43">
        <v>1909.0</v>
      </c>
      <c r="H229" s="43">
        <v>755.0</v>
      </c>
      <c r="I229" s="44">
        <v>3.534182834989264</v>
      </c>
      <c r="J229" s="44">
        <v>134.58001676212427</v>
      </c>
      <c r="K229" s="44">
        <v>3.929761473368033</v>
      </c>
      <c r="L229" s="44">
        <v>157.61986995664563</v>
      </c>
    </row>
    <row r="230">
      <c r="A230" s="39" t="s">
        <v>4</v>
      </c>
      <c r="B230" s="40">
        <v>44312.0</v>
      </c>
      <c r="C230" s="41">
        <v>44318.0</v>
      </c>
      <c r="D230" s="39">
        <v>17.0</v>
      </c>
      <c r="E230" s="42">
        <v>2786.0</v>
      </c>
      <c r="F230" s="39">
        <v>705.0</v>
      </c>
      <c r="G230" s="43">
        <v>1984.5</v>
      </c>
      <c r="H230" s="43">
        <v>801.5</v>
      </c>
      <c r="I230" s="44">
        <v>3.6695123691714744</v>
      </c>
      <c r="J230" s="44">
        <v>138.24952913129576</v>
      </c>
      <c r="K230" s="44">
        <v>4.1717931402708315</v>
      </c>
      <c r="L230" s="44">
        <v>161.79166309691647</v>
      </c>
    </row>
    <row r="231">
      <c r="A231" s="39" t="s">
        <v>4</v>
      </c>
      <c r="B231" s="40">
        <v>44319.0</v>
      </c>
      <c r="C231" s="41">
        <v>44325.0</v>
      </c>
      <c r="D231" s="39">
        <v>18.0</v>
      </c>
      <c r="E231" s="42">
        <v>2731.0</v>
      </c>
      <c r="F231" s="39">
        <v>657.0</v>
      </c>
      <c r="G231" s="43">
        <v>1979.25</v>
      </c>
      <c r="H231" s="43">
        <v>751.75</v>
      </c>
      <c r="I231" s="44">
        <v>3.419673229142778</v>
      </c>
      <c r="J231" s="44">
        <v>141.66920236043853</v>
      </c>
      <c r="K231" s="44">
        <v>3.9128452815952564</v>
      </c>
      <c r="L231" s="44">
        <v>165.70450837851172</v>
      </c>
    </row>
    <row r="232">
      <c r="A232" s="39" t="s">
        <v>4</v>
      </c>
      <c r="B232" s="40">
        <v>44326.0</v>
      </c>
      <c r="C232" s="41">
        <v>44332.0</v>
      </c>
      <c r="D232" s="39">
        <v>19.0</v>
      </c>
      <c r="E232" s="42">
        <v>2766.0</v>
      </c>
      <c r="F232" s="39">
        <v>614.0</v>
      </c>
      <c r="G232" s="43">
        <v>1955.5</v>
      </c>
      <c r="H232" s="43">
        <v>810.5</v>
      </c>
      <c r="I232" s="44">
        <v>3.195858999533738</v>
      </c>
      <c r="J232" s="44">
        <v>144.86506135997226</v>
      </c>
      <c r="K232" s="44">
        <v>4.218637979026212</v>
      </c>
      <c r="L232" s="44">
        <v>169.92314635753792</v>
      </c>
    </row>
    <row r="233">
      <c r="A233" s="39" t="s">
        <v>4</v>
      </c>
      <c r="B233" s="40">
        <v>44333.0</v>
      </c>
      <c r="C233" s="41">
        <v>44339.0</v>
      </c>
      <c r="D233" s="39">
        <v>20.0</v>
      </c>
      <c r="E233" s="42">
        <v>2936.0</v>
      </c>
      <c r="F233" s="39">
        <v>686.0</v>
      </c>
      <c r="G233" s="43">
        <v>2037.25</v>
      </c>
      <c r="H233" s="43">
        <v>898.75</v>
      </c>
      <c r="I233" s="44">
        <v>3.570617709576782</v>
      </c>
      <c r="J233" s="44">
        <v>148.43567906954905</v>
      </c>
      <c r="K233" s="44">
        <v>4.6779776479331385</v>
      </c>
      <c r="L233" s="44">
        <v>174.60112400547106</v>
      </c>
    </row>
    <row r="234">
      <c r="A234" s="39" t="s">
        <v>4</v>
      </c>
      <c r="B234" s="40">
        <v>44340.0</v>
      </c>
      <c r="C234" s="41">
        <v>44346.0</v>
      </c>
      <c r="D234" s="39">
        <v>21.0</v>
      </c>
      <c r="E234" s="42">
        <v>3081.0</v>
      </c>
      <c r="F234" s="39">
        <v>650.0</v>
      </c>
      <c r="G234" s="43">
        <v>2176.5</v>
      </c>
      <c r="H234" s="43">
        <v>904.5</v>
      </c>
      <c r="I234" s="44">
        <v>3.3832383545552593</v>
      </c>
      <c r="J234" s="44">
        <v>151.8189174241043</v>
      </c>
      <c r="K234" s="44">
        <v>4.707906294915742</v>
      </c>
      <c r="L234" s="44">
        <v>179.3090303003868</v>
      </c>
    </row>
    <row r="235">
      <c r="A235" s="39" t="s">
        <v>4</v>
      </c>
      <c r="B235" s="40">
        <v>44347.0</v>
      </c>
      <c r="C235" s="41">
        <v>44353.0</v>
      </c>
      <c r="D235" s="39">
        <v>22.0</v>
      </c>
      <c r="E235" s="42">
        <v>3014.0</v>
      </c>
      <c r="F235" s="39">
        <v>769.0</v>
      </c>
      <c r="G235" s="43">
        <v>2208.0</v>
      </c>
      <c r="H235" s="43">
        <v>806.0</v>
      </c>
      <c r="I235" s="44">
        <v>4.002631222543069</v>
      </c>
      <c r="J235" s="44">
        <v>155.8215486466474</v>
      </c>
      <c r="K235" s="44">
        <v>4.195215559648522</v>
      </c>
      <c r="L235" s="44">
        <v>183.50424586003533</v>
      </c>
    </row>
    <row r="236">
      <c r="A236" s="39" t="s">
        <v>4</v>
      </c>
      <c r="B236" s="40">
        <v>44354.0</v>
      </c>
      <c r="C236" s="41">
        <v>44360.0</v>
      </c>
      <c r="D236" s="39">
        <v>23.0</v>
      </c>
      <c r="E236" s="42">
        <v>3132.0</v>
      </c>
      <c r="F236" s="39">
        <v>770.0</v>
      </c>
      <c r="G236" s="43">
        <v>2310.75</v>
      </c>
      <c r="H236" s="43">
        <v>821.25</v>
      </c>
      <c r="I236" s="44">
        <v>4.007836204627</v>
      </c>
      <c r="J236" s="44">
        <v>159.8293848512744</v>
      </c>
      <c r="K236" s="44">
        <v>4.274591536428473</v>
      </c>
      <c r="L236" s="44">
        <v>187.77883739646379</v>
      </c>
    </row>
    <row r="237">
      <c r="A237" s="39" t="s">
        <v>4</v>
      </c>
      <c r="B237" s="40">
        <v>44361.0</v>
      </c>
      <c r="C237" s="41">
        <v>44367.0</v>
      </c>
      <c r="D237" s="39">
        <v>24.0</v>
      </c>
      <c r="E237" s="42">
        <v>3180.0</v>
      </c>
      <c r="F237" s="39">
        <v>806.0</v>
      </c>
      <c r="G237" s="43">
        <v>2415.25</v>
      </c>
      <c r="H237" s="43">
        <v>764.75</v>
      </c>
      <c r="I237" s="44">
        <v>4.195215559648522</v>
      </c>
      <c r="J237" s="44">
        <v>164.02460041092291</v>
      </c>
      <c r="K237" s="44">
        <v>3.980510048686361</v>
      </c>
      <c r="L237" s="44">
        <v>191.75934744515015</v>
      </c>
    </row>
    <row r="238">
      <c r="A238" s="39" t="s">
        <v>4</v>
      </c>
      <c r="B238" s="40">
        <v>44368.0</v>
      </c>
      <c r="C238" s="41">
        <v>44374.0</v>
      </c>
      <c r="D238" s="39">
        <v>25.0</v>
      </c>
      <c r="E238" s="42">
        <v>3194.0</v>
      </c>
      <c r="F238" s="39">
        <v>785.0</v>
      </c>
      <c r="G238" s="43">
        <v>2425.5</v>
      </c>
      <c r="H238" s="43">
        <v>768.5</v>
      </c>
      <c r="I238" s="44">
        <v>4.085910935885968</v>
      </c>
      <c r="J238" s="44">
        <v>168.1105113468089</v>
      </c>
      <c r="K238" s="44">
        <v>4.000028731501104</v>
      </c>
      <c r="L238" s="44">
        <v>195.75937617665124</v>
      </c>
    </row>
    <row r="239">
      <c r="A239" s="39" t="s">
        <v>4</v>
      </c>
      <c r="B239" s="40">
        <v>44375.0</v>
      </c>
      <c r="C239" s="41">
        <v>44381.0</v>
      </c>
      <c r="D239" s="39">
        <v>26.0</v>
      </c>
      <c r="E239" s="42">
        <v>3326.0</v>
      </c>
      <c r="F239" s="39">
        <v>805.0</v>
      </c>
      <c r="G239" s="43">
        <v>2440.75</v>
      </c>
      <c r="H239" s="43">
        <v>885.25</v>
      </c>
      <c r="I239" s="44">
        <v>4.190010577564591</v>
      </c>
      <c r="J239" s="44">
        <v>172.30052192437347</v>
      </c>
      <c r="K239" s="44">
        <v>4.607710389800068</v>
      </c>
      <c r="L239" s="44">
        <v>200.36708656645132</v>
      </c>
    </row>
    <row r="240">
      <c r="A240" s="39" t="s">
        <v>4</v>
      </c>
      <c r="B240" s="40">
        <v>44382.0</v>
      </c>
      <c r="C240" s="41">
        <v>44388.0</v>
      </c>
      <c r="D240" s="39">
        <v>27.0</v>
      </c>
      <c r="E240" s="42">
        <v>3119.0</v>
      </c>
      <c r="F240" s="39">
        <v>774.0</v>
      </c>
      <c r="G240" s="43">
        <v>2390.0</v>
      </c>
      <c r="H240" s="43">
        <v>729.0</v>
      </c>
      <c r="I240" s="44">
        <v>4.028656132962725</v>
      </c>
      <c r="J240" s="44">
        <v>176.3291780573362</v>
      </c>
      <c r="K240" s="44">
        <v>3.794431939185822</v>
      </c>
      <c r="L240" s="44">
        <v>204.16151850563713</v>
      </c>
    </row>
    <row r="241">
      <c r="A241" s="39" t="s">
        <v>4</v>
      </c>
      <c r="B241" s="40">
        <v>44389.0</v>
      </c>
      <c r="C241" s="41">
        <v>44395.0</v>
      </c>
      <c r="D241" s="39">
        <v>28.0</v>
      </c>
      <c r="E241" s="42">
        <v>3042.0</v>
      </c>
      <c r="F241" s="39">
        <v>637.0</v>
      </c>
      <c r="G241" s="43">
        <v>2360.75</v>
      </c>
      <c r="H241" s="43">
        <v>681.25</v>
      </c>
      <c r="I241" s="44">
        <v>3.3155735874641548</v>
      </c>
      <c r="J241" s="44">
        <v>179.64475164480035</v>
      </c>
      <c r="K241" s="44">
        <v>3.545894044678109</v>
      </c>
      <c r="L241" s="44">
        <v>207.70741255031524</v>
      </c>
    </row>
    <row r="242">
      <c r="A242" s="39" t="s">
        <v>4</v>
      </c>
      <c r="B242" s="40">
        <v>44396.0</v>
      </c>
      <c r="C242" s="41">
        <v>44402.0</v>
      </c>
      <c r="D242" s="39">
        <v>29.0</v>
      </c>
      <c r="E242" s="42">
        <v>2866.0</v>
      </c>
      <c r="F242" s="39">
        <v>512.0</v>
      </c>
      <c r="G242" s="43">
        <v>2424.75</v>
      </c>
      <c r="H242" s="43">
        <v>441.25</v>
      </c>
      <c r="I242" s="44">
        <v>2.6649508269727584</v>
      </c>
      <c r="J242" s="44">
        <v>182.3097024717731</v>
      </c>
      <c r="K242" s="44">
        <v>2.2966983445346285</v>
      </c>
      <c r="L242" s="44">
        <v>210.00411089484987</v>
      </c>
    </row>
    <row r="243">
      <c r="A243" s="39" t="s">
        <v>4</v>
      </c>
      <c r="B243" s="40">
        <v>44403.0</v>
      </c>
      <c r="C243" s="41">
        <v>44409.0</v>
      </c>
      <c r="D243" s="39">
        <v>30.0</v>
      </c>
      <c r="E243" s="42">
        <v>2745.0</v>
      </c>
      <c r="F243" s="39">
        <v>502.0</v>
      </c>
      <c r="G243" s="43">
        <v>2369.75</v>
      </c>
      <c r="H243" s="43">
        <v>375.25</v>
      </c>
      <c r="I243" s="44">
        <v>2.6129010061334466</v>
      </c>
      <c r="J243" s="44">
        <v>184.92260347790656</v>
      </c>
      <c r="K243" s="44">
        <v>1.9531695269951712</v>
      </c>
      <c r="L243" s="44">
        <v>211.95728042184504</v>
      </c>
    </row>
    <row r="244">
      <c r="A244" s="39" t="s">
        <v>4</v>
      </c>
      <c r="B244" s="40">
        <v>44410.0</v>
      </c>
      <c r="C244" s="41">
        <v>44416.0</v>
      </c>
      <c r="D244" s="39">
        <v>31.0</v>
      </c>
      <c r="E244" s="42">
        <v>2639.0</v>
      </c>
      <c r="F244" s="39">
        <v>488.0</v>
      </c>
      <c r="G244" s="43">
        <v>2344.0</v>
      </c>
      <c r="H244" s="43">
        <v>295.0</v>
      </c>
      <c r="I244" s="44">
        <v>2.5400312569584105</v>
      </c>
      <c r="J244" s="44">
        <v>187.46263473486496</v>
      </c>
      <c r="K244" s="44">
        <v>1.5354697147596947</v>
      </c>
      <c r="L244" s="44">
        <v>213.49275013660474</v>
      </c>
    </row>
    <row r="245">
      <c r="A245" s="39" t="s">
        <v>4</v>
      </c>
      <c r="B245" s="40">
        <v>44417.0</v>
      </c>
      <c r="C245" s="41">
        <v>44423.0</v>
      </c>
      <c r="D245" s="39">
        <v>32.0</v>
      </c>
      <c r="E245" s="42">
        <v>2625.0</v>
      </c>
      <c r="F245" s="39">
        <v>364.0</v>
      </c>
      <c r="G245" s="43">
        <v>2277.75</v>
      </c>
      <c r="H245" s="43">
        <v>347.25</v>
      </c>
      <c r="I245" s="44">
        <v>1.8946134785509456</v>
      </c>
      <c r="J245" s="44">
        <v>189.35724821341591</v>
      </c>
      <c r="K245" s="44">
        <v>1.8074300286450986</v>
      </c>
      <c r="L245" s="44">
        <v>215.30018016524983</v>
      </c>
    </row>
    <row r="246">
      <c r="A246" s="39" t="s">
        <v>4</v>
      </c>
      <c r="B246" s="40">
        <v>44424.0</v>
      </c>
      <c r="C246" s="41">
        <v>44430.0</v>
      </c>
      <c r="D246" s="39">
        <v>33.0</v>
      </c>
      <c r="E246" s="42">
        <v>2608.0</v>
      </c>
      <c r="F246" s="39">
        <v>270.0</v>
      </c>
      <c r="G246" s="43">
        <v>2245.0</v>
      </c>
      <c r="H246" s="43">
        <v>363.0</v>
      </c>
      <c r="I246" s="44">
        <v>1.4053451626614155</v>
      </c>
      <c r="J246" s="44">
        <v>190.76259337607732</v>
      </c>
      <c r="K246" s="44">
        <v>1.8894084964670141</v>
      </c>
      <c r="L246" s="44">
        <v>217.18958866171684</v>
      </c>
    </row>
    <row r="247">
      <c r="A247" s="39" t="s">
        <v>4</v>
      </c>
      <c r="B247" s="40">
        <v>44431.0</v>
      </c>
      <c r="C247" s="41">
        <v>44437.0</v>
      </c>
      <c r="D247" s="39">
        <v>34.0</v>
      </c>
      <c r="E247" s="42">
        <v>2357.0</v>
      </c>
      <c r="F247" s="39">
        <v>235.0</v>
      </c>
      <c r="G247" s="43">
        <v>2223.0</v>
      </c>
      <c r="H247" s="43">
        <v>134.0</v>
      </c>
      <c r="I247" s="44">
        <v>1.2231707897238246</v>
      </c>
      <c r="J247" s="44">
        <v>191.98576416580116</v>
      </c>
      <c r="K247" s="44">
        <v>0.6974675992467766</v>
      </c>
      <c r="L247" s="44">
        <v>217.88705626096362</v>
      </c>
    </row>
    <row r="248">
      <c r="A248" s="39" t="s">
        <v>4</v>
      </c>
      <c r="B248" s="40">
        <v>44438.0</v>
      </c>
      <c r="C248" s="41">
        <v>44444.0</v>
      </c>
      <c r="D248" s="39">
        <v>35.0</v>
      </c>
      <c r="E248" s="42">
        <v>2332.0</v>
      </c>
      <c r="F248" s="39">
        <v>205.0</v>
      </c>
      <c r="G248" s="43">
        <v>2155.0</v>
      </c>
      <c r="H248" s="43">
        <v>177.0</v>
      </c>
      <c r="I248" s="44">
        <v>1.0670213272058895</v>
      </c>
      <c r="J248" s="44">
        <v>193.05278549300704</v>
      </c>
      <c r="K248" s="44">
        <v>0.9212818288558169</v>
      </c>
      <c r="L248" s="44">
        <v>218.80833808981944</v>
      </c>
    </row>
    <row r="249">
      <c r="A249" s="39" t="s">
        <v>4</v>
      </c>
      <c r="B249" s="40">
        <v>44445.0</v>
      </c>
      <c r="C249" s="41">
        <v>44451.0</v>
      </c>
      <c r="D249" s="39">
        <v>36.0</v>
      </c>
      <c r="E249" s="42">
        <v>2394.0</v>
      </c>
      <c r="F249" s="39">
        <v>142.0</v>
      </c>
      <c r="G249" s="43">
        <v>2213.25</v>
      </c>
      <c r="H249" s="43">
        <v>180.75</v>
      </c>
      <c r="I249" s="44">
        <v>0.7391074559182259</v>
      </c>
      <c r="J249" s="44">
        <v>193.79189294892527</v>
      </c>
      <c r="K249" s="44">
        <v>0.9408005116705588</v>
      </c>
      <c r="L249" s="44">
        <v>219.74913860149</v>
      </c>
    </row>
    <row r="250">
      <c r="A250" s="39" t="s">
        <v>4</v>
      </c>
      <c r="B250" s="40">
        <v>44452.0</v>
      </c>
      <c r="C250" s="41">
        <v>44458.0</v>
      </c>
      <c r="D250" s="39">
        <v>37.0</v>
      </c>
      <c r="E250" s="42">
        <v>2383.0</v>
      </c>
      <c r="F250" s="39">
        <v>127.0</v>
      </c>
      <c r="G250" s="43">
        <v>2154.25</v>
      </c>
      <c r="H250" s="43">
        <v>228.75</v>
      </c>
      <c r="I250" s="44">
        <v>0.6610327246592584</v>
      </c>
      <c r="J250" s="44">
        <v>194.45292567358453</v>
      </c>
      <c r="K250" s="44">
        <v>1.1906396516992548</v>
      </c>
      <c r="L250" s="44">
        <v>220.93977825318925</v>
      </c>
    </row>
    <row r="251">
      <c r="A251" s="39" t="s">
        <v>4</v>
      </c>
      <c r="B251" s="40">
        <v>44459.0</v>
      </c>
      <c r="C251" s="41">
        <v>44465.0</v>
      </c>
      <c r="D251" s="39">
        <v>38.0</v>
      </c>
      <c r="E251" s="42">
        <v>2354.0</v>
      </c>
      <c r="F251" s="39">
        <v>81.0</v>
      </c>
      <c r="G251" s="43">
        <v>2213.75</v>
      </c>
      <c r="H251" s="43">
        <v>140.25</v>
      </c>
      <c r="I251" s="44">
        <v>0.42160354879842465</v>
      </c>
      <c r="J251" s="44">
        <v>194.87452922238296</v>
      </c>
      <c r="K251" s="44">
        <v>0.7299987372713465</v>
      </c>
      <c r="L251" s="44">
        <v>221.6697769904606</v>
      </c>
    </row>
    <row r="252">
      <c r="A252" s="39" t="s">
        <v>4</v>
      </c>
      <c r="B252" s="40">
        <v>44466.0</v>
      </c>
      <c r="C252" s="41">
        <v>44472.0</v>
      </c>
      <c r="D252" s="39">
        <v>39.0</v>
      </c>
      <c r="E252" s="42">
        <v>2244.0</v>
      </c>
      <c r="F252" s="39">
        <v>54.0</v>
      </c>
      <c r="G252" s="43">
        <v>2122.5</v>
      </c>
      <c r="H252" s="43">
        <v>121.5</v>
      </c>
      <c r="I252" s="44">
        <v>0.28106903253228316</v>
      </c>
      <c r="J252" s="44">
        <v>195.15559825491525</v>
      </c>
      <c r="K252" s="44">
        <v>0.632405323197637</v>
      </c>
      <c r="L252" s="44">
        <v>222.30218231365825</v>
      </c>
    </row>
    <row r="253">
      <c r="A253" s="39" t="s">
        <v>4</v>
      </c>
      <c r="B253" s="40">
        <v>44473.0</v>
      </c>
      <c r="C253" s="41">
        <v>44479.0</v>
      </c>
      <c r="D253" s="39">
        <v>40.0</v>
      </c>
      <c r="E253" s="42">
        <v>2316.0</v>
      </c>
      <c r="F253" s="39">
        <v>70.0</v>
      </c>
      <c r="G253" s="43">
        <v>2069.25</v>
      </c>
      <c r="H253" s="43">
        <v>246.75</v>
      </c>
      <c r="I253" s="44">
        <v>0.36434874587518185</v>
      </c>
      <c r="J253" s="44">
        <v>195.51994700079044</v>
      </c>
      <c r="K253" s="44">
        <v>1.284329329210016</v>
      </c>
      <c r="L253" s="44">
        <v>223.58651164286826</v>
      </c>
    </row>
    <row r="254">
      <c r="A254" s="39" t="s">
        <v>4</v>
      </c>
      <c r="B254" s="40">
        <v>44480.0</v>
      </c>
      <c r="C254" s="41">
        <v>44486.0</v>
      </c>
      <c r="D254" s="39">
        <v>41.0</v>
      </c>
      <c r="E254" s="42">
        <v>2325.0</v>
      </c>
      <c r="F254" s="39">
        <v>45.0</v>
      </c>
      <c r="G254" s="43">
        <v>2005.5</v>
      </c>
      <c r="H254" s="43">
        <v>319.5</v>
      </c>
      <c r="I254" s="44">
        <v>0.2342241937769026</v>
      </c>
      <c r="J254" s="44">
        <v>195.75417119456733</v>
      </c>
      <c r="K254" s="44">
        <v>1.6629917758160084</v>
      </c>
      <c r="L254" s="44">
        <v>225.24950341868427</v>
      </c>
    </row>
    <row r="255">
      <c r="A255" s="39" t="s">
        <v>4</v>
      </c>
      <c r="B255" s="40">
        <v>44487.0</v>
      </c>
      <c r="C255" s="41">
        <v>44493.0</v>
      </c>
      <c r="D255" s="39">
        <v>42.0</v>
      </c>
      <c r="E255" s="42">
        <v>2112.0</v>
      </c>
      <c r="F255" s="39">
        <v>60.0</v>
      </c>
      <c r="G255" s="43">
        <v>1981.25</v>
      </c>
      <c r="H255" s="43">
        <v>130.75</v>
      </c>
      <c r="I255" s="44">
        <v>0.31229892503587015</v>
      </c>
      <c r="J255" s="44">
        <v>196.0664701196032</v>
      </c>
      <c r="K255" s="44">
        <v>0.6805514074740003</v>
      </c>
      <c r="L255" s="44">
        <v>225.93005482615828</v>
      </c>
    </row>
    <row r="256">
      <c r="A256" s="39" t="s">
        <v>5</v>
      </c>
      <c r="B256" s="40">
        <v>43906.0</v>
      </c>
      <c r="C256" s="41">
        <v>43912.0</v>
      </c>
      <c r="D256" s="39">
        <v>12.0</v>
      </c>
      <c r="E256" s="39">
        <v>4499.0</v>
      </c>
      <c r="F256" s="39">
        <v>2.0</v>
      </c>
      <c r="G256" s="43">
        <v>4296.8</v>
      </c>
      <c r="H256" s="43">
        <v>202.19999999999982</v>
      </c>
      <c r="I256" s="44">
        <v>0.003901233181759371</v>
      </c>
      <c r="J256" s="44">
        <v>0.003901233181759371</v>
      </c>
      <c r="K256" s="44">
        <v>0.39441467467587205</v>
      </c>
      <c r="L256" s="44">
        <v>0.39441467467587205</v>
      </c>
    </row>
    <row r="257">
      <c r="A257" s="39" t="s">
        <v>5</v>
      </c>
      <c r="B257" s="40">
        <v>43913.0</v>
      </c>
      <c r="C257" s="41">
        <v>43919.0</v>
      </c>
      <c r="D257" s="39">
        <v>13.0</v>
      </c>
      <c r="E257" s="39">
        <v>4337.0</v>
      </c>
      <c r="F257" s="39">
        <v>8.0</v>
      </c>
      <c r="G257" s="43">
        <v>4316.4</v>
      </c>
      <c r="H257" s="43">
        <v>20.600000000000364</v>
      </c>
      <c r="I257" s="44">
        <v>0.015604932727037484</v>
      </c>
      <c r="J257" s="44">
        <v>0.019506165908796856</v>
      </c>
      <c r="K257" s="44">
        <v>0.04018270177212223</v>
      </c>
      <c r="L257" s="44">
        <v>0.4345973764479943</v>
      </c>
    </row>
    <row r="258">
      <c r="A258" s="39" t="s">
        <v>5</v>
      </c>
      <c r="B258" s="40">
        <v>43920.0</v>
      </c>
      <c r="C258" s="41">
        <v>43926.0</v>
      </c>
      <c r="D258" s="39">
        <v>14.0</v>
      </c>
      <c r="E258" s="39">
        <v>4190.0</v>
      </c>
      <c r="F258" s="39">
        <v>25.0</v>
      </c>
      <c r="G258" s="43">
        <v>4278.0</v>
      </c>
      <c r="H258" s="43">
        <v>-88.0</v>
      </c>
      <c r="I258" s="44">
        <v>0.04876541477199214</v>
      </c>
      <c r="J258" s="44">
        <v>0.06827158068078899</v>
      </c>
      <c r="K258" s="44">
        <v>-0.1716542599974123</v>
      </c>
      <c r="L258" s="44">
        <v>0.262943116450582</v>
      </c>
    </row>
    <row r="259">
      <c r="A259" s="39" t="s">
        <v>5</v>
      </c>
      <c r="B259" s="40">
        <v>43927.0</v>
      </c>
      <c r="C259" s="41">
        <v>43933.0</v>
      </c>
      <c r="D259" s="39">
        <v>15.0</v>
      </c>
      <c r="E259" s="39">
        <v>4255.0</v>
      </c>
      <c r="F259" s="39">
        <v>74.0</v>
      </c>
      <c r="G259" s="43">
        <v>4255.0</v>
      </c>
      <c r="H259" s="43">
        <v>0.0</v>
      </c>
      <c r="I259" s="44">
        <v>0.1443456277250967</v>
      </c>
      <c r="J259" s="44">
        <v>0.21261720840588572</v>
      </c>
      <c r="K259" s="44">
        <v>0.0</v>
      </c>
      <c r="L259" s="44">
        <v>0.262943116450582</v>
      </c>
    </row>
    <row r="260">
      <c r="A260" s="39" t="s">
        <v>5</v>
      </c>
      <c r="B260" s="40">
        <v>43934.0</v>
      </c>
      <c r="C260" s="41">
        <v>43940.0</v>
      </c>
      <c r="D260" s="39">
        <v>16.0</v>
      </c>
      <c r="E260" s="39">
        <v>4355.0</v>
      </c>
      <c r="F260" s="39">
        <v>70.0</v>
      </c>
      <c r="G260" s="43">
        <v>4262.8</v>
      </c>
      <c r="H260" s="43">
        <v>92.19999999999982</v>
      </c>
      <c r="I260" s="44">
        <v>0.13654316136157796</v>
      </c>
      <c r="J260" s="44">
        <v>0.3491603697674637</v>
      </c>
      <c r="K260" s="44">
        <v>0.17984684967910664</v>
      </c>
      <c r="L260" s="44">
        <v>0.44278996612968863</v>
      </c>
    </row>
    <row r="261">
      <c r="A261" s="39" t="s">
        <v>5</v>
      </c>
      <c r="B261" s="40">
        <v>43941.0</v>
      </c>
      <c r="C261" s="41">
        <v>43947.0</v>
      </c>
      <c r="D261" s="39">
        <v>17.0</v>
      </c>
      <c r="E261" s="39">
        <v>4328.0</v>
      </c>
      <c r="F261" s="39">
        <v>65.0</v>
      </c>
      <c r="G261" s="43">
        <v>4263.0</v>
      </c>
      <c r="H261" s="43">
        <v>65.0</v>
      </c>
      <c r="I261" s="44">
        <v>0.12679007840717954</v>
      </c>
      <c r="J261" s="44">
        <v>0.4759504481746432</v>
      </c>
      <c r="K261" s="44">
        <v>0.12679007840717954</v>
      </c>
      <c r="L261" s="44">
        <v>0.5695800445368682</v>
      </c>
    </row>
    <row r="262">
      <c r="A262" s="39" t="s">
        <v>5</v>
      </c>
      <c r="B262" s="40">
        <v>43948.0</v>
      </c>
      <c r="C262" s="41">
        <v>43954.0</v>
      </c>
      <c r="D262" s="39">
        <v>18.0</v>
      </c>
      <c r="E262" s="39">
        <v>4263.0</v>
      </c>
      <c r="F262" s="39">
        <v>96.0</v>
      </c>
      <c r="G262" s="43">
        <v>4331.2</v>
      </c>
      <c r="H262" s="43">
        <v>-68.19999999999982</v>
      </c>
      <c r="I262" s="44">
        <v>0.1872591927244498</v>
      </c>
      <c r="J262" s="44">
        <v>0.6632096408990931</v>
      </c>
      <c r="K262" s="44">
        <v>-0.13303205149799419</v>
      </c>
      <c r="L262" s="44">
        <v>0.436547993038874</v>
      </c>
    </row>
    <row r="263">
      <c r="A263" s="39" t="s">
        <v>5</v>
      </c>
      <c r="B263" s="40">
        <v>43955.0</v>
      </c>
      <c r="C263" s="41">
        <v>43961.0</v>
      </c>
      <c r="D263" s="39">
        <v>19.0</v>
      </c>
      <c r="E263" s="39">
        <v>4469.0</v>
      </c>
      <c r="F263" s="39">
        <v>123.0</v>
      </c>
      <c r="G263" s="43">
        <v>4368.2</v>
      </c>
      <c r="H263" s="43">
        <v>100.80000000000018</v>
      </c>
      <c r="I263" s="44">
        <v>0.2399258406782013</v>
      </c>
      <c r="J263" s="44">
        <v>0.9031354815772944</v>
      </c>
      <c r="K263" s="44">
        <v>0.19662215236067265</v>
      </c>
      <c r="L263" s="44">
        <v>0.6331701453995466</v>
      </c>
    </row>
    <row r="264">
      <c r="A264" s="39" t="s">
        <v>5</v>
      </c>
      <c r="B264" s="40">
        <v>43962.0</v>
      </c>
      <c r="C264" s="41">
        <v>43968.0</v>
      </c>
      <c r="D264" s="39">
        <v>20.0</v>
      </c>
      <c r="E264" s="39">
        <v>4579.0</v>
      </c>
      <c r="F264" s="39">
        <v>111.0</v>
      </c>
      <c r="G264" s="43">
        <v>4518.8</v>
      </c>
      <c r="H264" s="43">
        <v>60.19999999999982</v>
      </c>
      <c r="I264" s="44">
        <v>0.21651844158764508</v>
      </c>
      <c r="J264" s="44">
        <v>1.1196539231649394</v>
      </c>
      <c r="K264" s="44">
        <v>0.1174271187709567</v>
      </c>
      <c r="L264" s="44">
        <v>0.7505972641705033</v>
      </c>
    </row>
    <row r="265">
      <c r="A265" s="39" t="s">
        <v>5</v>
      </c>
      <c r="B265" s="40">
        <v>43969.0</v>
      </c>
      <c r="C265" s="41">
        <v>43975.0</v>
      </c>
      <c r="D265" s="39">
        <v>21.0</v>
      </c>
      <c r="E265" s="39">
        <v>4701.0</v>
      </c>
      <c r="F265" s="39">
        <v>153.0</v>
      </c>
      <c r="G265" s="43">
        <v>4478.2</v>
      </c>
      <c r="H265" s="43">
        <v>222.80000000000018</v>
      </c>
      <c r="I265" s="44">
        <v>0.29844433840459184</v>
      </c>
      <c r="J265" s="44">
        <v>1.4180982615695312</v>
      </c>
      <c r="K265" s="44">
        <v>0.4345973764479943</v>
      </c>
      <c r="L265" s="44">
        <v>1.1851946406184977</v>
      </c>
    </row>
    <row r="266">
      <c r="A266" s="39" t="s">
        <v>5</v>
      </c>
      <c r="B266" s="40">
        <v>43976.0</v>
      </c>
      <c r="C266" s="41">
        <v>43982.0</v>
      </c>
      <c r="D266" s="39">
        <v>22.0</v>
      </c>
      <c r="E266" s="39">
        <v>4738.0</v>
      </c>
      <c r="F266" s="39">
        <v>212.0</v>
      </c>
      <c r="G266" s="43">
        <v>4485.0</v>
      </c>
      <c r="H266" s="43">
        <v>253.0</v>
      </c>
      <c r="I266" s="44">
        <v>0.4135307172664933</v>
      </c>
      <c r="J266" s="44">
        <v>1.8316289788360245</v>
      </c>
      <c r="K266" s="44">
        <v>0.4935059974925604</v>
      </c>
      <c r="L266" s="44">
        <v>1.678700638111058</v>
      </c>
    </row>
    <row r="267">
      <c r="A267" s="39" t="s">
        <v>5</v>
      </c>
      <c r="B267" s="40">
        <v>43983.0</v>
      </c>
      <c r="C267" s="41">
        <v>43989.0</v>
      </c>
      <c r="D267" s="39">
        <v>23.0</v>
      </c>
      <c r="E267" s="39">
        <v>5153.0</v>
      </c>
      <c r="F267" s="39">
        <v>320.0</v>
      </c>
      <c r="G267" s="43">
        <v>4542.6</v>
      </c>
      <c r="H267" s="43">
        <v>610.3999999999996</v>
      </c>
      <c r="I267" s="44">
        <v>0.6241973090814993</v>
      </c>
      <c r="J267" s="44">
        <v>2.4558262879175237</v>
      </c>
      <c r="K267" s="44">
        <v>1.1906563670729593</v>
      </c>
      <c r="L267" s="44">
        <v>2.8693570051840176</v>
      </c>
    </row>
    <row r="268">
      <c r="A268" s="39" t="s">
        <v>5</v>
      </c>
      <c r="B268" s="40">
        <v>43990.0</v>
      </c>
      <c r="C268" s="41">
        <v>43996.0</v>
      </c>
      <c r="D268" s="39">
        <v>24.0</v>
      </c>
      <c r="E268" s="39">
        <v>5338.0</v>
      </c>
      <c r="F268" s="39">
        <v>408.0</v>
      </c>
      <c r="G268" s="43">
        <v>4514.8</v>
      </c>
      <c r="H268" s="43">
        <v>823.1999999999998</v>
      </c>
      <c r="I268" s="44">
        <v>0.7958515690789115</v>
      </c>
      <c r="J268" s="44">
        <v>3.251677856996435</v>
      </c>
      <c r="K268" s="44">
        <v>1.6057475776121566</v>
      </c>
      <c r="L268" s="44">
        <v>4.475104582796174</v>
      </c>
    </row>
    <row r="269">
      <c r="A269" s="39" t="s">
        <v>5</v>
      </c>
      <c r="B269" s="40">
        <v>43997.0</v>
      </c>
      <c r="C269" s="41">
        <v>44003.0</v>
      </c>
      <c r="D269" s="39">
        <v>25.0</v>
      </c>
      <c r="E269" s="39">
        <v>5778.0</v>
      </c>
      <c r="F269" s="39">
        <v>570.0</v>
      </c>
      <c r="G269" s="43">
        <v>4554.6</v>
      </c>
      <c r="H269" s="43">
        <v>1223.3999999999996</v>
      </c>
      <c r="I269" s="44">
        <v>1.1118514568014206</v>
      </c>
      <c r="J269" s="44">
        <v>4.363529313797856</v>
      </c>
      <c r="K269" s="44">
        <v>2.3863843372822062</v>
      </c>
      <c r="L269" s="44">
        <v>6.86148892007838</v>
      </c>
    </row>
    <row r="270">
      <c r="A270" s="39" t="s">
        <v>5</v>
      </c>
      <c r="B270" s="40">
        <v>44004.0</v>
      </c>
      <c r="C270" s="41">
        <v>44010.0</v>
      </c>
      <c r="D270" s="39">
        <v>26.0</v>
      </c>
      <c r="E270" s="39">
        <v>6128.0</v>
      </c>
      <c r="F270" s="39">
        <v>941.0</v>
      </c>
      <c r="G270" s="43">
        <v>4592.0</v>
      </c>
      <c r="H270" s="43">
        <v>1536.0</v>
      </c>
      <c r="I270" s="44">
        <v>1.835530212017784</v>
      </c>
      <c r="J270" s="44">
        <v>6.19905952581564</v>
      </c>
      <c r="K270" s="44">
        <v>2.9961470835911967</v>
      </c>
      <c r="L270" s="44">
        <v>9.857636003669576</v>
      </c>
    </row>
    <row r="271">
      <c r="A271" s="39" t="s">
        <v>5</v>
      </c>
      <c r="B271" s="40">
        <v>44011.0</v>
      </c>
      <c r="C271" s="41">
        <v>44017.0</v>
      </c>
      <c r="D271" s="39">
        <v>27.0</v>
      </c>
      <c r="E271" s="39">
        <v>6233.0</v>
      </c>
      <c r="F271" s="39">
        <v>886.0</v>
      </c>
      <c r="G271" s="43">
        <v>4567.0</v>
      </c>
      <c r="H271" s="43">
        <v>1666.0</v>
      </c>
      <c r="I271" s="44">
        <v>1.728246299519401</v>
      </c>
      <c r="J271" s="44">
        <v>7.927305825335041</v>
      </c>
      <c r="K271" s="44">
        <v>3.249727240405556</v>
      </c>
      <c r="L271" s="44">
        <v>13.107363244075131</v>
      </c>
    </row>
    <row r="272">
      <c r="A272" s="39" t="s">
        <v>5</v>
      </c>
      <c r="B272" s="40">
        <v>44018.0</v>
      </c>
      <c r="C272" s="41">
        <v>44024.0</v>
      </c>
      <c r="D272" s="39">
        <v>28.0</v>
      </c>
      <c r="E272" s="39">
        <v>6739.0</v>
      </c>
      <c r="F272" s="39">
        <v>1243.0</v>
      </c>
      <c r="G272" s="43">
        <v>4543.6</v>
      </c>
      <c r="H272" s="43">
        <v>2195.3999999999996</v>
      </c>
      <c r="I272" s="44">
        <v>2.424616422463449</v>
      </c>
      <c r="J272" s="44">
        <v>10.35192224779849</v>
      </c>
      <c r="K272" s="44">
        <v>4.282383663617261</v>
      </c>
      <c r="L272" s="44">
        <v>17.38974690769239</v>
      </c>
    </row>
    <row r="273">
      <c r="A273" s="39" t="s">
        <v>5</v>
      </c>
      <c r="B273" s="40">
        <v>44025.0</v>
      </c>
      <c r="C273" s="41">
        <v>44031.0</v>
      </c>
      <c r="D273" s="39">
        <v>29.0</v>
      </c>
      <c r="E273" s="39">
        <v>7313.0</v>
      </c>
      <c r="F273" s="39">
        <v>1429.0</v>
      </c>
      <c r="G273" s="43">
        <v>4444.8</v>
      </c>
      <c r="H273" s="43">
        <v>2868.2</v>
      </c>
      <c r="I273" s="44">
        <v>2.78743110836707</v>
      </c>
      <c r="J273" s="44">
        <v>13.139353356165559</v>
      </c>
      <c r="K273" s="44">
        <v>5.594758505961114</v>
      </c>
      <c r="L273" s="44">
        <v>22.984505413653505</v>
      </c>
    </row>
    <row r="274">
      <c r="A274" s="39" t="s">
        <v>5</v>
      </c>
      <c r="B274" s="40">
        <v>44032.0</v>
      </c>
      <c r="C274" s="41">
        <v>44038.0</v>
      </c>
      <c r="D274" s="39">
        <v>30.0</v>
      </c>
      <c r="E274" s="39">
        <v>7702.0</v>
      </c>
      <c r="F274" s="39">
        <v>1789.0</v>
      </c>
      <c r="G274" s="43">
        <v>4322.2</v>
      </c>
      <c r="H274" s="43">
        <v>3379.8</v>
      </c>
      <c r="I274" s="44">
        <v>3.489653081083757</v>
      </c>
      <c r="J274" s="44">
        <v>16.629006437249316</v>
      </c>
      <c r="K274" s="44">
        <v>6.592693953855161</v>
      </c>
      <c r="L274" s="44">
        <v>29.577199367508666</v>
      </c>
    </row>
    <row r="275">
      <c r="A275" s="39" t="s">
        <v>5</v>
      </c>
      <c r="B275" s="40">
        <v>44039.0</v>
      </c>
      <c r="C275" s="41">
        <v>44045.0</v>
      </c>
      <c r="D275" s="39">
        <v>31.0</v>
      </c>
      <c r="E275" s="39">
        <v>8070.0</v>
      </c>
      <c r="F275" s="39">
        <v>2125.0</v>
      </c>
      <c r="G275" s="43">
        <v>4363.8</v>
      </c>
      <c r="H275" s="43">
        <v>3706.2</v>
      </c>
      <c r="I275" s="44">
        <v>4.145060255619331</v>
      </c>
      <c r="J275" s="44">
        <v>20.774066692868647</v>
      </c>
      <c r="K275" s="44">
        <v>7.229375209118289</v>
      </c>
      <c r="L275" s="44">
        <v>36.80657457662696</v>
      </c>
    </row>
    <row r="276">
      <c r="A276" s="39" t="s">
        <v>5</v>
      </c>
      <c r="B276" s="40">
        <v>44046.0</v>
      </c>
      <c r="C276" s="41">
        <v>44052.0</v>
      </c>
      <c r="D276" s="39">
        <v>32.0</v>
      </c>
      <c r="E276" s="39">
        <v>7888.0</v>
      </c>
      <c r="F276" s="39">
        <v>2192.0</v>
      </c>
      <c r="G276" s="43">
        <v>4442.8</v>
      </c>
      <c r="H276" s="43">
        <v>3445.2</v>
      </c>
      <c r="I276" s="44">
        <v>4.27575156720827</v>
      </c>
      <c r="J276" s="44">
        <v>25.04981826007692</v>
      </c>
      <c r="K276" s="44">
        <v>6.720264278898691</v>
      </c>
      <c r="L276" s="44">
        <v>43.52683885552565</v>
      </c>
    </row>
    <row r="277">
      <c r="A277" s="39" t="s">
        <v>5</v>
      </c>
      <c r="B277" s="40">
        <v>44053.0</v>
      </c>
      <c r="C277" s="41">
        <v>44059.0</v>
      </c>
      <c r="D277" s="39">
        <v>33.0</v>
      </c>
      <c r="E277" s="39">
        <v>7648.0</v>
      </c>
      <c r="F277" s="39">
        <v>2255.0</v>
      </c>
      <c r="G277" s="43">
        <v>4399.2</v>
      </c>
      <c r="H277" s="43">
        <v>3248.8</v>
      </c>
      <c r="I277" s="44">
        <v>4.39864041243369</v>
      </c>
      <c r="J277" s="44">
        <v>29.448458672510608</v>
      </c>
      <c r="K277" s="44">
        <v>6.337163180449922</v>
      </c>
      <c r="L277" s="44">
        <v>49.86400203597557</v>
      </c>
    </row>
    <row r="278">
      <c r="A278" s="39" t="s">
        <v>5</v>
      </c>
      <c r="B278" s="40">
        <v>44060.0</v>
      </c>
      <c r="C278" s="41">
        <v>44066.0</v>
      </c>
      <c r="D278" s="39">
        <v>34.0</v>
      </c>
      <c r="E278" s="39">
        <v>7152.0</v>
      </c>
      <c r="F278" s="39">
        <v>2219.0</v>
      </c>
      <c r="G278" s="43">
        <v>4336.0</v>
      </c>
      <c r="H278" s="43">
        <v>2816.0</v>
      </c>
      <c r="I278" s="44">
        <v>4.328418215162022</v>
      </c>
      <c r="J278" s="44">
        <v>33.77687688767263</v>
      </c>
      <c r="K278" s="44">
        <v>5.492936319917193</v>
      </c>
      <c r="L278" s="44">
        <v>55.35693835589276</v>
      </c>
    </row>
    <row r="279">
      <c r="A279" s="39" t="s">
        <v>5</v>
      </c>
      <c r="B279" s="40">
        <v>44067.0</v>
      </c>
      <c r="C279" s="41">
        <v>44073.0</v>
      </c>
      <c r="D279" s="39">
        <v>35.0</v>
      </c>
      <c r="E279" s="39">
        <v>6798.0</v>
      </c>
      <c r="F279" s="39">
        <v>2047.0</v>
      </c>
      <c r="G279" s="43">
        <v>4352.6</v>
      </c>
      <c r="H279" s="43">
        <v>2445.3999999999996</v>
      </c>
      <c r="I279" s="44">
        <v>3.9929121615307155</v>
      </c>
      <c r="J279" s="44">
        <v>37.76978904920335</v>
      </c>
      <c r="K279" s="44">
        <v>4.770037811337182</v>
      </c>
      <c r="L279" s="44">
        <v>60.12697616722994</v>
      </c>
    </row>
    <row r="280">
      <c r="A280" s="39" t="s">
        <v>5</v>
      </c>
      <c r="B280" s="40">
        <v>44074.0</v>
      </c>
      <c r="C280" s="41">
        <v>44080.0</v>
      </c>
      <c r="D280" s="39">
        <v>36.0</v>
      </c>
      <c r="E280" s="39">
        <v>6570.0</v>
      </c>
      <c r="F280" s="39">
        <v>2049.0</v>
      </c>
      <c r="G280" s="43">
        <v>4348.4</v>
      </c>
      <c r="H280" s="43">
        <v>2221.6000000000004</v>
      </c>
      <c r="I280" s="44">
        <v>3.9968133947124755</v>
      </c>
      <c r="J280" s="44">
        <v>41.76660244391582</v>
      </c>
      <c r="K280" s="44">
        <v>4.333489818298309</v>
      </c>
      <c r="L280" s="44">
        <v>64.46046598552824</v>
      </c>
    </row>
    <row r="281">
      <c r="A281" s="39" t="s">
        <v>5</v>
      </c>
      <c r="B281" s="40">
        <v>44081.0</v>
      </c>
      <c r="C281" s="41">
        <v>44087.0</v>
      </c>
      <c r="D281" s="39">
        <v>37.0</v>
      </c>
      <c r="E281" s="39">
        <v>6383.0</v>
      </c>
      <c r="F281" s="39">
        <v>1512.0</v>
      </c>
      <c r="G281" s="43">
        <v>4310.6</v>
      </c>
      <c r="H281" s="43">
        <v>2072.3999999999996</v>
      </c>
      <c r="I281" s="44">
        <v>2.949332285410084</v>
      </c>
      <c r="J281" s="44">
        <v>44.71593472932591</v>
      </c>
      <c r="K281" s="44">
        <v>4.04245782293906</v>
      </c>
      <c r="L281" s="44">
        <v>68.5029238084673</v>
      </c>
    </row>
    <row r="282">
      <c r="A282" s="39" t="s">
        <v>5</v>
      </c>
      <c r="B282" s="40">
        <v>44088.0</v>
      </c>
      <c r="C282" s="41">
        <v>44094.0</v>
      </c>
      <c r="D282" s="39">
        <v>38.0</v>
      </c>
      <c r="E282" s="39">
        <v>6240.0</v>
      </c>
      <c r="F282" s="39">
        <v>1284.0</v>
      </c>
      <c r="G282" s="43">
        <v>4372.2</v>
      </c>
      <c r="H282" s="43">
        <v>1867.8000000000002</v>
      </c>
      <c r="I282" s="44">
        <v>2.504591702689516</v>
      </c>
      <c r="J282" s="44">
        <v>47.220526432015426</v>
      </c>
      <c r="K282" s="44">
        <v>3.6433616684450767</v>
      </c>
      <c r="L282" s="44">
        <v>72.14628547691238</v>
      </c>
    </row>
    <row r="283">
      <c r="A283" s="39" t="s">
        <v>5</v>
      </c>
      <c r="B283" s="40">
        <v>44095.0</v>
      </c>
      <c r="C283" s="41">
        <v>44101.0</v>
      </c>
      <c r="D283" s="39">
        <v>39.0</v>
      </c>
      <c r="E283" s="39">
        <v>6161.0</v>
      </c>
      <c r="F283" s="39">
        <v>1280.0</v>
      </c>
      <c r="G283" s="43">
        <v>4257.6</v>
      </c>
      <c r="H283" s="43">
        <v>1903.3999999999996</v>
      </c>
      <c r="I283" s="44">
        <v>2.496789236325997</v>
      </c>
      <c r="J283" s="44">
        <v>49.71731566834142</v>
      </c>
      <c r="K283" s="44">
        <v>3.7128036190803924</v>
      </c>
      <c r="L283" s="44">
        <v>75.85908909599277</v>
      </c>
    </row>
    <row r="284">
      <c r="A284" s="39" t="s">
        <v>5</v>
      </c>
      <c r="B284" s="40">
        <v>44102.0</v>
      </c>
      <c r="C284" s="41">
        <v>44108.0</v>
      </c>
      <c r="D284" s="39">
        <v>40.0</v>
      </c>
      <c r="E284" s="39">
        <v>6019.0</v>
      </c>
      <c r="F284" s="39">
        <v>1224.0</v>
      </c>
      <c r="G284" s="43">
        <v>4307.2</v>
      </c>
      <c r="H284" s="43">
        <v>1711.8000000000002</v>
      </c>
      <c r="I284" s="44">
        <v>2.3875547072367347</v>
      </c>
      <c r="J284" s="44">
        <v>52.10487037557816</v>
      </c>
      <c r="K284" s="44">
        <v>3.339065480267846</v>
      </c>
      <c r="L284" s="44">
        <v>79.19815457626062</v>
      </c>
    </row>
    <row r="285">
      <c r="A285" s="39" t="s">
        <v>5</v>
      </c>
      <c r="B285" s="40">
        <v>44109.0</v>
      </c>
      <c r="C285" s="41">
        <v>44115.0</v>
      </c>
      <c r="D285" s="39">
        <v>41.0</v>
      </c>
      <c r="E285" s="39">
        <v>6173.0</v>
      </c>
      <c r="F285" s="39">
        <v>1122.0</v>
      </c>
      <c r="G285" s="43">
        <v>4335.0</v>
      </c>
      <c r="H285" s="43">
        <v>1838.0</v>
      </c>
      <c r="I285" s="44">
        <v>2.188591814967007</v>
      </c>
      <c r="J285" s="44">
        <v>54.29346219054516</v>
      </c>
      <c r="K285" s="44">
        <v>3.5852332940368616</v>
      </c>
      <c r="L285" s="44">
        <v>82.78338787029749</v>
      </c>
    </row>
    <row r="286">
      <c r="A286" s="39" t="s">
        <v>5</v>
      </c>
      <c r="B286" s="40">
        <v>44116.0</v>
      </c>
      <c r="C286" s="41">
        <v>44122.0</v>
      </c>
      <c r="D286" s="39">
        <v>42.0</v>
      </c>
      <c r="E286" s="39">
        <v>6190.0</v>
      </c>
      <c r="F286" s="39">
        <v>1136.0</v>
      </c>
      <c r="G286" s="43">
        <v>4321.4</v>
      </c>
      <c r="H286" s="43">
        <v>1868.6000000000004</v>
      </c>
      <c r="I286" s="44">
        <v>2.2159004472393224</v>
      </c>
      <c r="J286" s="44">
        <v>56.509362637784484</v>
      </c>
      <c r="K286" s="44">
        <v>3.6449221617177803</v>
      </c>
      <c r="L286" s="44">
        <v>86.42831003201528</v>
      </c>
    </row>
    <row r="287">
      <c r="A287" s="39" t="s">
        <v>5</v>
      </c>
      <c r="B287" s="40">
        <v>44123.0</v>
      </c>
      <c r="C287" s="41">
        <v>44129.0</v>
      </c>
      <c r="D287" s="39">
        <v>43.0</v>
      </c>
      <c r="E287" s="39">
        <v>6303.0</v>
      </c>
      <c r="F287" s="39">
        <v>1184.0</v>
      </c>
      <c r="G287" s="43">
        <v>4239.4</v>
      </c>
      <c r="H287" s="43">
        <v>2063.6000000000004</v>
      </c>
      <c r="I287" s="44">
        <v>2.3095300436015473</v>
      </c>
      <c r="J287" s="44">
        <v>58.81889268138603</v>
      </c>
      <c r="K287" s="44">
        <v>4.02529239693932</v>
      </c>
      <c r="L287" s="44">
        <v>90.4536024289546</v>
      </c>
    </row>
    <row r="288">
      <c r="A288" s="39" t="s">
        <v>5</v>
      </c>
      <c r="B288" s="40">
        <v>44130.0</v>
      </c>
      <c r="C288" s="41">
        <v>44136.0</v>
      </c>
      <c r="D288" s="39">
        <v>44.0</v>
      </c>
      <c r="E288" s="39">
        <v>6080.0</v>
      </c>
      <c r="F288" s="39">
        <v>1361.0</v>
      </c>
      <c r="G288" s="43">
        <v>4357.2</v>
      </c>
      <c r="H288" s="43">
        <v>1722.8000000000002</v>
      </c>
      <c r="I288" s="44">
        <v>2.654789180187252</v>
      </c>
      <c r="J288" s="44">
        <v>61.47368186157328</v>
      </c>
      <c r="K288" s="44">
        <v>3.360522262767522</v>
      </c>
      <c r="L288" s="44">
        <v>93.81412469172211</v>
      </c>
    </row>
    <row r="289">
      <c r="A289" s="39" t="s">
        <v>5</v>
      </c>
      <c r="B289" s="40">
        <v>44137.0</v>
      </c>
      <c r="C289" s="41">
        <v>44143.0</v>
      </c>
      <c r="D289" s="39">
        <v>45.0</v>
      </c>
      <c r="E289" s="39">
        <v>6252.0</v>
      </c>
      <c r="F289" s="39">
        <v>1276.0</v>
      </c>
      <c r="G289" s="43">
        <v>4379.8</v>
      </c>
      <c r="H289" s="43">
        <v>1872.1999999999998</v>
      </c>
      <c r="I289" s="44">
        <v>2.488986769962479</v>
      </c>
      <c r="J289" s="44">
        <v>63.96266863153576</v>
      </c>
      <c r="K289" s="44">
        <v>3.6519443814449466</v>
      </c>
      <c r="L289" s="44">
        <v>97.46606907316706</v>
      </c>
    </row>
    <row r="290">
      <c r="A290" s="39" t="s">
        <v>5</v>
      </c>
      <c r="B290" s="40">
        <v>44144.0</v>
      </c>
      <c r="C290" s="41">
        <v>44150.0</v>
      </c>
      <c r="D290" s="39">
        <v>46.0</v>
      </c>
      <c r="E290" s="39">
        <v>6119.0</v>
      </c>
      <c r="F290" s="39">
        <v>1240.0</v>
      </c>
      <c r="G290" s="43">
        <v>4391.4</v>
      </c>
      <c r="H290" s="43">
        <v>1727.6000000000004</v>
      </c>
      <c r="I290" s="44">
        <v>2.41876457269081</v>
      </c>
      <c r="J290" s="44">
        <v>66.38143320422657</v>
      </c>
      <c r="K290" s="44">
        <v>3.3698852224037448</v>
      </c>
      <c r="L290" s="44">
        <v>100.8359542955708</v>
      </c>
    </row>
    <row r="291">
      <c r="A291" s="39" t="s">
        <v>5</v>
      </c>
      <c r="B291" s="40">
        <v>44151.0</v>
      </c>
      <c r="C291" s="41">
        <v>44157.0</v>
      </c>
      <c r="D291" s="39">
        <v>47.0</v>
      </c>
      <c r="E291" s="39">
        <v>6242.0</v>
      </c>
      <c r="F291" s="39">
        <v>1256.0</v>
      </c>
      <c r="G291" s="43">
        <v>4422.0</v>
      </c>
      <c r="H291" s="43">
        <v>1820.0</v>
      </c>
      <c r="I291" s="44">
        <v>2.449974438144885</v>
      </c>
      <c r="J291" s="44">
        <v>68.83140764237146</v>
      </c>
      <c r="K291" s="44">
        <v>3.550122195401028</v>
      </c>
      <c r="L291" s="44">
        <v>104.38607649097183</v>
      </c>
    </row>
    <row r="292">
      <c r="A292" s="39" t="s">
        <v>5</v>
      </c>
      <c r="B292" s="40">
        <v>44158.0</v>
      </c>
      <c r="C292" s="41">
        <v>44164.0</v>
      </c>
      <c r="D292" s="39">
        <v>48.0</v>
      </c>
      <c r="E292" s="39">
        <v>6266.0</v>
      </c>
      <c r="F292" s="39">
        <v>1297.0</v>
      </c>
      <c r="G292" s="43">
        <v>4471.6</v>
      </c>
      <c r="H292" s="43">
        <v>1794.3999999999996</v>
      </c>
      <c r="I292" s="44">
        <v>2.529949718370952</v>
      </c>
      <c r="J292" s="44">
        <v>71.36135736074242</v>
      </c>
      <c r="K292" s="44">
        <v>3.5001864106745066</v>
      </c>
      <c r="L292" s="44">
        <v>107.88626290164633</v>
      </c>
    </row>
    <row r="293">
      <c r="A293" s="39" t="s">
        <v>5</v>
      </c>
      <c r="B293" s="40">
        <v>44165.0</v>
      </c>
      <c r="C293" s="41">
        <v>44171.0</v>
      </c>
      <c r="D293" s="39">
        <v>49.0</v>
      </c>
      <c r="E293" s="39">
        <v>6206.0</v>
      </c>
      <c r="F293" s="39">
        <v>1224.0</v>
      </c>
      <c r="G293" s="43">
        <v>4591.4</v>
      </c>
      <c r="H293" s="43">
        <v>1614.6000000000004</v>
      </c>
      <c r="I293" s="44">
        <v>2.3875547072367347</v>
      </c>
      <c r="J293" s="44">
        <v>73.74891206797915</v>
      </c>
      <c r="K293" s="44">
        <v>3.149465547634341</v>
      </c>
      <c r="L293" s="44">
        <v>111.03572844928067</v>
      </c>
    </row>
    <row r="294">
      <c r="A294" s="39" t="s">
        <v>5</v>
      </c>
      <c r="B294" s="40">
        <v>44172.0</v>
      </c>
      <c r="C294" s="41">
        <v>44178.0</v>
      </c>
      <c r="D294" s="39">
        <v>50.0</v>
      </c>
      <c r="E294" s="39">
        <v>6640.0</v>
      </c>
      <c r="F294" s="39">
        <v>1245.0</v>
      </c>
      <c r="G294" s="43">
        <v>4597.2</v>
      </c>
      <c r="H294" s="43">
        <v>2042.8000000000002</v>
      </c>
      <c r="I294" s="44">
        <v>2.4285176556452086</v>
      </c>
      <c r="J294" s="44">
        <v>76.17742972362436</v>
      </c>
      <c r="K294" s="44">
        <v>3.9847195718490216</v>
      </c>
      <c r="L294" s="44">
        <v>115.0204480211297</v>
      </c>
    </row>
    <row r="295">
      <c r="A295" s="39" t="s">
        <v>5</v>
      </c>
      <c r="B295" s="40">
        <v>44179.0</v>
      </c>
      <c r="C295" s="41">
        <v>44185.0</v>
      </c>
      <c r="D295" s="39">
        <v>51.0</v>
      </c>
      <c r="E295" s="39">
        <v>6687.0</v>
      </c>
      <c r="F295" s="39">
        <v>1422.0</v>
      </c>
      <c r="G295" s="43">
        <v>4619.6</v>
      </c>
      <c r="H295" s="43">
        <v>2067.3999999999996</v>
      </c>
      <c r="I295" s="44">
        <v>2.7737767922309127</v>
      </c>
      <c r="J295" s="44">
        <v>78.95120651585528</v>
      </c>
      <c r="K295" s="44">
        <v>4.032704739984661</v>
      </c>
      <c r="L295" s="44">
        <v>119.05315276111436</v>
      </c>
    </row>
    <row r="296">
      <c r="A296" s="39" t="s">
        <v>5</v>
      </c>
      <c r="B296" s="40">
        <v>44186.0</v>
      </c>
      <c r="C296" s="41">
        <v>44192.0</v>
      </c>
      <c r="D296" s="39">
        <v>52.0</v>
      </c>
      <c r="E296" s="39">
        <v>7203.0</v>
      </c>
      <c r="F296" s="39">
        <v>1696.0</v>
      </c>
      <c r="G296" s="43">
        <v>4794.2</v>
      </c>
      <c r="H296" s="43">
        <v>2408.8</v>
      </c>
      <c r="I296" s="44">
        <v>3.3082457381319466</v>
      </c>
      <c r="J296" s="44">
        <v>82.25945225398722</v>
      </c>
      <c r="K296" s="44">
        <v>4.6986452441109865</v>
      </c>
      <c r="L296" s="44">
        <v>123.75179800522535</v>
      </c>
    </row>
    <row r="297">
      <c r="A297" s="39" t="s">
        <v>5</v>
      </c>
      <c r="B297" s="40">
        <v>44193.0</v>
      </c>
      <c r="C297" s="41">
        <v>44199.0</v>
      </c>
      <c r="D297" s="39">
        <v>53.0</v>
      </c>
      <c r="E297" s="39">
        <v>7814.0</v>
      </c>
      <c r="F297" s="39">
        <v>1794.0</v>
      </c>
      <c r="G297" s="43">
        <v>4609.0</v>
      </c>
      <c r="H297" s="43">
        <v>3205.0</v>
      </c>
      <c r="I297" s="44">
        <v>3.499406164038156</v>
      </c>
      <c r="J297" s="44">
        <v>85.75885841802537</v>
      </c>
      <c r="K297" s="44">
        <v>6.251726173769392</v>
      </c>
      <c r="L297" s="44">
        <v>130.00352417899475</v>
      </c>
    </row>
    <row r="298">
      <c r="A298" s="39" t="s">
        <v>5</v>
      </c>
      <c r="B298" s="40">
        <v>44200.0</v>
      </c>
      <c r="C298" s="41">
        <v>44206.0</v>
      </c>
      <c r="D298" s="39">
        <v>1.0</v>
      </c>
      <c r="E298" s="39">
        <v>7964.0</v>
      </c>
      <c r="F298" s="39">
        <v>2149.0</v>
      </c>
      <c r="G298" s="43">
        <v>4853.333333333333</v>
      </c>
      <c r="H298" s="43">
        <v>3110.666666666667</v>
      </c>
      <c r="I298" s="44">
        <v>4.191875053800444</v>
      </c>
      <c r="J298" s="44">
        <v>89.95073347182581</v>
      </c>
      <c r="K298" s="44">
        <v>6.067718008696409</v>
      </c>
      <c r="L298" s="44">
        <v>136.07124218769115</v>
      </c>
    </row>
    <row r="299">
      <c r="A299" s="39" t="s">
        <v>5</v>
      </c>
      <c r="B299" s="40">
        <v>44207.0</v>
      </c>
      <c r="C299" s="41">
        <v>44213.0</v>
      </c>
      <c r="D299" s="39">
        <v>2.0</v>
      </c>
      <c r="E299" s="39">
        <v>8440.0</v>
      </c>
      <c r="F299" s="39">
        <v>2517.0</v>
      </c>
      <c r="G299" s="43">
        <v>4660.666666666667</v>
      </c>
      <c r="H299" s="43">
        <v>3779.333333333333</v>
      </c>
      <c r="I299" s="44">
        <v>4.909701959244169</v>
      </c>
      <c r="J299" s="44">
        <v>94.86043543106999</v>
      </c>
      <c r="K299" s="44">
        <v>7.372030302464624</v>
      </c>
      <c r="L299" s="44">
        <v>143.44327249015578</v>
      </c>
    </row>
    <row r="300">
      <c r="A300" s="39" t="s">
        <v>5</v>
      </c>
      <c r="B300" s="40">
        <v>44214.0</v>
      </c>
      <c r="C300" s="41">
        <v>44220.0</v>
      </c>
      <c r="D300" s="39">
        <v>3.0</v>
      </c>
      <c r="E300" s="39">
        <v>8479.0</v>
      </c>
      <c r="F300" s="39">
        <v>2743.0</v>
      </c>
      <c r="G300" s="43">
        <v>4653.166666666667</v>
      </c>
      <c r="H300" s="43">
        <v>3825.833333333333</v>
      </c>
      <c r="I300" s="44">
        <v>5.350541308782977</v>
      </c>
      <c r="J300" s="44">
        <v>100.21097673985297</v>
      </c>
      <c r="K300" s="44">
        <v>7.462733973940528</v>
      </c>
      <c r="L300" s="44">
        <v>150.9060064640963</v>
      </c>
    </row>
    <row r="301">
      <c r="A301" s="39" t="s">
        <v>5</v>
      </c>
      <c r="B301" s="40">
        <v>44221.0</v>
      </c>
      <c r="C301" s="41">
        <v>44227.0</v>
      </c>
      <c r="D301" s="39">
        <v>4.0</v>
      </c>
      <c r="E301" s="39">
        <v>7676.0</v>
      </c>
      <c r="F301" s="39">
        <v>2609.0</v>
      </c>
      <c r="G301" s="43">
        <v>4519.5</v>
      </c>
      <c r="H301" s="43">
        <v>3156.5</v>
      </c>
      <c r="I301" s="44">
        <v>5.089158685605099</v>
      </c>
      <c r="J301" s="44">
        <v>105.30013542545807</v>
      </c>
      <c r="K301" s="44">
        <v>6.157121269111727</v>
      </c>
      <c r="L301" s="44">
        <v>157.06312773320803</v>
      </c>
    </row>
    <row r="302">
      <c r="A302" s="39" t="s">
        <v>5</v>
      </c>
      <c r="B302" s="40">
        <v>44228.0</v>
      </c>
      <c r="C302" s="41">
        <v>44234.0</v>
      </c>
      <c r="D302" s="39">
        <v>5.0</v>
      </c>
      <c r="E302" s="39">
        <v>7029.0</v>
      </c>
      <c r="F302" s="39">
        <v>2010.0</v>
      </c>
      <c r="G302" s="43">
        <v>4406.333333333333</v>
      </c>
      <c r="H302" s="43">
        <v>2622.666666666667</v>
      </c>
      <c r="I302" s="44">
        <v>3.920739347668168</v>
      </c>
      <c r="J302" s="44">
        <v>109.22087477312624</v>
      </c>
      <c r="K302" s="44">
        <v>5.1158171123471226</v>
      </c>
      <c r="L302" s="44">
        <v>162.17894484555515</v>
      </c>
    </row>
    <row r="303">
      <c r="A303" s="39" t="s">
        <v>5</v>
      </c>
      <c r="B303" s="40">
        <v>44235.0</v>
      </c>
      <c r="C303" s="41">
        <v>44241.0</v>
      </c>
      <c r="D303" s="39">
        <v>6.0</v>
      </c>
      <c r="E303" s="39">
        <v>6341.0</v>
      </c>
      <c r="F303" s="39">
        <v>1612.0</v>
      </c>
      <c r="G303" s="43">
        <v>4375.166666666667</v>
      </c>
      <c r="H303" s="43">
        <v>1965.833333333333</v>
      </c>
      <c r="I303" s="44">
        <v>3.144393944498053</v>
      </c>
      <c r="J303" s="44">
        <v>112.36526871762429</v>
      </c>
      <c r="K303" s="44">
        <v>3.834587114904314</v>
      </c>
      <c r="L303" s="44">
        <v>166.01353196045946</v>
      </c>
    </row>
    <row r="304">
      <c r="A304" s="39" t="s">
        <v>5</v>
      </c>
      <c r="B304" s="40">
        <v>44242.0</v>
      </c>
      <c r="C304" s="41">
        <v>44248.0</v>
      </c>
      <c r="D304" s="39">
        <v>7.0</v>
      </c>
      <c r="E304" s="39">
        <v>5915.0</v>
      </c>
      <c r="F304" s="39">
        <v>1229.0</v>
      </c>
      <c r="G304" s="43">
        <v>4324.5</v>
      </c>
      <c r="H304" s="43">
        <v>1590.5</v>
      </c>
      <c r="I304" s="44">
        <v>2.3973077901911335</v>
      </c>
      <c r="J304" s="44">
        <v>114.76257650781542</v>
      </c>
      <c r="K304" s="44">
        <v>3.10245568779414</v>
      </c>
      <c r="L304" s="44">
        <v>169.1159876482536</v>
      </c>
    </row>
    <row r="305">
      <c r="A305" s="39" t="s">
        <v>5</v>
      </c>
      <c r="B305" s="40">
        <v>44249.0</v>
      </c>
      <c r="C305" s="41">
        <v>44255.0</v>
      </c>
      <c r="D305" s="39">
        <v>8.0</v>
      </c>
      <c r="E305" s="39">
        <v>5564.0</v>
      </c>
      <c r="F305" s="39">
        <v>932.0</v>
      </c>
      <c r="G305" s="43">
        <v>4307.333333333333</v>
      </c>
      <c r="H305" s="43">
        <v>1256.666666666667</v>
      </c>
      <c r="I305" s="44">
        <v>1.8179746626998667</v>
      </c>
      <c r="J305" s="44">
        <v>116.58055117051529</v>
      </c>
      <c r="K305" s="44">
        <v>2.451274849205472</v>
      </c>
      <c r="L305" s="44">
        <v>171.56726249745907</v>
      </c>
    </row>
    <row r="306">
      <c r="A306" s="39" t="s">
        <v>5</v>
      </c>
      <c r="B306" s="40">
        <v>44256.0</v>
      </c>
      <c r="C306" s="41">
        <v>44262.0</v>
      </c>
      <c r="D306" s="39">
        <v>9.0</v>
      </c>
      <c r="E306" s="39">
        <v>5562.0</v>
      </c>
      <c r="F306" s="39">
        <v>737.0</v>
      </c>
      <c r="G306" s="43">
        <v>4312.0</v>
      </c>
      <c r="H306" s="43">
        <v>1250.0</v>
      </c>
      <c r="I306" s="44">
        <v>1.4376044274783282</v>
      </c>
      <c r="J306" s="44">
        <v>118.01815559799363</v>
      </c>
      <c r="K306" s="44">
        <v>2.4382707385996065</v>
      </c>
      <c r="L306" s="44">
        <v>174.00553323605868</v>
      </c>
    </row>
    <row r="307">
      <c r="A307" s="39" t="s">
        <v>5</v>
      </c>
      <c r="B307" s="40">
        <v>44263.0</v>
      </c>
      <c r="C307" s="41">
        <v>44269.0</v>
      </c>
      <c r="D307" s="39">
        <v>10.0</v>
      </c>
      <c r="E307" s="39">
        <v>5315.0</v>
      </c>
      <c r="F307" s="39">
        <v>640.0</v>
      </c>
      <c r="G307" s="43">
        <v>4341.666666666667</v>
      </c>
      <c r="H307" s="43">
        <v>973.333333333333</v>
      </c>
      <c r="I307" s="44">
        <v>1.2483946181629986</v>
      </c>
      <c r="J307" s="44">
        <v>119.26655021615663</v>
      </c>
      <c r="K307" s="44">
        <v>1.8986001484562263</v>
      </c>
      <c r="L307" s="44">
        <v>175.90413338451492</v>
      </c>
    </row>
    <row r="308">
      <c r="A308" s="39" t="s">
        <v>5</v>
      </c>
      <c r="B308" s="40">
        <v>44270.0</v>
      </c>
      <c r="C308" s="41">
        <v>44276.0</v>
      </c>
      <c r="D308" s="39">
        <v>11.0</v>
      </c>
      <c r="E308" s="39">
        <v>5569.0</v>
      </c>
      <c r="F308" s="39">
        <v>885.0</v>
      </c>
      <c r="G308" s="43">
        <v>4366.0</v>
      </c>
      <c r="H308" s="43">
        <v>1203.0</v>
      </c>
      <c r="I308" s="44">
        <v>1.7262956829285214</v>
      </c>
      <c r="J308" s="44">
        <v>120.99284589908515</v>
      </c>
      <c r="K308" s="44">
        <v>2.3465917588282617</v>
      </c>
      <c r="L308" s="44">
        <v>178.25072514334317</v>
      </c>
    </row>
    <row r="309">
      <c r="A309" s="39" t="s">
        <v>5</v>
      </c>
      <c r="B309" s="40">
        <v>44277.0</v>
      </c>
      <c r="C309" s="41">
        <v>44283.0</v>
      </c>
      <c r="D309" s="39">
        <v>12.0</v>
      </c>
      <c r="E309" s="39">
        <v>5958.0</v>
      </c>
      <c r="F309" s="39">
        <v>927.0</v>
      </c>
      <c r="G309" s="43">
        <v>4296.8</v>
      </c>
      <c r="H309" s="43">
        <v>1661.1999999999998</v>
      </c>
      <c r="I309" s="44">
        <v>1.8082215797454684</v>
      </c>
      <c r="J309" s="44">
        <v>122.80106747883062</v>
      </c>
      <c r="K309" s="44">
        <v>3.240364280769333</v>
      </c>
      <c r="L309" s="44">
        <v>181.49108942411252</v>
      </c>
    </row>
    <row r="310">
      <c r="A310" s="39" t="s">
        <v>5</v>
      </c>
      <c r="B310" s="40">
        <v>44284.0</v>
      </c>
      <c r="C310" s="41">
        <v>44290.0</v>
      </c>
      <c r="D310" s="39">
        <v>13.0</v>
      </c>
      <c r="E310" s="39">
        <v>6473.0</v>
      </c>
      <c r="F310" s="39">
        <v>1139.0</v>
      </c>
      <c r="G310" s="43">
        <v>4316.4</v>
      </c>
      <c r="H310" s="43">
        <v>2156.6000000000004</v>
      </c>
      <c r="I310" s="44">
        <v>2.2217522970119616</v>
      </c>
      <c r="J310" s="44">
        <v>125.02281977584258</v>
      </c>
      <c r="K310" s="44">
        <v>4.20669973989113</v>
      </c>
      <c r="L310" s="44">
        <v>185.69778916400364</v>
      </c>
    </row>
    <row r="311">
      <c r="A311" s="39" t="s">
        <v>5</v>
      </c>
      <c r="B311" s="40">
        <v>44291.0</v>
      </c>
      <c r="C311" s="41">
        <v>44297.0</v>
      </c>
      <c r="D311" s="39">
        <v>14.0</v>
      </c>
      <c r="E311" s="39">
        <v>7210.0</v>
      </c>
      <c r="F311" s="39">
        <v>1795.0</v>
      </c>
      <c r="G311" s="43">
        <v>4278.0</v>
      </c>
      <c r="H311" s="43">
        <v>2932.0</v>
      </c>
      <c r="I311" s="44">
        <v>3.5013567806290355</v>
      </c>
      <c r="J311" s="44">
        <v>128.52417655647162</v>
      </c>
      <c r="K311" s="44">
        <v>5.719207844459238</v>
      </c>
      <c r="L311" s="44">
        <v>191.41699700846289</v>
      </c>
    </row>
    <row r="312">
      <c r="A312" s="39" t="s">
        <v>5</v>
      </c>
      <c r="B312" s="40">
        <v>44298.0</v>
      </c>
      <c r="C312" s="41">
        <v>44304.0</v>
      </c>
      <c r="D312" s="39">
        <v>15.0</v>
      </c>
      <c r="E312" s="39">
        <v>8440.0</v>
      </c>
      <c r="F312" s="39">
        <v>2439.0</v>
      </c>
      <c r="G312" s="43">
        <v>4255.0</v>
      </c>
      <c r="H312" s="43">
        <v>4185.0</v>
      </c>
      <c r="I312" s="44">
        <v>4.757553865155552</v>
      </c>
      <c r="J312" s="44">
        <v>133.28173042162717</v>
      </c>
      <c r="K312" s="44">
        <v>8.163330432831483</v>
      </c>
      <c r="L312" s="44">
        <v>199.58032744129437</v>
      </c>
    </row>
    <row r="313">
      <c r="A313" s="39" t="s">
        <v>5</v>
      </c>
      <c r="B313" s="40">
        <v>44305.0</v>
      </c>
      <c r="C313" s="41">
        <v>44311.0</v>
      </c>
      <c r="D313" s="39">
        <v>16.0</v>
      </c>
      <c r="E313" s="39">
        <v>8775.0</v>
      </c>
      <c r="F313" s="39">
        <v>3023.0</v>
      </c>
      <c r="G313" s="43">
        <v>4262.8</v>
      </c>
      <c r="H313" s="43">
        <v>4512.2</v>
      </c>
      <c r="I313" s="44">
        <v>5.896713954229289</v>
      </c>
      <c r="J313" s="44">
        <v>139.17844437585646</v>
      </c>
      <c r="K313" s="44">
        <v>8.801572181367316</v>
      </c>
      <c r="L313" s="44">
        <v>208.38189962266168</v>
      </c>
    </row>
    <row r="314">
      <c r="A314" s="39" t="s">
        <v>5</v>
      </c>
      <c r="B314" s="40">
        <v>44312.0</v>
      </c>
      <c r="C314" s="41">
        <v>44318.0</v>
      </c>
      <c r="D314" s="39">
        <v>17.0</v>
      </c>
      <c r="E314" s="39">
        <v>8789.0</v>
      </c>
      <c r="F314" s="39">
        <v>3126.0</v>
      </c>
      <c r="G314" s="43">
        <v>4263.0</v>
      </c>
      <c r="H314" s="43">
        <v>4526.0</v>
      </c>
      <c r="I314" s="44">
        <v>6.097627463089896</v>
      </c>
      <c r="J314" s="44">
        <v>145.27607183894636</v>
      </c>
      <c r="K314" s="44">
        <v>8.828490690321457</v>
      </c>
      <c r="L314" s="44">
        <v>217.21039031298312</v>
      </c>
    </row>
    <row r="315">
      <c r="A315" s="39" t="s">
        <v>5</v>
      </c>
      <c r="B315" s="40">
        <v>44319.0</v>
      </c>
      <c r="C315" s="41">
        <v>44325.0</v>
      </c>
      <c r="D315" s="39">
        <v>18.0</v>
      </c>
      <c r="E315" s="39">
        <v>8882.0</v>
      </c>
      <c r="F315" s="39">
        <v>3377.0</v>
      </c>
      <c r="G315" s="43">
        <v>4331.2</v>
      </c>
      <c r="H315" s="43">
        <v>4550.8</v>
      </c>
      <c r="I315" s="44">
        <v>6.587232227400697</v>
      </c>
      <c r="J315" s="44">
        <v>151.86330406634707</v>
      </c>
      <c r="K315" s="44">
        <v>8.876865981775273</v>
      </c>
      <c r="L315" s="44">
        <v>226.0872562947584</v>
      </c>
    </row>
    <row r="316">
      <c r="A316" s="39" t="s">
        <v>5</v>
      </c>
      <c r="B316" s="40">
        <v>44326.0</v>
      </c>
      <c r="C316" s="41">
        <v>44332.0</v>
      </c>
      <c r="D316" s="39">
        <v>19.0</v>
      </c>
      <c r="E316" s="39">
        <v>8988.0</v>
      </c>
      <c r="F316" s="39">
        <v>3446.0</v>
      </c>
      <c r="G316" s="43">
        <v>4368.2</v>
      </c>
      <c r="H316" s="43">
        <v>4619.8</v>
      </c>
      <c r="I316" s="44">
        <v>6.721824772171396</v>
      </c>
      <c r="J316" s="44">
        <v>158.58512883851847</v>
      </c>
      <c r="K316" s="44">
        <v>9.01145852654597</v>
      </c>
      <c r="L316" s="44">
        <v>235.09871482130436</v>
      </c>
    </row>
    <row r="317">
      <c r="A317" s="39" t="s">
        <v>5</v>
      </c>
      <c r="B317" s="40">
        <v>44333.0</v>
      </c>
      <c r="C317" s="41">
        <v>44339.0</v>
      </c>
      <c r="D317" s="39">
        <v>20.0</v>
      </c>
      <c r="E317" s="39">
        <v>9058.0</v>
      </c>
      <c r="F317" s="39">
        <v>3424.0</v>
      </c>
      <c r="G317" s="43">
        <v>4518.8</v>
      </c>
      <c r="H317" s="43">
        <v>4539.2</v>
      </c>
      <c r="I317" s="44">
        <v>6.6789112071720425</v>
      </c>
      <c r="J317" s="44">
        <v>165.2640400456905</v>
      </c>
      <c r="K317" s="44">
        <v>8.854238829321067</v>
      </c>
      <c r="L317" s="44">
        <v>243.95295365062543</v>
      </c>
    </row>
    <row r="318">
      <c r="A318" s="39" t="s">
        <v>5</v>
      </c>
      <c r="B318" s="40">
        <v>44340.0</v>
      </c>
      <c r="C318" s="41">
        <v>44346.0</v>
      </c>
      <c r="D318" s="39">
        <v>21.0</v>
      </c>
      <c r="E318" s="39">
        <v>9296.0</v>
      </c>
      <c r="F318" s="39">
        <v>3558.0</v>
      </c>
      <c r="G318" s="43">
        <v>4478.2</v>
      </c>
      <c r="H318" s="43">
        <v>4817.8</v>
      </c>
      <c r="I318" s="44">
        <v>6.94029383034992</v>
      </c>
      <c r="J318" s="44">
        <v>172.20433387604044</v>
      </c>
      <c r="K318" s="44">
        <v>9.39768061154015</v>
      </c>
      <c r="L318" s="44">
        <v>253.35063426216558</v>
      </c>
    </row>
    <row r="319">
      <c r="A319" s="39" t="s">
        <v>5</v>
      </c>
      <c r="B319" s="40">
        <v>44347.0</v>
      </c>
      <c r="C319" s="41">
        <v>44353.0</v>
      </c>
      <c r="D319" s="39">
        <v>22.0</v>
      </c>
      <c r="E319" s="39">
        <v>9767.0</v>
      </c>
      <c r="F319" s="39">
        <v>3679.0</v>
      </c>
      <c r="G319" s="43">
        <v>4485.0</v>
      </c>
      <c r="H319" s="43">
        <v>5282.0</v>
      </c>
      <c r="I319" s="44">
        <v>7.176318437846363</v>
      </c>
      <c r="J319" s="44">
        <v>179.3806523138868</v>
      </c>
      <c r="K319" s="44">
        <v>10.303156833026499</v>
      </c>
      <c r="L319" s="44">
        <v>263.6537910951921</v>
      </c>
    </row>
    <row r="320">
      <c r="A320" s="39" t="s">
        <v>5</v>
      </c>
      <c r="B320" s="40">
        <v>44354.0</v>
      </c>
      <c r="C320" s="41">
        <v>44360.0</v>
      </c>
      <c r="D320" s="39">
        <v>23.0</v>
      </c>
      <c r="E320" s="39">
        <v>10081.0</v>
      </c>
      <c r="F320" s="39">
        <v>3817.0</v>
      </c>
      <c r="G320" s="43">
        <v>4542.6</v>
      </c>
      <c r="H320" s="43">
        <v>5538.4</v>
      </c>
      <c r="I320" s="44">
        <v>7.445503527387759</v>
      </c>
      <c r="J320" s="44">
        <v>186.82615584127456</v>
      </c>
      <c r="K320" s="44">
        <v>10.803294926928048</v>
      </c>
      <c r="L320" s="44">
        <v>274.45708602212017</v>
      </c>
    </row>
    <row r="321">
      <c r="A321" s="39" t="s">
        <v>5</v>
      </c>
      <c r="B321" s="40">
        <v>44361.0</v>
      </c>
      <c r="C321" s="41">
        <v>44367.0</v>
      </c>
      <c r="D321" s="39">
        <v>24.0</v>
      </c>
      <c r="E321" s="39">
        <v>10451.0</v>
      </c>
      <c r="F321" s="39">
        <v>4156.0</v>
      </c>
      <c r="G321" s="43">
        <v>4514.8</v>
      </c>
      <c r="H321" s="43">
        <v>5936.2</v>
      </c>
      <c r="I321" s="44">
        <v>8.106762551695972</v>
      </c>
      <c r="J321" s="44">
        <v>194.93291839297052</v>
      </c>
      <c r="K321" s="44">
        <v>11.579250206779989</v>
      </c>
      <c r="L321" s="44">
        <v>286.03633622890015</v>
      </c>
    </row>
    <row r="322">
      <c r="A322" s="39" t="s">
        <v>5</v>
      </c>
      <c r="B322" s="40">
        <v>44368.0</v>
      </c>
      <c r="C322" s="41">
        <v>44374.0</v>
      </c>
      <c r="D322" s="39">
        <v>25.0</v>
      </c>
      <c r="E322" s="39">
        <v>10456.0</v>
      </c>
      <c r="F322" s="39">
        <v>4744.0</v>
      </c>
      <c r="G322" s="43">
        <v>4554.6</v>
      </c>
      <c r="H322" s="43">
        <v>5901.4</v>
      </c>
      <c r="I322" s="44">
        <v>9.253725107133228</v>
      </c>
      <c r="J322" s="44">
        <v>204.18664350010374</v>
      </c>
      <c r="K322" s="44">
        <v>11.511368749417374</v>
      </c>
      <c r="L322" s="44">
        <v>297.54770497831754</v>
      </c>
    </row>
    <row r="323">
      <c r="A323" s="39" t="s">
        <v>5</v>
      </c>
      <c r="B323" s="40">
        <v>44375.0</v>
      </c>
      <c r="C323" s="41">
        <v>44381.0</v>
      </c>
      <c r="D323" s="39">
        <v>26.0</v>
      </c>
      <c r="E323" s="39">
        <v>10240.0</v>
      </c>
      <c r="F323" s="39">
        <v>4218.0</v>
      </c>
      <c r="G323" s="43">
        <v>4592.0</v>
      </c>
      <c r="H323" s="43">
        <v>5648.0</v>
      </c>
      <c r="I323" s="44">
        <v>8.227700780330514</v>
      </c>
      <c r="J323" s="44">
        <v>212.41434428043425</v>
      </c>
      <c r="K323" s="44">
        <v>11.017082505288462</v>
      </c>
      <c r="L323" s="44">
        <v>308.564787483606</v>
      </c>
    </row>
    <row r="324">
      <c r="A324" s="39" t="s">
        <v>5</v>
      </c>
      <c r="B324" s="40">
        <v>44382.0</v>
      </c>
      <c r="C324" s="41">
        <v>44388.0</v>
      </c>
      <c r="D324" s="39">
        <v>27.0</v>
      </c>
      <c r="E324" s="39">
        <v>9485.0</v>
      </c>
      <c r="F324" s="39">
        <v>3930.0</v>
      </c>
      <c r="G324" s="43">
        <v>4567.0</v>
      </c>
      <c r="H324" s="43">
        <v>4918.0</v>
      </c>
      <c r="I324" s="44">
        <v>7.665923202157163</v>
      </c>
      <c r="J324" s="44">
        <v>220.0802674825914</v>
      </c>
      <c r="K324" s="44">
        <v>9.593132393946293</v>
      </c>
      <c r="L324" s="44">
        <v>318.1579198775523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