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mc:AlternateContent xmlns:mc="http://schemas.openxmlformats.org/markup-compatibility/2006">
    <mc:Choice Requires="x15">
      <x15ac:absPath xmlns:x15ac="http://schemas.microsoft.com/office/spreadsheetml/2010/11/ac" url="G:\My Drive\Lotus ES\Clients\Project work\City and County of Denver\2020 GHG Inventory PO\2019 GHG Inventory\"/>
    </mc:Choice>
  </mc:AlternateContent>
  <xr:revisionPtr revIDLastSave="0" documentId="13_ncr:1_{CD06AFE4-DCAD-4C58-8751-B538C124B201}" xr6:coauthVersionLast="47" xr6:coauthVersionMax="47" xr10:uidLastSave="{00000000-0000-0000-0000-000000000000}"/>
  <bookViews>
    <workbookView minimized="1" xWindow="3420" yWindow="975" windowWidth="18210" windowHeight="11505" tabRatio="731" firstSheet="10" activeTab="10" xr2:uid="{20F4BF87-4634-418E-B034-1249A821B489}"/>
  </bookViews>
  <sheets>
    <sheet name="Workbook Intro" sheetId="1" r:id="rId1"/>
    <sheet name="Visual Summary" sheetId="2" r:id="rId2"/>
    <sheet name="Emission Summary" sheetId="5" r:id="rId3"/>
    <sheet name="Benchmarking" sheetId="38" r:id="rId4"/>
    <sheet name="Year-to-Year Comparisons" sheetId="39" r:id="rId5"/>
    <sheet name="Inventory Data Checklist" sheetId="27" r:id="rId6"/>
    <sheet name="Community Indicators" sheetId="24" r:id="rId7"/>
    <sheet name="Conversion Factors and GWPs" sheetId="3" r:id="rId8"/>
    <sheet name="Stationary Energy Data" sheetId="6" r:id="rId9"/>
    <sheet name="Fugitive Emissions Data" sheetId="7" r:id="rId10"/>
    <sheet name="On-Road Data" sheetId="9" r:id="rId11"/>
    <sheet name="Transit Data" sheetId="29" r:id="rId12"/>
    <sheet name="Railways Data" sheetId="35" r:id="rId13"/>
    <sheet name="Aviation Data" sheetId="12" r:id="rId14"/>
    <sheet name="Off-Road" sheetId="37" r:id="rId15"/>
    <sheet name="Waste_Recycling Data" sheetId="17" r:id="rId16"/>
    <sheet name="Wastewater Data" sheetId="18" r:id="rId17"/>
    <sheet name="IPPU" sheetId="36" r:id="rId18"/>
    <sheet name="Consumption-Based Data" sheetId="32" r:id="rId19"/>
    <sheet name="GPC Table 4.1" sheetId="20" r:id="rId20"/>
    <sheet name="GPC Table 4.2" sheetId="21" r:id="rId21"/>
    <sheet name="GPC Table 4.3" sheetId="22" r:id="rId22"/>
    <sheet name="GPC Table 4.4" sheetId="23" r:id="rId23"/>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5" i="39" l="1"/>
  <c r="B87" i="39" l="1"/>
  <c r="B86" i="39"/>
  <c r="B80" i="39" l="1"/>
  <c r="C80" i="39" l="1"/>
  <c r="B32" i="12" l="1"/>
  <c r="B35" i="12"/>
  <c r="E36" i="12" l="1"/>
  <c r="D36" i="12"/>
  <c r="C36" i="12"/>
  <c r="B36" i="12"/>
  <c r="E35" i="12"/>
  <c r="D35" i="12"/>
  <c r="C35" i="12"/>
  <c r="B44" i="7"/>
  <c r="C86" i="39"/>
  <c r="B44" i="6" l="1"/>
  <c r="G39" i="12" l="1"/>
  <c r="L61" i="9"/>
  <c r="I61" i="9"/>
  <c r="J61" i="9"/>
  <c r="N52" i="9"/>
  <c r="K61" i="9"/>
  <c r="E61" i="9"/>
  <c r="E62" i="9" s="1"/>
  <c r="L62" i="9" s="1"/>
  <c r="B61" i="9"/>
  <c r="B62" i="9" s="1"/>
  <c r="I62" i="9" s="1"/>
  <c r="C61" i="9"/>
  <c r="C62" i="9" s="1"/>
  <c r="J62" i="9" s="1"/>
  <c r="D61" i="9"/>
  <c r="D62" i="9"/>
  <c r="K62" i="9" s="1"/>
  <c r="H61" i="9"/>
  <c r="H62" i="9" s="1"/>
  <c r="F61" i="9"/>
  <c r="F62" i="9" s="1"/>
  <c r="G61" i="9"/>
  <c r="G62" i="9" s="1"/>
  <c r="F65" i="9" l="1"/>
  <c r="G40" i="12" l="1"/>
  <c r="A28" i="37"/>
  <c r="A22" i="37"/>
  <c r="C52" i="39"/>
  <c r="C63" i="39"/>
  <c r="B52" i="39"/>
  <c r="C73" i="17" l="1"/>
  <c r="C74" i="17"/>
  <c r="C61" i="17"/>
  <c r="C64" i="17" s="1"/>
  <c r="C63" i="17"/>
  <c r="C87" i="39" l="1"/>
  <c r="B57" i="39" l="1"/>
  <c r="B63" i="39" s="1"/>
  <c r="B41" i="32" l="1"/>
  <c r="AD22" i="39" l="1"/>
  <c r="AC22" i="39"/>
  <c r="AE23" i="39"/>
  <c r="AF11" i="39"/>
  <c r="AF12" i="39"/>
  <c r="AF13" i="39"/>
  <c r="AF14" i="39"/>
  <c r="AF15" i="39"/>
  <c r="AF16" i="39"/>
  <c r="AF17" i="39"/>
  <c r="AF20" i="39"/>
  <c r="AF22" i="39"/>
  <c r="AF10" i="39"/>
  <c r="AF21" i="39"/>
  <c r="AF23" i="39" l="1"/>
  <c r="E45" i="7"/>
  <c r="D18" i="37" l="1"/>
  <c r="B15" i="20"/>
  <c r="B14" i="20"/>
  <c r="B13" i="20"/>
  <c r="C17" i="29" l="1"/>
  <c r="C16" i="29"/>
  <c r="B37" i="6"/>
  <c r="C20" i="6"/>
  <c r="C21" i="6"/>
  <c r="D37" i="37" l="1"/>
  <c r="F22" i="39"/>
  <c r="F23" i="39" s="1"/>
  <c r="E73" i="5" l="1"/>
  <c r="B34" i="32" l="1"/>
  <c r="B33" i="32"/>
  <c r="B32" i="32"/>
  <c r="B24" i="24" l="1"/>
  <c r="B52" i="17" l="1"/>
  <c r="B50" i="17"/>
  <c r="B49" i="17"/>
  <c r="E49" i="17" s="1"/>
  <c r="G49" i="17" s="1"/>
  <c r="B48" i="17"/>
  <c r="B51" i="17"/>
  <c r="B53" i="17"/>
  <c r="D106" i="5" l="1"/>
  <c r="D27" i="29"/>
  <c r="D21" i="29" s="1"/>
  <c r="D26" i="29"/>
  <c r="C21" i="29" l="1"/>
  <c r="D91" i="9"/>
  <c r="B88" i="9" s="1"/>
  <c r="E91" i="9" l="1"/>
  <c r="F91" i="9"/>
  <c r="B62" i="7"/>
  <c r="C62" i="7" s="1"/>
  <c r="D77" i="6"/>
  <c r="C66" i="6"/>
  <c r="C65" i="6"/>
  <c r="C25" i="6" l="1"/>
  <c r="C50" i="6" l="1"/>
  <c r="C53" i="6"/>
  <c r="B8" i="20"/>
  <c r="B79" i="6"/>
  <c r="C15" i="35" l="1"/>
  <c r="C16" i="35" l="1"/>
  <c r="D66" i="6"/>
  <c r="C17" i="35"/>
  <c r="E66" i="6"/>
  <c r="B47" i="12"/>
  <c r="B48" i="12" s="1"/>
  <c r="D34" i="12" l="1"/>
  <c r="C34" i="12"/>
  <c r="B34" i="12"/>
  <c r="B27" i="24"/>
  <c r="E34" i="12" l="1"/>
  <c r="B65" i="9"/>
  <c r="B46" i="35" l="1"/>
  <c r="L52" i="9" l="1"/>
  <c r="K52" i="9"/>
  <c r="H65" i="9"/>
  <c r="G65" i="9"/>
  <c r="G52" i="9"/>
  <c r="H52" i="9"/>
  <c r="C65" i="9"/>
  <c r="D52" i="9"/>
  <c r="C52" i="9"/>
  <c r="C145" i="32"/>
  <c r="B15" i="18"/>
  <c r="C51" i="6"/>
  <c r="E19" i="22" s="1"/>
  <c r="C26" i="6"/>
  <c r="C27" i="6"/>
  <c r="D57" i="6"/>
  <c r="E74" i="5" s="1"/>
  <c r="B38" i="6"/>
  <c r="B39" i="6"/>
  <c r="C31" i="6"/>
  <c r="C60" i="6" s="1"/>
  <c r="C32" i="6"/>
  <c r="D60" i="6" s="1"/>
  <c r="D61" i="6" s="1"/>
  <c r="C33" i="6"/>
  <c r="E60" i="6" s="1"/>
  <c r="E61" i="6" s="1"/>
  <c r="D56" i="6"/>
  <c r="B48" i="35"/>
  <c r="B41" i="35" s="1"/>
  <c r="E46" i="22" s="1"/>
  <c r="C45" i="6"/>
  <c r="D45" i="6" s="1"/>
  <c r="E20" i="22" s="1"/>
  <c r="B43" i="7"/>
  <c r="D43" i="7" s="1"/>
  <c r="D44" i="7"/>
  <c r="B61" i="7"/>
  <c r="C61" i="7" s="1"/>
  <c r="B63" i="7"/>
  <c r="C63" i="7" s="1"/>
  <c r="B68" i="7"/>
  <c r="C68" i="7" s="1"/>
  <c r="B69" i="7"/>
  <c r="C69" i="7" s="1"/>
  <c r="B70" i="7"/>
  <c r="C70" i="7" s="1"/>
  <c r="C19" i="9"/>
  <c r="C31" i="9"/>
  <c r="C15" i="29" s="1"/>
  <c r="B21" i="29" s="1"/>
  <c r="E21" i="29" s="1"/>
  <c r="D22" i="29"/>
  <c r="H53" i="9" s="1"/>
  <c r="R53" i="9" s="1"/>
  <c r="B37" i="35"/>
  <c r="D28" i="35" s="1"/>
  <c r="G45" i="22" s="1"/>
  <c r="B21" i="35"/>
  <c r="D16" i="37"/>
  <c r="B23" i="37" s="1"/>
  <c r="E23" i="37" s="1"/>
  <c r="D17" i="37"/>
  <c r="B24" i="37" s="1"/>
  <c r="B25" i="37"/>
  <c r="E25" i="37" s="1"/>
  <c r="D19" i="37"/>
  <c r="B32" i="37" s="1"/>
  <c r="E32" i="37" s="1"/>
  <c r="D89" i="17"/>
  <c r="E48" i="17" s="1"/>
  <c r="G48" i="17" s="1"/>
  <c r="D107" i="5"/>
  <c r="A32" i="17"/>
  <c r="A33" i="17"/>
  <c r="D108" i="5"/>
  <c r="B46" i="32"/>
  <c r="B39" i="32"/>
  <c r="B35" i="32"/>
  <c r="E28" i="32" s="1"/>
  <c r="A35" i="2"/>
  <c r="A36" i="2"/>
  <c r="A37" i="2"/>
  <c r="A38" i="2"/>
  <c r="A23" i="2"/>
  <c r="A24" i="2"/>
  <c r="A25" i="2"/>
  <c r="A26" i="2"/>
  <c r="A27" i="2"/>
  <c r="A28" i="2"/>
  <c r="A29" i="2"/>
  <c r="A30" i="2"/>
  <c r="A31" i="2"/>
  <c r="A32" i="2"/>
  <c r="A33" i="2"/>
  <c r="A34" i="2"/>
  <c r="A22" i="2"/>
  <c r="A13" i="2"/>
  <c r="A14" i="2"/>
  <c r="A15" i="2"/>
  <c r="A16" i="2"/>
  <c r="A17" i="2"/>
  <c r="A12" i="2"/>
  <c r="H7" i="38"/>
  <c r="B5" i="23"/>
  <c r="C33" i="37"/>
  <c r="D33" i="37"/>
  <c r="C27" i="37"/>
  <c r="D27" i="37"/>
  <c r="J10" i="21"/>
  <c r="I13" i="21"/>
  <c r="I10" i="21"/>
  <c r="I11" i="21"/>
  <c r="I12" i="21"/>
  <c r="D65" i="6"/>
  <c r="E65" i="6"/>
  <c r="E77" i="6"/>
  <c r="F77" i="6"/>
  <c r="D78" i="6"/>
  <c r="E78" i="6"/>
  <c r="F78" i="6"/>
  <c r="C73" i="6"/>
  <c r="D73" i="6"/>
  <c r="E73" i="6"/>
  <c r="C74" i="6"/>
  <c r="D74" i="6"/>
  <c r="E74" i="6"/>
  <c r="C81" i="6"/>
  <c r="D81" i="6"/>
  <c r="E81" i="6"/>
  <c r="C82" i="6"/>
  <c r="D82" i="6"/>
  <c r="E82" i="6"/>
  <c r="B67" i="6"/>
  <c r="C79" i="6"/>
  <c r="B71" i="6"/>
  <c r="B75" i="6"/>
  <c r="B83" i="6"/>
  <c r="J9" i="38"/>
  <c r="D98" i="5"/>
  <c r="D90" i="5"/>
  <c r="E69" i="5"/>
  <c r="B38" i="36"/>
  <c r="G98" i="17"/>
  <c r="G41" i="12"/>
  <c r="G42" i="12"/>
  <c r="C37" i="35"/>
  <c r="B61" i="6"/>
  <c r="B58" i="6"/>
  <c r="G22" i="39" s="1"/>
  <c r="G23" i="39" s="1"/>
  <c r="B54" i="6"/>
  <c r="B48" i="6"/>
  <c r="C47" i="6"/>
  <c r="F5" i="38"/>
  <c r="E5" i="38"/>
  <c r="D5" i="38"/>
  <c r="D43" i="17"/>
  <c r="D38" i="17"/>
  <c r="D37" i="17"/>
  <c r="D39" i="17"/>
  <c r="B47" i="17"/>
  <c r="C84" i="17"/>
  <c r="I22" i="39"/>
  <c r="I23" i="39" s="1"/>
  <c r="C22" i="39"/>
  <c r="C23" i="39" s="1"/>
  <c r="D38" i="37"/>
  <c r="V22" i="39" s="1"/>
  <c r="V23" i="39" s="1"/>
  <c r="W22" i="39"/>
  <c r="W23" i="39" s="1"/>
  <c r="D39" i="37"/>
  <c r="X22" i="39" s="1"/>
  <c r="X23" i="39" s="1"/>
  <c r="D40" i="37"/>
  <c r="Y22" i="39" s="1"/>
  <c r="Y23" i="39" s="1"/>
  <c r="B38" i="39"/>
  <c r="F37" i="39"/>
  <c r="C37" i="39"/>
  <c r="B37" i="39"/>
  <c r="F36" i="39"/>
  <c r="C36" i="39"/>
  <c r="B36" i="39"/>
  <c r="F35" i="39"/>
  <c r="C35" i="39"/>
  <c r="B35" i="39"/>
  <c r="F34" i="39"/>
  <c r="C34" i="39"/>
  <c r="B34" i="39"/>
  <c r="F33" i="39"/>
  <c r="C33" i="39"/>
  <c r="B33" i="39"/>
  <c r="F32" i="39"/>
  <c r="C32" i="39"/>
  <c r="B32" i="39"/>
  <c r="F31" i="39"/>
  <c r="C31" i="39"/>
  <c r="B31" i="39"/>
  <c r="F30" i="39"/>
  <c r="G30" i="39" s="1"/>
  <c r="F29" i="39"/>
  <c r="C29" i="39"/>
  <c r="B29" i="39"/>
  <c r="F28" i="39"/>
  <c r="G28" i="39" s="1"/>
  <c r="E27" i="39"/>
  <c r="F27" i="39" s="1"/>
  <c r="C27" i="39"/>
  <c r="D27" i="39" s="1"/>
  <c r="B27" i="39"/>
  <c r="F39" i="39"/>
  <c r="B39" i="39"/>
  <c r="AT19" i="39"/>
  <c r="AG19" i="39"/>
  <c r="F38" i="39" s="1"/>
  <c r="AC19" i="39"/>
  <c r="AF19" i="39" s="1"/>
  <c r="AB19" i="39"/>
  <c r="K19" i="39"/>
  <c r="AG18" i="39"/>
  <c r="AC18" i="39"/>
  <c r="AF18" i="39" s="1"/>
  <c r="K18" i="39"/>
  <c r="I10" i="39"/>
  <c r="J12" i="38"/>
  <c r="I12" i="38"/>
  <c r="H12" i="38"/>
  <c r="I9" i="38"/>
  <c r="H9" i="38"/>
  <c r="J18" i="38"/>
  <c r="I18" i="38"/>
  <c r="H18" i="38"/>
  <c r="J8" i="38"/>
  <c r="I8" i="38"/>
  <c r="H8" i="38"/>
  <c r="J13" i="38"/>
  <c r="I13" i="38"/>
  <c r="H13" i="38"/>
  <c r="J11" i="38"/>
  <c r="I11" i="38"/>
  <c r="H11" i="38"/>
  <c r="J14" i="38"/>
  <c r="I14" i="38"/>
  <c r="H14" i="38"/>
  <c r="J16" i="38"/>
  <c r="I16" i="38"/>
  <c r="H16" i="38"/>
  <c r="J17" i="38"/>
  <c r="I17" i="38"/>
  <c r="H17" i="38"/>
  <c r="J15" i="38"/>
  <c r="I15" i="38"/>
  <c r="H15" i="38"/>
  <c r="J7" i="38"/>
  <c r="I7" i="38"/>
  <c r="J10" i="38"/>
  <c r="I10" i="38"/>
  <c r="H10" i="38"/>
  <c r="J6" i="38"/>
  <c r="I6" i="38"/>
  <c r="H6" i="38"/>
  <c r="B23" i="36"/>
  <c r="C153" i="32"/>
  <c r="C118" i="32"/>
  <c r="C85" i="32"/>
  <c r="C80" i="32"/>
  <c r="C58" i="32"/>
  <c r="C51" i="32"/>
  <c r="O53" i="9"/>
  <c r="B36" i="24"/>
  <c r="C70" i="6"/>
  <c r="C69" i="6"/>
  <c r="E72" i="5"/>
  <c r="E70" i="5"/>
  <c r="D36" i="17"/>
  <c r="D40" i="17"/>
  <c r="D41" i="17"/>
  <c r="D42" i="17"/>
  <c r="C43" i="9"/>
  <c r="B5" i="20"/>
  <c r="C58" i="6"/>
  <c r="B12" i="20"/>
  <c r="B11" i="20"/>
  <c r="D69" i="6"/>
  <c r="D70" i="6"/>
  <c r="E69" i="6"/>
  <c r="E70" i="6"/>
  <c r="D128" i="5"/>
  <c r="E55" i="22" l="1"/>
  <c r="C32" i="12"/>
  <c r="D32" i="12"/>
  <c r="G55" i="22" s="1"/>
  <c r="R22" i="39"/>
  <c r="R23" i="39" s="1"/>
  <c r="D93" i="5"/>
  <c r="D122" i="5"/>
  <c r="B42" i="32"/>
  <c r="G57" i="22"/>
  <c r="F57" i="22"/>
  <c r="E80" i="5"/>
  <c r="D58" i="6"/>
  <c r="G37" i="39"/>
  <c r="M52" i="9"/>
  <c r="Q52" i="9"/>
  <c r="F41" i="22" s="1"/>
  <c r="R52" i="9"/>
  <c r="G41" i="22" s="1"/>
  <c r="D94" i="5"/>
  <c r="S22" i="39"/>
  <c r="S23" i="39" s="1"/>
  <c r="B24" i="36"/>
  <c r="B25" i="36" s="1"/>
  <c r="B26" i="36" s="1"/>
  <c r="B27" i="36" s="1"/>
  <c r="H79" i="22" s="1"/>
  <c r="B22" i="29"/>
  <c r="F53" i="9" s="1"/>
  <c r="P53" i="9" s="1"/>
  <c r="E71" i="5"/>
  <c r="G35" i="39"/>
  <c r="G34" i="39"/>
  <c r="G29" i="39"/>
  <c r="G36" i="39"/>
  <c r="G38" i="39"/>
  <c r="G27" i="39"/>
  <c r="G31" i="39"/>
  <c r="G33" i="39"/>
  <c r="G39" i="39"/>
  <c r="G32" i="39"/>
  <c r="B84" i="6"/>
  <c r="B8" i="23" s="1"/>
  <c r="D121" i="5"/>
  <c r="D52" i="32"/>
  <c r="B30" i="18"/>
  <c r="B28" i="18"/>
  <c r="B26" i="18"/>
  <c r="M76" i="22" s="1"/>
  <c r="B27" i="18"/>
  <c r="B29" i="18"/>
  <c r="B25" i="18"/>
  <c r="M74" i="22" s="1"/>
  <c r="D152" i="32"/>
  <c r="D50" i="6"/>
  <c r="D53" i="6"/>
  <c r="B29" i="37"/>
  <c r="E29" i="37" s="1"/>
  <c r="E56" i="6"/>
  <c r="E15" i="22" s="1"/>
  <c r="E52" i="6"/>
  <c r="E53" i="6"/>
  <c r="E50" i="17"/>
  <c r="E51" i="17"/>
  <c r="F67" i="22" s="1"/>
  <c r="F51" i="17"/>
  <c r="F50" i="17"/>
  <c r="G66" i="22" s="1"/>
  <c r="F47" i="6"/>
  <c r="E47" i="6"/>
  <c r="D47" i="6"/>
  <c r="E76" i="5"/>
  <c r="B85" i="6"/>
  <c r="B9" i="23" s="1"/>
  <c r="D41" i="35"/>
  <c r="G46" i="22" s="1"/>
  <c r="C44" i="6"/>
  <c r="D44" i="6" s="1"/>
  <c r="E16" i="22" s="1"/>
  <c r="C28" i="35"/>
  <c r="F45" i="22" s="1"/>
  <c r="B28" i="35"/>
  <c r="F53" i="22"/>
  <c r="T22" i="39"/>
  <c r="T23" i="39" s="1"/>
  <c r="G53" i="17"/>
  <c r="B7" i="17" s="1"/>
  <c r="B123" i="5"/>
  <c r="H13" i="21" s="1"/>
  <c r="D123" i="5"/>
  <c r="AP22" i="39"/>
  <c r="AP23" i="39" s="1"/>
  <c r="B54" i="17"/>
  <c r="C88" i="9"/>
  <c r="F42" i="22" s="1"/>
  <c r="G56" i="6"/>
  <c r="C43" i="7"/>
  <c r="F43" i="7" s="1"/>
  <c r="E83" i="6"/>
  <c r="B26" i="37"/>
  <c r="E26" i="37" s="1"/>
  <c r="C52" i="6"/>
  <c r="C75" i="6"/>
  <c r="E79" i="6"/>
  <c r="B31" i="37"/>
  <c r="E31" i="37" s="1"/>
  <c r="E50" i="6"/>
  <c r="D92" i="32"/>
  <c r="D112" i="5"/>
  <c r="D139" i="32"/>
  <c r="D158" i="32"/>
  <c r="D87" i="32"/>
  <c r="B71" i="7"/>
  <c r="B64" i="7"/>
  <c r="D133" i="32"/>
  <c r="D127" i="32"/>
  <c r="D113" i="32"/>
  <c r="D108" i="32"/>
  <c r="D103" i="32"/>
  <c r="D145" i="32"/>
  <c r="D121" i="32"/>
  <c r="D97" i="32"/>
  <c r="D111" i="5"/>
  <c r="E71" i="6"/>
  <c r="E51" i="6"/>
  <c r="G19" i="22" s="1"/>
  <c r="F57" i="6"/>
  <c r="B30" i="37"/>
  <c r="E30" i="37" s="1"/>
  <c r="D51" i="6"/>
  <c r="F19" i="22" s="1"/>
  <c r="D52" i="6"/>
  <c r="C83" i="6"/>
  <c r="D71" i="6"/>
  <c r="E24" i="37"/>
  <c r="C61" i="6"/>
  <c r="F60" i="6"/>
  <c r="D75" i="6"/>
  <c r="F70" i="6"/>
  <c r="C64" i="7"/>
  <c r="C71" i="7"/>
  <c r="D83" i="6"/>
  <c r="F79" i="6"/>
  <c r="G77" i="6"/>
  <c r="F74" i="6"/>
  <c r="E75" i="6"/>
  <c r="C67" i="6"/>
  <c r="E81" i="5"/>
  <c r="E22" i="39" s="1"/>
  <c r="E23" i="39" s="1"/>
  <c r="B45" i="7"/>
  <c r="C44" i="7"/>
  <c r="F55" i="22"/>
  <c r="C41" i="35"/>
  <c r="F46" i="22" s="1"/>
  <c r="Q22" i="39"/>
  <c r="Q23" i="39" s="1"/>
  <c r="E42" i="22"/>
  <c r="E67" i="6"/>
  <c r="F81" i="6"/>
  <c r="G78" i="6"/>
  <c r="D67" i="6"/>
  <c r="F65" i="6"/>
  <c r="F73" i="6"/>
  <c r="F69" i="6"/>
  <c r="F82" i="6"/>
  <c r="E53" i="22"/>
  <c r="U22" i="39"/>
  <c r="U23" i="39" s="1"/>
  <c r="G53" i="22"/>
  <c r="L63" i="22"/>
  <c r="AC23" i="39"/>
  <c r="B106" i="5"/>
  <c r="F63" i="22"/>
  <c r="F56" i="6"/>
  <c r="D45" i="7"/>
  <c r="E57" i="6"/>
  <c r="G57" i="6"/>
  <c r="F66" i="6"/>
  <c r="D74" i="32"/>
  <c r="D63" i="32"/>
  <c r="D157" i="32"/>
  <c r="D150" i="32"/>
  <c r="D144" i="32"/>
  <c r="D138" i="32"/>
  <c r="D131" i="32"/>
  <c r="D126" i="32"/>
  <c r="D117" i="32"/>
  <c r="D112" i="32"/>
  <c r="D107" i="32"/>
  <c r="D101" i="32"/>
  <c r="D96" i="32"/>
  <c r="D91" i="32"/>
  <c r="D84" i="32"/>
  <c r="D78" i="32"/>
  <c r="D73" i="32"/>
  <c r="D67" i="32"/>
  <c r="D62" i="32"/>
  <c r="D55" i="32"/>
  <c r="D119" i="32"/>
  <c r="AM22" i="39"/>
  <c r="AM23" i="39" s="1"/>
  <c r="D155" i="32"/>
  <c r="D148" i="32"/>
  <c r="D142" i="32"/>
  <c r="D135" i="32"/>
  <c r="D130" i="32"/>
  <c r="D125" i="32"/>
  <c r="D116" i="32"/>
  <c r="D111" i="32"/>
  <c r="D105" i="32"/>
  <c r="D100" i="32"/>
  <c r="D95" i="32"/>
  <c r="D89" i="32"/>
  <c r="D83" i="32"/>
  <c r="D77" i="32"/>
  <c r="D71" i="32"/>
  <c r="D66" i="32"/>
  <c r="D61" i="32"/>
  <c r="D54" i="32"/>
  <c r="D79" i="32"/>
  <c r="D69" i="32"/>
  <c r="D57" i="32"/>
  <c r="D159" i="32"/>
  <c r="D154" i="32"/>
  <c r="D147" i="32"/>
  <c r="D140" i="32"/>
  <c r="D134" i="32"/>
  <c r="D129" i="32"/>
  <c r="D122" i="32"/>
  <c r="D115" i="32"/>
  <c r="D109" i="32"/>
  <c r="D104" i="32"/>
  <c r="D99" i="32"/>
  <c r="D93" i="32"/>
  <c r="D88" i="32"/>
  <c r="D82" i="32"/>
  <c r="D75" i="32"/>
  <c r="D70" i="32"/>
  <c r="D65" i="32"/>
  <c r="D59" i="32"/>
  <c r="D53" i="32"/>
  <c r="E27" i="32"/>
  <c r="B122" i="5" s="1"/>
  <c r="H12" i="21" s="1"/>
  <c r="AO22" i="39"/>
  <c r="AO23" i="39" s="1"/>
  <c r="D156" i="32"/>
  <c r="D151" i="32"/>
  <c r="D146" i="32"/>
  <c r="D141" i="32"/>
  <c r="D136" i="32"/>
  <c r="D132" i="32"/>
  <c r="D128" i="32"/>
  <c r="D123" i="32"/>
  <c r="D120" i="32"/>
  <c r="D114" i="32"/>
  <c r="D110" i="32"/>
  <c r="D106" i="32"/>
  <c r="D102" i="32"/>
  <c r="D98" i="32"/>
  <c r="D94" i="32"/>
  <c r="D90" i="32"/>
  <c r="D86" i="32"/>
  <c r="D81" i="32"/>
  <c r="D76" i="32"/>
  <c r="D72" i="32"/>
  <c r="D68" i="32"/>
  <c r="D64" i="32"/>
  <c r="D60" i="32"/>
  <c r="D56" i="32"/>
  <c r="C22" i="29"/>
  <c r="G53" i="9" s="1"/>
  <c r="Q53" i="9" s="1"/>
  <c r="D79" i="6"/>
  <c r="C71" i="6"/>
  <c r="F45" i="6"/>
  <c r="G20" i="22" s="1"/>
  <c r="D87" i="5"/>
  <c r="E45" i="6"/>
  <c r="F20" i="22" s="1"/>
  <c r="L22" i="39"/>
  <c r="L23" i="39" s="1"/>
  <c r="D88" i="9"/>
  <c r="G42" i="22" s="1"/>
  <c r="B66" i="9"/>
  <c r="D86" i="5" s="1"/>
  <c r="P22" i="39"/>
  <c r="P23" i="39" s="1"/>
  <c r="C46" i="6"/>
  <c r="E77" i="5" s="1"/>
  <c r="B63" i="5" l="1"/>
  <c r="B56" i="2" s="1"/>
  <c r="F75" i="6"/>
  <c r="F11" i="22"/>
  <c r="C54" i="6"/>
  <c r="E11" i="22"/>
  <c r="G11" i="22"/>
  <c r="E32" i="12"/>
  <c r="F15" i="22"/>
  <c r="F50" i="6"/>
  <c r="G15" i="22"/>
  <c r="E33" i="12"/>
  <c r="L76" i="22"/>
  <c r="F76" i="22" s="1"/>
  <c r="D117" i="5"/>
  <c r="B86" i="6"/>
  <c r="D129" i="5" s="1"/>
  <c r="B28" i="36"/>
  <c r="B3" i="36" s="1"/>
  <c r="B6" i="36" s="1"/>
  <c r="B117" i="5" s="1"/>
  <c r="B118" i="5" s="1"/>
  <c r="D84" i="6"/>
  <c r="D5" i="23"/>
  <c r="D6" i="23" s="1"/>
  <c r="B111" i="5"/>
  <c r="E41" i="35"/>
  <c r="G45" i="6"/>
  <c r="L20" i="22" s="1"/>
  <c r="B3" i="18"/>
  <c r="B6" i="18" s="1"/>
  <c r="G51" i="17"/>
  <c r="B5" i="17" s="1"/>
  <c r="E28" i="35"/>
  <c r="E29" i="35" s="1"/>
  <c r="B94" i="5" s="1"/>
  <c r="B79" i="2" s="1"/>
  <c r="F53" i="6"/>
  <c r="C73" i="5" s="1"/>
  <c r="B66" i="2" s="1"/>
  <c r="G47" i="6"/>
  <c r="C76" i="5" s="1"/>
  <c r="B65" i="2" s="1"/>
  <c r="G50" i="17"/>
  <c r="B3" i="17" s="1"/>
  <c r="E84" i="6"/>
  <c r="E85" i="6"/>
  <c r="C84" i="6"/>
  <c r="C85" i="6"/>
  <c r="C45" i="7"/>
  <c r="E38" i="22" s="1"/>
  <c r="E45" i="22"/>
  <c r="E27" i="37"/>
  <c r="B27" i="37"/>
  <c r="B128" i="5"/>
  <c r="B47" i="5"/>
  <c r="B38" i="2" s="1"/>
  <c r="D85" i="39" s="1"/>
  <c r="E85" i="39" s="1"/>
  <c r="K13" i="21"/>
  <c r="J13" i="21"/>
  <c r="F38" i="22"/>
  <c r="F52" i="6"/>
  <c r="D54" i="6"/>
  <c r="F71" i="6"/>
  <c r="E33" i="37"/>
  <c r="B33" i="37"/>
  <c r="E54" i="6"/>
  <c r="D118" i="32"/>
  <c r="F58" i="6"/>
  <c r="K22" i="39"/>
  <c r="K23" i="39" s="1"/>
  <c r="F51" i="6"/>
  <c r="F66" i="22"/>
  <c r="F83" i="6"/>
  <c r="F85" i="6" s="1"/>
  <c r="D9" i="23" s="1"/>
  <c r="D85" i="6"/>
  <c r="G79" i="6"/>
  <c r="E54" i="17"/>
  <c r="C70" i="5"/>
  <c r="B60" i="5" s="1"/>
  <c r="B53" i="2" s="1"/>
  <c r="F61" i="6"/>
  <c r="F67" i="6"/>
  <c r="F44" i="7"/>
  <c r="C81" i="5" s="1"/>
  <c r="E75" i="5"/>
  <c r="D22" i="39" s="1"/>
  <c r="D23" i="39" s="1"/>
  <c r="F44" i="6"/>
  <c r="G16" i="22" s="1"/>
  <c r="E44" i="6"/>
  <c r="F16" i="22" s="1"/>
  <c r="L74" i="22"/>
  <c r="F74" i="22" s="1"/>
  <c r="F46" i="6"/>
  <c r="C48" i="6"/>
  <c r="D46" i="6"/>
  <c r="E12" i="22" s="1"/>
  <c r="G67" i="22"/>
  <c r="F54" i="17"/>
  <c r="B41" i="5"/>
  <c r="B32" i="2" s="1"/>
  <c r="D79" i="39" s="1"/>
  <c r="E79" i="39" s="1"/>
  <c r="H56" i="6"/>
  <c r="G58" i="6"/>
  <c r="E58" i="6"/>
  <c r="H57" i="6"/>
  <c r="C80" i="5"/>
  <c r="D153" i="32"/>
  <c r="D143" i="32"/>
  <c r="D51" i="32"/>
  <c r="D137" i="32"/>
  <c r="B46" i="5"/>
  <c r="B37" i="2" s="1"/>
  <c r="D84" i="39" s="1"/>
  <c r="E84" i="39" s="1"/>
  <c r="D80" i="32"/>
  <c r="D149" i="32"/>
  <c r="D58" i="32"/>
  <c r="D124" i="32"/>
  <c r="D85" i="32"/>
  <c r="K12" i="21"/>
  <c r="J12" i="21"/>
  <c r="B112" i="5"/>
  <c r="E22" i="29"/>
  <c r="I53" i="9" s="1"/>
  <c r="S53" i="9" s="1"/>
  <c r="L54" i="9"/>
  <c r="E65" i="9"/>
  <c r="O52" i="9" s="1"/>
  <c r="D65" i="9"/>
  <c r="G54" i="9"/>
  <c r="H54" i="9"/>
  <c r="E46" i="6"/>
  <c r="F12" i="22" s="1"/>
  <c r="E88" i="9"/>
  <c r="B87" i="5" s="1"/>
  <c r="B80" i="2" s="1"/>
  <c r="B52" i="9"/>
  <c r="E57" i="22" l="1"/>
  <c r="L57" i="22"/>
  <c r="G85" i="22"/>
  <c r="G12" i="22"/>
  <c r="C72" i="5"/>
  <c r="B63" i="2" s="1"/>
  <c r="L11" i="22"/>
  <c r="F86" i="22"/>
  <c r="G86" i="22"/>
  <c r="F85" i="22"/>
  <c r="B5" i="12"/>
  <c r="L15" i="22"/>
  <c r="L55" i="22"/>
  <c r="C69" i="5"/>
  <c r="B58" i="5" s="1"/>
  <c r="B51" i="2" s="1"/>
  <c r="L19" i="22"/>
  <c r="B3" i="37"/>
  <c r="B101" i="5"/>
  <c r="B97" i="5"/>
  <c r="B38" i="5" s="1"/>
  <c r="B6" i="12"/>
  <c r="L79" i="22"/>
  <c r="D10" i="21" s="1"/>
  <c r="K10" i="21" s="1"/>
  <c r="AK22" i="39"/>
  <c r="AK23" i="39" s="1"/>
  <c r="E86" i="6"/>
  <c r="L46" i="22"/>
  <c r="B89" i="2"/>
  <c r="L67" i="22"/>
  <c r="F9" i="21" s="1"/>
  <c r="L45" i="22"/>
  <c r="B4" i="35"/>
  <c r="E42" i="35"/>
  <c r="B93" i="5" s="1"/>
  <c r="C86" i="6"/>
  <c r="C82" i="5"/>
  <c r="B107" i="5"/>
  <c r="L66" i="22"/>
  <c r="C8" i="21" s="1"/>
  <c r="F84" i="6"/>
  <c r="F86" i="6" s="1"/>
  <c r="B160" i="32"/>
  <c r="B47" i="32" s="1"/>
  <c r="E26" i="32" s="1"/>
  <c r="B5" i="32" s="1"/>
  <c r="B6" i="32" s="1"/>
  <c r="E52" i="9"/>
  <c r="F52" i="9"/>
  <c r="C71" i="5"/>
  <c r="H58" i="6"/>
  <c r="D86" i="6"/>
  <c r="B6" i="37"/>
  <c r="F54" i="6"/>
  <c r="F45" i="7"/>
  <c r="B70" i="2"/>
  <c r="B34" i="5"/>
  <c r="B25" i="2" s="1"/>
  <c r="D71" i="39" s="1"/>
  <c r="E71" i="39" s="1"/>
  <c r="F48" i="6"/>
  <c r="G44" i="6"/>
  <c r="L16" i="22" s="1"/>
  <c r="B113" i="5"/>
  <c r="B43" i="5" s="1"/>
  <c r="B34" i="2" s="1"/>
  <c r="D81" i="39" s="1"/>
  <c r="E81" i="39" s="1"/>
  <c r="D48" i="6"/>
  <c r="E48" i="6"/>
  <c r="G46" i="6"/>
  <c r="B98" i="5"/>
  <c r="B82" i="2" s="1"/>
  <c r="L53" i="22"/>
  <c r="B3" i="12"/>
  <c r="AD23" i="39"/>
  <c r="B108" i="5"/>
  <c r="B14" i="5" s="1"/>
  <c r="B6" i="17"/>
  <c r="G54" i="17"/>
  <c r="AG22" i="39" s="1"/>
  <c r="B71" i="2"/>
  <c r="C74" i="5"/>
  <c r="B44" i="5"/>
  <c r="B35" i="2" s="1"/>
  <c r="D82" i="39" s="1"/>
  <c r="E82" i="39" s="1"/>
  <c r="B26" i="5"/>
  <c r="B16" i="2" s="1"/>
  <c r="D61" i="39" s="1"/>
  <c r="E61" i="39" s="1"/>
  <c r="B3" i="29"/>
  <c r="B6" i="29" s="1"/>
  <c r="B90" i="5" s="1"/>
  <c r="B91" i="5" s="1"/>
  <c r="B36" i="5" s="1"/>
  <c r="B27" i="2" s="1"/>
  <c r="D73" i="39" s="1"/>
  <c r="E73" i="39" s="1"/>
  <c r="B3" i="35"/>
  <c r="B4" i="9"/>
  <c r="L42" i="22"/>
  <c r="E7" i="21" s="1"/>
  <c r="D66" i="9"/>
  <c r="C66" i="9"/>
  <c r="K54" i="9"/>
  <c r="M54" i="9"/>
  <c r="D54" i="9"/>
  <c r="R54" i="9"/>
  <c r="E66" i="9"/>
  <c r="Q54" i="9"/>
  <c r="C54" i="9"/>
  <c r="B6" i="5" l="1"/>
  <c r="G7" i="21"/>
  <c r="G14" i="21" s="1"/>
  <c r="B81" i="2"/>
  <c r="C77" i="5"/>
  <c r="B62" i="2" s="1"/>
  <c r="L12" i="22"/>
  <c r="E5" i="21" s="1"/>
  <c r="C5" i="21"/>
  <c r="B68" i="2"/>
  <c r="D50" i="39"/>
  <c r="E50" i="39" s="1"/>
  <c r="B29" i="2"/>
  <c r="D76" i="39" s="1"/>
  <c r="E76" i="39" s="1"/>
  <c r="B32" i="5"/>
  <c r="B23" i="2" s="1"/>
  <c r="D69" i="39" s="1"/>
  <c r="D14" i="21"/>
  <c r="B6" i="35"/>
  <c r="B8" i="12"/>
  <c r="F41" i="39"/>
  <c r="AG23" i="39"/>
  <c r="B102" i="5"/>
  <c r="B83" i="2" s="1"/>
  <c r="J8" i="21"/>
  <c r="B64" i="5"/>
  <c r="B57" i="2" s="1"/>
  <c r="B69" i="2"/>
  <c r="B59" i="5"/>
  <c r="B52" i="2" s="1"/>
  <c r="B62" i="5"/>
  <c r="B55" i="2" s="1"/>
  <c r="B3" i="7"/>
  <c r="B6" i="7" s="1"/>
  <c r="L38" i="22" s="1"/>
  <c r="C6" i="21" s="1"/>
  <c r="J6" i="21" s="1"/>
  <c r="J22" i="39"/>
  <c r="J23" i="39" s="1"/>
  <c r="G87" i="22"/>
  <c r="F87" i="22"/>
  <c r="C75" i="5"/>
  <c r="B3" i="6"/>
  <c r="P52" i="9"/>
  <c r="E41" i="22" s="1"/>
  <c r="I52" i="9"/>
  <c r="S52" i="9" s="1"/>
  <c r="L41" i="22" s="1"/>
  <c r="B7" i="6"/>
  <c r="B129" i="5"/>
  <c r="B130" i="5" s="1"/>
  <c r="B18" i="5" s="1"/>
  <c r="D8" i="23"/>
  <c r="D10" i="23" s="1"/>
  <c r="D11" i="23" s="1"/>
  <c r="G48" i="6"/>
  <c r="B4" i="6" s="1"/>
  <c r="B25" i="5"/>
  <c r="B15" i="2" s="1"/>
  <c r="D60" i="39" s="1"/>
  <c r="E60" i="39" s="1"/>
  <c r="AH22" i="39"/>
  <c r="AH23" i="39" s="1"/>
  <c r="B77" i="2"/>
  <c r="B99" i="5"/>
  <c r="B39" i="5"/>
  <c r="B30" i="2" s="1"/>
  <c r="D77" i="39" s="1"/>
  <c r="E77" i="39" s="1"/>
  <c r="B7" i="12"/>
  <c r="B42" i="5"/>
  <c r="B33" i="2" s="1"/>
  <c r="D80" i="39" s="1"/>
  <c r="E80" i="39" s="1"/>
  <c r="B88" i="2"/>
  <c r="B90" i="2" s="1"/>
  <c r="C88" i="2" s="1"/>
  <c r="B109" i="5"/>
  <c r="B24" i="5"/>
  <c r="B14" i="2" s="1"/>
  <c r="D59" i="39" s="1"/>
  <c r="E59" i="39" s="1"/>
  <c r="B64" i="2"/>
  <c r="B33" i="5"/>
  <c r="B24" i="2" s="1"/>
  <c r="D70" i="39" s="1"/>
  <c r="E70" i="39" s="1"/>
  <c r="B121" i="5"/>
  <c r="L84" i="22"/>
  <c r="AR22" i="39"/>
  <c r="AR23" i="39" s="1"/>
  <c r="B78" i="2"/>
  <c r="B95" i="5"/>
  <c r="B37" i="5" s="1"/>
  <c r="B28" i="2" s="1"/>
  <c r="E74" i="39" s="1"/>
  <c r="F66" i="9"/>
  <c r="M22" i="39" s="1"/>
  <c r="M23" i="39" s="1"/>
  <c r="H66" i="9"/>
  <c r="O22" i="39" s="1"/>
  <c r="O23" i="39" s="1"/>
  <c r="G66" i="9"/>
  <c r="N22" i="39" s="1"/>
  <c r="N23" i="39" s="1"/>
  <c r="E69" i="39" l="1"/>
  <c r="B57" i="5"/>
  <c r="E85" i="22"/>
  <c r="E86" i="22"/>
  <c r="L86" i="22"/>
  <c r="L87" i="22"/>
  <c r="I6" i="21"/>
  <c r="K6" i="21"/>
  <c r="I8" i="21"/>
  <c r="K8" i="21"/>
  <c r="B40" i="5"/>
  <c r="B31" i="2" s="1"/>
  <c r="D78" i="39" s="1"/>
  <c r="E78" i="39" s="1"/>
  <c r="B50" i="2"/>
  <c r="B114" i="5"/>
  <c r="B53" i="5"/>
  <c r="B45" i="2" s="1"/>
  <c r="B15" i="5"/>
  <c r="B6" i="2"/>
  <c r="B13" i="5"/>
  <c r="B5" i="5"/>
  <c r="C78" i="5"/>
  <c r="I5" i="21"/>
  <c r="B6" i="6"/>
  <c r="B31" i="5"/>
  <c r="B67" i="2"/>
  <c r="B9" i="5"/>
  <c r="C89" i="2"/>
  <c r="C90" i="2" s="1"/>
  <c r="F14" i="21"/>
  <c r="J9" i="21"/>
  <c r="I9" i="21"/>
  <c r="K9" i="21"/>
  <c r="B45" i="5"/>
  <c r="B36" i="2" s="1"/>
  <c r="D83" i="39" s="1"/>
  <c r="E83" i="39" s="1"/>
  <c r="H11" i="21"/>
  <c r="B124" i="5"/>
  <c r="B7" i="5"/>
  <c r="D51" i="39" s="1"/>
  <c r="E51" i="39" s="1"/>
  <c r="P54" i="9"/>
  <c r="I54" i="9"/>
  <c r="F54" i="9"/>
  <c r="J54" i="9"/>
  <c r="B54" i="9"/>
  <c r="B5" i="2" l="1"/>
  <c r="D49" i="39"/>
  <c r="E49" i="39" s="1"/>
  <c r="C83" i="5"/>
  <c r="B51" i="5"/>
  <c r="B72" i="2"/>
  <c r="C62" i="2" s="1"/>
  <c r="E14" i="21"/>
  <c r="H22" i="39"/>
  <c r="B7" i="2"/>
  <c r="K5" i="21"/>
  <c r="J5" i="21"/>
  <c r="B22" i="2"/>
  <c r="B27" i="5"/>
  <c r="B17" i="2" s="1"/>
  <c r="D62" i="39" s="1"/>
  <c r="E62" i="39" s="1"/>
  <c r="H14" i="21"/>
  <c r="J11" i="21"/>
  <c r="K11" i="21"/>
  <c r="E54" i="9"/>
  <c r="S54" i="9"/>
  <c r="C41" i="39"/>
  <c r="O54" i="9"/>
  <c r="M41" i="22" s="1"/>
  <c r="N54" i="9"/>
  <c r="M86" i="22" l="1"/>
  <c r="M85" i="22"/>
  <c r="D68" i="39"/>
  <c r="B41" i="39"/>
  <c r="G41" i="39" s="1"/>
  <c r="H23" i="39"/>
  <c r="C70" i="2"/>
  <c r="B43" i="2"/>
  <c r="C69" i="2"/>
  <c r="C71" i="2"/>
  <c r="C63" i="2"/>
  <c r="C66" i="2"/>
  <c r="C64" i="2"/>
  <c r="C65" i="2"/>
  <c r="C67" i="2"/>
  <c r="C68" i="2"/>
  <c r="B22" i="5"/>
  <c r="B12" i="2" s="1"/>
  <c r="D57" i="39" s="1"/>
  <c r="E57" i="39" s="1"/>
  <c r="M87" i="22"/>
  <c r="B3" i="9"/>
  <c r="B6" i="9" s="1"/>
  <c r="B86" i="5"/>
  <c r="E87" i="22"/>
  <c r="E68" i="39" l="1"/>
  <c r="C7" i="21"/>
  <c r="B76" i="2"/>
  <c r="C72" i="2"/>
  <c r="B88" i="5"/>
  <c r="B52" i="5" s="1"/>
  <c r="B4" i="5"/>
  <c r="D48" i="39" s="1"/>
  <c r="B12" i="5"/>
  <c r="B16" i="5" s="1"/>
  <c r="B35" i="5"/>
  <c r="L85" i="22"/>
  <c r="B17" i="5" l="1"/>
  <c r="E48" i="39"/>
  <c r="D52" i="39"/>
  <c r="E52" i="39" s="1"/>
  <c r="B103" i="5"/>
  <c r="B23" i="5" s="1"/>
  <c r="B13" i="2" s="1"/>
  <c r="B61" i="5"/>
  <c r="B8" i="5"/>
  <c r="AS22" i="39" s="1"/>
  <c r="AS23" i="39" s="1"/>
  <c r="B48" i="5"/>
  <c r="B84" i="2"/>
  <c r="C14" i="21"/>
  <c r="J7" i="21"/>
  <c r="J14" i="21" s="1"/>
  <c r="I7" i="21"/>
  <c r="I14" i="21" s="1"/>
  <c r="K7" i="21"/>
  <c r="K14" i="21" s="1"/>
  <c r="AA22" i="39"/>
  <c r="AA23" i="39" s="1"/>
  <c r="Z22" i="39"/>
  <c r="Z23" i="39" s="1"/>
  <c r="B26" i="2"/>
  <c r="D72" i="39" s="1"/>
  <c r="B4" i="2"/>
  <c r="C12" i="5"/>
  <c r="E88" i="39" l="1"/>
  <c r="D87" i="39"/>
  <c r="E87" i="39" s="1"/>
  <c r="B28" i="5"/>
  <c r="C22" i="5" s="1"/>
  <c r="B18" i="2"/>
  <c r="C12" i="2" s="1"/>
  <c r="D58" i="39"/>
  <c r="D63" i="39" s="1"/>
  <c r="E72" i="39"/>
  <c r="D86" i="39"/>
  <c r="E86" i="39" s="1"/>
  <c r="B65" i="5"/>
  <c r="C58" i="5" s="1"/>
  <c r="B54" i="2"/>
  <c r="AB22" i="39"/>
  <c r="AB23" i="39" s="1"/>
  <c r="B54" i="5"/>
  <c r="C52" i="5" s="1"/>
  <c r="B44" i="2"/>
  <c r="C31" i="5"/>
  <c r="C35" i="5"/>
  <c r="C6" i="5"/>
  <c r="C5" i="5"/>
  <c r="C7" i="5"/>
  <c r="C4" i="5"/>
  <c r="B8" i="2"/>
  <c r="C4" i="2" s="1"/>
  <c r="C42" i="5"/>
  <c r="C34" i="5"/>
  <c r="C43" i="5"/>
  <c r="C40" i="5"/>
  <c r="C32" i="5"/>
  <c r="C36" i="5"/>
  <c r="C47" i="5"/>
  <c r="C44" i="5"/>
  <c r="C39" i="5"/>
  <c r="C45" i="5"/>
  <c r="C46" i="5"/>
  <c r="C41" i="5"/>
  <c r="C33" i="5"/>
  <c r="C38" i="5"/>
  <c r="C37" i="5"/>
  <c r="C78" i="2"/>
  <c r="C80" i="2"/>
  <c r="C81" i="2"/>
  <c r="C83" i="2"/>
  <c r="C84" i="2"/>
  <c r="C79" i="2"/>
  <c r="C82" i="2"/>
  <c r="C77" i="2"/>
  <c r="B39" i="2"/>
  <c r="C26" i="2" s="1"/>
  <c r="G5" i="38"/>
  <c r="C14" i="5"/>
  <c r="AT22" i="39"/>
  <c r="AT23" i="39" s="1"/>
  <c r="C13" i="5"/>
  <c r="C76" i="2"/>
  <c r="C23" i="5" l="1"/>
  <c r="C26" i="5"/>
  <c r="C24" i="5"/>
  <c r="C25" i="5"/>
  <c r="C27" i="5"/>
  <c r="C15" i="2"/>
  <c r="C13" i="2"/>
  <c r="C17" i="2"/>
  <c r="C14" i="2"/>
  <c r="C16" i="2"/>
  <c r="E58" i="39"/>
  <c r="E63" i="39"/>
  <c r="C64" i="5"/>
  <c r="C62" i="5"/>
  <c r="C63" i="5"/>
  <c r="C61" i="5"/>
  <c r="C57" i="5"/>
  <c r="C60" i="5"/>
  <c r="C59" i="5"/>
  <c r="C53" i="5"/>
  <c r="C51" i="5"/>
  <c r="B46" i="2"/>
  <c r="B58" i="2"/>
  <c r="J5" i="38"/>
  <c r="I5" i="38"/>
  <c r="H5" i="38"/>
  <c r="C8" i="5"/>
  <c r="C16" i="5"/>
  <c r="C48" i="5"/>
  <c r="C6" i="2"/>
  <c r="C7" i="2"/>
  <c r="C5" i="2"/>
  <c r="C22" i="2"/>
  <c r="C36" i="2"/>
  <c r="C24" i="2"/>
  <c r="C37" i="2"/>
  <c r="C29" i="2"/>
  <c r="C32" i="2"/>
  <c r="C27" i="2"/>
  <c r="C25" i="2"/>
  <c r="C30" i="2"/>
  <c r="C34" i="2"/>
  <c r="C28" i="2"/>
  <c r="C38" i="2"/>
  <c r="C31" i="2"/>
  <c r="C35" i="2"/>
  <c r="C33" i="2"/>
  <c r="C23" i="2"/>
  <c r="C28" i="5" l="1"/>
  <c r="C18" i="2"/>
  <c r="C65" i="5"/>
  <c r="C54" i="5"/>
  <c r="C45" i="2"/>
  <c r="C43" i="2"/>
  <c r="C52" i="2"/>
  <c r="C56" i="2"/>
  <c r="C53" i="2"/>
  <c r="C57" i="2"/>
  <c r="C51" i="2"/>
  <c r="C54" i="2"/>
  <c r="C55" i="2"/>
  <c r="C50" i="2"/>
  <c r="C44" i="2"/>
  <c r="C8" i="2"/>
  <c r="C39" i="2"/>
  <c r="C46" i="2" l="1"/>
  <c r="C58" i="2"/>
</calcChain>
</file>

<file path=xl/sharedStrings.xml><?xml version="1.0" encoding="utf-8"?>
<sst xmlns="http://schemas.openxmlformats.org/spreadsheetml/2006/main" count="2844" uniqueCount="1392">
  <si>
    <t>Emission Factors</t>
  </si>
  <si>
    <t>Global Warming Potentials</t>
  </si>
  <si>
    <t>Legend for data entry</t>
  </si>
  <si>
    <t xml:space="preserve"> Lead Coordinator</t>
  </si>
  <si>
    <t>Do not edit</t>
  </si>
  <si>
    <t xml:space="preserve"> Jurisdiction</t>
  </si>
  <si>
    <t xml:space="preserve"> Name</t>
  </si>
  <si>
    <t xml:space="preserve"> Title</t>
  </si>
  <si>
    <t>Inventory Year</t>
  </si>
  <si>
    <t xml:space="preserve"> Department</t>
  </si>
  <si>
    <t xml:space="preserve"> Telephone</t>
  </si>
  <si>
    <t xml:space="preserve"> Email</t>
  </si>
  <si>
    <t>Inventory Management Spreadsheet Contents</t>
  </si>
  <si>
    <t xml:space="preserve">Worksheet </t>
  </si>
  <si>
    <t>Description</t>
  </si>
  <si>
    <t>Background</t>
  </si>
  <si>
    <t>Data Sources</t>
  </si>
  <si>
    <t>Inventory Data Checklist</t>
  </si>
  <si>
    <t>Identifies required data and provides a place to store contact information for relevant community inventory sources and sectors.</t>
  </si>
  <si>
    <t>Community Indicators</t>
  </si>
  <si>
    <t>Data Inputs: Stationary Energy</t>
  </si>
  <si>
    <t>Energy Use</t>
  </si>
  <si>
    <t>Data Inputs: Transportation</t>
  </si>
  <si>
    <t>On-Road Vehicles</t>
  </si>
  <si>
    <t>Transit</t>
  </si>
  <si>
    <t>Aviation</t>
  </si>
  <si>
    <t>Data Inputs: Waste</t>
  </si>
  <si>
    <t>Solid Waste Generation</t>
  </si>
  <si>
    <t>Wastewater Treatment Facilities</t>
  </si>
  <si>
    <t>Reporting: GPC Outputs</t>
  </si>
  <si>
    <t>GPC Table 4.1</t>
  </si>
  <si>
    <t>Data is linked from Community Indicators tab. Required for GPC compliance.</t>
  </si>
  <si>
    <t>GPC Table 4.3</t>
  </si>
  <si>
    <t>GPC Table 4.2</t>
  </si>
  <si>
    <t>Data is linked from GPC Table 4.3. Required for GPC compliance.</t>
  </si>
  <si>
    <t>GPC Table 4.4</t>
  </si>
  <si>
    <t>Visual Summary</t>
  </si>
  <si>
    <t>metric ton</t>
  </si>
  <si>
    <t>Common Name</t>
  </si>
  <si>
    <t>Formula</t>
  </si>
  <si>
    <t>GWP</t>
  </si>
  <si>
    <t>Source</t>
  </si>
  <si>
    <t>US ton</t>
  </si>
  <si>
    <t>kWh</t>
  </si>
  <si>
    <t>MWh</t>
  </si>
  <si>
    <t>Methane</t>
  </si>
  <si>
    <t>kg</t>
  </si>
  <si>
    <t>therm</t>
  </si>
  <si>
    <t>MMBtu of natural gas</t>
  </si>
  <si>
    <t>MMBtu of distillate fuel</t>
  </si>
  <si>
    <t>gal diesel</t>
  </si>
  <si>
    <t>All Emissions by Sector</t>
  </si>
  <si>
    <t>Stationary Energy</t>
  </si>
  <si>
    <t xml:space="preserve">Electricity </t>
  </si>
  <si>
    <t xml:space="preserve">Utility </t>
  </si>
  <si>
    <t>Greenhouse Gas</t>
  </si>
  <si>
    <t>Value</t>
  </si>
  <si>
    <t>Units</t>
  </si>
  <si>
    <t>Sector</t>
  </si>
  <si>
    <t>Percentage of Total</t>
  </si>
  <si>
    <t>Scope</t>
  </si>
  <si>
    <t>Year</t>
  </si>
  <si>
    <t>Commercial and Industrial</t>
  </si>
  <si>
    <t>N/A</t>
  </si>
  <si>
    <t>Scope 1</t>
  </si>
  <si>
    <t>Residential</t>
  </si>
  <si>
    <t>Scope 2</t>
  </si>
  <si>
    <t>Scope 3</t>
  </si>
  <si>
    <t>Transportation</t>
  </si>
  <si>
    <t>Total Emissions</t>
  </si>
  <si>
    <t>Wastewater Treatment</t>
  </si>
  <si>
    <t>Diesel</t>
  </si>
  <si>
    <t>Various</t>
  </si>
  <si>
    <t>All Emissions by Source</t>
  </si>
  <si>
    <t>Emission Source</t>
  </si>
  <si>
    <t>Electricity</t>
  </si>
  <si>
    <t>Natural Gas</t>
  </si>
  <si>
    <t>GPC Notation Keys Legend</t>
  </si>
  <si>
    <t>Total</t>
  </si>
  <si>
    <t>Fugitive Emissions</t>
  </si>
  <si>
    <t>IE</t>
  </si>
  <si>
    <t>Gasoline</t>
  </si>
  <si>
    <t>Included elsewhere</t>
  </si>
  <si>
    <t>Vehicle Type</t>
  </si>
  <si>
    <t>NO</t>
  </si>
  <si>
    <t>Not occurring</t>
  </si>
  <si>
    <t>NE</t>
  </si>
  <si>
    <t>Not estimated</t>
  </si>
  <si>
    <t>C</t>
  </si>
  <si>
    <t>Confidential</t>
  </si>
  <si>
    <t>All</t>
  </si>
  <si>
    <t>Solid Waste</t>
  </si>
  <si>
    <t>Wastewater</t>
  </si>
  <si>
    <t>Emissions Source</t>
  </si>
  <si>
    <t>Required Data</t>
  </si>
  <si>
    <t>Required data units</t>
  </si>
  <si>
    <t>GPC Notation Keys</t>
  </si>
  <si>
    <t>Notation Keys Comments</t>
  </si>
  <si>
    <t>Data Source</t>
  </si>
  <si>
    <t>Contact Information</t>
  </si>
  <si>
    <t>Status</t>
  </si>
  <si>
    <t>Passenger Vehicle</t>
  </si>
  <si>
    <t>Light Truck</t>
  </si>
  <si>
    <t>Heavy Truck</t>
  </si>
  <si>
    <t>Motorcycle</t>
  </si>
  <si>
    <t xml:space="preserve">Utility provided electricity </t>
  </si>
  <si>
    <t>kWh, MWh, tons CO2/MWh</t>
  </si>
  <si>
    <t xml:space="preserve">Utility provided natural gas </t>
  </si>
  <si>
    <t>therms, ccf, MMBtu</t>
  </si>
  <si>
    <t>therms, ccf, MMBtu, Gallons</t>
  </si>
  <si>
    <t>Energy Industries</t>
  </si>
  <si>
    <t>various fuel units AND kWh, MWh</t>
  </si>
  <si>
    <t>Agriculture, Forestry, Fishing</t>
  </si>
  <si>
    <t>1. Agriculture, forestry, fishing electricity consumption
2. Transmission and Distribution Loss Number</t>
  </si>
  <si>
    <t>kWh, MWh</t>
  </si>
  <si>
    <t>1. Agriculture, forestry, fishing fuel consumption</t>
  </si>
  <si>
    <t>Non-specified energy sources</t>
  </si>
  <si>
    <t>Fugitive emissions from coal</t>
  </si>
  <si>
    <t xml:space="preserve">tons </t>
  </si>
  <si>
    <t>On-road vehicles</t>
  </si>
  <si>
    <t>1. Origin destination VMT or In-boundary annual VMT</t>
  </si>
  <si>
    <t>annual VMT</t>
  </si>
  <si>
    <t xml:space="preserve">1. Origin destination VMT
2. Trans-boundary VMT </t>
  </si>
  <si>
    <t xml:space="preserve">ICLEI’s U.S. Community Protocol for Accounting and Reporting of Greenhouse Gas Emissions (Community Protocol) – Appendix D: Transportation and Other Mobile Emission Activities and Sources, Version 1.1, July 2013: http://icleiusa.org/ghg-protocols/. </t>
  </si>
  <si>
    <t>Railways</t>
  </si>
  <si>
    <t>various fuel units</t>
  </si>
  <si>
    <t>Waterborne navigation</t>
  </si>
  <si>
    <t>Jet Fuel</t>
  </si>
  <si>
    <t>Off-road transportation</t>
  </si>
  <si>
    <t>Waste</t>
  </si>
  <si>
    <t>Community solid waste generated</t>
  </si>
  <si>
    <t xml:space="preserve">1. Residential waste generation 
2. Commercial and institutional waste generation
3. Industrial waste generation 
4. Location(s) of landfills
5. Types of treatment: traditional landfill, open dump, biological treatment, OR incineration, open burning, </t>
  </si>
  <si>
    <t>tons of waste, in-boundary and out-of-boundary landfill location(s), types of treatment per waste disposal location</t>
  </si>
  <si>
    <t>Wastewater generation</t>
  </si>
  <si>
    <t>1. Residential wastewater generation 
2. Commercial and institutional wastewater generation
3. Industrial wastewater generation 
4. Location(s) of wastewater treatment</t>
  </si>
  <si>
    <t>gallons/person/day, in-boundary and out-of-boundary wastewater treatment designation(s)</t>
  </si>
  <si>
    <t>Wastewater treatment</t>
  </si>
  <si>
    <t>1. Measured methane and nitrous oxide emissions from waste water treatment facilities under local government's significant influence
2. Aerobic or anaerobic treatment system
3. Nitrification or denitrification system</t>
  </si>
  <si>
    <t>kg BOD5, tons of nitrogen, aerobic or anaerobic, nitrification or denitrification</t>
  </si>
  <si>
    <t>Indicators</t>
  </si>
  <si>
    <t>Stationary Energy Emissions Detail</t>
  </si>
  <si>
    <t>Residential Electricity</t>
  </si>
  <si>
    <t>Is Required Data Available (Y/N)</t>
  </si>
  <si>
    <t>Residential Natural Gas</t>
  </si>
  <si>
    <t>Commercial Electricity</t>
  </si>
  <si>
    <t xml:space="preserve">Population </t>
  </si>
  <si>
    <t>Commercial Natural Gas</t>
  </si>
  <si>
    <t>Physical size</t>
  </si>
  <si>
    <t>square miles</t>
  </si>
  <si>
    <t>Community descriptors</t>
  </si>
  <si>
    <t>$, text describing composition of economy and climate</t>
  </si>
  <si>
    <t>Transportation Emissions Detail</t>
  </si>
  <si>
    <t>Recycling</t>
  </si>
  <si>
    <t>1. Amount of waste recycled
2. Type of waste recycled
3. Distribution of types of waste
4. Location(s) were recycling takes place by amount</t>
  </si>
  <si>
    <t>tons, % wastes, description</t>
  </si>
  <si>
    <t>1. Energy production</t>
  </si>
  <si>
    <t xml:space="preserve">All Emissions by Sector </t>
  </si>
  <si>
    <t xml:space="preserve">Total </t>
  </si>
  <si>
    <t>Stationary Diesel</t>
  </si>
  <si>
    <t>Utility Data</t>
  </si>
  <si>
    <t>Type</t>
  </si>
  <si>
    <t>Unit</t>
  </si>
  <si>
    <t xml:space="preserve">Total Natural Gas </t>
  </si>
  <si>
    <t>therms</t>
  </si>
  <si>
    <t xml:space="preserve">Residential </t>
  </si>
  <si>
    <t>Fugitive emissions from oil and natural gas systems within the city boundary</t>
  </si>
  <si>
    <t xml:space="preserve">Total Stationary Energy </t>
  </si>
  <si>
    <t>Total Therms</t>
  </si>
  <si>
    <t>Emissions from fuel combustion on-road transportation occurring in the city</t>
  </si>
  <si>
    <t>Emissions from grid-supplied energy consumed in the city for on-road transportation</t>
  </si>
  <si>
    <t>Emissions from transboundary journeys occurring outside the city, and T and D losses from grid-supplied energy use</t>
  </si>
  <si>
    <t>Aviation Gasoline Itinerant</t>
  </si>
  <si>
    <t>Jet Fuel Itinerant</t>
  </si>
  <si>
    <t>Emissions from fuel combustion for railway transportation occurring in the city</t>
  </si>
  <si>
    <t>Emissions from grid-supplied energy consumed in the city for railways</t>
  </si>
  <si>
    <t>Emissions from fuel combustion for off-road transportation occurring in the city</t>
  </si>
  <si>
    <t>Emissions from grid-supplied energy consumed in the city for off-road transportation</t>
  </si>
  <si>
    <t>Total Transportation</t>
  </si>
  <si>
    <t>Community Solid Waste</t>
  </si>
  <si>
    <t>Tons</t>
  </si>
  <si>
    <t>Wastewater Treatment and Discharge</t>
  </si>
  <si>
    <t>Wastewater Generated and Treated in City</t>
  </si>
  <si>
    <t>Total Waste</t>
  </si>
  <si>
    <t xml:space="preserve">Recycling </t>
  </si>
  <si>
    <t xml:space="preserve">Community Indicators </t>
  </si>
  <si>
    <t>On-Road Data</t>
  </si>
  <si>
    <t>GDP</t>
  </si>
  <si>
    <t>Climate</t>
  </si>
  <si>
    <t>Number of people employed in the city</t>
  </si>
  <si>
    <t>Fuel Additives</t>
  </si>
  <si>
    <t>Heating degree days</t>
  </si>
  <si>
    <t>Cooling degree days</t>
  </si>
  <si>
    <t>Percent of ethanol in gasoline</t>
  </si>
  <si>
    <t>Percent of biodiesel in diesel</t>
  </si>
  <si>
    <t>Total Annual VMT</t>
  </si>
  <si>
    <t>VMT by Gasoline</t>
  </si>
  <si>
    <t>VMT by Diesel</t>
  </si>
  <si>
    <t>MPG</t>
  </si>
  <si>
    <t>Diesel cars</t>
  </si>
  <si>
    <t>Percent of all VMT</t>
  </si>
  <si>
    <t>Percent of gas VMT</t>
  </si>
  <si>
    <t>Percent of diesel VMT</t>
  </si>
  <si>
    <t>VMT</t>
  </si>
  <si>
    <t>Aviation Data</t>
  </si>
  <si>
    <t>Total System Usage (gal)</t>
  </si>
  <si>
    <t>Fuel Type</t>
  </si>
  <si>
    <t>Denver International Airport</t>
  </si>
  <si>
    <t>Itinerant</t>
  </si>
  <si>
    <t>Jet fuel</t>
  </si>
  <si>
    <t>Aviation gasoline</t>
  </si>
  <si>
    <t>Wastewater Data</t>
  </si>
  <si>
    <t>Tons of Waste Landfilled Inside City Limits</t>
  </si>
  <si>
    <t>Tons of Waste Landfilled Outside City Limits</t>
  </si>
  <si>
    <t>Tons of Waste Composted Inside City Limits</t>
  </si>
  <si>
    <t>Tons of Waste Composted Outside City Limits</t>
  </si>
  <si>
    <t>Tons of Recycling Recycled Inside City Limits</t>
  </si>
  <si>
    <t>Tons of Recycling Recycled Outside City Limits</t>
  </si>
  <si>
    <t>GPC Reference Number</t>
  </si>
  <si>
    <t>Newspaper</t>
  </si>
  <si>
    <t>Grass</t>
  </si>
  <si>
    <t>Leaves</t>
  </si>
  <si>
    <t>Branches</t>
  </si>
  <si>
    <t>Input Data</t>
  </si>
  <si>
    <t>Ethanol</t>
  </si>
  <si>
    <t>Notes: (1) Adapted from Global Protocol for Community-Scale Greenhouse Gas Emission Inventories, WRI, C40 Cities, and ICLEI.</t>
  </si>
  <si>
    <t xml:space="preserve">GPC Table 4.1 - Inventory City Information </t>
  </si>
  <si>
    <t>Inventory Boundary</t>
  </si>
  <si>
    <t>City Information</t>
  </si>
  <si>
    <t>Name of City</t>
  </si>
  <si>
    <t>State</t>
  </si>
  <si>
    <t>Colorado</t>
  </si>
  <si>
    <t>Country</t>
  </si>
  <si>
    <t>USA</t>
  </si>
  <si>
    <t>Inventory year</t>
  </si>
  <si>
    <t>Inventory date</t>
  </si>
  <si>
    <t>Geographic boundary</t>
  </si>
  <si>
    <t>Resident population</t>
  </si>
  <si>
    <t>GDP ($)</t>
  </si>
  <si>
    <t>Composition of economy</t>
  </si>
  <si>
    <t>GPC Table 4.2 - GHG Emissions Summary</t>
  </si>
  <si>
    <t>Other information</t>
  </si>
  <si>
    <t>None</t>
  </si>
  <si>
    <t>BASIC</t>
  </si>
  <si>
    <t>Energy use</t>
  </si>
  <si>
    <t>All emissions</t>
  </si>
  <si>
    <t>GPC Color Legend</t>
  </si>
  <si>
    <t>Add'l subsectors for BASIC+</t>
  </si>
  <si>
    <t>Add'l subsectors for Territorial</t>
  </si>
  <si>
    <t>GPC Table 4.3 - GHG Emissions Report</t>
  </si>
  <si>
    <t>GHG Emissions Source (By Sector and Subsector)</t>
  </si>
  <si>
    <t>Notation Keys</t>
  </si>
  <si>
    <t>HFC</t>
  </si>
  <si>
    <t>PFC</t>
  </si>
  <si>
    <t>Activity Data Quality</t>
  </si>
  <si>
    <t>Activity Data Source</t>
  </si>
  <si>
    <t>Emission Factors Quality</t>
  </si>
  <si>
    <t>Emission Factor Source</t>
  </si>
  <si>
    <t>Comments</t>
  </si>
  <si>
    <t>I</t>
  </si>
  <si>
    <t>STATIONARY ENERGY</t>
  </si>
  <si>
    <t xml:space="preserve">  I.1</t>
  </si>
  <si>
    <t>Residential buildings</t>
  </si>
  <si>
    <t xml:space="preserve">    I.1.1</t>
  </si>
  <si>
    <t>Emissions from fuel combustion within the city boundary</t>
  </si>
  <si>
    <t xml:space="preserve">    I.1.2</t>
  </si>
  <si>
    <t>Emissions from grid-supplied energy consumed within the city boundary</t>
  </si>
  <si>
    <t xml:space="preserve">    I.1.3</t>
  </si>
  <si>
    <t>Transmission and distribution losses from grid-supplied energy</t>
  </si>
  <si>
    <t xml:space="preserve">  I.2</t>
  </si>
  <si>
    <t>Commercial and institutional buildings and facilities</t>
  </si>
  <si>
    <t xml:space="preserve">    I.2.1</t>
  </si>
  <si>
    <t xml:space="preserve">    I.2.2</t>
  </si>
  <si>
    <t xml:space="preserve">    I.2.3</t>
  </si>
  <si>
    <t xml:space="preserve">  I.3</t>
  </si>
  <si>
    <t>Manufacturing industries and construction</t>
  </si>
  <si>
    <t xml:space="preserve">   I.3.1</t>
  </si>
  <si>
    <t xml:space="preserve">   I.3.2</t>
  </si>
  <si>
    <t xml:space="preserve">   I.3.3</t>
  </si>
  <si>
    <t xml:space="preserve">  I.4</t>
  </si>
  <si>
    <t>Energy industries</t>
  </si>
  <si>
    <t xml:space="preserve">    I.4.1</t>
  </si>
  <si>
    <t>Emissions from energy production used in power plant auxiliary operations within the city</t>
  </si>
  <si>
    <t xml:space="preserve">    I.4.2</t>
  </si>
  <si>
    <t>Emissions from grid-supplied energy consumed by energy industries</t>
  </si>
  <si>
    <t xml:space="preserve">    I.4.3</t>
  </si>
  <si>
    <t>Emissions from transmission and distribution losses from grid-supplied energy used in power plant auxiliary operations</t>
  </si>
  <si>
    <t xml:space="preserve">    I.4.4</t>
  </si>
  <si>
    <t>Emissions from energy generation supplied to the grid</t>
  </si>
  <si>
    <t xml:space="preserve">  I.5</t>
  </si>
  <si>
    <t>Agriculture, forestry and fishing activities</t>
  </si>
  <si>
    <t xml:space="preserve">    I.5.1</t>
  </si>
  <si>
    <t xml:space="preserve">    I.5.2</t>
  </si>
  <si>
    <t xml:space="preserve">    I.5.3</t>
  </si>
  <si>
    <t xml:space="preserve">  I.6</t>
  </si>
  <si>
    <t>Non-specified sources</t>
  </si>
  <si>
    <t xml:space="preserve">    I.6.1</t>
  </si>
  <si>
    <t xml:space="preserve">    I.6.2</t>
  </si>
  <si>
    <t xml:space="preserve">    I.6.3</t>
  </si>
  <si>
    <t xml:space="preserve">  I.7</t>
  </si>
  <si>
    <t>Fugitive emissions from mining, processing, store, and transportation of coal</t>
  </si>
  <si>
    <t xml:space="preserve">    I.7.1</t>
  </si>
  <si>
    <t>Fugitive emissions from mining, processing, storage, and transportation of coal within the city boundary</t>
  </si>
  <si>
    <t xml:space="preserve">  I.8</t>
  </si>
  <si>
    <t xml:space="preserve">    I.8.1</t>
  </si>
  <si>
    <t>II</t>
  </si>
  <si>
    <t>TRANSPORTATION</t>
  </si>
  <si>
    <t xml:space="preserve">  II.1</t>
  </si>
  <si>
    <t>On-road transportation</t>
  </si>
  <si>
    <t xml:space="preserve">    II.1.1</t>
  </si>
  <si>
    <t xml:space="preserve">    II.1.2</t>
  </si>
  <si>
    <t xml:space="preserve">    II.1.3</t>
  </si>
  <si>
    <t>II.2</t>
  </si>
  <si>
    <t xml:space="preserve">    II.2.1</t>
  </si>
  <si>
    <t xml:space="preserve">    II.2.3</t>
  </si>
  <si>
    <t>II.3</t>
  </si>
  <si>
    <t xml:space="preserve">    II.3.1</t>
  </si>
  <si>
    <t>Emissions from fuel combustion for waterborne navigation occurring in the city</t>
  </si>
  <si>
    <t xml:space="preserve">    II.3.2</t>
  </si>
  <si>
    <t>Emissions from grid-supplied energy consumed in the city for waterborne navigation</t>
  </si>
  <si>
    <t xml:space="preserve">    II.3.3</t>
  </si>
  <si>
    <t>II.4</t>
  </si>
  <si>
    <t xml:space="preserve">    II.4.1</t>
  </si>
  <si>
    <t>Emissions from fuel combustion for aviation occurring in the city</t>
  </si>
  <si>
    <t xml:space="preserve">    II.4.2</t>
  </si>
  <si>
    <t>Emissions from grid-supplied energy consumed in the city for aviation</t>
  </si>
  <si>
    <t xml:space="preserve">    II.4.3</t>
  </si>
  <si>
    <t>II.5</t>
  </si>
  <si>
    <t xml:space="preserve">    II.5.1</t>
  </si>
  <si>
    <t xml:space="preserve">    II.5.2</t>
  </si>
  <si>
    <t xml:space="preserve">    II.5.3</t>
  </si>
  <si>
    <t>III</t>
  </si>
  <si>
    <t>WASTE</t>
  </si>
  <si>
    <t xml:space="preserve">  III.1</t>
  </si>
  <si>
    <t>Solid waste disposal</t>
  </si>
  <si>
    <t xml:space="preserve">    III.1.1</t>
  </si>
  <si>
    <t>Emissions from solid waste generated in the city and disposed in landfills or open dumps within the city</t>
  </si>
  <si>
    <t xml:space="preserve">    III.1.2</t>
  </si>
  <si>
    <t>Emissions from solid waste generated in the city but disposed in landfills or open dumps outside the city</t>
  </si>
  <si>
    <t xml:space="preserve">    III.1.3</t>
  </si>
  <si>
    <t>Emissions from waste generated outside the city and disposed in landfills or open dumps within the city</t>
  </si>
  <si>
    <t xml:space="preserve">  III.2</t>
  </si>
  <si>
    <t>Biological treatment of waste</t>
  </si>
  <si>
    <t xml:space="preserve">    III.2.1</t>
  </si>
  <si>
    <t>Emissions from solid waste generated in the city that is treated biologically in the city</t>
  </si>
  <si>
    <t xml:space="preserve">    III.2.2</t>
  </si>
  <si>
    <t>Emissions from solid waste generated in the city but treated biologically outside of the city</t>
  </si>
  <si>
    <t xml:space="preserve">    III.2.3</t>
  </si>
  <si>
    <t>Emissions from waste generated outside the city boundary but treated in the city</t>
  </si>
  <si>
    <t xml:space="preserve">  III.3</t>
  </si>
  <si>
    <t>Incineration and open burning</t>
  </si>
  <si>
    <t xml:space="preserve">    III.3.1</t>
  </si>
  <si>
    <t>Emissions from waste generated and treated within the city</t>
  </si>
  <si>
    <t xml:space="preserve">    III.3.2</t>
  </si>
  <si>
    <t>Emissions from waste generated within but treated outside of the city</t>
  </si>
  <si>
    <t xml:space="preserve">    III.3.3</t>
  </si>
  <si>
    <t>Emissions from waste generated outside the city boundary but treated within the city</t>
  </si>
  <si>
    <t xml:space="preserve">  III.4</t>
  </si>
  <si>
    <t>Wastewater treatment and discharge</t>
  </si>
  <si>
    <t xml:space="preserve">    III.4.1</t>
  </si>
  <si>
    <t xml:space="preserve">Emissions from wastewater generated and treated within the city  </t>
  </si>
  <si>
    <t xml:space="preserve">    III.4.2</t>
  </si>
  <si>
    <t>Emissions from wastewater generated within but treated outside of the city</t>
  </si>
  <si>
    <t xml:space="preserve">    III.4.3</t>
  </si>
  <si>
    <t>Emissions from wastewater generated outside the city boundary but treated within the city</t>
  </si>
  <si>
    <t>IV</t>
  </si>
  <si>
    <t>INDUSTRIAL PROCESSES and PRODUCT USES (IPPU)</t>
  </si>
  <si>
    <t xml:space="preserve">    IV.1</t>
  </si>
  <si>
    <t>Emissions from industrial processes occurring in the city boundary</t>
  </si>
  <si>
    <t xml:space="preserve">    IV.2</t>
  </si>
  <si>
    <t>Emissions from product use occurring within the city boundary</t>
  </si>
  <si>
    <t>V</t>
  </si>
  <si>
    <t>AGRICULTURE, FORESTRY and OTHER LAND USE (AFOLU)</t>
  </si>
  <si>
    <t xml:space="preserve">    V.1</t>
  </si>
  <si>
    <t>Emissions from livestock</t>
  </si>
  <si>
    <t xml:space="preserve">    V.2</t>
  </si>
  <si>
    <t>Emissions from land</t>
  </si>
  <si>
    <t xml:space="preserve">    V.3</t>
  </si>
  <si>
    <t>Emissions from aggregate sources and non-CO2 emission sources on land</t>
  </si>
  <si>
    <t>VI</t>
  </si>
  <si>
    <t>OTHER SCOPE 3</t>
  </si>
  <si>
    <t>TOTAL</t>
  </si>
  <si>
    <t>Aviation Gasoline</t>
  </si>
  <si>
    <t>Land area (km2)</t>
  </si>
  <si>
    <t>VMT by Ethanol</t>
  </si>
  <si>
    <t>Gasoline Consumed (gal)</t>
  </si>
  <si>
    <t>Diesel Consumed (gal)</t>
  </si>
  <si>
    <t>Ethanol Consumed (gal)</t>
  </si>
  <si>
    <t>Diesel Light Trucks</t>
  </si>
  <si>
    <t>Estimated electric consumption of electric vehicle (kWh/mile)</t>
  </si>
  <si>
    <t>Total Electricity Consumption from Electric Vehicles (kWh)</t>
  </si>
  <si>
    <t>Light Duty</t>
  </si>
  <si>
    <t>gallons aviation gasoline</t>
  </si>
  <si>
    <t>Community Indicator</t>
  </si>
  <si>
    <t>Commercial Diesel</t>
  </si>
  <si>
    <t>Visual Summary of Data</t>
  </si>
  <si>
    <t xml:space="preserve">ICLEI’s U.S. Community Protocol for Accounting and Reporting of Greenhouse Gas Emissions (Community Protocol) – Appendix C: Built Environment Emission Activities and Sources, Version 1.1, July 2013: http://icleiusa.org/ghg-protocols/. </t>
  </si>
  <si>
    <t xml:space="preserve">Landfilled Waste </t>
  </si>
  <si>
    <t>Composted Waste</t>
  </si>
  <si>
    <t>Oxidization factor</t>
  </si>
  <si>
    <t>Total Residential Electricity Consumption (kWh)</t>
  </si>
  <si>
    <t>Total Commercial Electricity Consumption (kWh)</t>
  </si>
  <si>
    <t>Total Electricity</t>
  </si>
  <si>
    <t>Total Consumption (gal)</t>
  </si>
  <si>
    <t>Community VMT</t>
  </si>
  <si>
    <t>Waste Generated</t>
  </si>
  <si>
    <t>Waste Component</t>
  </si>
  <si>
    <t>MSW</t>
  </si>
  <si>
    <t>Office paper</t>
  </si>
  <si>
    <t>Corrugated containers</t>
  </si>
  <si>
    <t>Magazines/third-class mail</t>
  </si>
  <si>
    <t>Food scraps</t>
  </si>
  <si>
    <t>Dimensional lumber</t>
  </si>
  <si>
    <t>Landfilled waste treated outside the City</t>
  </si>
  <si>
    <t>Composted waste treated outside the City</t>
  </si>
  <si>
    <t>Emissions Summary</t>
  </si>
  <si>
    <t xml:space="preserve">Provides summary information, including charts and graphs, for the inventory. </t>
  </si>
  <si>
    <t>Emission Summary</t>
  </si>
  <si>
    <t>Fugitive Emissions Data</t>
  </si>
  <si>
    <t>Waste_Recycling Data</t>
  </si>
  <si>
    <t>Data is linked from activity data tabs into GPC Table 4.3. Required for GPC compliance.</t>
  </si>
  <si>
    <t>Activity data  tabs</t>
  </si>
  <si>
    <t>Activity data tabs</t>
  </si>
  <si>
    <t>Includes general community characteristics used to complete GPC Table 4.1 and to calculate GHG emission metrics.</t>
  </si>
  <si>
    <t>Local/ Itinerant</t>
  </si>
  <si>
    <t>Source/Activity</t>
  </si>
  <si>
    <t xml:space="preserve">Provides all summary information for the inventory, including emissions by scope, sector, and source. </t>
  </si>
  <si>
    <t>Waste and Recycling Data</t>
  </si>
  <si>
    <t>Waste Emissions Detail</t>
  </si>
  <si>
    <t>Electric Vehicles</t>
  </si>
  <si>
    <t>Total Diesel</t>
  </si>
  <si>
    <t>Information only</t>
  </si>
  <si>
    <t>Scope 3 emissions based on market-based method</t>
  </si>
  <si>
    <t>Propane</t>
  </si>
  <si>
    <t>Ferrell Gas (gal)</t>
  </si>
  <si>
    <t>Total Consumption (Gal)</t>
  </si>
  <si>
    <t>AmeriGas (gal)</t>
  </si>
  <si>
    <t>g</t>
  </si>
  <si>
    <r>
      <t>Total Emissions (Fossil Fuel mt CO</t>
    </r>
    <r>
      <rPr>
        <b/>
        <vertAlign val="subscript"/>
        <sz val="10"/>
        <color theme="0"/>
        <rFont val="Calibri"/>
        <family val="2"/>
        <scheme val="minor"/>
      </rPr>
      <t>2</t>
    </r>
    <r>
      <rPr>
        <b/>
        <sz val="10"/>
        <color theme="0"/>
        <rFont val="Calibri"/>
        <family val="2"/>
        <scheme val="minor"/>
      </rPr>
      <t>)</t>
    </r>
  </si>
  <si>
    <r>
      <t>Total Emissions (mt CH</t>
    </r>
    <r>
      <rPr>
        <b/>
        <vertAlign val="subscript"/>
        <sz val="10"/>
        <color theme="0"/>
        <rFont val="Calibri"/>
        <family val="2"/>
        <scheme val="minor"/>
      </rPr>
      <t>4</t>
    </r>
    <r>
      <rPr>
        <b/>
        <sz val="10"/>
        <color theme="0"/>
        <rFont val="Calibri"/>
        <family val="2"/>
        <scheme val="minor"/>
      </rPr>
      <t>)</t>
    </r>
  </si>
  <si>
    <r>
      <t>Total Emissions (mt N</t>
    </r>
    <r>
      <rPr>
        <b/>
        <vertAlign val="subscript"/>
        <sz val="10"/>
        <color theme="0"/>
        <rFont val="Calibri"/>
        <family val="2"/>
        <scheme val="minor"/>
      </rPr>
      <t>2</t>
    </r>
    <r>
      <rPr>
        <b/>
        <sz val="10"/>
        <color theme="0"/>
        <rFont val="Calibri"/>
        <family val="2"/>
        <scheme val="minor"/>
      </rPr>
      <t>O)</t>
    </r>
  </si>
  <si>
    <t>Residential Propane</t>
  </si>
  <si>
    <t>Commercial Propane</t>
  </si>
  <si>
    <t>Y</t>
  </si>
  <si>
    <t>Heavy Vehicle (Bus)</t>
  </si>
  <si>
    <t>Diesel light trucks</t>
  </si>
  <si>
    <t>lbs.</t>
  </si>
  <si>
    <t xml:space="preserve">ICLEI’s U.S. Community Protocol for Accounting and Reporting of Greenhouse Gas Emissions (Community Protocol) – Appendix C: Built Environment Emission Activities and Sources, Version 1.1, July 2013: http://icleiusa.org/ghg-protocols/.  Assumes distillate fuel oil number 2 and that diesel is primarily used in generators by the commercial/industrial sector. </t>
  </si>
  <si>
    <t>Glass</t>
  </si>
  <si>
    <t xml:space="preserve">ICLEI’s U.S. Community Protocol for Accounting and Reporting of Greenhouse Gas Emissions (Community Protocol) – Appendix E: Solid Waste Emission Activities and Sources, Version 1.1, July 2013: http://icleiusa.org/ghg-protocols/. </t>
  </si>
  <si>
    <t>Fugitive Emissions from oil and natural gas systems</t>
  </si>
  <si>
    <t>Direct access/transport natural gas/stationary diesel/propane</t>
  </si>
  <si>
    <t>1. Electricity consumed within the towns boundary</t>
  </si>
  <si>
    <t>1. Fuel combustion within the towns boundary</t>
  </si>
  <si>
    <t xml:space="preserve">1. Residential natural gas and oil consumption
2. Commercial and institutional natural gas and oil consumption
3. Manufacturing industries and construction natural gas and oil wells </t>
  </si>
  <si>
    <t>therms, ccf, MMBtu and gallons, wells for manufacturing</t>
  </si>
  <si>
    <t>1. Electricity consumed in the town for on-road transportation</t>
  </si>
  <si>
    <t>1. Electricity consumed for railway transportation in the town or county</t>
  </si>
  <si>
    <t>1. Fuel combustion for railway transportation in the town or county</t>
  </si>
  <si>
    <t>1. Electricity consumed for waterborne navigation in the town or county</t>
  </si>
  <si>
    <t>1. Fuel combustion for waterborne navigation in the town or county</t>
  </si>
  <si>
    <t>1. Electricity consumed for aviation occurring in the town or county</t>
  </si>
  <si>
    <t>1. Fuel combustion for aviation occurring in the town or county</t>
  </si>
  <si>
    <t>gallons of aviation gasoline, gals of jet fuel</t>
  </si>
  <si>
    <t>1. Electricity consumed for off-road transportation in the town or county</t>
  </si>
  <si>
    <t>1. Fuel combustion for off-road transportation in the town or county</t>
  </si>
  <si>
    <t>Refrigerants</t>
  </si>
  <si>
    <t>1. Town land area</t>
  </si>
  <si>
    <t>Optional: Information Only</t>
  </si>
  <si>
    <t>WindSource</t>
  </si>
  <si>
    <t>1. Subscribed energy</t>
  </si>
  <si>
    <t>Rooftop solar - Solar* Rewards or other solar programs</t>
  </si>
  <si>
    <t>Rooftop solar - non-Solar* Rewards (NO KWH PROVIDED)</t>
  </si>
  <si>
    <t>Community solar</t>
  </si>
  <si>
    <t>Xcel Energy</t>
  </si>
  <si>
    <t>Electricity Provided by Xcel Energy (kWh)</t>
  </si>
  <si>
    <t>Natural Gas Provided by Xcel Energy (th)</t>
  </si>
  <si>
    <t>Patrick Schmitz
Associate Product Manager
Xcel Energy
Patrick.T.Schmitz@xcelenergy.com</t>
  </si>
  <si>
    <t>On-site Solar (Solar Rewards)/RECs owned by Utility</t>
  </si>
  <si>
    <t>On-site Solar  (non-solar Rewards)/RECs Retained by Customer</t>
  </si>
  <si>
    <t>Information-Only Renewable Energy</t>
  </si>
  <si>
    <t>Total RECs (Windsource)</t>
  </si>
  <si>
    <t>Total Solar Rewards</t>
  </si>
  <si>
    <t>Total On-Site Solar</t>
  </si>
  <si>
    <t>Total Solar Gardens</t>
  </si>
  <si>
    <t>Total Information-Only Renewable Energy Avoided Emissions</t>
  </si>
  <si>
    <t>Total Propane</t>
  </si>
  <si>
    <t>Vehicle Types</t>
  </si>
  <si>
    <t>Diesel Passenger Cars</t>
  </si>
  <si>
    <t>Transit Data</t>
  </si>
  <si>
    <t>Paper and Paperboard</t>
  </si>
  <si>
    <t>Metals</t>
  </si>
  <si>
    <t>Plastics</t>
  </si>
  <si>
    <t>Textiles</t>
  </si>
  <si>
    <t>Food</t>
  </si>
  <si>
    <t>Other</t>
  </si>
  <si>
    <t>Miscellaneous Other Waste</t>
  </si>
  <si>
    <t>Heavy Vehicle</t>
  </si>
  <si>
    <t>Transit Buses</t>
  </si>
  <si>
    <t xml:space="preserve">Input raw energy data for stationary fuels and electricity to calculate the total emissions for each source. </t>
  </si>
  <si>
    <t>Input raw data, including data on VMT and electrical vehicles, to estimate mobile fuel consumption and emissions.</t>
  </si>
  <si>
    <t>Input raw transit data to estimate transit fuel consumption and emissions.</t>
  </si>
  <si>
    <t>Input raw aviation data used to estimate emissions from airline travel.</t>
  </si>
  <si>
    <t xml:space="preserve">Input raw data for wastewater treatment to calculate the total emissions from wastewater treatment processes. </t>
  </si>
  <si>
    <t xml:space="preserve">Data is linked from activity data tabs to calculate information-only emissions reductions. Not required for GPC compliance. </t>
  </si>
  <si>
    <t>Energy</t>
  </si>
  <si>
    <t xml:space="preserve">Fugitive Emissions </t>
  </si>
  <si>
    <t>gallons diesel</t>
  </si>
  <si>
    <t>gallons propane</t>
  </si>
  <si>
    <t xml:space="preserve">Fuel combustion within the city </t>
  </si>
  <si>
    <t>Grid-supplied energy (electricity)</t>
  </si>
  <si>
    <t>Detailed Emissions Breakdown by Sector</t>
  </si>
  <si>
    <t>Constants</t>
  </si>
  <si>
    <t>Collection efficiency rate for landfills with gas collection systems</t>
  </si>
  <si>
    <t>Retail sales</t>
  </si>
  <si>
    <t>Xcel Windsource/RECs Retained by the Customer</t>
  </si>
  <si>
    <t>Total Information-Only Renewable Energy Avoided Emissions from Customer Owned RECs</t>
  </si>
  <si>
    <t>Total Information-Only Renewable Energy Avoided Emissions from Utility Owned RECs</t>
  </si>
  <si>
    <t>Notes</t>
  </si>
  <si>
    <t>Variable</t>
  </si>
  <si>
    <t>Renewable Energy</t>
  </si>
  <si>
    <t>Community Solar/RECs owned by Utility</t>
  </si>
  <si>
    <r>
      <t>CH</t>
    </r>
    <r>
      <rPr>
        <vertAlign val="subscript"/>
        <sz val="11"/>
        <color theme="1"/>
        <rFont val="Calibri"/>
        <family val="2"/>
        <scheme val="minor"/>
      </rPr>
      <t>4</t>
    </r>
  </si>
  <si>
    <t>Materials Recovery Characterization</t>
  </si>
  <si>
    <t>City and County of Denver</t>
  </si>
  <si>
    <t>Recycled Materials</t>
  </si>
  <si>
    <t>ICLEI’s U.S. Community Protocol for Accounting and Reporting of Greenhouse Gas Emissions (Community Protocol) – Recycling and Composting Emissions Protocol, Version 1.0, July 2013: http://icleiusa.org/ghg-protocols/. Emission factors represent those for avoided emissions from a facility with landfill gas capture but no energy production.</t>
  </si>
  <si>
    <t>Paper and paperboard (mixed paper)</t>
  </si>
  <si>
    <t>Metals (mixed)</t>
  </si>
  <si>
    <t>Plastics (mixed)</t>
  </si>
  <si>
    <t>Total Transit Emissions</t>
  </si>
  <si>
    <t>Building Electricity</t>
  </si>
  <si>
    <t>Usage (gallons)</t>
  </si>
  <si>
    <t xml:space="preserve">1. Residential electricity consumption
2. Commercial/institutional electricity consumption
3. Manufacturing industries and construction electricity consumption
4. Electricity emission factors
</t>
  </si>
  <si>
    <t>1. Residential natural gas consumption
2. Commercial/institutional natural gas consumption
3. Manufacturing industries and construction natural gas consumption</t>
  </si>
  <si>
    <t>1. Residential energy consumption
2. Commercial/institutional energy consumption
3. Manufacturing industries and construction energy consumption</t>
  </si>
  <si>
    <t>U.S. short tons</t>
  </si>
  <si>
    <t>Total Avoided Emissions from Recycling</t>
  </si>
  <si>
    <t>Renewable Energy with Customer-Owned RECs</t>
  </si>
  <si>
    <t>Renewable Energy with Utility-Owned RECs</t>
  </si>
  <si>
    <t>Total Avoided Emissions from Renewable Energy</t>
  </si>
  <si>
    <t xml:space="preserve">Total Community Avoided Emissions </t>
  </si>
  <si>
    <t>Renewable energy</t>
  </si>
  <si>
    <t>TOTAL INFORMATION-ONLY AVOIDED EMISSIONS</t>
  </si>
  <si>
    <t>Lead Consultant</t>
  </si>
  <si>
    <t xml:space="preserve"> Company</t>
  </si>
  <si>
    <t xml:space="preserve">Lotus Engineering and Sustainability </t>
  </si>
  <si>
    <t xml:space="preserve"> Website</t>
  </si>
  <si>
    <t xml:space="preserve">www.lotussustainability.com </t>
  </si>
  <si>
    <t>Treated in the City</t>
  </si>
  <si>
    <t>Treated outside the City</t>
  </si>
  <si>
    <t>Number of commercial businesses and institutions</t>
  </si>
  <si>
    <t>Commercial businesses and institutional units area (sq. ft.)</t>
  </si>
  <si>
    <t>Number of housing units</t>
  </si>
  <si>
    <t>Included with Xcel's Community Energy Reports under commercial electricity consumption.</t>
  </si>
  <si>
    <t>Included with Xcel's Community Energy Reports under commercial natural gas consumption.</t>
  </si>
  <si>
    <t xml:space="preserve">Commercial </t>
  </si>
  <si>
    <t>Regional Transportation District</t>
  </si>
  <si>
    <t>Consumption-Based</t>
  </si>
  <si>
    <t>Emissions from Consumption-Based Sources</t>
  </si>
  <si>
    <t>Cement</t>
  </si>
  <si>
    <t>Water Supply</t>
  </si>
  <si>
    <t>Cement Use</t>
  </si>
  <si>
    <t>Food Purchases</t>
  </si>
  <si>
    <t>Consumption-Based Sources</t>
  </si>
  <si>
    <t>population, kg/capita/year, kg CO2e/kg food product</t>
  </si>
  <si>
    <t>Data Inputs</t>
  </si>
  <si>
    <t>2012 Commodity Flow Survey</t>
  </si>
  <si>
    <t>Data Inputs: Supporting Data</t>
  </si>
  <si>
    <t>Stationary Energy Data</t>
  </si>
  <si>
    <t>N</t>
  </si>
  <si>
    <t>No known industries.</t>
  </si>
  <si>
    <t>Perry Edman
Planning Project Manager - Environmental
RTD
perry.edman@rtd-denver.com
(303) 299-2544</t>
  </si>
  <si>
    <t>No known sources.</t>
  </si>
  <si>
    <t xml:space="preserve">U.S. Census  </t>
  </si>
  <si>
    <t>1. Community population
2. Business square footage</t>
  </si>
  <si>
    <t># residents, sq. ft. of businesses</t>
  </si>
  <si>
    <t>Transboundary Aviation</t>
  </si>
  <si>
    <t>In-Boundary Aviation</t>
  </si>
  <si>
    <t>Aircraft registered in Colorado</t>
  </si>
  <si>
    <t>Aviation Gasoline use (gallons, statewide)</t>
  </si>
  <si>
    <t>Data is accessible in the table 'Shipment Characteristics by Origin Geography by Commodity: 2012 available at https://www.census.gov/data/tables/2012/econ/cfs/state.html</t>
  </si>
  <si>
    <t>Denver Water</t>
  </si>
  <si>
    <t>Leakage Rate for Natural Gas Distribution</t>
  </si>
  <si>
    <t>Water Delivery</t>
  </si>
  <si>
    <t>Information-Only Avoided Emissions</t>
  </si>
  <si>
    <t>Total (Scope 1 and Scope 2)</t>
  </si>
  <si>
    <t>ICLEI</t>
  </si>
  <si>
    <t>Emissions from transit (diesel)</t>
  </si>
  <si>
    <t>On-road vehicles including transit</t>
  </si>
  <si>
    <t>Total on-road vehicles minus transit</t>
  </si>
  <si>
    <t>Scope 3 Total Fuel</t>
  </si>
  <si>
    <t>Scope 3 LTO</t>
  </si>
  <si>
    <t>Total with Total Fuel</t>
  </si>
  <si>
    <t>Total with LTO</t>
  </si>
  <si>
    <t>Total (Scope 1 and 3)</t>
  </si>
  <si>
    <t>Life-cycle emissions</t>
  </si>
  <si>
    <t>Data Inputs: Consumption-Based Sources</t>
  </si>
  <si>
    <t>Consumption-Based Data</t>
  </si>
  <si>
    <t xml:space="preserve">Input data to calculate emissions from food, water delivery, and cement. </t>
  </si>
  <si>
    <t>In-Boundary</t>
  </si>
  <si>
    <t>Composted waste treated inside the City</t>
  </si>
  <si>
    <t>tons waste</t>
  </si>
  <si>
    <t>tons compost</t>
  </si>
  <si>
    <t>population served</t>
  </si>
  <si>
    <t>Water delivery</t>
  </si>
  <si>
    <t>Total Consumption-Based Sources</t>
  </si>
  <si>
    <t>tons of cement used</t>
  </si>
  <si>
    <t>gallons of water delivered</t>
  </si>
  <si>
    <t xml:space="preserve">Food </t>
  </si>
  <si>
    <t>Consumption-based</t>
  </si>
  <si>
    <t xml:space="preserve">No coal processing or known consumption. Coal dust emitted from coal transport is assumed to produce insignificant emissions. </t>
  </si>
  <si>
    <t>All Emissions by Scope</t>
  </si>
  <si>
    <t>High</t>
  </si>
  <si>
    <t>Xcel Energy, Ferrell Gas</t>
  </si>
  <si>
    <t>Xcel Energy, EPA eGRID</t>
  </si>
  <si>
    <t xml:space="preserve">Included within commercial and industrial energy use. </t>
  </si>
  <si>
    <t xml:space="preserve">No known sources exist within the community. </t>
  </si>
  <si>
    <t>Medium</t>
  </si>
  <si>
    <t>DRCOG, CDPHE</t>
  </si>
  <si>
    <t>FAA, Colorado Dept. of Revenue</t>
  </si>
  <si>
    <t>Metro Wastewater Reclamation District</t>
  </si>
  <si>
    <t>Total BASIC</t>
  </si>
  <si>
    <t>Total BASIC with Consumption-Based</t>
  </si>
  <si>
    <t>Natural Gas (including fugitive emissions)</t>
  </si>
  <si>
    <t>Workbook Introduction and Guide</t>
  </si>
  <si>
    <t>Legend for Data Entry and Inventory Year</t>
  </si>
  <si>
    <t>Lead Coordinator and Lead Consultant</t>
  </si>
  <si>
    <t>Information Only Breakdown by Sector</t>
  </si>
  <si>
    <t>Inventory Data Checklist for BASIC Inventory</t>
  </si>
  <si>
    <t>Conversion Factors and Global Warming Potentials</t>
  </si>
  <si>
    <t>Data Sources and Assumptions</t>
  </si>
  <si>
    <t>Data Calculations</t>
  </si>
  <si>
    <t>Notes and Notation Keys Legend</t>
  </si>
  <si>
    <t>Data units</t>
  </si>
  <si>
    <t>Is Data Available (Y/N)</t>
  </si>
  <si>
    <t>IE for industrial</t>
  </si>
  <si>
    <t>IE for transport natural gas</t>
  </si>
  <si>
    <t>Ethanol Motorcycle</t>
  </si>
  <si>
    <t>Number of Households</t>
  </si>
  <si>
    <t>Population</t>
  </si>
  <si>
    <t xml:space="preserve">Xcel Energy </t>
  </si>
  <si>
    <t xml:space="preserve">Data Sources and Assumptions </t>
  </si>
  <si>
    <t>Community Indicators and Corresponding Values</t>
  </si>
  <si>
    <r>
      <t>CO</t>
    </r>
    <r>
      <rPr>
        <vertAlign val="subscript"/>
        <sz val="11"/>
        <color rgb="FF000000"/>
        <rFont val="Calibri"/>
        <family val="2"/>
        <scheme val="minor"/>
      </rPr>
      <t>2</t>
    </r>
  </si>
  <si>
    <r>
      <t>CH</t>
    </r>
    <r>
      <rPr>
        <vertAlign val="subscript"/>
        <sz val="11"/>
        <color rgb="FF000000"/>
        <rFont val="Calibri"/>
        <family val="2"/>
        <scheme val="minor"/>
      </rPr>
      <t>4</t>
    </r>
  </si>
  <si>
    <r>
      <t>N</t>
    </r>
    <r>
      <rPr>
        <vertAlign val="subscript"/>
        <sz val="11"/>
        <color rgb="FF000000"/>
        <rFont val="Calibri"/>
        <family val="2"/>
        <scheme val="minor"/>
      </rPr>
      <t>2</t>
    </r>
    <r>
      <rPr>
        <sz val="11"/>
        <color rgb="FF000000"/>
        <rFont val="Calibri"/>
        <family val="2"/>
        <scheme val="minor"/>
      </rPr>
      <t>O</t>
    </r>
  </si>
  <si>
    <r>
      <t>Land area (mi</t>
    </r>
    <r>
      <rPr>
        <vertAlign val="superscript"/>
        <sz val="11"/>
        <rFont val="Calibri"/>
        <family val="2"/>
        <scheme val="minor"/>
      </rPr>
      <t>2</t>
    </r>
    <r>
      <rPr>
        <sz val="11"/>
        <rFont val="Calibri"/>
        <family val="2"/>
        <scheme val="minor"/>
      </rPr>
      <t>)</t>
    </r>
  </si>
  <si>
    <t>(2) Specific spreadsheet tabs are available for each source that has available data.</t>
  </si>
  <si>
    <t>(1) If data is not available, GPC Notation Keys are used to note reason and additional detail is provided in Notation Keys Comments.</t>
  </si>
  <si>
    <r>
      <t>CO</t>
    </r>
    <r>
      <rPr>
        <vertAlign val="subscript"/>
        <sz val="11"/>
        <color theme="1"/>
        <rFont val="Calibri"/>
        <family val="2"/>
        <scheme val="minor"/>
      </rPr>
      <t>2</t>
    </r>
  </si>
  <si>
    <r>
      <t>N</t>
    </r>
    <r>
      <rPr>
        <vertAlign val="subscript"/>
        <sz val="11"/>
        <color theme="1"/>
        <rFont val="Calibri"/>
        <family val="2"/>
        <scheme val="minor"/>
      </rPr>
      <t>2</t>
    </r>
    <r>
      <rPr>
        <sz val="11"/>
        <color theme="1"/>
        <rFont val="Calibri"/>
        <family val="2"/>
        <scheme val="minor"/>
      </rPr>
      <t>O</t>
    </r>
  </si>
  <si>
    <r>
      <t>mt CO</t>
    </r>
    <r>
      <rPr>
        <vertAlign val="subscript"/>
        <sz val="11"/>
        <color theme="1"/>
        <rFont val="Calibri"/>
        <family val="2"/>
        <scheme val="minor"/>
      </rPr>
      <t>2</t>
    </r>
    <r>
      <rPr>
        <sz val="11"/>
        <color theme="1"/>
        <rFont val="Calibri"/>
        <family val="2"/>
        <scheme val="minor"/>
      </rPr>
      <t>/gal</t>
    </r>
  </si>
  <si>
    <r>
      <t>g CH</t>
    </r>
    <r>
      <rPr>
        <vertAlign val="subscript"/>
        <sz val="11"/>
        <color theme="1"/>
        <rFont val="Calibri"/>
        <family val="2"/>
        <scheme val="minor"/>
      </rPr>
      <t>4</t>
    </r>
    <r>
      <rPr>
        <sz val="11"/>
        <color theme="1"/>
        <rFont val="Calibri"/>
        <family val="2"/>
        <scheme val="minor"/>
      </rPr>
      <t>/mile</t>
    </r>
  </si>
  <si>
    <r>
      <t>g N</t>
    </r>
    <r>
      <rPr>
        <vertAlign val="subscript"/>
        <sz val="11"/>
        <color theme="1"/>
        <rFont val="Calibri"/>
        <family val="2"/>
        <scheme val="minor"/>
      </rPr>
      <t>2</t>
    </r>
    <r>
      <rPr>
        <sz val="11"/>
        <color theme="1"/>
        <rFont val="Calibri"/>
        <family val="2"/>
        <scheme val="minor"/>
      </rPr>
      <t>O/mile</t>
    </r>
  </si>
  <si>
    <r>
      <t>CH</t>
    </r>
    <r>
      <rPr>
        <vertAlign val="subscript"/>
        <sz val="11"/>
        <color theme="1"/>
        <rFont val="Calibri"/>
        <family val="2"/>
        <scheme val="minor"/>
      </rPr>
      <t>4</t>
    </r>
    <r>
      <rPr>
        <sz val="12"/>
        <color rgb="FF000000"/>
        <rFont val="Calibri"/>
        <family val="2"/>
      </rPr>
      <t/>
    </r>
  </si>
  <si>
    <r>
      <t>mt CO</t>
    </r>
    <r>
      <rPr>
        <vertAlign val="subscript"/>
        <sz val="11"/>
        <color rgb="FF000000"/>
        <rFont val="Calibri"/>
        <family val="2"/>
        <scheme val="minor"/>
      </rPr>
      <t>2</t>
    </r>
    <r>
      <rPr>
        <sz val="11"/>
        <color rgb="FF000000"/>
        <rFont val="Calibri"/>
        <family val="2"/>
        <scheme val="minor"/>
      </rPr>
      <t>/MWh</t>
    </r>
  </si>
  <si>
    <r>
      <t>mt CH</t>
    </r>
    <r>
      <rPr>
        <vertAlign val="subscript"/>
        <sz val="11"/>
        <color theme="1"/>
        <rFont val="Calibri"/>
        <family val="2"/>
        <scheme val="minor"/>
      </rPr>
      <t>4</t>
    </r>
    <r>
      <rPr>
        <sz val="11"/>
        <color theme="1"/>
        <rFont val="Calibri"/>
        <family val="2"/>
        <scheme val="minor"/>
      </rPr>
      <t>/MWh</t>
    </r>
  </si>
  <si>
    <r>
      <t>mt N</t>
    </r>
    <r>
      <rPr>
        <vertAlign val="subscript"/>
        <sz val="11"/>
        <color theme="1"/>
        <rFont val="Calibri"/>
        <family val="2"/>
        <scheme val="minor"/>
      </rPr>
      <t>2</t>
    </r>
    <r>
      <rPr>
        <sz val="11"/>
        <color theme="1"/>
        <rFont val="Calibri"/>
        <family val="2"/>
        <scheme val="minor"/>
      </rPr>
      <t>O/MWh</t>
    </r>
  </si>
  <si>
    <r>
      <t>mt CO</t>
    </r>
    <r>
      <rPr>
        <vertAlign val="subscript"/>
        <sz val="11"/>
        <color rgb="FF000000"/>
        <rFont val="Calibri"/>
        <family val="2"/>
        <scheme val="minor"/>
      </rPr>
      <t>2</t>
    </r>
    <r>
      <rPr>
        <sz val="11"/>
        <color rgb="FF000000"/>
        <rFont val="Calibri"/>
        <family val="2"/>
        <scheme val="minor"/>
      </rPr>
      <t>/th</t>
    </r>
  </si>
  <si>
    <r>
      <t>mt CH</t>
    </r>
    <r>
      <rPr>
        <vertAlign val="subscript"/>
        <sz val="11"/>
        <color rgb="FF000000"/>
        <rFont val="Calibri"/>
        <family val="2"/>
        <scheme val="minor"/>
      </rPr>
      <t>4</t>
    </r>
    <r>
      <rPr>
        <sz val="11"/>
        <color rgb="FF000000"/>
        <rFont val="Calibri"/>
        <family val="2"/>
        <scheme val="minor"/>
      </rPr>
      <t>/th</t>
    </r>
  </si>
  <si>
    <r>
      <t>mt N</t>
    </r>
    <r>
      <rPr>
        <vertAlign val="subscript"/>
        <sz val="11"/>
        <color rgb="FF000000"/>
        <rFont val="Calibri"/>
        <family val="2"/>
        <scheme val="minor"/>
      </rPr>
      <t>2</t>
    </r>
    <r>
      <rPr>
        <sz val="11"/>
        <color rgb="FF000000"/>
        <rFont val="Calibri"/>
        <family val="2"/>
        <scheme val="minor"/>
      </rPr>
      <t>O/th</t>
    </r>
  </si>
  <si>
    <r>
      <t>mt CO</t>
    </r>
    <r>
      <rPr>
        <vertAlign val="subscript"/>
        <sz val="11"/>
        <color rgb="FF000000"/>
        <rFont val="Calibri"/>
        <family val="2"/>
        <scheme val="minor"/>
      </rPr>
      <t>2</t>
    </r>
    <r>
      <rPr>
        <sz val="11"/>
        <color rgb="FF000000"/>
        <rFont val="Calibri"/>
        <family val="2"/>
        <scheme val="minor"/>
      </rPr>
      <t>/gal</t>
    </r>
  </si>
  <si>
    <r>
      <t>mt CH</t>
    </r>
    <r>
      <rPr>
        <vertAlign val="subscript"/>
        <sz val="11"/>
        <color rgb="FF000000"/>
        <rFont val="Calibri"/>
        <family val="2"/>
        <scheme val="minor"/>
      </rPr>
      <t>4</t>
    </r>
    <r>
      <rPr>
        <sz val="11"/>
        <color rgb="FF000000"/>
        <rFont val="Calibri"/>
        <family val="2"/>
        <scheme val="minor"/>
      </rPr>
      <t>/gal</t>
    </r>
  </si>
  <si>
    <r>
      <t>mt N</t>
    </r>
    <r>
      <rPr>
        <vertAlign val="subscript"/>
        <sz val="11"/>
        <color rgb="FF000000"/>
        <rFont val="Calibri"/>
        <family val="2"/>
        <scheme val="minor"/>
      </rPr>
      <t>2</t>
    </r>
    <r>
      <rPr>
        <sz val="11"/>
        <color rgb="FF000000"/>
        <rFont val="Calibri"/>
        <family val="2"/>
        <scheme val="minor"/>
      </rPr>
      <t>O/gal</t>
    </r>
  </si>
  <si>
    <r>
      <t>CO</t>
    </r>
    <r>
      <rPr>
        <vertAlign val="subscript"/>
        <sz val="11"/>
        <color theme="1"/>
        <rFont val="Calibri"/>
        <family val="2"/>
        <scheme val="minor"/>
      </rPr>
      <t>2</t>
    </r>
    <r>
      <rPr>
        <sz val="12"/>
        <color rgb="FF000000"/>
        <rFont val="Calibri"/>
        <family val="2"/>
      </rPr>
      <t/>
    </r>
  </si>
  <si>
    <r>
      <t>mt CH</t>
    </r>
    <r>
      <rPr>
        <vertAlign val="subscript"/>
        <sz val="11"/>
        <color theme="1"/>
        <rFont val="Calibri"/>
        <family val="2"/>
        <scheme val="minor"/>
      </rPr>
      <t>4</t>
    </r>
    <r>
      <rPr>
        <sz val="11"/>
        <color theme="1"/>
        <rFont val="Calibri"/>
        <family val="2"/>
        <scheme val="minor"/>
      </rPr>
      <t>/gal</t>
    </r>
  </si>
  <si>
    <r>
      <t>mt N</t>
    </r>
    <r>
      <rPr>
        <vertAlign val="subscript"/>
        <sz val="11"/>
        <color theme="1"/>
        <rFont val="Calibri"/>
        <family val="2"/>
        <scheme val="minor"/>
      </rPr>
      <t>2</t>
    </r>
    <r>
      <rPr>
        <sz val="11"/>
        <color theme="1"/>
        <rFont val="Calibri"/>
        <family val="2"/>
        <scheme val="minor"/>
      </rPr>
      <t>O/gal</t>
    </r>
  </si>
  <si>
    <r>
      <t>mt CH</t>
    </r>
    <r>
      <rPr>
        <vertAlign val="subscript"/>
        <sz val="11"/>
        <rFont val="Calibri"/>
        <family val="2"/>
        <scheme val="minor"/>
      </rPr>
      <t>4</t>
    </r>
    <r>
      <rPr>
        <sz val="11"/>
        <rFont val="Calibri"/>
        <family val="2"/>
        <scheme val="minor"/>
      </rPr>
      <t>/ton waste</t>
    </r>
  </si>
  <si>
    <r>
      <t>mt CH</t>
    </r>
    <r>
      <rPr>
        <vertAlign val="subscript"/>
        <sz val="11"/>
        <rFont val="Calibri"/>
        <family val="2"/>
        <scheme val="minor"/>
      </rPr>
      <t>4</t>
    </r>
    <r>
      <rPr>
        <sz val="11"/>
        <rFont val="Calibri"/>
        <family val="2"/>
        <scheme val="minor"/>
      </rPr>
      <t xml:space="preserve">/ton waste </t>
    </r>
  </si>
  <si>
    <t>1. Community population
2. Retail-level food availability
3. Average GHG emissions</t>
  </si>
  <si>
    <r>
      <t>Emissions (kg CO</t>
    </r>
    <r>
      <rPr>
        <vertAlign val="subscript"/>
        <sz val="10"/>
        <color rgb="FF000000"/>
        <rFont val="Calibri"/>
        <family val="2"/>
        <scheme val="minor"/>
      </rPr>
      <t>2</t>
    </r>
    <r>
      <rPr>
        <sz val="10"/>
        <color rgb="FF000000"/>
        <rFont val="Calibri"/>
        <family val="2"/>
        <scheme val="minor"/>
      </rPr>
      <t>e/2002$ spent on food)</t>
    </r>
  </si>
  <si>
    <t>Patrick Schmitz
Associate Product Manager
Xcel Energy
Patrick.T.Schmitz@xcelenergy.com
Adam Wozniak
Inventory Unit Supervisor
CDPHE
adam.wozniak@state.co.us
303.692.3160
Scott Brockelmeyer
FerrellGas Propane
scottbrockelmeyer@ferrellgas.com
Alexandra Spooner
Amerigas Propane
alexandra.spooner@amerigas.com</t>
  </si>
  <si>
    <t>Total Renewable*Connect</t>
  </si>
  <si>
    <t>IPCC Fifth Assessment Report; document can be found at: https://www.ghgprotocol.org/sites/default/files/ghgp/Global-Warming-Potential-Values%20%28Feb%2016%202016%29_1.pdf.</t>
  </si>
  <si>
    <t>Xcel Renewable*Connect/RECs Retained by the Customer</t>
  </si>
  <si>
    <t xml:space="preserve">There are no comprehensive refrigerant reporting organizations or data collection organizations. </t>
  </si>
  <si>
    <t>Taken from the EPA's Life Cycle Inventory: https://cfpub.epa.gov/si/si_public_record_report.cfm?Lab=NRMRL&amp;dirEntryId=338320&amp;subject=Health%20Research&amp;showCriteria=0&amp;searchAll=Waste%20Management%20or%20Materials%20Management&amp;sortBy=revisionDate. Report on file.</t>
  </si>
  <si>
    <t xml:space="preserve">ICLEI's U.S. Community Protocol for Account and Reporting of Greenhouse Gas Emissions, Appendix H: Emissions Associated with the Community's Use of Materials and Services. </t>
  </si>
  <si>
    <t>Railways Data</t>
  </si>
  <si>
    <t>Light Rail</t>
  </si>
  <si>
    <t>RTD</t>
  </si>
  <si>
    <t>Partial BASIC+ With Consumption-Based</t>
  </si>
  <si>
    <t>Fossil Fuel Vehicles</t>
  </si>
  <si>
    <t>Yes</t>
  </si>
  <si>
    <t>Number of multi-family households</t>
  </si>
  <si>
    <t>Number of industries</t>
  </si>
  <si>
    <t>Number of municipal buildings</t>
  </si>
  <si>
    <t>Industrial buildings area (sq. ft.)</t>
  </si>
  <si>
    <t>Municipal buildings area (sq. ft.)</t>
  </si>
  <si>
    <t>Multi-family household building area (sq. ft.)</t>
  </si>
  <si>
    <t>Federal, high-tech, tourism, financial, higher education</t>
  </si>
  <si>
    <t>Semi-arid, with low humidity</t>
  </si>
  <si>
    <t>Industrial</t>
  </si>
  <si>
    <t>Commercial</t>
  </si>
  <si>
    <t xml:space="preserve">Electricity data for manufacturing, industries and construction is included with Commercial data as "Business" in Xcel Energy's Community Energy Report. Municipal street lights are included in Commercial totals on the stationary energy tab. </t>
  </si>
  <si>
    <t>Natural gas data for manufacturing, industries and construction is included as Commercial data as "Business" in Xcel Energy's Community Energy Report.</t>
  </si>
  <si>
    <t>2018 Annual Community Report by Xcel Energy for the City of Denver https://www.xcelenergy.com/working_with_us/municipalities/community_energy_reports</t>
  </si>
  <si>
    <t>Transport natural gas is included with Commercial natural gas data as "Business" in Xcel Energy's Community Energy Report.</t>
  </si>
  <si>
    <t>1. Energy production used in power plant auxiliary operations within the city
2. Electricity consumed by energy industries</t>
  </si>
  <si>
    <t xml:space="preserve">Fugitive emissions from natural gas distribution. </t>
  </si>
  <si>
    <t xml:space="preserve">(2) Per information from Sara Heald (CDPHE), there is no available data on venting or flaring from oil and gas facility operators. In the absence of data, Lotus assumed that no venting and/or flaring occurs. Email from 022519 on file. </t>
  </si>
  <si>
    <t xml:space="preserve">(4) Based off information in a report by the Environmental Defense Fund, the leakage rate for natural gas assumes a 0.3% leakage in the distribution system. Fugitive emissions are based off an assumption of the amount supplied to the system, which is calculated from the amount consumed and the leakage rate. </t>
  </si>
  <si>
    <t>(5) Assume that the density of natural gas is 0.8 kg per cubic meter and that natural gas is 93.4% methane and 1% carbon dioxide.</t>
  </si>
  <si>
    <t xml:space="preserve">(6) There is one active natural gas compressor station in Denver (per COGIS, pdf on file). </t>
  </si>
  <si>
    <t>(8) Coal is transported through Denver on open air railways, and a small amount is converted to coal dust. IPCC provides guidance on calculating fugitive emissions from post-mining operations from coal. Since post-mining includes the handling and transportation of coal, and most of the GHG emissions from coal get released during the handling, fugitive emissions from transporting coal were not calculated. Conversations with Clemson University, who researched emissions on the handling and distribution of coal throughout the U.S., confirmed that fugitive emissions from transporting coal via open air rails were likely to be insignificant.</t>
  </si>
  <si>
    <t>Industrial Processes and Products Use Data</t>
  </si>
  <si>
    <t>(2) All refrigerant information is based upon the quantity of commercial square footage within the City.  Square footage provided by Denver Assessor's Office.  Data is on file.</t>
  </si>
  <si>
    <t>(4) Assumptions include: a) 300 sq. ft. per ton of cooling capacity based on the commercial average from the ASHRAE Pocket Guide for Air Conditioning, Heating, Ventilation, and Refrigeration; b) 1 kg refrigerant per ton based on a conservative estimate from the Treatment of LEED of the Environmental Impact of HVAC Refrigerants; and c) 5% refrigerant loss per year from the Climate Leaders Greenhouse Gas Inventory Protocol Core Module Guidance from the EPA.</t>
  </si>
  <si>
    <t>Refrigerant Use</t>
  </si>
  <si>
    <t>% Commercial Square Footage Air Conditioned</t>
  </si>
  <si>
    <t>Tons of Cooling</t>
  </si>
  <si>
    <t>Charge of coolant per ton (kg)</t>
  </si>
  <si>
    <t>Refrigerant Loss (kg) of R-134A</t>
  </si>
  <si>
    <r>
      <t>Total metric tons of CO</t>
    </r>
    <r>
      <rPr>
        <b/>
        <vertAlign val="subscript"/>
        <sz val="10"/>
        <color rgb="FF000000"/>
        <rFont val="Calibri"/>
        <family val="2"/>
      </rPr>
      <t>2</t>
    </r>
    <r>
      <rPr>
        <b/>
        <sz val="10"/>
        <color rgb="FF000000"/>
        <rFont val="Calibri"/>
        <family val="2"/>
      </rPr>
      <t>e</t>
    </r>
  </si>
  <si>
    <t>Facility</t>
  </si>
  <si>
    <t>Arapahoe Combustion Turbine Facility (Xcel generation facility)</t>
  </si>
  <si>
    <t>Public Service Company Denver Steam Plant (Xcel generation facility)</t>
  </si>
  <si>
    <t>Public Service Company of Colorado Larimer (Xcel generation facility)</t>
  </si>
  <si>
    <t>1335 Zuni (Xcel generation facility)</t>
  </si>
  <si>
    <t>Refrigerant Emissions from Commercial AC leakage</t>
  </si>
  <si>
    <t>Square feet per ton of cooling (sf/ton)</t>
  </si>
  <si>
    <t>Amount of refrigerant (kg) per ton of cooling</t>
  </si>
  <si>
    <t>Estimated refrigerant loss</t>
  </si>
  <si>
    <t>R-134A</t>
  </si>
  <si>
    <t>Source (IPCC): https://www.ipcc.ch/publications_and_data/ar4/wg1/en/ch2s2-10-2.html</t>
  </si>
  <si>
    <t xml:space="preserve">(3) Lotus used a conservative estimate that 25% commercial space is air conditioned using 134a refrigerants. </t>
  </si>
  <si>
    <t xml:space="preserve">(5) According to an email received 031119 by Kendra Appelman-Eastvedt (CDPHE), information on Tier II refrigerants in no longer provided based on a recent agreement with the Dept. of Homeland Security. Email on file. </t>
  </si>
  <si>
    <t>Data Inputs: Fugitive Emissions - BASIC+</t>
  </si>
  <si>
    <t>IPPU Data</t>
  </si>
  <si>
    <t>Oil and Gas Wells</t>
  </si>
  <si>
    <t>Natural gas wells (number of wells)</t>
  </si>
  <si>
    <t>Number of miles of natural gas gathering pipeline</t>
  </si>
  <si>
    <t>Number of miles of natural gas transmission pipeline</t>
  </si>
  <si>
    <t>Number of gas processing plants</t>
  </si>
  <si>
    <t>Number of LNG storage compressor stations</t>
  </si>
  <si>
    <t>Number of gas transmission compressor stations</t>
  </si>
  <si>
    <t>Number of gas storage compressor stations</t>
  </si>
  <si>
    <t>Million BTU of natural gas vented and flared</t>
  </si>
  <si>
    <t>Natural Gas Production, Transmission, and Venting/Flaring</t>
  </si>
  <si>
    <t>Emissions from Oil Wells</t>
  </si>
  <si>
    <t xml:space="preserve">Fugitive and Process Emissions: Production Emissions from Natural Gas Wells </t>
  </si>
  <si>
    <r>
      <t>CH</t>
    </r>
    <r>
      <rPr>
        <vertAlign val="subscript"/>
        <sz val="10"/>
        <color rgb="FF000000"/>
        <rFont val="Calibri"/>
        <family val="2"/>
        <scheme val="minor"/>
      </rPr>
      <t>4</t>
    </r>
  </si>
  <si>
    <r>
      <t>mt CH</t>
    </r>
    <r>
      <rPr>
        <vertAlign val="subscript"/>
        <sz val="10"/>
        <color theme="1"/>
        <rFont val="Calibri"/>
        <family val="2"/>
        <scheme val="minor"/>
      </rPr>
      <t>4</t>
    </r>
    <r>
      <rPr>
        <sz val="10"/>
        <color theme="1"/>
        <rFont val="Calibri"/>
        <family val="2"/>
        <scheme val="minor"/>
      </rPr>
      <t>/active well</t>
    </r>
  </si>
  <si>
    <t>EPA's State Inventory Tool Emissions from Natural Gas and Oil Systems for Colorado: https://www.epa.gov/statelocalenergy/download-state-inventory-and-projection-tool</t>
  </si>
  <si>
    <t xml:space="preserve">Fugitive and Process Emissions: Transmission Emissions from Natural Gas Wells </t>
  </si>
  <si>
    <r>
      <t>mt CH</t>
    </r>
    <r>
      <rPr>
        <vertAlign val="subscript"/>
        <sz val="10"/>
        <color theme="1"/>
        <rFont val="Calibri"/>
        <family val="2"/>
        <scheme val="minor"/>
      </rPr>
      <t>4</t>
    </r>
    <r>
      <rPr>
        <sz val="10"/>
        <color theme="1"/>
        <rFont val="Calibri"/>
        <family val="2"/>
        <scheme val="minor"/>
      </rPr>
      <t>/miles of gathering pipeline</t>
    </r>
  </si>
  <si>
    <r>
      <t>mt CH</t>
    </r>
    <r>
      <rPr>
        <vertAlign val="subscript"/>
        <sz val="10"/>
        <color theme="1"/>
        <rFont val="Calibri"/>
        <family val="2"/>
        <scheme val="minor"/>
      </rPr>
      <t>4</t>
    </r>
    <r>
      <rPr>
        <sz val="10"/>
        <color theme="1"/>
        <rFont val="Calibri"/>
        <family val="2"/>
        <scheme val="minor"/>
      </rPr>
      <t>/number of gas processing plants</t>
    </r>
  </si>
  <si>
    <r>
      <t>mt CH</t>
    </r>
    <r>
      <rPr>
        <vertAlign val="subscript"/>
        <sz val="10"/>
        <color theme="1"/>
        <rFont val="Calibri"/>
        <family val="2"/>
        <scheme val="minor"/>
      </rPr>
      <t>4</t>
    </r>
    <r>
      <rPr>
        <sz val="10"/>
        <color theme="1"/>
        <rFont val="Calibri"/>
        <family val="2"/>
        <scheme val="minor"/>
      </rPr>
      <t>/number of LNG storage compressor stations</t>
    </r>
  </si>
  <si>
    <r>
      <t>mt CH</t>
    </r>
    <r>
      <rPr>
        <vertAlign val="subscript"/>
        <sz val="10"/>
        <color theme="1"/>
        <rFont val="Calibri"/>
        <family val="2"/>
        <scheme val="minor"/>
      </rPr>
      <t>4</t>
    </r>
    <r>
      <rPr>
        <sz val="10"/>
        <color theme="1"/>
        <rFont val="Calibri"/>
        <family val="2"/>
        <scheme val="minor"/>
      </rPr>
      <t>/miles of transmission pipeline</t>
    </r>
  </si>
  <si>
    <r>
      <t>mt CH</t>
    </r>
    <r>
      <rPr>
        <vertAlign val="subscript"/>
        <sz val="10"/>
        <color theme="1"/>
        <rFont val="Calibri"/>
        <family val="2"/>
        <scheme val="minor"/>
      </rPr>
      <t>4</t>
    </r>
    <r>
      <rPr>
        <sz val="10"/>
        <color theme="1"/>
        <rFont val="Calibri"/>
        <family val="2"/>
        <scheme val="minor"/>
      </rPr>
      <t>/number of gas transmission compressor stations</t>
    </r>
  </si>
  <si>
    <r>
      <t>mt CH</t>
    </r>
    <r>
      <rPr>
        <vertAlign val="subscript"/>
        <sz val="10"/>
        <color theme="1"/>
        <rFont val="Calibri"/>
        <family val="2"/>
        <scheme val="minor"/>
      </rPr>
      <t>4</t>
    </r>
    <r>
      <rPr>
        <sz val="10"/>
        <color theme="1"/>
        <rFont val="Calibri"/>
        <family val="2"/>
        <scheme val="minor"/>
      </rPr>
      <t>/number of gas storage compressor stations</t>
    </r>
  </si>
  <si>
    <t xml:space="preserve">Fugitive and Process Emissions: Venting/Flaring Emissions from Natural Gas Wells </t>
  </si>
  <si>
    <r>
      <t>mt CH</t>
    </r>
    <r>
      <rPr>
        <vertAlign val="subscript"/>
        <sz val="10"/>
        <color theme="1"/>
        <rFont val="Calibri"/>
        <family val="2"/>
        <scheme val="minor"/>
      </rPr>
      <t>4</t>
    </r>
    <r>
      <rPr>
        <sz val="10"/>
        <color theme="1"/>
        <rFont val="Calibri"/>
        <family val="2"/>
        <scheme val="minor"/>
      </rPr>
      <t>/million BTU of natural gas vented and flared</t>
    </r>
  </si>
  <si>
    <t>Fugitive and Process Emissions: Oil Wells</t>
  </si>
  <si>
    <r>
      <t>kg CH</t>
    </r>
    <r>
      <rPr>
        <vertAlign val="subscript"/>
        <sz val="10"/>
        <color theme="1"/>
        <rFont val="Calibri"/>
        <family val="2"/>
        <scheme val="minor"/>
      </rPr>
      <t>4</t>
    </r>
    <r>
      <rPr>
        <sz val="10"/>
        <color theme="1"/>
        <rFont val="Calibri"/>
        <family val="2"/>
        <scheme val="minor"/>
      </rPr>
      <t>/1000 barrels produced</t>
    </r>
  </si>
  <si>
    <r>
      <t>kg CH</t>
    </r>
    <r>
      <rPr>
        <vertAlign val="subscript"/>
        <sz val="10"/>
        <color theme="1"/>
        <rFont val="Calibri"/>
        <family val="2"/>
        <scheme val="minor"/>
      </rPr>
      <t>4</t>
    </r>
    <r>
      <rPr>
        <sz val="10"/>
        <color theme="1"/>
        <rFont val="Calibri"/>
        <family val="2"/>
        <scheme val="minor"/>
      </rPr>
      <t>/1000 barrels refined</t>
    </r>
  </si>
  <si>
    <r>
      <t>kg CH</t>
    </r>
    <r>
      <rPr>
        <vertAlign val="subscript"/>
        <sz val="10"/>
        <color theme="1"/>
        <rFont val="Calibri"/>
        <family val="2"/>
        <scheme val="minor"/>
      </rPr>
      <t>4</t>
    </r>
    <r>
      <rPr>
        <sz val="10"/>
        <color theme="1"/>
        <rFont val="Calibri"/>
        <family val="2"/>
        <scheme val="minor"/>
      </rPr>
      <t>/1000 barrels transported</t>
    </r>
  </si>
  <si>
    <t>U.S. Census American Community Survey 1-Year Estimates
City and County of Denver Assessor</t>
  </si>
  <si>
    <t>https://www.census.gov/quickfacts/fact/table/denvercitycolorado,denvercountycolorado/PST045217</t>
  </si>
  <si>
    <t>1. GDP
2. Composition of economy
3. Climate</t>
  </si>
  <si>
    <t>U.S. Bureau of Economic Analysis
City and County of Denver
Weather Data Depot</t>
  </si>
  <si>
    <t xml:space="preserve">https://www.census.gov/acs/www/data/data-tables-and-tools/ 
Lisa Chambers
City and County of Denver Assessors Office
720-913-4140
lisa.chambers@denvergov.org
Accessed the Assessor's Office real property apartment and commercial characteristics spreadsheet </t>
  </si>
  <si>
    <t>DRCOG</t>
  </si>
  <si>
    <t>On-road electric vehicles</t>
  </si>
  <si>
    <t>Robert Spotts
Planning Supervisor
Transportation Planning &amp; Operations
DRCOG
rspotts@drcog.org
(303) 455-1000</t>
  </si>
  <si>
    <t xml:space="preserve">(2) Vehicle distribution data was provided by CDPHE. Spreadsheet is on file. </t>
  </si>
  <si>
    <t>(3) Assumptions: a) 10% ethanol in gasoline; b) 0% biodiesel in diesel.</t>
  </si>
  <si>
    <t>GASOLINE, DIESEL, AND ETHANOL VEHICLES</t>
  </si>
  <si>
    <r>
      <t>Total Emissions (Biogenic mt CO</t>
    </r>
    <r>
      <rPr>
        <b/>
        <vertAlign val="subscript"/>
        <sz val="10"/>
        <color theme="0"/>
        <rFont val="Calibri"/>
        <family val="2"/>
        <scheme val="minor"/>
      </rPr>
      <t>2</t>
    </r>
    <r>
      <rPr>
        <b/>
        <sz val="10"/>
        <color theme="0"/>
        <rFont val="Calibri"/>
        <family val="2"/>
        <scheme val="minor"/>
      </rPr>
      <t>)</t>
    </r>
  </si>
  <si>
    <t>Gas cars</t>
  </si>
  <si>
    <t>Gas light trucks</t>
  </si>
  <si>
    <t>Gas freight trucks</t>
  </si>
  <si>
    <t>Gas motorcycle</t>
  </si>
  <si>
    <t>Diesel freight trucks</t>
  </si>
  <si>
    <t>Ethanol passenger cars</t>
  </si>
  <si>
    <t>Ethanol light trucks</t>
  </si>
  <si>
    <t>Ethanol freight trucks</t>
  </si>
  <si>
    <t xml:space="preserve">Fuel Efficiencies </t>
  </si>
  <si>
    <t>Gasoline passenger vehicle</t>
  </si>
  <si>
    <t>Gasoline Light Trucks (&lt;6,000 lbs.)</t>
  </si>
  <si>
    <t>Gasoline Light Trucks (&gt;6,000 lbs.)</t>
  </si>
  <si>
    <t>Gasoline Heavy Trucks</t>
  </si>
  <si>
    <t>Diesel Heavy Trucks</t>
  </si>
  <si>
    <t>Motorcycles</t>
  </si>
  <si>
    <t>ELECTRIC VEHICLES</t>
  </si>
  <si>
    <t>Denver Electric Vehicles</t>
  </si>
  <si>
    <t>Estimated Number of Electric Vehicles</t>
  </si>
  <si>
    <t>Average VMT per Vehicle</t>
  </si>
  <si>
    <t>Percentage Attributable to City and County of Denver</t>
  </si>
  <si>
    <t xml:space="preserve">(1) Per a phone message from Ignacio Correa-Ortiz to Emily Artale 3/4/19, electricity consumed by the Light Rail is metered separately from any building's electricity consumption. Per emails with Patrick Schmitz from Xcel Energy, this electricity use is included in Xcel's commercial sections of the Community Energy Reports. </t>
  </si>
  <si>
    <t>Railways Emissions</t>
  </si>
  <si>
    <t>Denver</t>
  </si>
  <si>
    <t>Freight Train Data</t>
  </si>
  <si>
    <t>Commuter Rail and Light Rail</t>
  </si>
  <si>
    <t>Aviation Emissions</t>
  </si>
  <si>
    <t>Denver's Transboundary Aviation Emissions</t>
  </si>
  <si>
    <t>Denver's Transboundary LTO Aviation Emissions</t>
  </si>
  <si>
    <t>Denver's In-Boundary Aviation Emissions</t>
  </si>
  <si>
    <t>Percent of travel allocated to Denver</t>
  </si>
  <si>
    <t>Aircraft registered in Denver</t>
  </si>
  <si>
    <t>Aviation Gasoline use (gallons, Denver)</t>
  </si>
  <si>
    <t>Off-Road Data</t>
  </si>
  <si>
    <t xml:space="preserve">Gasoline </t>
  </si>
  <si>
    <t xml:space="preserve">Diesel </t>
  </si>
  <si>
    <t xml:space="preserve">CNG </t>
  </si>
  <si>
    <t xml:space="preserve">Propane </t>
  </si>
  <si>
    <t>Off-Road Vehicle and Equipment Data</t>
  </si>
  <si>
    <t>Gasoline (gal)</t>
  </si>
  <si>
    <t>Diesel (gal)</t>
  </si>
  <si>
    <t>CNG</t>
  </si>
  <si>
    <t>Heavy Duty Vehicle</t>
  </si>
  <si>
    <t>Fuel</t>
  </si>
  <si>
    <r>
      <t>mt CO</t>
    </r>
    <r>
      <rPr>
        <vertAlign val="subscript"/>
        <sz val="11"/>
        <color theme="1"/>
        <rFont val="Calibri"/>
        <family val="2"/>
        <scheme val="minor"/>
      </rPr>
      <t>2</t>
    </r>
    <r>
      <rPr>
        <sz val="11"/>
        <color theme="1"/>
        <rFont val="Calibri"/>
        <family val="2"/>
        <scheme val="minor"/>
      </rPr>
      <t>/standard cubic foot</t>
    </r>
  </si>
  <si>
    <t>Residential Waste</t>
  </si>
  <si>
    <t>Waste Group</t>
  </si>
  <si>
    <t>MSW Characterization</t>
  </si>
  <si>
    <t>C&amp;D Characterization</t>
  </si>
  <si>
    <t>(3) Metro's emission values were allocated to Denver based on the total population served by the plant that lives within Denver. Methane content was estimated to be between 56% and 58%, 57% was used as the average.</t>
  </si>
  <si>
    <t xml:space="preserve">(4) Per Denver, there are no septic tanks within the City and County limits. </t>
  </si>
  <si>
    <t>Municipal Wastewater Treatment from Metro's Robert W Hite Treatment Plant</t>
  </si>
  <si>
    <t>Denver Data</t>
  </si>
  <si>
    <t>Denver's population served by the plant</t>
  </si>
  <si>
    <t>Total population served by plant</t>
  </si>
  <si>
    <t xml:space="preserve">(4) Denver Water provided an emissions factor for Denver Water from supply, treatment, delivery, and all support operations. As some Denver Water facilities are within Xcel Energy's power territory, there may be some amount of 'double-counting' emissions from energy supplied to Denver Water for these operations from Xcel's power grid. However, the impact of this double-counting is assumed to be minimal. </t>
  </si>
  <si>
    <t>Residential use (gal)</t>
  </si>
  <si>
    <t>Residential irrigation (gal)</t>
  </si>
  <si>
    <t>Commercial use (gal)</t>
  </si>
  <si>
    <t>Denver population</t>
  </si>
  <si>
    <t>Total tons cement attributable to Denver (tons)</t>
  </si>
  <si>
    <r>
      <t>Food Emissions (mt CO</t>
    </r>
    <r>
      <rPr>
        <vertAlign val="subscript"/>
        <sz val="10"/>
        <color rgb="FF000000"/>
        <rFont val="Calibri"/>
        <family val="2"/>
        <scheme val="minor"/>
      </rPr>
      <t>2</t>
    </r>
    <r>
      <rPr>
        <sz val="10"/>
        <color rgb="FF000000"/>
        <rFont val="Calibri"/>
        <family val="2"/>
        <scheme val="minor"/>
      </rPr>
      <t>e)</t>
    </r>
  </si>
  <si>
    <t>Detailed Food Types</t>
  </si>
  <si>
    <t>Retail-level Food Availability (kg/capita/yr.)</t>
  </si>
  <si>
    <t>Grain Products</t>
  </si>
  <si>
    <t>total wheat flours</t>
  </si>
  <si>
    <t>rye flour</t>
  </si>
  <si>
    <t>corn products</t>
  </si>
  <si>
    <t>barley products</t>
  </si>
  <si>
    <t>oat products</t>
  </si>
  <si>
    <t>Fresh fruit</t>
  </si>
  <si>
    <t>citrus</t>
  </si>
  <si>
    <t>apples</t>
  </si>
  <si>
    <t>apricots</t>
  </si>
  <si>
    <t>avocados</t>
  </si>
  <si>
    <t>bananas</t>
  </si>
  <si>
    <t>blueberries</t>
  </si>
  <si>
    <t>cherries</t>
  </si>
  <si>
    <t>cranberries</t>
  </si>
  <si>
    <t>grapes</t>
  </si>
  <si>
    <t>honeydew</t>
  </si>
  <si>
    <t>kiwi</t>
  </si>
  <si>
    <t>mangoes</t>
  </si>
  <si>
    <t>papaya</t>
  </si>
  <si>
    <t>peaches</t>
  </si>
  <si>
    <t>pears</t>
  </si>
  <si>
    <t>pineapples</t>
  </si>
  <si>
    <t> plums</t>
  </si>
  <si>
    <t>raspberries</t>
  </si>
  <si>
    <t>strawberries</t>
  </si>
  <si>
    <t>watermelon</t>
  </si>
  <si>
    <t>Processed fruit</t>
  </si>
  <si>
    <t>canned fruit</t>
  </si>
  <si>
    <t>frozen fruit</t>
  </si>
  <si>
    <t>dried fruit</t>
  </si>
  <si>
    <t>fruit juices</t>
  </si>
  <si>
    <t>Fresh vegetables</t>
  </si>
  <si>
    <t>artichokes</t>
  </si>
  <si>
    <t>asparagus</t>
  </si>
  <si>
    <t>bell peppers</t>
  </si>
  <si>
    <t>broccoli</t>
  </si>
  <si>
    <t>brussels sprouts</t>
  </si>
  <si>
    <t>cabbage</t>
  </si>
  <si>
    <t>carrots</t>
  </si>
  <si>
    <t>cauliflower</t>
  </si>
  <si>
    <t>celery</t>
  </si>
  <si>
    <t>collards</t>
  </si>
  <si>
    <t>sweet corn</t>
  </si>
  <si>
    <t>cucumbers</t>
  </si>
  <si>
    <t>eggplant</t>
  </si>
  <si>
    <t>escarole &amp; endive</t>
  </si>
  <si>
    <t>garlic</t>
  </si>
  <si>
    <t>kale</t>
  </si>
  <si>
    <t>head lettuce</t>
  </si>
  <si>
    <t>lettuce</t>
  </si>
  <si>
    <t>lima beans</t>
  </si>
  <si>
    <t>mushrooms</t>
  </si>
  <si>
    <t>mustard greens</t>
  </si>
  <si>
    <t>okra</t>
  </si>
  <si>
    <t>onions</t>
  </si>
  <si>
    <t>potatoes</t>
  </si>
  <si>
    <t>Pumpkin</t>
  </si>
  <si>
    <t>Radishes</t>
  </si>
  <si>
    <t>snap beans</t>
  </si>
  <si>
    <t>Spinach</t>
  </si>
  <si>
    <t>Squash</t>
  </si>
  <si>
    <t>sweet potatoes</t>
  </si>
  <si>
    <t>Tomatoes</t>
  </si>
  <si>
    <t>turnip greens</t>
  </si>
  <si>
    <t>Processed Vegetables</t>
  </si>
  <si>
    <t>Canned</t>
  </si>
  <si>
    <t>Frozen</t>
  </si>
  <si>
    <t>processed and dehydrated</t>
  </si>
  <si>
    <t>Legumes</t>
  </si>
  <si>
    <t>Fluid milk</t>
  </si>
  <si>
    <t>Other dairy products</t>
  </si>
  <si>
    <t>Yogurt</t>
  </si>
  <si>
    <t>total cheese</t>
  </si>
  <si>
    <t>cottage cheese</t>
  </si>
  <si>
    <t>ice cream</t>
  </si>
  <si>
    <t>other frozen dairy</t>
  </si>
  <si>
    <t>Evap. Condensed milk</t>
  </si>
  <si>
    <t>dry milk</t>
  </si>
  <si>
    <t>half and half dairy and fat portion</t>
  </si>
  <si>
    <t>eggnog</t>
  </si>
  <si>
    <t>light &amp; heavy cream</t>
  </si>
  <si>
    <t>sour cream</t>
  </si>
  <si>
    <t>cream cheese</t>
  </si>
  <si>
    <t>Meat</t>
  </si>
  <si>
    <t>Beef</t>
  </si>
  <si>
    <t>Veal</t>
  </si>
  <si>
    <t>Pork</t>
  </si>
  <si>
    <t>Lamb</t>
  </si>
  <si>
    <t>Poultry</t>
  </si>
  <si>
    <t>Fish and seafood</t>
  </si>
  <si>
    <t>fresh and frozen fish</t>
  </si>
  <si>
    <t>fresh and frozen shellfish</t>
  </si>
  <si>
    <t>canned shellfish</t>
  </si>
  <si>
    <t>cured fish</t>
  </si>
  <si>
    <t>Eggs</t>
  </si>
  <si>
    <t>Nuts</t>
  </si>
  <si>
    <t>peanuts</t>
  </si>
  <si>
    <t>total tree nuts</t>
  </si>
  <si>
    <t>Added sugar and sweeteners</t>
  </si>
  <si>
    <t>Added fats and oils</t>
  </si>
  <si>
    <t>butter</t>
  </si>
  <si>
    <t>margarine</t>
  </si>
  <si>
    <t>lard and beef tallow</t>
  </si>
  <si>
    <t>shortening</t>
  </si>
  <si>
    <t>salad and cooking oils</t>
  </si>
  <si>
    <t>other added fats and oils</t>
  </si>
  <si>
    <r>
      <t>Total Emissions (kg CO</t>
    </r>
    <r>
      <rPr>
        <b/>
        <vertAlign val="subscript"/>
        <sz val="10"/>
        <color rgb="FF000000"/>
        <rFont val="Calibri"/>
        <family val="2"/>
      </rPr>
      <t>2</t>
    </r>
    <r>
      <rPr>
        <b/>
        <sz val="10"/>
        <color rgb="FF000000"/>
        <rFont val="Calibri"/>
        <family val="2"/>
      </rPr>
      <t>e/yr.)</t>
    </r>
  </si>
  <si>
    <t>Denver Department of Public Health and the Environment
Denver International Airport</t>
  </si>
  <si>
    <t>Mike Salisbury
Transportation Energy Lead
Denver Department of Public Health and the Environment
Mike.Salisbury@denvergov.org
Amanda Sutton
Sustainability Manager
Denver International Airport
amanda.sutton@flydenver.com
(303) 342-2636</t>
  </si>
  <si>
    <t>Denver Department of Public Health and the Environment
Denver Solid Waste/Denver Recycles</t>
  </si>
  <si>
    <t>Dianne Delilio
Project Manager
Denver Department of Public and the Environment
diane.delillio@denvergov.org
(720) 865-5448
Charlotte Pitt
Operations Manager
Solid Waste Management/Denver Recycles
City and County of Denver
Charlotte.Pitt@denvergov.org</t>
  </si>
  <si>
    <t>Jennifer Schwarz
Regulatory Compliance Specialist
Metro Wastewater Reclamation District
jschwarz@mwrd.dst.co.us
(303) 286-3000</t>
  </si>
  <si>
    <t>BASIC+ Sources</t>
  </si>
  <si>
    <t>1. Refrigerants used or commercial square footage</t>
  </si>
  <si>
    <t>tons, square footage</t>
  </si>
  <si>
    <t>Lisa Chambers
City and County of Denver Assessors Office
720-913-4140
lisa.chambers@denvergov.org</t>
  </si>
  <si>
    <t>Retail-level food availability and average GHG emissions per food type: 2010 USDA Loss-Adjusted Food Availability average U.S. data in Heller &amp; Keoleian (2014).</t>
  </si>
  <si>
    <t>Off-Road</t>
  </si>
  <si>
    <t xml:space="preserve">(4) Vehicle efficiencies are from the EPA state inventory tool (on file). </t>
  </si>
  <si>
    <t>Commercial Square Footage</t>
  </si>
  <si>
    <t>Off-Road Vehicles and Equipment</t>
  </si>
  <si>
    <t xml:space="preserve">Benchmarking Values </t>
  </si>
  <si>
    <t xml:space="preserve">(1) All values presented below are for illustration purposes. Without an in depth look into each community's emissions, it is not possible to know if these datasets present an "apples-to-apples" comparison. </t>
  </si>
  <si>
    <t>City of Comparison</t>
  </si>
  <si>
    <t>Year of Inventory</t>
  </si>
  <si>
    <t>Type of Inventory</t>
  </si>
  <si>
    <t>Number of Employees</t>
  </si>
  <si>
    <t>Emissions per Capita</t>
  </si>
  <si>
    <t>Emissions per Household</t>
  </si>
  <si>
    <t>Emissions per Employee</t>
  </si>
  <si>
    <t>Denver, CO</t>
  </si>
  <si>
    <t>GPC, BASIC</t>
  </si>
  <si>
    <t>Boulder, CO</t>
  </si>
  <si>
    <t>Aspen, CO</t>
  </si>
  <si>
    <t>Lakewood, CO</t>
  </si>
  <si>
    <t>Seattle, WA</t>
  </si>
  <si>
    <t>ICLEI-USA</t>
  </si>
  <si>
    <t>https://www.seattle.gov/Documents/Departments/OSE/ClimateDocs/2016_SEA_GHG_Inventory.pdf</t>
  </si>
  <si>
    <t>Chicago, IL</t>
  </si>
  <si>
    <t>https://www.chicago.gov/content/dam/city/progs/env/GHG_Inventory/CityofChicago_2015_GHG_Emissions_Inventory_Report.pdf</t>
  </si>
  <si>
    <t>Atlanta, GA</t>
  </si>
  <si>
    <t>Austin, TX</t>
  </si>
  <si>
    <t>GPC</t>
  </si>
  <si>
    <t>https://data.austintexas.gov/stories/s/2017-State-of-Our-Environment-Report-Climate-Chang/wkin-wnwu/</t>
  </si>
  <si>
    <t>Boston, MA</t>
  </si>
  <si>
    <t>Minneapolis, MN</t>
  </si>
  <si>
    <t>New York City, NY</t>
  </si>
  <si>
    <t>Salt Lake City, UT</t>
  </si>
  <si>
    <t>Vancouver, BC</t>
  </si>
  <si>
    <t>Fort Collins, CO</t>
  </si>
  <si>
    <t>http://ftcollinscap.clearpointstrategy.com</t>
  </si>
  <si>
    <t>Year-to-Year GHG Emission Inventory Comparison</t>
  </si>
  <si>
    <t>(1) Inventories completed in years 2005-2014 adhered to the Demand-Centered Hybrid Life-Cycle methodology. Inventories completed in years 2015 through the present follow the Global Protocol for Community-Scale Greenhouse Gas Emission Inventories (GPC).</t>
  </si>
  <si>
    <t>(2) The inventory conducted in 2015 was a GPC BASIC+ inventory. The 2016 inventory was a GPC BASIC inventory.</t>
  </si>
  <si>
    <t>(3) The categories below represent major sources.</t>
  </si>
  <si>
    <t>(4) 2017 surface transportation was calculated using a geographic approach vs 2015 and 2016 surface transportation, which was based off an induced-activity approach. This resulted in a larger 2017 value.</t>
  </si>
  <si>
    <t>Inventory Type</t>
  </si>
  <si>
    <t>Mobile Energy</t>
  </si>
  <si>
    <t>AFOLU</t>
  </si>
  <si>
    <t>Chemicals/ Refrigerants</t>
  </si>
  <si>
    <t>Electricity (kWh)</t>
  </si>
  <si>
    <t>Natural Gas (th)</t>
  </si>
  <si>
    <t>Propane (gal)</t>
  </si>
  <si>
    <r>
      <t>Total BASIC Emissions (mt CO</t>
    </r>
    <r>
      <rPr>
        <vertAlign val="subscript"/>
        <sz val="12"/>
        <color theme="0"/>
        <rFont val="Calibri"/>
        <family val="2"/>
      </rPr>
      <t>2</t>
    </r>
    <r>
      <rPr>
        <sz val="12"/>
        <color theme="0"/>
        <rFont val="Calibri"/>
        <family val="2"/>
      </rPr>
      <t>e)</t>
    </r>
  </si>
  <si>
    <r>
      <t>Electricity Emission Factor (mt CO</t>
    </r>
    <r>
      <rPr>
        <b/>
        <vertAlign val="subscript"/>
        <sz val="10"/>
        <color rgb="FFFFFFFF"/>
        <rFont val="Calibri"/>
        <family val="2"/>
        <scheme val="minor"/>
      </rPr>
      <t>2</t>
    </r>
    <r>
      <rPr>
        <b/>
        <sz val="10"/>
        <color rgb="FFFFFFFF"/>
        <rFont val="Calibri"/>
        <family val="2"/>
        <scheme val="minor"/>
      </rPr>
      <t>e/MWh)</t>
    </r>
  </si>
  <si>
    <r>
      <t>Fugitive Emissions from Natural Gas Distribution (mtCO</t>
    </r>
    <r>
      <rPr>
        <b/>
        <vertAlign val="subscript"/>
        <sz val="10"/>
        <color theme="0"/>
        <rFont val="Calibri"/>
        <family val="2"/>
        <scheme val="minor"/>
      </rPr>
      <t>2</t>
    </r>
    <r>
      <rPr>
        <b/>
        <sz val="10"/>
        <color theme="0"/>
        <rFont val="Calibri"/>
        <family val="2"/>
        <scheme val="minor"/>
      </rPr>
      <t>e)</t>
    </r>
  </si>
  <si>
    <r>
      <t>Fugitive Emissions from Oil and Gas (mtCO</t>
    </r>
    <r>
      <rPr>
        <b/>
        <vertAlign val="subscript"/>
        <sz val="10"/>
        <color theme="0"/>
        <rFont val="Calibri"/>
        <family val="2"/>
        <scheme val="minor"/>
      </rPr>
      <t>2</t>
    </r>
    <r>
      <rPr>
        <b/>
        <sz val="10"/>
        <color theme="0"/>
        <rFont val="Calibri"/>
        <family val="2"/>
        <scheme val="minor"/>
      </rPr>
      <t>e)</t>
    </r>
  </si>
  <si>
    <t>Vehicle Miles Traveled (VMT)</t>
  </si>
  <si>
    <t>On-Road Gasoline (gal)</t>
  </si>
  <si>
    <t>On-Road Diesel (gal)</t>
  </si>
  <si>
    <t>On-Road Ethanol (gal)</t>
  </si>
  <si>
    <t>On-Road Electricity (kWh)</t>
  </si>
  <si>
    <t>Transit Diesel Fuel (gal)</t>
  </si>
  <si>
    <t>Railways Electricity (kWh)</t>
  </si>
  <si>
    <t>Itinerant Jet Fuel Including LTO and Cruising &gt; 3,000 ft (gal)</t>
  </si>
  <si>
    <t>Local Aviation Fuel (gal)</t>
  </si>
  <si>
    <t>Off-Road Transportation Diesel (gal)</t>
  </si>
  <si>
    <t>Off-Road Transportation Gasoline (gal)</t>
  </si>
  <si>
    <t>Off-Road Transportation CNG (GGE)</t>
  </si>
  <si>
    <t>Off-Road Transportation Propane (lbs.)</t>
  </si>
  <si>
    <r>
      <t>Total Emissions Including Total Jet Fuel (mt CO</t>
    </r>
    <r>
      <rPr>
        <vertAlign val="subscript"/>
        <sz val="12"/>
        <color theme="0"/>
        <rFont val="Calibri"/>
        <family val="2"/>
      </rPr>
      <t>2</t>
    </r>
    <r>
      <rPr>
        <sz val="12"/>
        <color theme="0"/>
        <rFont val="Calibri"/>
        <family val="2"/>
      </rPr>
      <t>e)</t>
    </r>
  </si>
  <si>
    <r>
      <t>Total Emissions Including Aviation LTO (mt CO</t>
    </r>
    <r>
      <rPr>
        <vertAlign val="subscript"/>
        <sz val="12"/>
        <color theme="0"/>
        <rFont val="Calibri"/>
        <family val="2"/>
      </rPr>
      <t>2</t>
    </r>
    <r>
      <rPr>
        <sz val="12"/>
        <color theme="0"/>
        <rFont val="Calibri"/>
        <family val="2"/>
      </rPr>
      <t>e)</t>
    </r>
  </si>
  <si>
    <t>Landfilled Waste (tons)</t>
  </si>
  <si>
    <t>Composted Waste (tons)</t>
  </si>
  <si>
    <r>
      <t>Total Emissions (mt CO</t>
    </r>
    <r>
      <rPr>
        <vertAlign val="subscript"/>
        <sz val="12"/>
        <color theme="0"/>
        <rFont val="Calibri"/>
        <family val="2"/>
      </rPr>
      <t>2</t>
    </r>
    <r>
      <rPr>
        <sz val="12"/>
        <color theme="0"/>
        <rFont val="Calibri"/>
        <family val="2"/>
      </rPr>
      <t>e)</t>
    </r>
  </si>
  <si>
    <t>Carbon released (tons)</t>
  </si>
  <si>
    <t>Food Purchases ($)</t>
  </si>
  <si>
    <t>Food Purchases (population)</t>
  </si>
  <si>
    <t>Upstream Stream Emissions from Vehicle Fuel Use (gal)</t>
  </si>
  <si>
    <t>Cement Use (mt)</t>
  </si>
  <si>
    <t>Water Supply (kg)</t>
  </si>
  <si>
    <t>Upstream Stream Emissions from Aviation Fuel Use (gal)</t>
  </si>
  <si>
    <t>Demand-Centered Hybrid Life-Cycle methodology</t>
  </si>
  <si>
    <t>GPC BASIC+</t>
  </si>
  <si>
    <t>GPC BASIC</t>
  </si>
  <si>
    <t>Demand-Centered Hybrid Life-Cycle methodology values adjusted to reflect GPC values</t>
  </si>
  <si>
    <r>
      <t>Total Emissions (mtCO</t>
    </r>
    <r>
      <rPr>
        <b/>
        <vertAlign val="subscript"/>
        <sz val="10"/>
        <color theme="0"/>
        <rFont val="Calibri"/>
        <family val="2"/>
      </rPr>
      <t>2</t>
    </r>
    <r>
      <rPr>
        <b/>
        <sz val="10"/>
        <color theme="0"/>
        <rFont val="Calibri"/>
        <family val="2"/>
      </rPr>
      <t>e)</t>
    </r>
  </si>
  <si>
    <t>Residential and Commercial</t>
  </si>
  <si>
    <t>Surface Transportation</t>
  </si>
  <si>
    <t xml:space="preserve">Surface Transportation Adjusted </t>
  </si>
  <si>
    <t>Waste Adjusted</t>
  </si>
  <si>
    <t>Number of occupied housing units / households</t>
  </si>
  <si>
    <t>Benchmarking</t>
  </si>
  <si>
    <t>Provides comparison data for similar cities.</t>
  </si>
  <si>
    <t>Year-to-Year Comparison</t>
  </si>
  <si>
    <t>Provides comparisons of activity data and emissions from all previous inventories against current inventory.</t>
  </si>
  <si>
    <t>Input key metrics regarding fugitive emission activities, including the number of oil wells and natural gas consumption, to calculate total fugitive emissions.</t>
  </si>
  <si>
    <t>Input raw railways data to estimate railways consumption and emissions.</t>
  </si>
  <si>
    <t>Input raw off-road data used to estimate emissions from off-road vehicles and equipment.</t>
  </si>
  <si>
    <t>Links with commercial square footage data to calculate the total emissions from refrigerants. Includes additional chemicals as appropriate.</t>
  </si>
  <si>
    <t>Conversion Factors and GWPs</t>
  </si>
  <si>
    <t>Provides standard conversion factors used in calculations and Global Warming Potentials (GWP)</t>
  </si>
  <si>
    <t xml:space="preserve">Multi-family </t>
  </si>
  <si>
    <t>1. Brad Calvert
Director, DRCOG Regional Planning and Development
bcalvert@drcog.org
303.480.6839 
Also, used https://www.census.gov/quickfacts/fact/table/denvercitycolorado,denvercountycolorado/PST045217
2. City and County of Denver
3. https://www.weatherdatadepot.com/</t>
  </si>
  <si>
    <t>In-boundary aviation can be retrieved https://www.colorado.gov/pacific/revenue/colorado-motor-fuel-taxes; https://registry.faa.gov/aircraftinquiry/StateCounty_Results.aspx?Statetxt=CO&amp;Countytxt=DENVER&amp;PageNo=1; and http://registry.faa.gov/aircraftinquiry/statecounty_inquiry.aspx.
Amanda Sutton
DEN Sustainability Manager
amanda.sutton@flydenver.com
303.342.2636</t>
  </si>
  <si>
    <r>
      <t>Emissions (mt CO</t>
    </r>
    <r>
      <rPr>
        <b/>
        <vertAlign val="subscript"/>
        <sz val="10"/>
        <color theme="0"/>
        <rFont val="Tw Cen MT"/>
        <family val="2"/>
      </rPr>
      <t>2</t>
    </r>
    <r>
      <rPr>
        <b/>
        <sz val="11"/>
        <color theme="0"/>
        <rFont val="Tw Cen MT"/>
        <family val="2"/>
      </rPr>
      <t>)</t>
    </r>
  </si>
  <si>
    <r>
      <t>Emissions 
(mt CH</t>
    </r>
    <r>
      <rPr>
        <b/>
        <vertAlign val="subscript"/>
        <sz val="10"/>
        <color theme="0"/>
        <rFont val="Tw Cen MT"/>
        <family val="2"/>
      </rPr>
      <t>4</t>
    </r>
    <r>
      <rPr>
        <b/>
        <sz val="11"/>
        <color theme="0"/>
        <rFont val="Tw Cen MT"/>
        <family val="2"/>
      </rPr>
      <t>)</t>
    </r>
  </si>
  <si>
    <r>
      <t>Emissions 
(mt N</t>
    </r>
    <r>
      <rPr>
        <b/>
        <vertAlign val="subscript"/>
        <sz val="10"/>
        <color theme="0"/>
        <rFont val="Tw Cen MT"/>
        <family val="2"/>
      </rPr>
      <t>2</t>
    </r>
    <r>
      <rPr>
        <b/>
        <sz val="11"/>
        <color theme="0"/>
        <rFont val="Tw Cen MT"/>
        <family val="2"/>
      </rPr>
      <t>O)</t>
    </r>
  </si>
  <si>
    <r>
      <t>Emissions (mt CO</t>
    </r>
    <r>
      <rPr>
        <b/>
        <vertAlign val="subscript"/>
        <sz val="10"/>
        <color theme="0"/>
        <rFont val="Tw Cen MT"/>
        <family val="2"/>
      </rPr>
      <t>2</t>
    </r>
    <r>
      <rPr>
        <b/>
        <sz val="11"/>
        <color theme="0"/>
        <rFont val="Tw Cen MT"/>
        <family val="2"/>
      </rPr>
      <t>e)</t>
    </r>
  </si>
  <si>
    <t>(2) Lotus assumed that 28.6 percent of DEN fuel (aviation gasoline) represents Denver induced activity and that 100 percent of LTO represents “in-boundary". Email on file.</t>
  </si>
  <si>
    <t xml:space="preserve">Data to calculate in-boundary aviation can be retrieved from the Colorado Department of Revenue (gallons of aviation gas on a monthly basis) and Federal Aviation Administration (number of aircraft).
Transboundary and LTO data is provided by Denver International Airport (DEN) </t>
  </si>
  <si>
    <t>Mike Salisbury
Transportation Energy Lead
Denver Department of Public Health and the Environment
Mike.Salisbury@denvergov.org
Amanda Sutton
Sustainability Manager
Denver International Airport
amanda.sutton@flydenver.com
(303) 342-2636
Gregg Thomas 
DPHE Director
gregg.thomas@denvergov.org</t>
  </si>
  <si>
    <t>(2) Amanda Sutton confirmed the following assumptions: 1) all diesel is used in mobile engines, with the majority being used in heavy duty vehicles; 2) all gasoline is used in mobile engines, with the majority being in heavy duty vehicles and some in lighter-duty vehicles; 3) all CNG is in mobile engines (i.e. baggage tugs), which would be considered heavy-duty vehicles; and 4) all propane use is stationary. Propane used by partners (i.e. FedEx, UPS, etc.) is not included in the data set. The contribution from ethanol in the gasoline is considered insignificant compared to the inventory totals. Email on file.</t>
  </si>
  <si>
    <t>(3) Per Amanda Sutton, data is not available on the mileage traveled by fuel and vehicle type for diesel, gasoline, and CNG. Email on file.</t>
  </si>
  <si>
    <t>Total Fuel Used</t>
  </si>
  <si>
    <t xml:space="preserve">(7) There is current debate related to CH4 emissions from jet fuel as it has been recently suggested that there are no net methane emissions from jet fuel use. However, to stay consistent with past inventories, and until such time this information is confirmed and accepted as part of GHG inventory protocol, the emission factor was not adjusted at this time. </t>
  </si>
  <si>
    <t>Total Furniture (furniture and mattresses)</t>
  </si>
  <si>
    <t>Total Paper (corrugated cardboard and other paper)</t>
  </si>
  <si>
    <t>Total Metals (appliances, HVAC ducts, steel cans, etc.)</t>
  </si>
  <si>
    <t>Total Glass (glass containers, paned glass)</t>
  </si>
  <si>
    <t>Total E-Waste (computers, televisions, other)</t>
  </si>
  <si>
    <t>Total Organics (yard, other)</t>
  </si>
  <si>
    <t>Total Other Materials (tires, textiles, household bagged waste, etc.)</t>
  </si>
  <si>
    <t>BNSF</t>
  </si>
  <si>
    <t>Dianne Delilio
Project Manager
Denver Department of Public and the Environment
diane.delillio@denvergov.org
(720) 865-5448
Charlotte Pitt
Operations Manager
Solid Waste Management/Denver Recycles
City and County of Denver
Charlotte.Pitt@denvergov.org
(303) 446-3413</t>
  </si>
  <si>
    <t>Total C&amp;D Debris (fiberglass, concrete, cement board, ceiling tiles, plaster, vinyl flooring, etc.)</t>
  </si>
  <si>
    <t>Total Plastics (film, polystyrene foam, rigid plastics, PVC pipe)</t>
  </si>
  <si>
    <t>C&amp;D Waste</t>
  </si>
  <si>
    <t xml:space="preserve">ICI Waste </t>
  </si>
  <si>
    <t xml:space="preserve">(2) Total for residential recycling below represents data for residential recycling, E-cycle events, E-cycle coupons, Recycled Your Holiday Lights, Appliance Collection, HHW Collections, and 'Other' Recycling. Total for residential compost treated in the community represents data for Backyard Composting. Total for residential compost treated outside the community represents data for Residential Composting, LeafDrop, and Treecycle. </t>
  </si>
  <si>
    <t>Tonnage</t>
  </si>
  <si>
    <t>Totals</t>
  </si>
  <si>
    <t>Office Paper</t>
  </si>
  <si>
    <t>Yard Waste</t>
  </si>
  <si>
    <t>Clean Wood</t>
  </si>
  <si>
    <t>Magazines and Mixed Paper/Junk Mail</t>
  </si>
  <si>
    <t>Cardboard/Kraft and Chip/Paperboard</t>
  </si>
  <si>
    <t>Other Paper (low-grade), To-Go Cups, and Aseptic Containers</t>
  </si>
  <si>
    <t>Organics</t>
  </si>
  <si>
    <t>C&amp;D Debris</t>
  </si>
  <si>
    <t>Composites</t>
  </si>
  <si>
    <t>Aluminum</t>
  </si>
  <si>
    <t>Steel/Tin</t>
  </si>
  <si>
    <t>#1 PET Bottles, #2 HDPE Bottles, Rigid Containers #1-#7, and Bulky Rigids</t>
  </si>
  <si>
    <t>Aseptic Containers</t>
  </si>
  <si>
    <t>DRIR</t>
  </si>
  <si>
    <t>Amtrak</t>
  </si>
  <si>
    <t>Union Pacific</t>
  </si>
  <si>
    <t>Railroad</t>
  </si>
  <si>
    <t>Fuel Use (gallons of diesel)</t>
  </si>
  <si>
    <r>
      <t>g CH</t>
    </r>
    <r>
      <rPr>
        <vertAlign val="subscript"/>
        <sz val="11"/>
        <color theme="1"/>
        <rFont val="Calibri"/>
        <family val="2"/>
        <scheme val="minor"/>
      </rPr>
      <t>4</t>
    </r>
    <r>
      <rPr>
        <sz val="11"/>
        <color theme="1"/>
        <rFont val="Calibri"/>
        <family val="2"/>
        <scheme val="minor"/>
      </rPr>
      <t>/gallon</t>
    </r>
  </si>
  <si>
    <r>
      <t>g N</t>
    </r>
    <r>
      <rPr>
        <vertAlign val="subscript"/>
        <sz val="11"/>
        <color theme="1"/>
        <rFont val="Calibri"/>
        <family val="2"/>
        <scheme val="minor"/>
      </rPr>
      <t>2</t>
    </r>
    <r>
      <rPr>
        <sz val="11"/>
        <color theme="1"/>
        <rFont val="Calibri"/>
        <family val="2"/>
        <scheme val="minor"/>
      </rPr>
      <t xml:space="preserve">O/gallon </t>
    </r>
  </si>
  <si>
    <t>Route-mile</t>
  </si>
  <si>
    <t>CNG (GGE)</t>
  </si>
  <si>
    <t>Propane (lbs)</t>
  </si>
  <si>
    <t xml:space="preserve">(5) CNG use is reported in gallons of gasoline equivalent (GGE). There are 0.877 GGE in one hundred cubic feet of CNG (per the U.S. DOE Alternative Fuels Data Center, https://epact.energy.gov/fuel-conversion-factors). </t>
  </si>
  <si>
    <t xml:space="preserve">(4) Propane use is reported in pounds used. One gallon of propane weighs 4.2 pounds. </t>
  </si>
  <si>
    <r>
      <t>Emissions (mt CO</t>
    </r>
    <r>
      <rPr>
        <b/>
        <vertAlign val="subscript"/>
        <sz val="12"/>
        <color theme="0"/>
        <rFont val="Tw Cen MT"/>
        <family val="2"/>
      </rPr>
      <t>2</t>
    </r>
    <r>
      <rPr>
        <b/>
        <sz val="12"/>
        <color theme="0"/>
        <rFont val="Tw Cen MT"/>
        <family val="2"/>
      </rPr>
      <t>e)</t>
    </r>
  </si>
  <si>
    <r>
      <t>GHG Emissions (mt CO</t>
    </r>
    <r>
      <rPr>
        <b/>
        <vertAlign val="subscript"/>
        <sz val="11"/>
        <color theme="0"/>
        <rFont val="Tw Cen MT"/>
        <family val="2"/>
      </rPr>
      <t>2</t>
    </r>
    <r>
      <rPr>
        <b/>
        <sz val="11"/>
        <color theme="0"/>
        <rFont val="Tw Cen MT"/>
        <family val="2"/>
      </rPr>
      <t>e)</t>
    </r>
  </si>
  <si>
    <r>
      <t>GHG Emissions (mt CO</t>
    </r>
    <r>
      <rPr>
        <b/>
        <vertAlign val="subscript"/>
        <sz val="12"/>
        <color theme="0"/>
        <rFont val="Tw Cen MT"/>
        <family val="2"/>
      </rPr>
      <t>2</t>
    </r>
    <r>
      <rPr>
        <b/>
        <sz val="12"/>
        <color theme="0"/>
        <rFont val="Tw Cen MT"/>
        <family val="2"/>
      </rPr>
      <t>e)</t>
    </r>
  </si>
  <si>
    <r>
      <t>Total Emissions (</t>
    </r>
    <r>
      <rPr>
        <b/>
        <sz val="10"/>
        <color theme="0"/>
        <rFont val="Calibri"/>
        <family val="2"/>
        <scheme val="minor"/>
      </rPr>
      <t>mt CO</t>
    </r>
    <r>
      <rPr>
        <b/>
        <vertAlign val="subscript"/>
        <sz val="12"/>
        <color theme="0"/>
        <rFont val="Calibri"/>
        <family val="2"/>
      </rPr>
      <t>2</t>
    </r>
    <r>
      <rPr>
        <b/>
        <sz val="10"/>
        <color theme="0"/>
        <rFont val="Calibri"/>
        <family val="2"/>
      </rPr>
      <t>e)</t>
    </r>
  </si>
  <si>
    <r>
      <t>Total BASIC Emissions With Consumption-Based Sources (</t>
    </r>
    <r>
      <rPr>
        <b/>
        <sz val="10"/>
        <color theme="0"/>
        <rFont val="Calibri"/>
        <family val="2"/>
        <scheme val="minor"/>
      </rPr>
      <t>mt CO</t>
    </r>
    <r>
      <rPr>
        <b/>
        <vertAlign val="subscript"/>
        <sz val="12"/>
        <color theme="0"/>
        <rFont val="Calibri"/>
        <family val="2"/>
      </rPr>
      <t>2</t>
    </r>
    <r>
      <rPr>
        <b/>
        <sz val="10"/>
        <color theme="0"/>
        <rFont val="Calibri"/>
        <family val="2"/>
      </rPr>
      <t>e)</t>
    </r>
  </si>
  <si>
    <r>
      <t>Emissions (mt CO</t>
    </r>
    <r>
      <rPr>
        <b/>
        <vertAlign val="subscript"/>
        <sz val="11"/>
        <color theme="0"/>
        <rFont val="Tw Cen MT"/>
        <family val="2"/>
      </rPr>
      <t>2</t>
    </r>
    <r>
      <rPr>
        <b/>
        <sz val="11"/>
        <color theme="0"/>
        <rFont val="Tw Cen MT"/>
        <family val="2"/>
      </rPr>
      <t>)</t>
    </r>
  </si>
  <si>
    <r>
      <t>Emissions (mt CH</t>
    </r>
    <r>
      <rPr>
        <b/>
        <vertAlign val="subscript"/>
        <sz val="11"/>
        <color theme="0"/>
        <rFont val="Tw Cen MT"/>
        <family val="2"/>
      </rPr>
      <t>4</t>
    </r>
    <r>
      <rPr>
        <b/>
        <sz val="11"/>
        <color theme="0"/>
        <rFont val="Tw Cen MT"/>
        <family val="2"/>
      </rPr>
      <t>)</t>
    </r>
  </si>
  <si>
    <r>
      <t>Emissions (mt N</t>
    </r>
    <r>
      <rPr>
        <b/>
        <vertAlign val="subscript"/>
        <sz val="11"/>
        <color theme="0"/>
        <rFont val="Tw Cen MT"/>
        <family val="2"/>
      </rPr>
      <t>2</t>
    </r>
    <r>
      <rPr>
        <b/>
        <sz val="11"/>
        <color theme="0"/>
        <rFont val="Tw Cen MT"/>
        <family val="2"/>
      </rPr>
      <t>O)</t>
    </r>
  </si>
  <si>
    <r>
      <t>Emissions (mt CO</t>
    </r>
    <r>
      <rPr>
        <b/>
        <vertAlign val="subscript"/>
        <sz val="11"/>
        <color theme="0"/>
        <rFont val="Tw Cen MT"/>
        <family val="2"/>
      </rPr>
      <t>2</t>
    </r>
    <r>
      <rPr>
        <b/>
        <sz val="11"/>
        <color theme="0"/>
        <rFont val="Tw Cen MT"/>
        <family val="2"/>
      </rPr>
      <t>e)</t>
    </r>
  </si>
  <si>
    <r>
      <t>Emissions (mt CO</t>
    </r>
    <r>
      <rPr>
        <b/>
        <vertAlign val="subscript"/>
        <sz val="11"/>
        <color theme="0"/>
        <rFont val="Tw Cen MT"/>
        <family val="2"/>
      </rPr>
      <t>2</t>
    </r>
    <r>
      <rPr>
        <b/>
        <sz val="11"/>
        <color theme="0"/>
        <rFont val="Tw Cen MT"/>
        <family val="2"/>
      </rPr>
      <t xml:space="preserve">e) </t>
    </r>
  </si>
  <si>
    <r>
      <t>Emissions  (mt N</t>
    </r>
    <r>
      <rPr>
        <b/>
        <vertAlign val="subscript"/>
        <sz val="11"/>
        <color theme="0"/>
        <rFont val="Tw Cen MT"/>
        <family val="2"/>
      </rPr>
      <t>2</t>
    </r>
    <r>
      <rPr>
        <b/>
        <sz val="11"/>
        <color theme="0"/>
        <rFont val="Tw Cen MT"/>
        <family val="2"/>
      </rPr>
      <t>O)</t>
    </r>
  </si>
  <si>
    <r>
      <t>Total Emissions (mt CO</t>
    </r>
    <r>
      <rPr>
        <b/>
        <vertAlign val="subscript"/>
        <sz val="10"/>
        <color theme="0"/>
        <rFont val="Calibri"/>
        <family val="2"/>
        <scheme val="minor"/>
      </rPr>
      <t>2</t>
    </r>
    <r>
      <rPr>
        <b/>
        <sz val="10"/>
        <color theme="0"/>
        <rFont val="Calibri"/>
        <family val="2"/>
        <scheme val="minor"/>
      </rPr>
      <t>e)</t>
    </r>
  </si>
  <si>
    <r>
      <t>Emissions from Ethanol (mt CO</t>
    </r>
    <r>
      <rPr>
        <b/>
        <vertAlign val="subscript"/>
        <sz val="11"/>
        <color theme="0"/>
        <rFont val="Tw Cen MT"/>
        <family val="2"/>
      </rPr>
      <t>2</t>
    </r>
    <r>
      <rPr>
        <b/>
        <sz val="11"/>
        <color theme="0"/>
        <rFont val="Tw Cen MT"/>
        <family val="2"/>
      </rPr>
      <t>(b))</t>
    </r>
  </si>
  <si>
    <r>
      <t>Emissions from Ethanol (mt CO</t>
    </r>
    <r>
      <rPr>
        <b/>
        <vertAlign val="subscript"/>
        <sz val="11"/>
        <color theme="0"/>
        <rFont val="Tw Cen MT"/>
        <family val="2"/>
      </rPr>
      <t>2</t>
    </r>
    <r>
      <rPr>
        <b/>
        <sz val="11"/>
        <color theme="0"/>
        <rFont val="Tw Cen MT"/>
        <family val="2"/>
      </rPr>
      <t>e)</t>
    </r>
  </si>
  <si>
    <r>
      <t>Emissions from Ethanol (mt N</t>
    </r>
    <r>
      <rPr>
        <b/>
        <vertAlign val="subscript"/>
        <sz val="11"/>
        <color theme="0"/>
        <rFont val="Tw Cen MT"/>
        <family val="2"/>
      </rPr>
      <t>2</t>
    </r>
    <r>
      <rPr>
        <b/>
        <sz val="11"/>
        <color theme="0"/>
        <rFont val="Tw Cen MT"/>
        <family val="2"/>
      </rPr>
      <t>O)</t>
    </r>
  </si>
  <si>
    <r>
      <t>Emissions from Ethanol (mt CH</t>
    </r>
    <r>
      <rPr>
        <b/>
        <vertAlign val="subscript"/>
        <sz val="11"/>
        <color theme="0"/>
        <rFont val="Tw Cen MT"/>
        <family val="2"/>
      </rPr>
      <t>4</t>
    </r>
    <r>
      <rPr>
        <b/>
        <sz val="11"/>
        <color theme="0"/>
        <rFont val="Tw Cen MT"/>
        <family val="2"/>
      </rPr>
      <t>)</t>
    </r>
  </si>
  <si>
    <r>
      <t>Emissions from Ethanol (mt CO</t>
    </r>
    <r>
      <rPr>
        <b/>
        <vertAlign val="subscript"/>
        <sz val="11"/>
        <color theme="0"/>
        <rFont val="Tw Cen MT"/>
        <family val="2"/>
      </rPr>
      <t>2</t>
    </r>
    <r>
      <rPr>
        <b/>
        <sz val="11"/>
        <color theme="0"/>
        <rFont val="Tw Cen MT"/>
        <family val="2"/>
      </rPr>
      <t>)</t>
    </r>
  </si>
  <si>
    <r>
      <t>Emissions from Diesel (mt CO</t>
    </r>
    <r>
      <rPr>
        <b/>
        <vertAlign val="subscript"/>
        <sz val="11"/>
        <color theme="0"/>
        <rFont val="Tw Cen MT"/>
        <family val="2"/>
      </rPr>
      <t>2</t>
    </r>
    <r>
      <rPr>
        <b/>
        <sz val="11"/>
        <color theme="0"/>
        <rFont val="Tw Cen MT"/>
        <family val="2"/>
      </rPr>
      <t>e)</t>
    </r>
  </si>
  <si>
    <r>
      <t>Emissions from Diesel (mt N</t>
    </r>
    <r>
      <rPr>
        <b/>
        <vertAlign val="subscript"/>
        <sz val="11"/>
        <color theme="0"/>
        <rFont val="Tw Cen MT"/>
        <family val="2"/>
      </rPr>
      <t>2</t>
    </r>
    <r>
      <rPr>
        <b/>
        <sz val="11"/>
        <color theme="0"/>
        <rFont val="Tw Cen MT"/>
        <family val="2"/>
      </rPr>
      <t>O)</t>
    </r>
  </si>
  <si>
    <r>
      <t>Emissions from Diesel (mt CH</t>
    </r>
    <r>
      <rPr>
        <b/>
        <vertAlign val="subscript"/>
        <sz val="11"/>
        <color theme="0"/>
        <rFont val="Tw Cen MT"/>
        <family val="2"/>
      </rPr>
      <t>4</t>
    </r>
    <r>
      <rPr>
        <b/>
        <sz val="11"/>
        <color theme="0"/>
        <rFont val="Tw Cen MT"/>
        <family val="2"/>
      </rPr>
      <t>)</t>
    </r>
  </si>
  <si>
    <r>
      <t>Emissions from Diesel (mt CO</t>
    </r>
    <r>
      <rPr>
        <b/>
        <vertAlign val="subscript"/>
        <sz val="11"/>
        <color theme="0"/>
        <rFont val="Tw Cen MT"/>
        <family val="2"/>
      </rPr>
      <t>2</t>
    </r>
    <r>
      <rPr>
        <b/>
        <sz val="11"/>
        <color theme="0"/>
        <rFont val="Tw Cen MT"/>
        <family val="2"/>
      </rPr>
      <t>)</t>
    </r>
  </si>
  <si>
    <r>
      <t>Emissions from Gasoline (mt CO</t>
    </r>
    <r>
      <rPr>
        <b/>
        <vertAlign val="subscript"/>
        <sz val="11"/>
        <color theme="0"/>
        <rFont val="Tw Cen MT"/>
        <family val="2"/>
      </rPr>
      <t>2</t>
    </r>
    <r>
      <rPr>
        <b/>
        <sz val="11"/>
        <color theme="0"/>
        <rFont val="Tw Cen MT"/>
        <family val="2"/>
      </rPr>
      <t>e)</t>
    </r>
  </si>
  <si>
    <r>
      <t>Emissions from Gasoline (mt N</t>
    </r>
    <r>
      <rPr>
        <b/>
        <vertAlign val="subscript"/>
        <sz val="11"/>
        <color theme="0"/>
        <rFont val="Tw Cen MT"/>
        <family val="2"/>
      </rPr>
      <t>2</t>
    </r>
    <r>
      <rPr>
        <b/>
        <sz val="11"/>
        <color theme="0"/>
        <rFont val="Tw Cen MT"/>
        <family val="2"/>
      </rPr>
      <t>O)</t>
    </r>
  </si>
  <si>
    <r>
      <t>Emissions from Gasoline (mt CH</t>
    </r>
    <r>
      <rPr>
        <b/>
        <vertAlign val="subscript"/>
        <sz val="11"/>
        <color theme="0"/>
        <rFont val="Tw Cen MT"/>
        <family val="2"/>
      </rPr>
      <t>4</t>
    </r>
    <r>
      <rPr>
        <b/>
        <sz val="11"/>
        <color theme="0"/>
        <rFont val="Tw Cen MT"/>
        <family val="2"/>
      </rPr>
      <t>)</t>
    </r>
  </si>
  <si>
    <r>
      <t>Emissions from Gasoline (mt CO</t>
    </r>
    <r>
      <rPr>
        <b/>
        <vertAlign val="subscript"/>
        <sz val="11"/>
        <color theme="0"/>
        <rFont val="Tw Cen MT"/>
        <family val="2"/>
      </rPr>
      <t>2</t>
    </r>
    <r>
      <rPr>
        <b/>
        <sz val="11"/>
        <color theme="0"/>
        <rFont val="Tw Cen MT"/>
        <family val="2"/>
      </rPr>
      <t>)</t>
    </r>
  </si>
  <si>
    <r>
      <t>(1) CNG CO2 emission factor from: ICLEI’s U.S. Community Protocol for Accounting and Reporting of Greenhouse Gas Emissions (Community Protocol) – Appendix D: Transportation and Other Mobile Emission Activities and Sources, Version 1.1, July 2013: http://icleiusa.org/ghg-protocols/. (2) CNG CH</t>
    </r>
    <r>
      <rPr>
        <vertAlign val="subscript"/>
        <sz val="11"/>
        <color rgb="FF000000"/>
        <rFont val="Calibri"/>
        <family val="2"/>
        <scheme val="minor"/>
      </rPr>
      <t>4</t>
    </r>
    <r>
      <rPr>
        <sz val="11"/>
        <color rgb="FF000000"/>
        <rFont val="Calibri"/>
        <family val="2"/>
        <scheme val="minor"/>
      </rPr>
      <t xml:space="preserve"> and N</t>
    </r>
    <r>
      <rPr>
        <vertAlign val="subscript"/>
        <sz val="11"/>
        <color rgb="FF000000"/>
        <rFont val="Calibri"/>
        <family val="2"/>
        <scheme val="minor"/>
      </rPr>
      <t>2</t>
    </r>
    <r>
      <rPr>
        <sz val="11"/>
        <color rgb="FF000000"/>
        <rFont val="Calibri"/>
        <family val="2"/>
        <scheme val="minor"/>
      </rPr>
      <t>O emission factors from: Local Government Operations Protocol, Version 1.1, May 2010: https://www.theclimateregistry.org/wp-content/uploads/2014/12/2010-05-06-LGO-1.1.pdf.</t>
    </r>
  </si>
  <si>
    <r>
      <t>2019 Climate Registry Default Emissions Factors: https://www.theclimateregistry.org/wp-content/uploads/2019/05/The-Climate-Registry-2019-Default-Emission-Factor-Document.pdf. CO</t>
    </r>
    <r>
      <rPr>
        <vertAlign val="subscript"/>
        <sz val="11"/>
        <color rgb="FF000000"/>
        <rFont val="Calibri"/>
        <family val="2"/>
        <scheme val="minor"/>
      </rPr>
      <t>2</t>
    </r>
    <r>
      <rPr>
        <sz val="11"/>
        <color rgb="FF000000"/>
        <rFont val="Calibri"/>
        <family val="2"/>
        <scheme val="minor"/>
      </rPr>
      <t xml:space="preserve"> Emissions from combustion of transport fuels from Table 2.1 for 'Propane'.</t>
    </r>
  </si>
  <si>
    <r>
      <t>Documentation for Greenhouse Gas Emissions and Energy Factors Used in the Waste Reduction Model (WARM): https://www.epa.gov/sites/production/files/2016-03/documents/warm_v14_management_practices.pdf. Assumes green waste. Values are adjusted to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 xml:space="preserve">O emission factors. </t>
    </r>
  </si>
  <si>
    <r>
      <t>From using recycled inputs instead of virgin inputs (mtCO</t>
    </r>
    <r>
      <rPr>
        <b/>
        <vertAlign val="subscript"/>
        <sz val="11"/>
        <color theme="0"/>
        <rFont val="Tw Cen MT"/>
        <family val="2"/>
      </rPr>
      <t>2</t>
    </r>
    <r>
      <rPr>
        <b/>
        <sz val="11"/>
        <color theme="0"/>
        <rFont val="Tw Cen MT"/>
        <family val="2"/>
      </rPr>
      <t>e/short ton)</t>
    </r>
  </si>
  <si>
    <r>
      <t>Landfill with gas collection but no energy recovery (mtCO</t>
    </r>
    <r>
      <rPr>
        <b/>
        <vertAlign val="subscript"/>
        <sz val="11"/>
        <color theme="0"/>
        <rFont val="Tw Cen MT"/>
        <family val="2"/>
      </rPr>
      <t>2</t>
    </r>
    <r>
      <rPr>
        <b/>
        <sz val="11"/>
        <color theme="0"/>
        <rFont val="Tw Cen MT"/>
        <family val="2"/>
      </rPr>
      <t>e/short ton)</t>
    </r>
  </si>
  <si>
    <r>
      <t>Total avoided emission factor (mtCO</t>
    </r>
    <r>
      <rPr>
        <b/>
        <vertAlign val="subscript"/>
        <sz val="11"/>
        <color theme="0"/>
        <rFont val="Tw Cen MT"/>
        <family val="2"/>
      </rPr>
      <t>2</t>
    </r>
    <r>
      <rPr>
        <b/>
        <sz val="11"/>
        <color theme="0"/>
        <rFont val="Tw Cen MT"/>
        <family val="2"/>
      </rPr>
      <t>e/ton recycled)</t>
    </r>
  </si>
  <si>
    <r>
      <t>Average GHG Emissions Per Food Type (kg CO</t>
    </r>
    <r>
      <rPr>
        <b/>
        <vertAlign val="subscript"/>
        <sz val="11"/>
        <color theme="0"/>
        <rFont val="Tw Cen MT"/>
        <family val="2"/>
      </rPr>
      <t>2</t>
    </r>
    <r>
      <rPr>
        <b/>
        <sz val="11"/>
        <color theme="0"/>
        <rFont val="Tw Cen MT"/>
        <family val="2"/>
      </rPr>
      <t>e/kg food type)</t>
    </r>
  </si>
  <si>
    <r>
      <t>Denver County Population Average Food Emissions (kg CO</t>
    </r>
    <r>
      <rPr>
        <b/>
        <vertAlign val="subscript"/>
        <sz val="11"/>
        <color theme="0"/>
        <rFont val="Tw Cen MT"/>
        <family val="2"/>
      </rPr>
      <t>2</t>
    </r>
    <r>
      <rPr>
        <b/>
        <sz val="11"/>
        <color theme="0"/>
        <rFont val="Tw Cen MT"/>
        <family val="2"/>
      </rPr>
      <t>e/yr.)</t>
    </r>
  </si>
  <si>
    <r>
      <t>CO</t>
    </r>
    <r>
      <rPr>
        <b/>
        <vertAlign val="subscript"/>
        <sz val="12"/>
        <color theme="0"/>
        <rFont val="Tw Cen MT"/>
        <family val="2"/>
      </rPr>
      <t>2</t>
    </r>
  </si>
  <si>
    <r>
      <t>CH</t>
    </r>
    <r>
      <rPr>
        <b/>
        <vertAlign val="subscript"/>
        <sz val="12"/>
        <color theme="0"/>
        <rFont val="Tw Cen MT"/>
        <family val="2"/>
      </rPr>
      <t>4</t>
    </r>
  </si>
  <si>
    <r>
      <t>N</t>
    </r>
    <r>
      <rPr>
        <b/>
        <vertAlign val="subscript"/>
        <sz val="12"/>
        <color theme="0"/>
        <rFont val="Tw Cen MT"/>
        <family val="2"/>
      </rPr>
      <t>2</t>
    </r>
    <r>
      <rPr>
        <b/>
        <sz val="12"/>
        <color theme="0"/>
        <rFont val="Tw Cen MT"/>
        <family val="2"/>
      </rPr>
      <t>O</t>
    </r>
  </si>
  <si>
    <r>
      <t>SF</t>
    </r>
    <r>
      <rPr>
        <b/>
        <vertAlign val="subscript"/>
        <sz val="12"/>
        <color theme="0"/>
        <rFont val="Tw Cen MT"/>
        <family val="2"/>
      </rPr>
      <t>6</t>
    </r>
  </si>
  <si>
    <r>
      <t>NF</t>
    </r>
    <r>
      <rPr>
        <b/>
        <vertAlign val="subscript"/>
        <sz val="12"/>
        <color theme="0"/>
        <rFont val="Tw Cen MT"/>
        <family val="2"/>
      </rPr>
      <t>3</t>
    </r>
  </si>
  <si>
    <r>
      <t>Total CO</t>
    </r>
    <r>
      <rPr>
        <b/>
        <vertAlign val="subscript"/>
        <sz val="12"/>
        <color theme="0"/>
        <rFont val="Tw Cen MT"/>
        <family val="2"/>
      </rPr>
      <t>2</t>
    </r>
    <r>
      <rPr>
        <b/>
        <sz val="12"/>
        <color theme="0"/>
        <rFont val="Tw Cen MT"/>
        <family val="2"/>
      </rPr>
      <t>e</t>
    </r>
  </si>
  <si>
    <r>
      <t>CO</t>
    </r>
    <r>
      <rPr>
        <b/>
        <vertAlign val="subscript"/>
        <sz val="12"/>
        <color theme="0"/>
        <rFont val="Tw Cen MT"/>
        <family val="2"/>
      </rPr>
      <t>2</t>
    </r>
    <r>
      <rPr>
        <b/>
        <sz val="12"/>
        <color theme="0"/>
        <rFont val="Tw Cen MT"/>
        <family val="2"/>
      </rPr>
      <t>(b)</t>
    </r>
  </si>
  <si>
    <t>Cherokee (Xcel generation facility)</t>
  </si>
  <si>
    <t>Fugitive emissions from oil and gas</t>
  </si>
  <si>
    <t>2018 Annual Community Report by Xcel Energy for the City of Denver https://www.xcelenergy.com/working_with_us/municipalities/community_energy_reports (for fugitive emissions from natural gas). Report provides total natural gas consumption and fugitive emission calculations are based on these values. 
Colorado Oil and Gas Information System for oil and gas wells.</t>
  </si>
  <si>
    <t>Patrick Schmitz
Associate Product Manager
Xcel Energy
Patrick.T.Schmitz@xcelenergy.com
Colorado Oil and Gas Information System at https://cogcc.state.co.us/data.html#/cogi.</t>
  </si>
  <si>
    <t>Steve Cook
Transportation Modeling and Operations Manager
DRCOG
scook@drcog.org
(303) 480-6749</t>
  </si>
  <si>
    <t>Matthew Harrell
GIS Specialist
Illinois EPA - Air Quality Planning
(217) 557-2437
matthew.harrell@illinois.gov</t>
  </si>
  <si>
    <t>Illinois EPA</t>
  </si>
  <si>
    <t>Assessor</t>
  </si>
  <si>
    <t>Refrigerant emission estimates are based off commercial square footage.</t>
  </si>
  <si>
    <t xml:space="preserve">Unit </t>
  </si>
  <si>
    <t>Carbon dioxide</t>
  </si>
  <si>
    <t>Nitrous oxide</t>
  </si>
  <si>
    <t>Total Electricity Minus EVs and Railways (kWh)</t>
  </si>
  <si>
    <r>
      <t>Emissions 
(mt CO</t>
    </r>
    <r>
      <rPr>
        <b/>
        <vertAlign val="subscript"/>
        <sz val="11"/>
        <color theme="0"/>
        <rFont val="Tw Cen MT"/>
        <family val="2"/>
      </rPr>
      <t>2</t>
    </r>
    <r>
      <rPr>
        <b/>
        <sz val="11"/>
        <color theme="0"/>
        <rFont val="Tw Cen MT"/>
        <family val="2"/>
      </rPr>
      <t>)</t>
    </r>
  </si>
  <si>
    <r>
      <t>Emissions 
(mt CH</t>
    </r>
    <r>
      <rPr>
        <b/>
        <vertAlign val="subscript"/>
        <sz val="11"/>
        <color theme="0"/>
        <rFont val="Tw Cen MT"/>
        <family val="2"/>
      </rPr>
      <t>4</t>
    </r>
    <r>
      <rPr>
        <b/>
        <sz val="11"/>
        <color theme="0"/>
        <rFont val="Tw Cen MT"/>
        <family val="2"/>
      </rPr>
      <t>)</t>
    </r>
  </si>
  <si>
    <r>
      <t>Emissions 
(mt CO</t>
    </r>
    <r>
      <rPr>
        <b/>
        <vertAlign val="subscript"/>
        <sz val="11"/>
        <color theme="0"/>
        <rFont val="Tw Cen MT"/>
        <family val="2"/>
      </rPr>
      <t>2</t>
    </r>
    <r>
      <rPr>
        <b/>
        <sz val="11"/>
        <color theme="0"/>
        <rFont val="Tw Cen MT"/>
        <family val="2"/>
      </rPr>
      <t>e)</t>
    </r>
  </si>
  <si>
    <t>Oil produced (barrels)</t>
  </si>
  <si>
    <t>Oil production</t>
  </si>
  <si>
    <t>Oil refining</t>
  </si>
  <si>
    <t>Oil transportation</t>
  </si>
  <si>
    <t xml:space="preserve">Natural gas production </t>
  </si>
  <si>
    <t>Natural gas transmission</t>
  </si>
  <si>
    <t>Natural gas venting and flaring</t>
  </si>
  <si>
    <t xml:space="preserve">(6) Based off a report by the Idaho National Laboratory titled Plugged In: How Americans Charge Their Electric Vehicles (https://avt.inl.gov/sites/default/files/pdf/arra/PluggedInSummaryReport.pdf), 85% of EV charging is assumed to occur at residences, while 15% of charging is assumed to occur at workplaces. </t>
  </si>
  <si>
    <t xml:space="preserve">(8) Per email from Mike Salisbury, City and County of Denver, VMT for EVs is estimated around 7,000 miles per year. Email on file. </t>
  </si>
  <si>
    <t xml:space="preserve">(7) Electric vehicle fuel efficiency from the U.S. DOE: http://www.afdc.energy.gov/fuels/electricity_charging_home.html. </t>
  </si>
  <si>
    <t>RTD Activity</t>
  </si>
  <si>
    <t>gal (diesel)</t>
  </si>
  <si>
    <t>Denver Consumption</t>
  </si>
  <si>
    <t>Commuter Rail and Light Rail Emissions</t>
  </si>
  <si>
    <t>Electricity Use (kWh)</t>
  </si>
  <si>
    <t xml:space="preserve">Total used </t>
  </si>
  <si>
    <t>Percent attributed to Denver</t>
  </si>
  <si>
    <t>Total used in Denver</t>
  </si>
  <si>
    <t>(1) RTD transit data provided by Zach Van Gemert. Two spreadsheets were provided "Jan19_Routes_City_Lyr" and "Average_Daily_Ridership_by_Route_Direction_Stop".</t>
  </si>
  <si>
    <t xml:space="preserve">(1) Data provided by Amanda Sutton, DEN Sustainability Manager, via the 2018 ACERT in the spreadsheet Aggregate Data - Updated Metrics. Spreadsheet on file. Data included for fuel use represents fuel used by both DEN operations (i.e. airport owned vehicles) and airport partner operations (non-airport, tenant, and airline vehicles). Per Amanda, almost all the heavy duty/off road fleet is diesel. </t>
  </si>
  <si>
    <t xml:space="preserve">(6) Additional off-road fuel usage may be consumed within the City and County boundaries; however, it's contribution is assume to be negligible and data is difficult to retrieve. Email from Gregg Thomas is on file that explains off-road fuel in more detail. </t>
  </si>
  <si>
    <t>Mixed recyclables</t>
  </si>
  <si>
    <t>Glass Containers</t>
  </si>
  <si>
    <t>Tons of Residential and ICI Waste Landfilled Outside City Limits</t>
  </si>
  <si>
    <t>Tons of C&amp;D Waste Landfilled Outside City Limits</t>
  </si>
  <si>
    <t>Styrofoam, To-Go Cups, and Contaminants</t>
  </si>
  <si>
    <t xml:space="preserve">INFORMATION ONLY - Industrial Processes </t>
  </si>
  <si>
    <r>
      <t>Portland Cement (lb CO</t>
    </r>
    <r>
      <rPr>
        <vertAlign val="subscript"/>
        <sz val="10"/>
        <color rgb="FF000000"/>
        <rFont val="Calibri"/>
        <family val="2"/>
        <scheme val="minor"/>
      </rPr>
      <t>2</t>
    </r>
    <r>
      <rPr>
        <sz val="10"/>
        <color rgb="FF000000"/>
        <rFont val="Calibri"/>
        <family val="2"/>
        <scheme val="minor"/>
      </rPr>
      <t>e/lb cement)</t>
    </r>
  </si>
  <si>
    <r>
      <t>Delivered water (mt CO</t>
    </r>
    <r>
      <rPr>
        <vertAlign val="subscript"/>
        <sz val="10"/>
        <color rgb="FF000000"/>
        <rFont val="Calibri"/>
        <family val="2"/>
        <scheme val="minor"/>
      </rPr>
      <t>2</t>
    </r>
    <r>
      <rPr>
        <sz val="10"/>
        <color rgb="FF000000"/>
        <rFont val="Calibri"/>
        <family val="2"/>
        <scheme val="minor"/>
      </rPr>
      <t>e/MG)</t>
    </r>
  </si>
  <si>
    <t>Total Buildings</t>
  </si>
  <si>
    <t>Total Fugitive</t>
  </si>
  <si>
    <t>Total On-Road</t>
  </si>
  <si>
    <t>Transit activities within the city (buses)</t>
  </si>
  <si>
    <t>Total Transit</t>
  </si>
  <si>
    <t>Transit activities within the city (Rail)</t>
  </si>
  <si>
    <t>Transit activities within the city (Commuter Rail and Light Rail)</t>
  </si>
  <si>
    <t>Total Aviation</t>
  </si>
  <si>
    <t>Total Solid Waste</t>
  </si>
  <si>
    <t>Total Wastewater</t>
  </si>
  <si>
    <t>Off-Road Vehicles</t>
  </si>
  <si>
    <t>In-boundary</t>
  </si>
  <si>
    <t>Total Off-Road</t>
  </si>
  <si>
    <t>On-Road Transportation including Electric Vehicles</t>
  </si>
  <si>
    <t xml:space="preserve">Rail and Light Rail </t>
  </si>
  <si>
    <t>Landfilled Waste</t>
  </si>
  <si>
    <t>Buildings</t>
  </si>
  <si>
    <t>Scope 3: Consumption-Based</t>
  </si>
  <si>
    <t>Percentage of BASIC Total</t>
  </si>
  <si>
    <r>
      <t>BASIC GHG Emissions (mtCO</t>
    </r>
    <r>
      <rPr>
        <b/>
        <vertAlign val="subscript"/>
        <sz val="10"/>
        <color rgb="FFFFFFFF"/>
        <rFont val="Calibri"/>
        <family val="2"/>
        <scheme val="minor"/>
      </rPr>
      <t>2</t>
    </r>
    <r>
      <rPr>
        <b/>
        <sz val="10"/>
        <color rgb="FFFFFFFF"/>
        <rFont val="Calibri"/>
        <family val="2"/>
        <scheme val="minor"/>
      </rPr>
      <t>e)</t>
    </r>
  </si>
  <si>
    <t>Railways (ton-miles)/gallons of diesel</t>
  </si>
  <si>
    <t>http://www.minneapolismn.gov/sustainability/climate-action-goals/ghg-emissions</t>
  </si>
  <si>
    <t>https://www.boston.gov/departments/environment/bostons-carbon-emissions</t>
  </si>
  <si>
    <t>https://nyc-ghg-inventory.cusp.nyu.edu/</t>
  </si>
  <si>
    <t>https://vancouver.ca/green-vancouver/climate-and-renewables.aspx</t>
  </si>
  <si>
    <t>https://thrivingearthexchange.org/wp-content/uploads/2018/03/COA_GHG_Emissions_Updated-2019-01-15.pdf</t>
  </si>
  <si>
    <t>CDP</t>
  </si>
  <si>
    <t>https://www-static.bouldercolorado.gov/docs/Final_Boulder_community_report_2018_101119_updatedcolors-1-201910231028.pdf?_ga=2.265965190.862980120.1571852944-802383008.1571852944</t>
  </si>
  <si>
    <t>https://aspencore.org/wp-content/uploads/2019/09/Aspen-2017-GHG-Inventory-Report_FINAL_8-19-2019.pdf</t>
  </si>
  <si>
    <t>https://www.lakewood.org/files/assets/public/planning/sustainability/2018-ghg-emissions-inventory-summary-report.pdf</t>
  </si>
  <si>
    <t>Sales taxes</t>
  </si>
  <si>
    <t>City and County Boundary</t>
  </si>
  <si>
    <r>
      <t>Scope 1 (mt CO</t>
    </r>
    <r>
      <rPr>
        <b/>
        <vertAlign val="subscript"/>
        <sz val="11"/>
        <color theme="0"/>
        <rFont val="Tw Cen MT"/>
        <family val="2"/>
      </rPr>
      <t>2</t>
    </r>
    <r>
      <rPr>
        <b/>
        <sz val="11"/>
        <color theme="0"/>
        <rFont val="Tw Cen MT"/>
        <family val="2"/>
      </rPr>
      <t>e)</t>
    </r>
  </si>
  <si>
    <r>
      <t>Scope 2 (mt CO</t>
    </r>
    <r>
      <rPr>
        <b/>
        <vertAlign val="subscript"/>
        <sz val="11"/>
        <color theme="0"/>
        <rFont val="Tw Cen MT"/>
        <family val="2"/>
      </rPr>
      <t>2</t>
    </r>
    <r>
      <rPr>
        <b/>
        <sz val="11"/>
        <color theme="0"/>
        <rFont val="Tw Cen MT"/>
        <family val="2"/>
      </rPr>
      <t>e)</t>
    </r>
  </si>
  <si>
    <r>
      <t>Scope 3  (BASIC) (mt CO</t>
    </r>
    <r>
      <rPr>
        <b/>
        <vertAlign val="subscript"/>
        <sz val="11"/>
        <color theme="0"/>
        <rFont val="Tw Cen MT"/>
        <family val="2"/>
      </rPr>
      <t>2</t>
    </r>
    <r>
      <rPr>
        <b/>
        <sz val="11"/>
        <color theme="0"/>
        <rFont val="Tw Cen MT"/>
        <family val="2"/>
      </rPr>
      <t>e)</t>
    </r>
  </si>
  <si>
    <r>
      <t>Scope 3  (BASIC+) (mt CO</t>
    </r>
    <r>
      <rPr>
        <b/>
        <vertAlign val="subscript"/>
        <sz val="11"/>
        <color theme="0"/>
        <rFont val="Tw Cen MT"/>
        <family val="2"/>
      </rPr>
      <t>2</t>
    </r>
    <r>
      <rPr>
        <b/>
        <sz val="11"/>
        <color theme="0"/>
        <rFont val="Tw Cen MT"/>
        <family val="2"/>
      </rPr>
      <t>e)</t>
    </r>
  </si>
  <si>
    <r>
      <t>Consumption-based (mt CO</t>
    </r>
    <r>
      <rPr>
        <b/>
        <vertAlign val="subscript"/>
        <sz val="11"/>
        <color theme="0"/>
        <rFont val="Tw Cen MT"/>
        <family val="2"/>
      </rPr>
      <t>2</t>
    </r>
    <r>
      <rPr>
        <b/>
        <sz val="11"/>
        <color theme="0"/>
        <rFont val="Tw Cen MT"/>
        <family val="2"/>
      </rPr>
      <t>e)</t>
    </r>
  </si>
  <si>
    <r>
      <t>BASIC Emissions (mt CO</t>
    </r>
    <r>
      <rPr>
        <b/>
        <vertAlign val="subscript"/>
        <sz val="11"/>
        <color theme="0"/>
        <rFont val="Tw Cen MT"/>
        <family val="2"/>
      </rPr>
      <t>2</t>
    </r>
    <r>
      <rPr>
        <b/>
        <sz val="11"/>
        <color theme="0"/>
        <rFont val="Tw Cen MT"/>
        <family val="2"/>
      </rPr>
      <t>e)</t>
    </r>
  </si>
  <si>
    <t>Wastewater Generated Outside the City and Treated in City</t>
  </si>
  <si>
    <t>Industrial Processes and Product Use</t>
  </si>
  <si>
    <t>Total IPPU Sources</t>
  </si>
  <si>
    <t>Industrial Processes and Product Use (IPPU)</t>
  </si>
  <si>
    <t>air-conditioned space (sq ft)</t>
  </si>
  <si>
    <t>IPPU</t>
  </si>
  <si>
    <r>
      <t>Scope 1 (BASIC+) (mt CO</t>
    </r>
    <r>
      <rPr>
        <b/>
        <vertAlign val="subscript"/>
        <sz val="11"/>
        <color theme="0"/>
        <rFont val="Tw Cen MT"/>
        <family val="2"/>
      </rPr>
      <t>2</t>
    </r>
    <r>
      <rPr>
        <b/>
        <sz val="11"/>
        <color theme="0"/>
        <rFont val="Tw Cen MT"/>
        <family val="2"/>
      </rPr>
      <t>e)</t>
    </r>
  </si>
  <si>
    <t>Itinerant (BASIC+)</t>
  </si>
  <si>
    <t>Refrigerants (BASIC+)</t>
  </si>
  <si>
    <r>
      <t>BASIC with Consumption-Based (mt CO</t>
    </r>
    <r>
      <rPr>
        <b/>
        <vertAlign val="subscript"/>
        <sz val="11"/>
        <color theme="0"/>
        <rFont val="Tw Cen MT"/>
        <family val="2"/>
      </rPr>
      <t>2</t>
    </r>
    <r>
      <rPr>
        <b/>
        <sz val="11"/>
        <color theme="0"/>
        <rFont val="Tw Cen MT"/>
        <family val="2"/>
      </rPr>
      <t>e)</t>
    </r>
  </si>
  <si>
    <t>Xcel Energy, Ferrell Gas, CDPHE</t>
  </si>
  <si>
    <t>COGIS, CDPHE</t>
  </si>
  <si>
    <t>EPA</t>
  </si>
  <si>
    <t>City and County of Denver, DRCOG</t>
  </si>
  <si>
    <t>Geographic method was used to calculate emissions.</t>
  </si>
  <si>
    <t>The Climate Registry</t>
  </si>
  <si>
    <t>Used data for landing and takeoff (LTO).</t>
  </si>
  <si>
    <t xml:space="preserve">There are no landfills within the community. </t>
  </si>
  <si>
    <t xml:space="preserve">There is no waste treatment within the community. </t>
  </si>
  <si>
    <t>Emissions from industrial processes in Denver were provided in the EPA's FLIGHT (Facility Level Information on Greenhouse Gases Tool). An excel spreadsheet report for Denver for 2018 (the most recent year for which data is available) from the tool is on file. Per the FLIGHT report, there are no industrial facilities reporting emissions to EPA within Denver city limits that are not already accounted for elsewhere.</t>
  </si>
  <si>
    <t>Low</t>
  </si>
  <si>
    <t>Estimated based on square footage</t>
  </si>
  <si>
    <t>IPCC</t>
  </si>
  <si>
    <t>slcdocs.com/screen/CP0319.pdf</t>
  </si>
  <si>
    <t>Population Data</t>
  </si>
  <si>
    <t>Process emissions</t>
  </si>
  <si>
    <t>GHG Emissions</t>
  </si>
  <si>
    <t>(1) Per Denver, it is assumed that all of Denver's wastewater gets treated at Metro Wastewater Reclamation District (Metro). Per Metro, all of Denver's wastewater is treated at the Robert W. Hite Treatment Facility (RWHTF) located in Denver. Metro also treats additional wastewater from other communities.</t>
  </si>
  <si>
    <r>
      <t>Biogas combustion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t>
    </r>
  </si>
  <si>
    <r>
      <t>Biogas combustion (biogenic CO</t>
    </r>
    <r>
      <rPr>
        <vertAlign val="subscript"/>
        <sz val="11"/>
        <rFont val="Calibri"/>
        <family val="2"/>
        <scheme val="minor"/>
      </rPr>
      <t>2</t>
    </r>
    <r>
      <rPr>
        <sz val="11"/>
        <rFont val="Calibri"/>
        <family val="2"/>
        <scheme val="minor"/>
      </rPr>
      <t>)</t>
    </r>
  </si>
  <si>
    <t>No known sources exist.</t>
  </si>
  <si>
    <r>
      <t>Biogas combustion (biogenic CO</t>
    </r>
    <r>
      <rPr>
        <vertAlign val="subscript"/>
        <sz val="11"/>
        <rFont val="Calibri"/>
        <family val="2"/>
        <scheme val="minor"/>
      </rPr>
      <t>2</t>
    </r>
    <r>
      <rPr>
        <sz val="11"/>
        <rFont val="Calibri"/>
        <family val="2"/>
        <scheme val="minor"/>
      </rPr>
      <t>) - generated inside City</t>
    </r>
  </si>
  <si>
    <r>
      <t>Biogas combustion (biogenic CO</t>
    </r>
    <r>
      <rPr>
        <vertAlign val="subscript"/>
        <sz val="11"/>
        <rFont val="Calibri"/>
        <family val="2"/>
        <scheme val="minor"/>
      </rPr>
      <t>2</t>
    </r>
    <r>
      <rPr>
        <sz val="11"/>
        <rFont val="Calibri"/>
        <family val="2"/>
        <scheme val="minor"/>
      </rPr>
      <t>) - generated outside City</t>
    </r>
  </si>
  <si>
    <r>
      <t>Biogas combustion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 generated inside City</t>
    </r>
  </si>
  <si>
    <t>Process emissions - generated inside City</t>
  </si>
  <si>
    <r>
      <t>Biogas combustion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 generated outside City</t>
    </r>
  </si>
  <si>
    <t>Process emissions - generated outside City</t>
  </si>
  <si>
    <r>
      <t>Denver Emissions (mt CO</t>
    </r>
    <r>
      <rPr>
        <b/>
        <vertAlign val="subscript"/>
        <sz val="11"/>
        <color theme="0"/>
        <rFont val="Tw Cen MT"/>
        <family val="2"/>
      </rPr>
      <t>2</t>
    </r>
    <r>
      <rPr>
        <b/>
        <sz val="11"/>
        <color theme="0"/>
        <rFont val="Tw Cen MT"/>
        <family val="2"/>
      </rPr>
      <t>e)</t>
    </r>
  </si>
  <si>
    <t>2019 Annual Community Report by Xcel Energy for the City of Denver https://www.xcelenergy.com/working_with_us/municipalities/community_energy_reports</t>
  </si>
  <si>
    <t xml:space="preserve">(1) Transport natural gas is provided in the 2019 Annual Community Report by Xcel Energy for the City of Denver https://www.xcelenergy.com/working_with_us/municipalities/community_energy_reports. 
(2) Stationary diesel consumption is provided in CDPHE's CACTIS.
(3) Propane data is provided by propane provider in the community (FerrellGas). Amerigas did not respond to data requests. </t>
  </si>
  <si>
    <t xml:space="preserve">Data on water use is included in Denver Water's 2019 Annual Financial Report, available at https://www.denverwater.org/about-us/investor-relations/financial-information/annual-reports. </t>
  </si>
  <si>
    <t>2020 Annual Community Report by Xcel Energy for the City of Denver https://www.xcelenergy.com/working_with_us/municipalities/community_energy_reports</t>
  </si>
  <si>
    <t>2021 Annual Community Report by Xcel Energy for the City of Denver https://www.xcelenergy.com/working_with_us/municipalities/community_energy_reports</t>
  </si>
  <si>
    <t>2022 Annual Community Report by Xcel Energy for the City of Denver https://www.xcelenergy.com/working_with_us/municipalities/community_energy_reports</t>
  </si>
  <si>
    <t>On file.</t>
  </si>
  <si>
    <t>(1) Emissions from industrial processes in Denver were provided in the EPA's FLIGHT (Facility Level Information on Greenhouse Gases Tool). Spreadsheet on file. The original dataset can be accessed at:https://ghgdata.epa.gov/ghgp/main.do. Per Xcel Energy, emissions from Xcel Energy generation facilities listed in the FLIGHT tool are already represented in Xcel's electricity emissions factors. Emissions from other sources (i.e. DIA) may be partially included in other categories. Therefore, emissions are provided as information-only on this tab to avoid double-counting.</t>
  </si>
  <si>
    <t>(7) No N2O is recorded from leakage from natural gas.</t>
  </si>
  <si>
    <t xml:space="preserve">On file. </t>
  </si>
  <si>
    <t>Carly Macias
Senior Transportation Planner, RTD
303-299-2513
carly.macias@rtd-denver.com
Zach Van Gemert
Senior Operations Analyst, RTD
303.299.2830
zachariah.vangemert@rtd-denver.com</t>
  </si>
  <si>
    <t xml:space="preserve">(5) Data on aviation gasoline use in the state of Colorado was obtained from the Colorado Department of Revenue Motor Fuel Tax Reports for 2019 (Accessible at https://www.colorado.gov/pacific/revenue/colorado-motor-fuel-taxes, monthly pdfs on file). Use is reported on a monthly basis. It is assumed that all in-boundary aviation activity in Denver uses aviation gasoline (not jet fuel). </t>
  </si>
  <si>
    <t>rice (white)</t>
  </si>
  <si>
    <t>Melon</t>
  </si>
  <si>
    <t xml:space="preserve">(3) Emissions calculated from food consumption is a process-based approach based on food types and Denver's population. Data on emissions and availability of various food products was obtained from dataFIELD v1.0 tool as detailed in the Heller and Keoleian report "Linking Health and Environmental Outcomes to Dietary Behaviors in the United States," tool is on file and can be downloaded here: http://css.umich.edu/page/datafield. </t>
  </si>
  <si>
    <t xml:space="preserve">Obtained from dataFIELD v1.0 tool as detailed in the Heller and Keoleian report "Linking Health and Environmental Outcomes to Dietary Behaviors in the United States," tool is on file and can be downloaded here: http://css.umich.edu/page/datafield. </t>
  </si>
  <si>
    <t>August 2020</t>
  </si>
  <si>
    <t>2019 Climate Registry, Table 2.1, 2.7 (https://www.theclimateregistry.org/wp-content/uploads/2019/05/The-Climate-Registry-2019-Default-Emission-Factor-Document.pdf)</t>
  </si>
  <si>
    <t>EPA's eGrid: eGRID 2018 summary tables, table 1, sub region RMPA. https://www.epa.gov/sites/production/files/2020-01/documents/egrid2018_summary_tables.pdf.</t>
  </si>
  <si>
    <t>mt CO2/gal</t>
  </si>
  <si>
    <t>mt CH4/gal</t>
  </si>
  <si>
    <t>mt N2O/gal</t>
  </si>
  <si>
    <r>
      <t>The Climate Registry 2019 Default Emission Factors, Table 2.1 for CO</t>
    </r>
    <r>
      <rPr>
        <vertAlign val="subscript"/>
        <sz val="11"/>
        <color theme="1"/>
        <rFont val="Calibri"/>
        <family val="2"/>
        <scheme val="minor"/>
      </rPr>
      <t>2</t>
    </r>
    <r>
      <rPr>
        <sz val="11"/>
        <color theme="1"/>
        <rFont val="Calibri"/>
        <family val="2"/>
        <scheme val="minor"/>
      </rPr>
      <t xml:space="preserve"> and Table 2.7 for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 xml:space="preserve">O.: https://www.theclimateregistry.org/wp-content/uploads/2019/05/The-Climate-Registry-2019-Default-Emission-Factor-Document.pdf. </t>
    </r>
  </si>
  <si>
    <r>
      <t>mt N</t>
    </r>
    <r>
      <rPr>
        <vertAlign val="subscript"/>
        <sz val="11"/>
        <rFont val="Calibri"/>
        <family val="2"/>
        <scheme val="minor"/>
      </rPr>
      <t>2</t>
    </r>
    <r>
      <rPr>
        <sz val="11"/>
        <rFont val="Calibri"/>
        <family val="2"/>
        <scheme val="minor"/>
      </rPr>
      <t>O/ton waste</t>
    </r>
  </si>
  <si>
    <t>--</t>
  </si>
  <si>
    <t>Provided in Xcel Energy's 2019 Community Energy Report for Denver. https://www.xcelenergy.com/working_with_us/municipalities/community_energy_reports</t>
  </si>
  <si>
    <t>Provided in Xcel Energy's 2019 Community Energy Report.</t>
  </si>
  <si>
    <t>miles traveled - diesel</t>
  </si>
  <si>
    <t>Total Square Footage</t>
  </si>
  <si>
    <t xml:space="preserve">(4) Data on the number of aircraft registered in the state of Colorado and in Denver County specifically was provided by the Federal Aviation Administration at https://registry.faa.gov/aircraftinquiry/statecounty_inquiry.aspx. Data is updated on a daily basis. The values shown reflect the number of aircrafts registered on 5/19/20. </t>
  </si>
  <si>
    <t>On file</t>
  </si>
  <si>
    <t xml:space="preserve">(2) Data on the RWHTF was provided in an email from Jennifer Schwarz with Metro. </t>
  </si>
  <si>
    <t>Do not edit; this cell is a formula.</t>
  </si>
  <si>
    <t>May need to be updated</t>
  </si>
  <si>
    <t xml:space="preserve">These cells may need to be updated depending on if new emissions factors are released by a protocol, etc. These cells are not updated regularly. </t>
  </si>
  <si>
    <t>Needs to be updated each inventory</t>
  </si>
  <si>
    <t xml:space="preserve">These cells require manual entry each year due tor data that is updated on an annual basis. </t>
  </si>
  <si>
    <t>Elizabeth Babcock</t>
  </si>
  <si>
    <t>Manager</t>
  </si>
  <si>
    <t>Office of Climate Action, Sustainability, Resiliency</t>
  </si>
  <si>
    <t>720-865-5385</t>
  </si>
  <si>
    <t> Elizabeth.babcock@denvergov.org</t>
  </si>
  <si>
    <t>Electricity Provided by Xcel Energy (kW)</t>
  </si>
  <si>
    <t>Calculated Electricity Provided by Xcel Energy (kWh)</t>
  </si>
  <si>
    <t>Hillary Dobos</t>
  </si>
  <si>
    <t xml:space="preserve">Principal and Co-Owner </t>
  </si>
  <si>
    <t>303-550-6498</t>
  </si>
  <si>
    <t>hillary@lotussustainability.com</t>
  </si>
  <si>
    <t xml:space="preserve">Input raw community generated waste data sent to landfill or composting facility and recycling data to calculate emissions for waste disposal. </t>
  </si>
  <si>
    <t>(1) Land area, population estimate (as of July 1, 2019), housing units, occupied households, and number of businesses from the U.S. Census QuickFacts for Denver City and County: https://www.census.gov/quickfacts/denvercitycolorado. Pdf on file.</t>
  </si>
  <si>
    <t>(2) GDP was estimated using data from the U.S. Bureau of Economic Analysis for 2018 (most recent): https://www.bea.gov/system/files/2019-12/lagdp1219.pdf. PDF on file, value is found on page 9. Value is reported in 2012 dollars and was updated to 2020 dollars using the inflation estimator at https://www.usinflationcalculator.com/.</t>
  </si>
  <si>
    <t>(3) Climate type is defined using the Koppen Climate Classification, which designates a classification of BSk: https://www.weatherbase.com/weather/weather-summary.php3?s=96427&amp;cityname=Denver,+Colorado,+United+States+of+America.</t>
  </si>
  <si>
    <t xml:space="preserve">(5) Number of industries is from the U.S. Census American Community Survey 2016 Business Patterns, available for download at https://www.census.gov/acs/www/data/data-tables-and-tools/. PDF on file. </t>
  </si>
  <si>
    <t>(6) Number of municipal buildings is provided in a spreadsheet from the City and County of Denver's Assessors Office titled 'real_property_apartment_and_commercial_characteristics.xls'. Spreadsheet is available at https://www.denvergov.org/opendata/dataset/city-and-county-of-denver-real-property-apartment-and-commercial-characteristics. Per Denver Assessor's Office, spreadsheet is updated daily; data was accessed on 3/18/20.</t>
  </si>
  <si>
    <r>
      <t>(7) Commercial, industrial, municipal, and multi-family building square feet is provided in a spreadsheet through the City and County of Denver's Assessors Office titled '</t>
    </r>
    <r>
      <rPr>
        <sz val="10"/>
        <rFont val="Calibri"/>
        <family val="2"/>
        <scheme val="minor"/>
      </rPr>
      <t xml:space="preserve">real_property_apartment_and_commercial_characteristics.xls'. </t>
    </r>
    <r>
      <rPr>
        <i/>
        <sz val="10"/>
        <rFont val="Calibri"/>
        <family val="2"/>
        <scheme val="minor"/>
      </rPr>
      <t>Spreadsheet is available at https://www.denvergov.org/opendata/dataset/city-and-county-of-denver-real-property-apartment-and-commercial-characteristics. Data accessed on 3/18/20.</t>
    </r>
  </si>
  <si>
    <t xml:space="preserve">(9) HDD and CDD data is available for zip code 80210 (assumed to be representative of City) from www.weatherdatadepot.com using 65 degrees Fahrenheit as the balance point temperature. </t>
  </si>
  <si>
    <t>(2) Xcel's Community Energy Reports provide data on the renewable energy production occurring within the community. Data on renewable energy credits (RECs) purchased and energy production through on-site solar energy systems that are a part of the Xcel Solar*Rewards program and Solar Gardens (community solar) are provided in kilowatt hours (kWh). Data on the total capacity of on-site solar systems not enrolled in Solar*Rewards (non-Solar*Rewards) is provided in kilowatts (kW) of installed capacity during the reporting year. The inventory team estimated total annual production (kWh) of these solar systems using the National Renewable Energy Labs PVWatts tool (https://pvwatts.nrel.gov/pvwatts.php), using the Denver Department of Public Health and the Environment's address as a proxy for the system location (80204). With the exception of the non-Solar*Rewards program, all renewable energy values shown represent the total amount subscribed since the individual program began. Xcel reports capacity during the reporting year only for non-Solar*Rewards.</t>
  </si>
  <si>
    <t>(3) Data on the use of stationary diesel was provided by Adam Wozniak with the Colorado Department of Public Health and the Environment. Spreadsheet is on file. Stationary diesel use data reported by CDPHE represents the last 12 months of reported stationary diesel use from sources within the community. Because sources are only required to report their use every five years, this value may not represent the exact usage of stationary diesel in the inventory year, but is assumed to be a very close approximation of total use in the inventory year.</t>
  </si>
  <si>
    <t xml:space="preserve">(5) Per Amanda Sutton, Sustainability Manager at Denver International Airport, a very small amount of electricity (i.e., less than 7,000 kWh) used at the airport is provided by United Power. As this electricity use results in a minimal amount of emissions (i.e., less than 5 metric tons), it has not been included in the inventory. </t>
  </si>
  <si>
    <t xml:space="preserve">(1) Data on electricity and natural gas consumption was provided in Xcel Energy's Community Energy Report (CER) for 2019 for the City and County of Denver. Xcel provides CERs on an annual basis. Spreadsheet is on file. Commercial electricity use includes electricity use in metered and non-metered street lights within the community. Electricity consumed by electric vehicles was removed from the stationary totals; it was assumed that electricity consumed by electric vehicles was metered at an adjacent building. Commercial electricity includes electricity consumed by electric vehicles and railways (Light Rail and Commuter Rail); these values were subtracted from the commercial electricity totals, as they are accounted for in the railways tab. </t>
  </si>
  <si>
    <t xml:space="preserve">(6) Note that the natural gas CO2 emissions factor provided in Xcel's CER is different from ICLEI's values used in ClearPath. The value used for calculations below reflects the value used in ClearPath. </t>
  </si>
  <si>
    <t xml:space="preserve">(3) Per conversations with City and County of Denver, the 53 oil and gas wells in Denver are located in the land footprint of Denver International Airport. All wells were shut down around October 2018 (031919 email on file, combined with Sara Heald email and article in Denverite notes that three wells were capped though the remaining wells could be revived at a later date). In the absence of data regarding gathering and transmission pipelines for oil and gas wells located in Denver, the following assumptions have been made: (a) there is 1 mile of gathering pipeline for each active well; and (b) the miles of transmission pipelines are equal to the distance from Denver International Airport to the intersection of I-70 and I-225 (equal to 14 miles). Because all of the wells on DEN property were inactive in 2019, the miles of active gathering or transmission pipelines that were operational in 2019 are assumed to be zero. </t>
  </si>
  <si>
    <t xml:space="preserve">(1) Data on active oil and gas wells and compressor stations in Denver is from the Colorado Oil and Gas Information System (COGIS) (initial search by county and Denver County, then click on the year to get monthly data on the number of wells), available at https://cogcc.state.co.us/data.html#/cogis. Pdf is on file. Assume that wells produce both oil and natural gas per guidance from CDPHE. Email from 022519 (Sara Heald, CDPHE) is on file. </t>
  </si>
  <si>
    <t xml:space="preserve">(5) Electric vehicle 2019 data was collected from the Colorado Energy Office's website (https://energyoffice.colorado.gov/zero-emission-vehicles/evs-in-colorado), for the number of electric vehicles in Denver County. Data from 1/10/20. Pdf on file. </t>
  </si>
  <si>
    <t>(3) Residential waste from Denver is taken to DADS Landfill in Aurora. Methane is captured and delivered to Xcel Energy for energy production.  Residential composting goes to A1 Organics that has several locations, none of which are located in Denver. Because the final location of ICI and C&amp;D waste is unknown, it is assumed that this waste is also disposed of at DADS and composting is sent to A1 Organics.</t>
  </si>
  <si>
    <t xml:space="preserve">(4) MSW and Materials Recovery characterizations were taken from the 2016/2017 Trash and Recycling Composition Results (pdf on file). The characterization included single and multi-family homes. </t>
  </si>
  <si>
    <t xml:space="preserve">(5) Construction &amp; Demolition (C&amp;D) characterization is taken from the Draft 2019 C&amp;D Waste Audit Results dated June 12, 2019. Data was drawn from Appendix A, Aggregated C&amp;D Composition Study Results. Pdf on file. </t>
  </si>
  <si>
    <r>
      <t xml:space="preserve">(1) Data on waste generated was provided by Courtney Cotton with Denver in a spreadsheet titled </t>
    </r>
    <r>
      <rPr>
        <sz val="11"/>
        <rFont val="Calibri"/>
        <family val="2"/>
        <scheme val="minor"/>
      </rPr>
      <t>2019 Hauler Licensing Data_June2020.xls</t>
    </r>
    <r>
      <rPr>
        <i/>
        <sz val="11"/>
        <rFont val="Calibri"/>
        <family val="2"/>
        <scheme val="minor"/>
      </rPr>
      <t xml:space="preserve">, on file. Residential stream data is from the tab '2019 Waste Analysis', while ICI and C&amp;D data is from the 'Data by Stream' tab. Additional data on backyard composting was provided in an email from Courtney, pdf on file. </t>
    </r>
  </si>
  <si>
    <t xml:space="preserve">(6) The source data file includes a quantity of 4,553.81 tons as 'other recovery.' As it is unknown whether this represents composting or recycling tons, these tons have not been included in the ICI totals. </t>
  </si>
  <si>
    <t>(4) Number of multi-family households from American FactFinder, 2014-2018 American Community Survey 5-year Estimates, available for download at https://data.census.gov/cedsci/table?g=1600000US0820000&amp;tid=ACSDP5Y2018.DP04&amp;t=Housing&amp;vintage=2018&amp;hidePreview=false&amp;layer=VT_2018_160_00_PY_D1&amp;cid=DP04_0001E. Number represents the sum of the number of housing units with '3 or 4 units', '5 to 9 units' and '10 to 19 units' and '20 or more units'. Spreadsheet on file.</t>
  </si>
  <si>
    <t>On File</t>
  </si>
  <si>
    <t>2019 Data Inventory</t>
  </si>
  <si>
    <t>2019</t>
  </si>
  <si>
    <t xml:space="preserve">On file. Note: Amerigas never responded. </t>
  </si>
  <si>
    <r>
      <t>g N20</t>
    </r>
    <r>
      <rPr>
        <sz val="11"/>
        <color theme="1"/>
        <rFont val="Calibri"/>
        <family val="2"/>
        <scheme val="minor"/>
      </rPr>
      <t>/mile</t>
    </r>
  </si>
  <si>
    <t>(4) Data on propane use was provided by Scott Brocklemeyer with FerrellGas; spreadsheet 'Denver gallons by zip 2019' is on file. Scott provided data on gallons of propane purchased by Industrial/Commercial and Residential customers served by FerrellGas in Denver zip codes. Total use in each zip code was attributed to Denver based off the percent of the land area of the zip code that is within the City and County of Denver (percent of zip codes within the City and County boundary was derived using GIS). AmeriGas was unresponsive to data requests after multiple attempts.</t>
  </si>
  <si>
    <t>(3) Assume that all RTD buses use diesel per telephone conversation with Ignacio Correa at RTD.</t>
  </si>
  <si>
    <t>(4) RTD fuel data for 2019 was provided by Carly Macias with RTD. Fuel for buses represented as "diesel gallons" in original dataset. Spreadsheet 'RTD Fuel Electricity Usage 2017-2019' on file.</t>
  </si>
  <si>
    <t xml:space="preserve">(8) Number of people employed is from the Colorado Department of Local Affairs (DOLA) and is an estimate for 2019. Data can be accessed here: https://demography.dola.colorado.gov/economy-labor-force/data/jobs-forecast/. Pdf on file. </t>
  </si>
  <si>
    <t>Multifamily</t>
  </si>
  <si>
    <t>Based on data in DEN's  inventory.</t>
  </si>
  <si>
    <r>
      <t>Note: BASIC emissions do not include emissions from itinerant aviation (621,636 mtCO</t>
    </r>
    <r>
      <rPr>
        <i/>
        <vertAlign val="subscript"/>
        <sz val="10"/>
        <color rgb="FFFF0000"/>
        <rFont val="Calibri"/>
        <family val="2"/>
        <scheme val="minor"/>
      </rPr>
      <t>2</t>
    </r>
    <r>
      <rPr>
        <i/>
        <sz val="10"/>
        <color rgb="FFFF0000"/>
        <rFont val="Calibri"/>
        <family val="2"/>
        <scheme val="minor"/>
      </rPr>
      <t>e), refrigerants (25,575 mt CO</t>
    </r>
    <r>
      <rPr>
        <i/>
        <vertAlign val="subscript"/>
        <sz val="10"/>
        <color rgb="FFFF0000"/>
        <rFont val="Calibri"/>
        <family val="2"/>
        <scheme val="minor"/>
      </rPr>
      <t>2</t>
    </r>
    <r>
      <rPr>
        <i/>
        <sz val="10"/>
        <color rgb="FFFF0000"/>
        <rFont val="Calibri"/>
        <family val="2"/>
        <scheme val="minor"/>
      </rPr>
      <t>e), transboundary off-road transportation (23,659  mt CO</t>
    </r>
    <r>
      <rPr>
        <i/>
        <vertAlign val="subscript"/>
        <sz val="10"/>
        <color rgb="FFFF0000"/>
        <rFont val="Calibri"/>
        <family val="2"/>
        <scheme val="minor"/>
      </rPr>
      <t>2</t>
    </r>
    <r>
      <rPr>
        <i/>
        <sz val="10"/>
        <color rgb="FFFF0000"/>
        <rFont val="Calibri"/>
        <family val="2"/>
        <scheme val="minor"/>
      </rPr>
      <t>e), or consumption-based sources (2,164,731 mtCO</t>
    </r>
    <r>
      <rPr>
        <i/>
        <vertAlign val="subscript"/>
        <sz val="10"/>
        <color rgb="FFFF0000"/>
        <rFont val="Calibri"/>
        <family val="2"/>
        <scheme val="minor"/>
      </rPr>
      <t>2</t>
    </r>
    <r>
      <rPr>
        <i/>
        <sz val="10"/>
        <color rgb="FFFF0000"/>
        <rFont val="Calibri"/>
        <family val="2"/>
        <scheme val="minor"/>
      </rPr>
      <t>e).</t>
    </r>
  </si>
  <si>
    <t>Emission Inventory Summary (BASIC+)</t>
  </si>
  <si>
    <t>Emission Inventory Summary (BASIC)</t>
  </si>
  <si>
    <t>Total BASIC+ with Consumption-Based</t>
  </si>
  <si>
    <t>Multifamily Electricity</t>
  </si>
  <si>
    <t>Multifamily Natural Gas</t>
  </si>
  <si>
    <t xml:space="preserve">Core Emissions by Sector </t>
  </si>
  <si>
    <t>Core Emissions by Source</t>
  </si>
  <si>
    <t>Transit (including light rail)</t>
  </si>
  <si>
    <t>(3) Data on fuel use and route-miles for City and County of Denver provided by Matthew Harrell, Geographic Information Specialist with Illinois EPA - Air Quality Planning. 2018 data was used for 2019 since 2019 was not available.</t>
  </si>
  <si>
    <t xml:space="preserve">(2) Approximately 72% of rail boarding's are attributed to Denver based on previous research performed by Denver. Email is on file. </t>
  </si>
  <si>
    <t>4) RTD data provided by Brian They; data is for 2017-2019. According to Brian, increase in kWh is almost entirely from commuter rail, since 2016 was only a partial service year for the A-Line. Light rail increase in 2019 was likely due to G-Line opening. Email on file.</t>
  </si>
  <si>
    <t>EPA's eGRID: eGRID 2018 summary tables, table 1, sub region RMPA. https://www.epa.gov/sites/production/files/2020-01/documents/egrid2018_summary_tables.pdf.</t>
  </si>
  <si>
    <t>(10) Data on 2019 sales taxes collected is drawn from City and County of Denver's Comprehensive Annual Financial Report (CAFR), Table Titled 'Sales Tax by Category' on page 207: https://www.denvergov.org/content/dam/denvergov/Portals/344/documents/CAFR/CAFR_2018.pdf. PDF is on file. 2018 is the most recent data available.</t>
  </si>
  <si>
    <t>(11) Total retail sales calculated based on the sales taxes collected in Denver in 2019 and the City's retail sales tax rate for 2018 (per Denver's 2018 CAFR, 2018 sales tax rate was 3.65%). 2018 is the most recent data available.</t>
  </si>
  <si>
    <t xml:space="preserve">2018 data on file. </t>
  </si>
  <si>
    <t xml:space="preserve">ICLEI’s U.S. Community Protocol for Accounting and Reporting of Greenhouse Gas Emissions (Community Protocol) – Appendix C: Built Environment Emission Activities and Sources, Version 1.1, July 2013: http://icleiusa.org/ghg-protocols/.   Note: CO2 emission factors was provided directly from Tom Herrod via email.  On file. </t>
  </si>
  <si>
    <t xml:space="preserve">Updated using EPA estimates as recommended by ICLEI (https://www.epa.gov/sites/production/files/2018-03/documents/emission-factors_mar_2018_0.pdf). Based on vehicles that are 2008 to present or 2009 to present. Past years utilized ICLEI Appendix D numbers. </t>
  </si>
  <si>
    <t xml:space="preserve">Updated using EPA estimates as recommended by ICLEI (https://www.epa.gov/sites/production/files/2018-03/documents/emission-factors_mar_2018_0.pdf). Based on vehicles that are 1996 to present. Past years utilized ICLEI Appendix D numbers. </t>
  </si>
  <si>
    <t>Heavy Duty/Buses</t>
  </si>
  <si>
    <t xml:space="preserve">Updated using EPA estimates as recommended by ICLEI (https://www.epa.gov/sites/production/files/2018-03/documents/emission-factors_mar_2018_0.pdf).  Past years utilized ICLEI Appendix D numbers. </t>
  </si>
  <si>
    <t xml:space="preserve">See On-Road data tab for emission factors. Note that per ICLEI recommendation, we utilized light duty vehicles for buses, not heavy duty. </t>
  </si>
  <si>
    <t xml:space="preserve">(2) Data from "Jan19_Routes_City_Lyr", combined with data on route frequency for RTD, shows that the total number of bus transit miles traveled by RTD daily is 49,338 miles; while the total number of bus transit miles traveled by RTD for each route traveling daily in Denver is 19,706 miles6. This shows that transit miles in Denver represent 39.94% of all RTD's bus transit mileage. Data on daily route frequency was collected from RTD's website. Daily route frequency data was input into the "Jan19_Routes_City_Lyr" spreadsheet. Data was collected on 6/15/2020, and it should be noted that some routes may not represent the full frequency that each route experienced in 2019 as many routes have been impacted by COVID-19. As well, some routes were discontinued partway through 2019 or the route schedule was unavailable on RTD's website, and in these cases it was assumed then that the daily route frequency was 36 trips per day, as was assumed in past inventories. Daily transit miles across the RTD system and for Denver were multiplied by 365 to estimate annual miles. </t>
  </si>
  <si>
    <t>Light Duty (bus)</t>
  </si>
  <si>
    <r>
      <t>BASIC+ with Consumption-Based (mt CO</t>
    </r>
    <r>
      <rPr>
        <b/>
        <vertAlign val="subscript"/>
        <sz val="11"/>
        <color theme="0"/>
        <rFont val="Tw Cen MT"/>
        <family val="2"/>
      </rPr>
      <t>2</t>
    </r>
    <r>
      <rPr>
        <b/>
        <sz val="11"/>
        <color theme="0"/>
        <rFont val="Tw Cen MT"/>
        <family val="2"/>
      </rPr>
      <t>e)</t>
    </r>
  </si>
  <si>
    <r>
      <t xml:space="preserve">(1) Data on water use is included in Denver Water's 2019 Annual Financial Report, Table 'Treated Water Sold in Gallons by Customer Type.' Pdf is on file and available at https://www.denverwater.org/about-us/investor-relations/financial-information/annual-reports. </t>
    </r>
    <r>
      <rPr>
        <sz val="10"/>
        <rFont val="Calibri"/>
        <family val="2"/>
        <scheme val="minor"/>
      </rPr>
      <t xml:space="preserve">Only looking at gallons sold inside city. </t>
    </r>
  </si>
  <si>
    <t>Emissions 
(mt N20)</t>
  </si>
  <si>
    <t>Year over Year Change</t>
  </si>
  <si>
    <t>Lotus estimate</t>
  </si>
  <si>
    <t>Estimated % of square footage air conditioned</t>
  </si>
  <si>
    <t>Recycled Waste (tons)</t>
  </si>
  <si>
    <t>tons recycled waste (Life-cycle emissions)</t>
  </si>
  <si>
    <t>Total tons of cement originating in CO (2017)</t>
  </si>
  <si>
    <t>Colorado population (2017)</t>
  </si>
  <si>
    <t xml:space="preserve">(2) Cement use was calculated based off reported cement tons originating in Colorado from the 2017 US Commodity Flow Survey. (Data is accessible in the table 'Shipment Characteristics by Origin Geography by Commodity: 2017 and 2012 available at https://data.census.gov/cedsci/table?q=cf1700a09&amp;hidePreview=true&amp;tid=CFSAREA2017.CF1700A09&amp;g=0400000US08), the population of Colorado in 2017 (obtained from U.S. Census Bureau, and Denver's population). </t>
  </si>
  <si>
    <t xml:space="preserve">(1) County VMT provided by Steve Cook with DRCOG. Data on file. DRCOG only calculates VMT every five years; per Steve's guidance, VMT was extrapolated based on actual 2015 VMT (2.64 million) and projected 2020 values (using 8.7% projected increase). DRCOG provided average weekday VMT, which is multiplied by 338 to estimate total annual VMT. Per DRCOG: "You can use our 'weekday to annual' factor of 338 times the weekday value to get annual values.  This is a regional based value we developed through an analysis of regionwide traffic counts.  It brings in the estimate that weekend traffic volumes are roughly 75% of weekday." Data was confirmed in additional emails sent by Robert Spotts on 8/12/20. </t>
  </si>
  <si>
    <t>(6) Data from Denver's Transboundary LTO (landing, take-off) aviation emissions from the Airport Carbon Emissions Report DEN 2019 (Output tab, Line 95 ). Spreadsheet on file.</t>
  </si>
  <si>
    <t xml:space="preserve">(1) Aviation activity at the Denver International Airport (DEN) is attributed to Denver based on the August 2019 DEN transportation analysis, which showed that 28.6 percent of passengers originated from Denver County. This was confirmed via email. Transportation analysis spreadsheet and email on file. </t>
  </si>
  <si>
    <t xml:space="preserve">(3) DEN fuel use data was provided in an email from Amanda Sutton, Sustainability Manager for DEN. Email is on file. </t>
  </si>
  <si>
    <t>Percent Change</t>
  </si>
  <si>
    <t>Total (without consumption) Emissions</t>
  </si>
  <si>
    <t xml:space="preserve">Sector </t>
  </si>
  <si>
    <t xml:space="preserve">Fuel Used (Non-Airport, Tenant, or Airline Vehicles) </t>
  </si>
  <si>
    <t>Fuel Used (Airport Owned Vehicles)</t>
  </si>
  <si>
    <t xml:space="preserve">Gallons Consumed </t>
  </si>
  <si>
    <t xml:space="preserve">7. Multifamily Data provided by Maria Thompson via email. Email on file. Note her numbers did not include street lights. Streetlights were added into commercial. </t>
  </si>
  <si>
    <t>BASIC+</t>
  </si>
  <si>
    <t xml:space="preserve">Square footage on file. </t>
  </si>
  <si>
    <t>Total Emissions from Aviation Gas</t>
  </si>
  <si>
    <t>Total Emissions from Jet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</si>
</sst>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3">
    <numFmt numFmtId="6" formatCode="&quot;$&quot;#,##0_);[Red]\(&quot;$&quot;#,##0\)"/>
    <numFmt numFmtId="44" formatCode="_(&quot;$&quot;* #,##0.00_);_(&quot;$&quot;* \(#,##0.00\);_(&quot;$&quot;* &quot;-&quot;??_);_(@_)"/>
    <numFmt numFmtId="43" formatCode="_(* #,##0.00_);_(* \(#,##0.00\);_(* &quot;-&quot;??_);_(@_)"/>
    <numFmt numFmtId="164" formatCode="#,##0.0000"/>
    <numFmt numFmtId="165" formatCode="_(* #,##0_);_(* \(#,##0\);_(* &quot;-&quot;??_);_(@_)"/>
    <numFmt numFmtId="166" formatCode="#,##0.000"/>
    <numFmt numFmtId="167" formatCode="#,##0.00000"/>
    <numFmt numFmtId="168" formatCode="0.00000000"/>
    <numFmt numFmtId="169" formatCode="0.000000000"/>
    <numFmt numFmtId="170" formatCode="0.000"/>
    <numFmt numFmtId="171" formatCode="0.0000"/>
    <numFmt numFmtId="172" formatCode="#,##0.0"/>
    <numFmt numFmtId="173" formatCode="0.0%"/>
    <numFmt numFmtId="174" formatCode="#,##0.0_);\(#,##0.0\)"/>
    <numFmt numFmtId="175" formatCode="#,##0.000_);\(#,##0.000\)"/>
    <numFmt numFmtId="176" formatCode="0.000000"/>
    <numFmt numFmtId="177" formatCode="0.00000"/>
    <numFmt numFmtId="178" formatCode="0.0000000"/>
    <numFmt numFmtId="179" formatCode="_(&quot;$&quot;* #,##0_);_(&quot;$&quot;* \(#,##0\);_(&quot;$&quot;* &quot;-&quot;??_);_(@_)"/>
    <numFmt numFmtId="180" formatCode="0.0"/>
    <numFmt numFmtId="181" formatCode="#,##0.000000"/>
    <numFmt numFmtId="182" formatCode="&quot;$&quot;#,##0"/>
    <numFmt numFmtId="183" formatCode="0.000%"/>
  </numFmts>
  <fonts count="148">
    <font>
      <sz val="12"/>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rgb="FF000000"/>
      <name val="Calibri"/>
      <family val="2"/>
    </font>
    <font>
      <sz val="10"/>
      <name val="Arial"/>
      <family val="2"/>
    </font>
    <font>
      <sz val="16"/>
      <color rgb="FFFFFFFF"/>
      <name val="Calibri"/>
      <family val="2"/>
      <scheme val="minor"/>
    </font>
    <font>
      <b/>
      <sz val="10"/>
      <color theme="0"/>
      <name val="Calibri"/>
      <family val="2"/>
      <scheme val="minor"/>
    </font>
    <font>
      <sz val="10"/>
      <color rgb="FF000000"/>
      <name val="Calibri"/>
      <family val="2"/>
      <scheme val="minor"/>
    </font>
    <font>
      <u/>
      <sz val="12"/>
      <color theme="11"/>
      <name val="Calibri"/>
      <family val="2"/>
    </font>
    <font>
      <u/>
      <sz val="12"/>
      <color theme="10"/>
      <name val="Calibri"/>
      <family val="2"/>
    </font>
    <font>
      <sz val="10"/>
      <name val="Calibri"/>
      <family val="2"/>
      <scheme val="minor"/>
    </font>
    <font>
      <b/>
      <sz val="10"/>
      <name val="Calibri"/>
      <family val="2"/>
      <scheme val="minor"/>
    </font>
    <font>
      <sz val="10"/>
      <color rgb="FFFFFFFF"/>
      <name val="Calibri"/>
      <family val="2"/>
      <scheme val="minor"/>
    </font>
    <font>
      <sz val="10"/>
      <color rgb="FFFF0000"/>
      <name val="Calibri"/>
      <family val="2"/>
      <scheme val="minor"/>
    </font>
    <font>
      <b/>
      <sz val="10"/>
      <color rgb="FFFF0000"/>
      <name val="Calibri"/>
      <family val="2"/>
      <scheme val="minor"/>
    </font>
    <font>
      <b/>
      <sz val="10"/>
      <color rgb="FF000000"/>
      <name val="Calibri"/>
      <family val="2"/>
      <scheme val="minor"/>
    </font>
    <font>
      <b/>
      <sz val="10"/>
      <color rgb="FFFFFFFF"/>
      <name val="Calibri"/>
      <family val="2"/>
      <scheme val="minor"/>
    </font>
    <font>
      <i/>
      <sz val="10"/>
      <color rgb="FF000000"/>
      <name val="Calibri"/>
      <family val="2"/>
      <scheme val="minor"/>
    </font>
    <font>
      <b/>
      <sz val="10"/>
      <color rgb="FF333333"/>
      <name val="Calibri"/>
      <family val="2"/>
      <scheme val="minor"/>
    </font>
    <font>
      <sz val="10"/>
      <color rgb="FF333333"/>
      <name val="Calibri"/>
      <family val="2"/>
      <scheme val="minor"/>
    </font>
    <font>
      <i/>
      <sz val="10"/>
      <color rgb="FF333333"/>
      <name val="Calibri"/>
      <family val="2"/>
      <scheme val="minor"/>
    </font>
    <font>
      <b/>
      <vertAlign val="subscript"/>
      <sz val="10"/>
      <color theme="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i/>
      <sz val="10"/>
      <color rgb="FFFF0000"/>
      <name val="Calibri"/>
      <family val="2"/>
      <scheme val="minor"/>
    </font>
    <font>
      <i/>
      <sz val="10"/>
      <name val="Calibri"/>
      <family val="2"/>
      <scheme val="minor"/>
    </font>
    <font>
      <i/>
      <sz val="10"/>
      <color theme="1"/>
      <name val="Calibri"/>
      <family val="2"/>
      <scheme val="minor"/>
    </font>
    <font>
      <vertAlign val="subscript"/>
      <sz val="10"/>
      <color rgb="FF000000"/>
      <name val="Calibri"/>
      <family val="2"/>
      <scheme val="minor"/>
    </font>
    <font>
      <sz val="16"/>
      <color rgb="FFFF0000"/>
      <name val="Calibri"/>
      <family val="2"/>
      <scheme val="minor"/>
    </font>
    <font>
      <b/>
      <sz val="16"/>
      <color rgb="FFFF0000"/>
      <name val="Calibri"/>
      <family val="2"/>
      <scheme val="minor"/>
    </font>
    <font>
      <sz val="16"/>
      <color rgb="FF000000"/>
      <name val="Calibri"/>
      <family val="2"/>
      <scheme val="minor"/>
    </font>
    <font>
      <sz val="10"/>
      <color theme="1"/>
      <name val="Segoe UI"/>
      <family val="2"/>
    </font>
    <font>
      <sz val="10"/>
      <color rgb="FF000000"/>
      <name val="Segoe UI"/>
      <family val="2"/>
    </font>
    <font>
      <sz val="9"/>
      <name val="Geneva"/>
    </font>
    <font>
      <sz val="9"/>
      <name val="Geneva"/>
      <family val="2"/>
    </font>
    <font>
      <sz val="9"/>
      <name val="Times New Roman"/>
      <family val="1"/>
    </font>
    <font>
      <sz val="10"/>
      <color theme="1"/>
      <name val="Arial Narrow"/>
      <family val="2"/>
    </font>
    <font>
      <sz val="11"/>
      <color indexed="8"/>
      <name val="Calibri"/>
      <family val="2"/>
      <scheme val="minor"/>
    </font>
    <font>
      <sz val="10"/>
      <color theme="1"/>
      <name val="Arial"/>
      <family val="2"/>
    </font>
    <font>
      <sz val="6"/>
      <name val="P-AVGARD"/>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P-AVGARD"/>
    </font>
    <font>
      <b/>
      <sz val="11"/>
      <color theme="1"/>
      <name val="Calibri"/>
      <family val="2"/>
      <scheme val="minor"/>
    </font>
    <font>
      <sz val="10"/>
      <name val="Segoe UI"/>
      <family val="2"/>
    </font>
    <font>
      <sz val="10"/>
      <color theme="0"/>
      <name val="Segoe UI"/>
      <family val="2"/>
    </font>
    <font>
      <u/>
      <sz val="10"/>
      <color indexed="12"/>
      <name val="Arial"/>
      <family val="2"/>
    </font>
    <font>
      <sz val="11"/>
      <color theme="0"/>
      <name val="Calibri"/>
      <family val="2"/>
      <scheme val="minor"/>
    </font>
    <font>
      <sz val="10"/>
      <color rgb="FF000000"/>
      <name val="Calibri"/>
      <family val="2"/>
    </font>
    <font>
      <sz val="11"/>
      <color rgb="FF000000"/>
      <name val="Calibri"/>
      <family val="2"/>
      <scheme val="minor"/>
    </font>
    <font>
      <vertAlign val="subscript"/>
      <sz val="11"/>
      <color theme="1"/>
      <name val="Calibri"/>
      <family val="2"/>
      <scheme val="minor"/>
    </font>
    <font>
      <sz val="12"/>
      <color rgb="FF000000"/>
      <name val="Calibri"/>
      <family val="2"/>
    </font>
    <font>
      <sz val="16"/>
      <color theme="0"/>
      <name val="Tw Cen MT"/>
      <family val="2"/>
    </font>
    <font>
      <b/>
      <sz val="11"/>
      <name val="Calibri"/>
      <family val="2"/>
    </font>
    <font>
      <sz val="20"/>
      <color theme="0"/>
      <name val="Tw Cen MT"/>
      <family val="2"/>
    </font>
    <font>
      <b/>
      <sz val="12"/>
      <color theme="0"/>
      <name val="Tw Cen MT"/>
      <family val="2"/>
    </font>
    <font>
      <b/>
      <sz val="11"/>
      <color theme="0"/>
      <name val="Tw Cen MT"/>
      <family val="2"/>
    </font>
    <font>
      <sz val="11"/>
      <name val="Calibri"/>
      <family val="2"/>
      <scheme val="minor"/>
    </font>
    <font>
      <sz val="11"/>
      <color indexed="63"/>
      <name val="Calibri"/>
      <family val="2"/>
      <scheme val="minor"/>
    </font>
    <font>
      <i/>
      <sz val="11"/>
      <color indexed="63"/>
      <name val="Calibri"/>
      <family val="2"/>
      <scheme val="minor"/>
    </font>
    <font>
      <b/>
      <sz val="11"/>
      <color theme="0"/>
      <name val="Calibri"/>
      <family val="2"/>
      <scheme val="minor"/>
    </font>
    <font>
      <i/>
      <sz val="11"/>
      <color rgb="FF000000"/>
      <name val="Calibri"/>
      <family val="2"/>
      <scheme val="minor"/>
    </font>
    <font>
      <sz val="11"/>
      <color rgb="FF333333"/>
      <name val="Calibri"/>
      <family val="2"/>
      <scheme val="minor"/>
    </font>
    <font>
      <b/>
      <sz val="11"/>
      <name val="Calibri"/>
      <family val="2"/>
      <scheme val="minor"/>
    </font>
    <font>
      <u/>
      <sz val="11"/>
      <color rgb="FF0000FF"/>
      <name val="Calibri"/>
      <family val="2"/>
      <scheme val="minor"/>
    </font>
    <font>
      <sz val="11"/>
      <color rgb="FFFFFFFF"/>
      <name val="Calibri"/>
      <family val="2"/>
      <scheme val="minor"/>
    </font>
    <font>
      <b/>
      <sz val="11"/>
      <color rgb="FF000000"/>
      <name val="Calibri"/>
      <family val="2"/>
      <scheme val="minor"/>
    </font>
    <font>
      <i/>
      <sz val="11"/>
      <name val="Calibri"/>
      <family val="2"/>
      <scheme val="minor"/>
    </font>
    <font>
      <vertAlign val="subscript"/>
      <sz val="11"/>
      <color rgb="FF000000"/>
      <name val="Calibri"/>
      <family val="2"/>
      <scheme val="minor"/>
    </font>
    <font>
      <vertAlign val="superscript"/>
      <sz val="11"/>
      <name val="Calibri"/>
      <family val="2"/>
      <scheme val="minor"/>
    </font>
    <font>
      <vertAlign val="subscript"/>
      <sz val="11"/>
      <name val="Calibri"/>
      <family val="2"/>
      <scheme val="minor"/>
    </font>
    <font>
      <sz val="11"/>
      <color rgb="FF000000"/>
      <name val="Calibri"/>
      <family val="2"/>
    </font>
    <font>
      <sz val="11"/>
      <color theme="1"/>
      <name val="Calibri"/>
      <family val="2"/>
    </font>
    <font>
      <sz val="11"/>
      <name val="Calibri"/>
      <family val="2"/>
    </font>
    <font>
      <i/>
      <sz val="11"/>
      <color theme="6" tint="-0.249977111117893"/>
      <name val="Calibri"/>
      <family val="2"/>
      <scheme val="minor"/>
    </font>
    <font>
      <sz val="10"/>
      <color rgb="FFFF0000"/>
      <name val="Segoe UI"/>
      <family val="2"/>
    </font>
    <font>
      <b/>
      <vertAlign val="subscript"/>
      <sz val="10"/>
      <color rgb="FF000000"/>
      <name val="Calibri"/>
      <family val="2"/>
    </font>
    <font>
      <b/>
      <sz val="10"/>
      <color rgb="FF000000"/>
      <name val="Calibri"/>
      <family val="2"/>
    </font>
    <font>
      <u/>
      <sz val="11"/>
      <color theme="10"/>
      <name val="Calibri"/>
      <family val="2"/>
    </font>
    <font>
      <vertAlign val="subscript"/>
      <sz val="10"/>
      <color theme="1"/>
      <name val="Calibri"/>
      <family val="2"/>
      <scheme val="minor"/>
    </font>
    <font>
      <i/>
      <sz val="11"/>
      <color rgb="FFFF0000"/>
      <name val="Segoe UI"/>
      <family val="2"/>
    </font>
    <font>
      <sz val="11"/>
      <name val="Segoe UI"/>
      <family val="2"/>
    </font>
    <font>
      <sz val="11"/>
      <color theme="1"/>
      <name val="Segoe UI"/>
      <family val="2"/>
    </font>
    <font>
      <i/>
      <sz val="11"/>
      <color rgb="FFFF0000"/>
      <name val="Calibri"/>
      <family val="2"/>
      <scheme val="minor"/>
    </font>
    <font>
      <sz val="11"/>
      <color rgb="FFFF0000"/>
      <name val="Calibri"/>
      <family val="2"/>
    </font>
    <font>
      <sz val="9"/>
      <color theme="0"/>
      <name val="Segoe UI"/>
      <family val="2"/>
    </font>
    <font>
      <sz val="11"/>
      <color rgb="FFFF0000"/>
      <name val="Segoe UI"/>
      <family val="2"/>
    </font>
    <font>
      <i/>
      <sz val="11"/>
      <color theme="1"/>
      <name val="Calibri"/>
      <family val="2"/>
      <scheme val="minor"/>
    </font>
    <font>
      <i/>
      <sz val="11"/>
      <color rgb="FF000000"/>
      <name val="Calibri"/>
      <family val="2"/>
    </font>
    <font>
      <b/>
      <vertAlign val="subscript"/>
      <sz val="10"/>
      <color rgb="FFFFFFFF"/>
      <name val="Calibri"/>
      <family val="2"/>
      <scheme val="minor"/>
    </font>
    <font>
      <b/>
      <vertAlign val="subscript"/>
      <sz val="12"/>
      <color theme="0"/>
      <name val="Calibri"/>
      <family val="2"/>
    </font>
    <font>
      <vertAlign val="subscript"/>
      <sz val="12"/>
      <color theme="0"/>
      <name val="Calibri"/>
      <family val="2"/>
    </font>
    <font>
      <sz val="12"/>
      <color theme="0"/>
      <name val="Calibri"/>
      <family val="2"/>
    </font>
    <font>
      <b/>
      <sz val="10"/>
      <color theme="0"/>
      <name val="Calibri"/>
      <family val="2"/>
    </font>
    <font>
      <b/>
      <vertAlign val="subscript"/>
      <sz val="10"/>
      <color theme="0"/>
      <name val="Calibri"/>
      <family val="2"/>
    </font>
    <font>
      <sz val="8"/>
      <name val="Calibri"/>
      <family val="2"/>
    </font>
    <font>
      <b/>
      <vertAlign val="subscript"/>
      <sz val="10"/>
      <color theme="0"/>
      <name val="Tw Cen MT"/>
      <family val="2"/>
    </font>
    <font>
      <b/>
      <vertAlign val="subscript"/>
      <sz val="12"/>
      <color theme="0"/>
      <name val="Tw Cen MT"/>
      <family val="2"/>
    </font>
    <font>
      <b/>
      <vertAlign val="subscript"/>
      <sz val="11"/>
      <color theme="0"/>
      <name val="Tw Cen MT"/>
      <family val="2"/>
    </font>
    <font>
      <i/>
      <sz val="10"/>
      <color theme="1"/>
      <name val="Calibri"/>
      <family val="2"/>
    </font>
    <font>
      <sz val="8"/>
      <name val="Calibri"/>
      <family val="2"/>
    </font>
    <font>
      <sz val="11"/>
      <color rgb="FF333333"/>
      <name val="Calibri Light"/>
      <family val="2"/>
      <scheme val="major"/>
    </font>
    <font>
      <sz val="11"/>
      <color rgb="FF000000"/>
      <name val="Calibri Light"/>
      <family val="2"/>
      <scheme val="major"/>
    </font>
    <font>
      <i/>
      <vertAlign val="subscript"/>
      <sz val="10"/>
      <color rgb="FFFF0000"/>
      <name val="Calibri"/>
      <family val="2"/>
      <scheme val="minor"/>
    </font>
    <font>
      <sz val="10"/>
      <name val="Calibri"/>
      <family val="2"/>
    </font>
  </fonts>
  <fills count="95">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D9E2F3"/>
        <bgColor rgb="FFD9E2F3"/>
      </patternFill>
    </fill>
    <fill>
      <patternFill patternType="solid">
        <fgColor rgb="FF000000"/>
        <bgColor rgb="FF000000"/>
      </patternFill>
    </fill>
    <fill>
      <patternFill patternType="solid">
        <fgColor rgb="FFD0CECE"/>
        <bgColor rgb="FFD0CECE"/>
      </patternFill>
    </fill>
    <fill>
      <patternFill patternType="solid">
        <fgColor rgb="FFD8D8D8"/>
        <bgColor rgb="FFD8D8D8"/>
      </patternFill>
    </fill>
    <fill>
      <patternFill patternType="solid">
        <fgColor rgb="FFAFFFEF"/>
        <bgColor rgb="FFAFFFEF"/>
      </patternFill>
    </fill>
    <fill>
      <patternFill patternType="solid">
        <fgColor rgb="FFC4C9DA"/>
        <bgColor rgb="FFC4C9DA"/>
      </patternFill>
    </fill>
    <fill>
      <patternFill patternType="solid">
        <fgColor rgb="FFFDCEFF"/>
        <bgColor rgb="FFFDCEFF"/>
      </patternFill>
    </fill>
    <fill>
      <patternFill patternType="solid">
        <fgColor rgb="FFFFFFFF"/>
        <bgColor indexed="64"/>
      </patternFill>
    </fill>
    <fill>
      <patternFill patternType="solid">
        <fgColor theme="0"/>
        <bgColor indexed="64"/>
      </patternFill>
    </fill>
    <fill>
      <patternFill patternType="solid">
        <fgColor theme="0" tint="-0.499984740745262"/>
        <bgColor indexed="64"/>
      </patternFill>
    </fill>
    <fill>
      <patternFill patternType="solid">
        <fgColor theme="0"/>
        <bgColor rgb="FFFFFFFF"/>
      </patternFill>
    </fill>
    <fill>
      <patternFill patternType="solid">
        <fgColor theme="0"/>
        <bgColor rgb="FF1E4E79"/>
      </patternFill>
    </fill>
    <fill>
      <patternFill patternType="solid">
        <fgColor theme="4" tint="0.79998168889431442"/>
        <bgColor indexed="64"/>
      </patternFill>
    </fill>
    <fill>
      <patternFill patternType="solid">
        <fgColor theme="0"/>
        <bgColor rgb="FFFFFF00"/>
      </patternFill>
    </fill>
    <fill>
      <patternFill patternType="solid">
        <fgColor theme="0"/>
        <bgColor rgb="FFC5E0B3"/>
      </patternFill>
    </fill>
    <fill>
      <patternFill patternType="solid">
        <fgColor indexed="9"/>
        <bgColor indexed="64"/>
      </patternFill>
    </fill>
    <fill>
      <patternFill patternType="solid">
        <fgColor theme="0"/>
        <bgColor rgb="FFD0CECE"/>
      </patternFill>
    </fill>
    <fill>
      <patternFill patternType="solid">
        <fgColor theme="0" tint="-0.14999847407452621"/>
        <bgColor indexed="64"/>
      </patternFill>
    </fill>
    <fill>
      <patternFill patternType="solid">
        <fgColor theme="0" tint="-0.14999847407452621"/>
        <bgColor rgb="FFFFFFFF"/>
      </patternFill>
    </fill>
    <fill>
      <patternFill patternType="solid">
        <fgColor theme="0" tint="-0.14999847407452621"/>
        <bgColor rgb="FFD0CECE"/>
      </patternFill>
    </fill>
    <fill>
      <patternFill patternType="solid">
        <fgColor theme="0" tint="-0.14999847407452621"/>
        <bgColor rgb="FF2E75B5"/>
      </patternFill>
    </fill>
    <fill>
      <patternFill patternType="solid">
        <fgColor theme="0" tint="-0.14999847407452621"/>
        <bgColor rgb="FFC5E0B3"/>
      </patternFill>
    </fill>
    <fill>
      <patternFill patternType="solid">
        <fgColor theme="0" tint="-0.14999847407452621"/>
        <bgColor rgb="FFBFBFBF"/>
      </patternFill>
    </fill>
    <fill>
      <patternFill patternType="solid">
        <fgColor theme="1" tint="0.499984740745262"/>
        <bgColor rgb="FF969696"/>
      </patternFill>
    </fill>
    <fill>
      <patternFill patternType="solid">
        <fgColor theme="3"/>
        <bgColor rgb="FFADB9CA"/>
      </patternFill>
    </fill>
    <fill>
      <patternFill patternType="solid">
        <fgColor theme="3" tint="0.39997558519241921"/>
        <bgColor rgb="FF8496B0"/>
      </patternFill>
    </fill>
    <fill>
      <patternFill patternType="solid">
        <fgColor theme="3" tint="0.59999389629810485"/>
        <bgColor rgb="FF333F4F"/>
      </patternFill>
    </fill>
    <fill>
      <patternFill patternType="solid">
        <fgColor theme="3" tint="-0.249977111117893"/>
        <bgColor rgb="FFD6DCE4"/>
      </patternFill>
    </fill>
    <fill>
      <patternFill patternType="solid">
        <fgColor theme="8"/>
        <bgColor rgb="FFFFD965"/>
      </patternFill>
    </fill>
    <fill>
      <patternFill patternType="solid">
        <fgColor theme="1"/>
        <bgColor rgb="FF000000"/>
      </patternFill>
    </fill>
    <fill>
      <patternFill patternType="solid">
        <fgColor theme="4" tint="0.79998168889431442"/>
        <bgColor rgb="FFAFFFEF"/>
      </patternFill>
    </fill>
    <fill>
      <patternFill patternType="solid">
        <fgColor theme="4" tint="0.79998168889431442"/>
        <bgColor rgb="FFC4C9DA"/>
      </patternFill>
    </fill>
    <fill>
      <patternFill patternType="solid">
        <fgColor theme="4" tint="0.79998168889431442"/>
        <bgColor rgb="FFFDCEFF"/>
      </patternFill>
    </fill>
    <fill>
      <patternFill patternType="solid">
        <fgColor rgb="FFFFFF00"/>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rgb="FF000000"/>
      </patternFill>
    </fill>
    <fill>
      <patternFill patternType="solid">
        <fgColor rgb="FFFFFFFF"/>
        <bgColor rgb="FF000000"/>
      </patternFill>
    </fill>
    <fill>
      <patternFill patternType="solid">
        <fgColor theme="1"/>
        <bgColor indexed="64"/>
      </patternFill>
    </fill>
    <fill>
      <patternFill patternType="solid">
        <fgColor theme="4" tint="0.59999389629810485"/>
        <bgColor rgb="FFD9E2F3"/>
      </patternFill>
    </fill>
    <fill>
      <patternFill patternType="solid">
        <fgColor theme="4" tint="0.59999389629810485"/>
        <bgColor indexed="64"/>
      </patternFill>
    </fill>
    <fill>
      <patternFill patternType="solid">
        <fgColor theme="4" tint="-0.499984740745262"/>
        <bgColor rgb="FF333F4F"/>
      </patternFill>
    </fill>
    <fill>
      <patternFill patternType="solid">
        <fgColor rgb="FFD79A2A"/>
        <bgColor rgb="FFD78D2A"/>
      </patternFill>
    </fill>
    <fill>
      <patternFill patternType="solid">
        <fgColor rgb="FF212B68"/>
        <bgColor indexed="64"/>
      </patternFill>
    </fill>
    <fill>
      <patternFill patternType="solid">
        <fgColor rgb="FF6F7BA1"/>
        <bgColor rgb="FF6F7BA1"/>
      </patternFill>
    </fill>
    <fill>
      <patternFill patternType="solid">
        <fgColor rgb="FFD8D9DA"/>
        <bgColor indexed="64"/>
      </patternFill>
    </fill>
    <fill>
      <patternFill patternType="solid">
        <fgColor theme="0"/>
        <bgColor rgb="FFD78D2A"/>
      </patternFill>
    </fill>
    <fill>
      <patternFill patternType="solid">
        <fgColor theme="0"/>
        <bgColor rgb="FF7F7F7F"/>
      </patternFill>
    </fill>
    <fill>
      <patternFill patternType="solid">
        <fgColor theme="4" tint="0.39997558519241921"/>
        <bgColor rgb="FF2E75B5"/>
      </patternFill>
    </fill>
    <fill>
      <patternFill patternType="solid">
        <fgColor rgb="FF2E75B5"/>
        <bgColor rgb="FF2E75B5"/>
      </patternFill>
    </fill>
    <fill>
      <patternFill patternType="solid">
        <fgColor theme="3" tint="-0.249977111117893"/>
        <bgColor rgb="FF2E75B5"/>
      </patternFill>
    </fill>
    <fill>
      <patternFill patternType="solid">
        <fgColor theme="3" tint="-0.499984740745262"/>
        <bgColor rgb="FF2E75B5"/>
      </patternFill>
    </fill>
    <fill>
      <patternFill patternType="solid">
        <fgColor theme="4" tint="-0.249977111117893"/>
        <bgColor rgb="FF2E75B5"/>
      </patternFill>
    </fill>
    <fill>
      <patternFill patternType="solid">
        <fgColor theme="3" tint="-0.249977111117893"/>
        <bgColor indexed="64"/>
      </patternFill>
    </fill>
    <fill>
      <patternFill patternType="solid">
        <fgColor theme="3" tint="-0.499984740745262"/>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3"/>
        <bgColor indexed="64"/>
      </patternFill>
    </fill>
    <fill>
      <patternFill patternType="solid">
        <fgColor theme="4"/>
        <bgColor indexed="64"/>
      </patternFill>
    </fill>
    <fill>
      <patternFill patternType="solid">
        <fgColor theme="1"/>
        <bgColor rgb="FF2E75B5"/>
      </patternFill>
    </fill>
    <fill>
      <patternFill patternType="solid">
        <fgColor theme="3" tint="0.39997558519241921"/>
        <bgColor rgb="FF2E75B5"/>
      </patternFill>
    </fill>
    <fill>
      <patternFill patternType="solid">
        <fgColor theme="3"/>
        <bgColor rgb="FF2E75B5"/>
      </patternFill>
    </fill>
    <fill>
      <patternFill patternType="solid">
        <fgColor theme="4"/>
        <bgColor rgb="FF2E75B5"/>
      </patternFill>
    </fill>
    <fill>
      <patternFill patternType="solid">
        <fgColor theme="4" tint="0.39997558519241921"/>
        <bgColor rgb="FF333F4F"/>
      </patternFill>
    </fill>
    <fill>
      <patternFill patternType="solid">
        <fgColor theme="0" tint="-0.249977111117893"/>
        <bgColor indexed="64"/>
      </patternFill>
    </fill>
    <fill>
      <patternFill patternType="solid">
        <fgColor theme="0" tint="-0.249977111117893"/>
        <bgColor rgb="FF2E75B5"/>
      </patternFill>
    </fill>
    <fill>
      <patternFill patternType="solid">
        <fgColor theme="6" tint="0.59999389629810485"/>
        <bgColor rgb="FFFFFFFF"/>
      </patternFill>
    </fill>
    <fill>
      <patternFill patternType="solid">
        <fgColor theme="6" tint="0.59999389629810485"/>
        <bgColor indexed="64"/>
      </patternFill>
    </fill>
    <fill>
      <patternFill patternType="solid">
        <fgColor theme="4" tint="0.59999389629810485"/>
        <bgColor indexed="9"/>
      </patternFill>
    </fill>
  </fills>
  <borders count="1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CCCCCC"/>
      </left>
      <right style="thin">
        <color rgb="FF000000"/>
      </right>
      <top style="thin">
        <color rgb="FFCCCCCC"/>
      </top>
      <bottom style="thin">
        <color rgb="FF000000"/>
      </bottom>
      <diagonal/>
    </border>
    <border>
      <left style="thin">
        <color rgb="FF000000"/>
      </left>
      <right style="thin">
        <color rgb="FF000000"/>
      </right>
      <top style="thin">
        <color rgb="FFCCCCCC"/>
      </top>
      <bottom style="thin">
        <color rgb="FF000000"/>
      </bottom>
      <diagonal/>
    </border>
    <border>
      <left/>
      <right style="thin">
        <color rgb="FF000000"/>
      </right>
      <top/>
      <bottom/>
      <diagonal/>
    </border>
    <border>
      <left style="thin">
        <color rgb="FF000000"/>
      </left>
      <right/>
      <top style="thin">
        <color rgb="FF000000"/>
      </top>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bottom/>
      <diagonal/>
    </border>
    <border>
      <left/>
      <right/>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style="thin">
        <color rgb="FFFFFFFF"/>
      </right>
      <top style="thin">
        <color rgb="FFFFFFFF"/>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rgb="FF000000"/>
      </left>
      <right style="thin">
        <color rgb="FF000000"/>
      </right>
      <top style="thin">
        <color rgb="FF000000"/>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FFFFFF"/>
      </left>
      <right style="thin">
        <color rgb="FFFFFFFF"/>
      </right>
      <top/>
      <bottom/>
      <diagonal/>
    </border>
    <border>
      <left style="thin">
        <color auto="1"/>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64"/>
      </right>
      <top/>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rgb="FFFFFFFF"/>
      </left>
      <right style="thin">
        <color rgb="FFFFFFFF"/>
      </right>
      <top style="thin">
        <color indexed="64"/>
      </top>
      <bottom style="thin">
        <color rgb="FFFFFFFF"/>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style="thin">
        <color auto="1"/>
      </top>
      <bottom style="thin">
        <color indexed="64"/>
      </bottom>
      <diagonal/>
    </border>
    <border>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indexed="64"/>
      </left>
      <right/>
      <top style="thin">
        <color indexed="64"/>
      </top>
      <bottom/>
      <diagonal/>
    </border>
    <border>
      <left style="thin">
        <color indexed="64"/>
      </left>
      <right style="thin">
        <color rgb="FF000000"/>
      </right>
      <top style="thin">
        <color indexed="64"/>
      </top>
      <bottom style="thin">
        <color rgb="FF000000"/>
      </bottom>
      <diagonal/>
    </border>
    <border>
      <left style="thin">
        <color rgb="FFCCCCCC"/>
      </left>
      <right style="thin">
        <color indexed="64"/>
      </right>
      <top style="thin">
        <color indexed="64"/>
      </top>
      <bottom style="thin">
        <color rgb="FF000000"/>
      </bottom>
      <diagonal/>
    </border>
    <border>
      <left style="thin">
        <color indexed="64"/>
      </left>
      <right style="thin">
        <color rgb="FF000000"/>
      </right>
      <top style="thin">
        <color rgb="FFCCCCCC"/>
      </top>
      <bottom style="thin">
        <color rgb="FF000000"/>
      </bottom>
      <diagonal/>
    </border>
    <border>
      <left style="medium">
        <color auto="1"/>
      </left>
      <right style="thin">
        <color auto="1"/>
      </right>
      <top style="thin">
        <color auto="1"/>
      </top>
      <bottom style="thin">
        <color auto="1"/>
      </bottom>
      <diagonal/>
    </border>
    <border>
      <left/>
      <right style="thin">
        <color indexed="64"/>
      </right>
      <top style="medium">
        <color indexed="64"/>
      </top>
      <bottom/>
      <diagonal/>
    </border>
    <border>
      <left style="thin">
        <color indexed="64"/>
      </left>
      <right style="medium">
        <color indexed="64"/>
      </right>
      <top/>
      <bottom style="thin">
        <color indexed="64"/>
      </bottom>
      <diagonal/>
    </border>
    <border>
      <left style="medium">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indexed="64"/>
      </top>
      <bottom style="thin">
        <color auto="1"/>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auto="1"/>
      </left>
      <right/>
      <top style="medium">
        <color indexed="64"/>
      </top>
      <bottom/>
      <diagonal/>
    </border>
    <border>
      <left style="thin">
        <color auto="1"/>
      </left>
      <right style="medium">
        <color auto="1"/>
      </right>
      <top style="medium">
        <color auto="1"/>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bottom style="thin">
        <color rgb="FF000000"/>
      </bottom>
      <diagonal/>
    </border>
    <border>
      <left style="thin">
        <color rgb="FF000000"/>
      </left>
      <right/>
      <top/>
      <bottom style="thin">
        <color rgb="FF000000"/>
      </bottom>
      <diagonal/>
    </border>
    <border>
      <left style="thin">
        <color rgb="FFCCCCCC"/>
      </left>
      <right style="thin">
        <color rgb="FF000000"/>
      </right>
      <top/>
      <bottom style="thin">
        <color rgb="FF000000"/>
      </bottom>
      <diagonal/>
    </border>
    <border>
      <left style="thin">
        <color indexed="64"/>
      </left>
      <right style="thin">
        <color rgb="FF000000"/>
      </right>
      <top style="thin">
        <color rgb="FFCCCCCC"/>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auto="1"/>
      </bottom>
      <diagonal/>
    </border>
    <border>
      <left style="thin">
        <color rgb="FFCCCCCC"/>
      </left>
      <right style="thin">
        <color indexed="64"/>
      </right>
      <top/>
      <bottom style="thin">
        <color indexed="64"/>
      </bottom>
      <diagonal/>
    </border>
    <border>
      <left style="medium">
        <color indexed="64"/>
      </left>
      <right/>
      <top style="thin">
        <color auto="1"/>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auto="1"/>
      </bottom>
      <diagonal/>
    </border>
    <border>
      <left/>
      <right style="medium">
        <color indexed="64"/>
      </right>
      <top/>
      <bottom style="thin">
        <color auto="1"/>
      </bottom>
      <diagonal/>
    </border>
    <border>
      <left style="thin">
        <color indexed="64"/>
      </left>
      <right/>
      <top style="thin">
        <color rgb="FF000000"/>
      </top>
      <bottom style="thin">
        <color indexed="64"/>
      </bottom>
      <diagonal/>
    </border>
    <border>
      <left style="thin">
        <color rgb="FF000000"/>
      </left>
      <right style="thin">
        <color indexed="64"/>
      </right>
      <top style="thin">
        <color rgb="FF000000"/>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auto="1"/>
      </left>
      <right style="thin">
        <color auto="1"/>
      </right>
      <top style="thin">
        <color auto="1"/>
      </top>
      <bottom style="thin">
        <color auto="1"/>
      </bottom>
      <diagonal/>
    </border>
    <border>
      <left style="thin">
        <color auto="1"/>
      </left>
      <right style="medium">
        <color indexed="64"/>
      </right>
      <top style="thin">
        <color auto="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68">
    <xf numFmtId="0" fontId="0" fillId="0" borderId="0"/>
    <xf numFmtId="43" fontId="30" fillId="0" borderId="0" applyFont="0" applyFill="0" applyBorder="0" applyAlignment="0" applyProtection="0"/>
    <xf numFmtId="0" fontId="31" fillId="0" borderId="0"/>
    <xf numFmtId="9" fontId="31" fillId="0" borderId="0" applyFont="0" applyFill="0" applyBorder="0" applyAlignment="0" applyProtection="0"/>
    <xf numFmtId="9" fontId="30" fillId="0" borderId="0" applyFon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29" fillId="0" borderId="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43" fontId="31" fillId="0" borderId="0" applyFon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28" fillId="0" borderId="0"/>
    <xf numFmtId="0" fontId="61" fillId="0" borderId="0"/>
    <xf numFmtId="43" fontId="62" fillId="0" borderId="0" applyFont="0" applyFill="0" applyBorder="0" applyAlignment="0" applyProtection="0"/>
    <xf numFmtId="44" fontId="62" fillId="0" borderId="0" applyFont="0" applyFill="0" applyBorder="0" applyAlignment="0" applyProtection="0"/>
    <xf numFmtId="9" fontId="62" fillId="0" borderId="0" applyFont="0" applyFill="0" applyBorder="0" applyAlignment="0" applyProtection="0"/>
    <xf numFmtId="0" fontId="63"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64" fillId="0" borderId="0"/>
    <xf numFmtId="0" fontId="31" fillId="0" borderId="0"/>
    <xf numFmtId="0" fontId="65" fillId="0" borderId="0"/>
    <xf numFmtId="43" fontId="28" fillId="0" borderId="0" applyFont="0" applyFill="0" applyBorder="0" applyAlignment="0" applyProtection="0"/>
    <xf numFmtId="44" fontId="31" fillId="0" borderId="0" applyFont="0" applyFill="0" applyBorder="0" applyAlignment="0" applyProtection="0"/>
    <xf numFmtId="44" fontId="28" fillId="0" borderId="0" applyFont="0" applyFill="0" applyBorder="0" applyAlignment="0" applyProtection="0"/>
    <xf numFmtId="0" fontId="31" fillId="0" borderId="0"/>
    <xf numFmtId="0" fontId="31" fillId="0" borderId="0"/>
    <xf numFmtId="0" fontId="28" fillId="0" borderId="0"/>
    <xf numFmtId="0" fontId="31" fillId="0" borderId="0">
      <alignment wrapText="1"/>
    </xf>
    <xf numFmtId="0" fontId="31" fillId="0" borderId="0"/>
    <xf numFmtId="0" fontId="28" fillId="38" borderId="28" applyNumberFormat="0" applyFont="0" applyAlignment="0" applyProtection="0"/>
    <xf numFmtId="9" fontId="31" fillId="0" borderId="0" applyFont="0" applyFill="0" applyBorder="0" applyAlignment="0" applyProtection="0"/>
    <xf numFmtId="9" fontId="28" fillId="0" borderId="0" applyFont="0" applyFill="0" applyBorder="0" applyAlignment="0" applyProtection="0"/>
    <xf numFmtId="37" fontId="67" fillId="0" borderId="0"/>
    <xf numFmtId="0" fontId="68" fillId="39" borderId="0" applyNumberFormat="0" applyBorder="0" applyAlignment="0" applyProtection="0"/>
    <xf numFmtId="0" fontId="68" fillId="40" borderId="0" applyNumberFormat="0" applyBorder="0" applyAlignment="0" applyProtection="0"/>
    <xf numFmtId="0" fontId="68" fillId="41" borderId="0" applyNumberFormat="0" applyBorder="0" applyAlignment="0" applyProtection="0"/>
    <xf numFmtId="0" fontId="68" fillId="42" borderId="0" applyNumberFormat="0" applyBorder="0" applyAlignment="0" applyProtection="0"/>
    <xf numFmtId="0" fontId="68" fillId="43" borderId="0" applyNumberFormat="0" applyBorder="0" applyAlignment="0" applyProtection="0"/>
    <xf numFmtId="0" fontId="68"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68" fillId="47" borderId="0" applyNumberFormat="0" applyBorder="0" applyAlignment="0" applyProtection="0"/>
    <xf numFmtId="0" fontId="68" fillId="42" borderId="0" applyNumberFormat="0" applyBorder="0" applyAlignment="0" applyProtection="0"/>
    <xf numFmtId="0" fontId="68" fillId="45" borderId="0" applyNumberFormat="0" applyBorder="0" applyAlignment="0" applyProtection="0"/>
    <xf numFmtId="0" fontId="68" fillId="48" borderId="0" applyNumberFormat="0" applyBorder="0" applyAlignment="0" applyProtection="0"/>
    <xf numFmtId="0" fontId="69" fillId="49" borderId="0" applyNumberFormat="0" applyBorder="0" applyAlignment="0" applyProtection="0"/>
    <xf numFmtId="0" fontId="69" fillId="46" borderId="0" applyNumberFormat="0" applyBorder="0" applyAlignment="0" applyProtection="0"/>
    <xf numFmtId="0" fontId="69" fillId="47" borderId="0" applyNumberFormat="0" applyBorder="0" applyAlignment="0" applyProtection="0"/>
    <xf numFmtId="0" fontId="69" fillId="50" borderId="0" applyNumberFormat="0" applyBorder="0" applyAlignment="0" applyProtection="0"/>
    <xf numFmtId="0" fontId="69" fillId="51" borderId="0" applyNumberFormat="0" applyBorder="0" applyAlignment="0" applyProtection="0"/>
    <xf numFmtId="0" fontId="69" fillId="52" borderId="0" applyNumberFormat="0" applyBorder="0" applyAlignment="0" applyProtection="0"/>
    <xf numFmtId="0" fontId="69" fillId="53" borderId="0" applyNumberFormat="0" applyBorder="0" applyAlignment="0" applyProtection="0"/>
    <xf numFmtId="0" fontId="69" fillId="54" borderId="0" applyNumberFormat="0" applyBorder="0" applyAlignment="0" applyProtection="0"/>
    <xf numFmtId="0" fontId="69" fillId="55" borderId="0" applyNumberFormat="0" applyBorder="0" applyAlignment="0" applyProtection="0"/>
    <xf numFmtId="0" fontId="69" fillId="50" borderId="0" applyNumberFormat="0" applyBorder="0" applyAlignment="0" applyProtection="0"/>
    <xf numFmtId="0" fontId="69" fillId="51" borderId="0" applyNumberFormat="0" applyBorder="0" applyAlignment="0" applyProtection="0"/>
    <xf numFmtId="0" fontId="69" fillId="56" borderId="0" applyNumberFormat="0" applyBorder="0" applyAlignment="0" applyProtection="0"/>
    <xf numFmtId="0" fontId="70" fillId="40" borderId="0" applyNumberFormat="0" applyBorder="0" applyAlignment="0" applyProtection="0"/>
    <xf numFmtId="0" fontId="71" fillId="57" borderId="29" applyNumberFormat="0" applyAlignment="0" applyProtection="0"/>
    <xf numFmtId="0" fontId="72" fillId="58" borderId="30" applyNumberFormat="0" applyAlignment="0" applyProtection="0"/>
    <xf numFmtId="0" fontId="73" fillId="0" borderId="0" applyNumberFormat="0" applyFill="0" applyBorder="0" applyAlignment="0" applyProtection="0"/>
    <xf numFmtId="0" fontId="74" fillId="41" borderId="0" applyNumberFormat="0" applyBorder="0" applyAlignment="0" applyProtection="0"/>
    <xf numFmtId="0" fontId="75" fillId="0" borderId="31" applyNumberFormat="0" applyFill="0" applyAlignment="0" applyProtection="0"/>
    <xf numFmtId="0" fontId="76" fillId="0" borderId="32" applyNumberFormat="0" applyFill="0" applyAlignment="0" applyProtection="0"/>
    <xf numFmtId="0" fontId="77" fillId="0" borderId="33" applyNumberFormat="0" applyFill="0" applyAlignment="0" applyProtection="0"/>
    <xf numFmtId="0" fontId="77" fillId="0" borderId="0" applyNumberFormat="0" applyFill="0" applyBorder="0" applyAlignment="0" applyProtection="0"/>
    <xf numFmtId="0" fontId="78" fillId="44" borderId="29" applyNumberFormat="0" applyAlignment="0" applyProtection="0"/>
    <xf numFmtId="0" fontId="79" fillId="0" borderId="34" applyNumberFormat="0" applyFill="0" applyAlignment="0" applyProtection="0"/>
    <xf numFmtId="0" fontId="80" fillId="59" borderId="0" applyNumberFormat="0" applyBorder="0" applyAlignment="0" applyProtection="0"/>
    <xf numFmtId="0" fontId="31" fillId="60" borderId="35" applyNumberFormat="0" applyFont="0" applyAlignment="0" applyProtection="0"/>
    <xf numFmtId="0" fontId="81" fillId="57" borderId="36" applyNumberFormat="0" applyAlignment="0" applyProtection="0"/>
    <xf numFmtId="0" fontId="82" fillId="0" borderId="0" applyNumberFormat="0" applyFill="0" applyBorder="0" applyAlignment="0" applyProtection="0"/>
    <xf numFmtId="0" fontId="83" fillId="0" borderId="37" applyNumberFormat="0" applyFill="0" applyAlignment="0" applyProtection="0"/>
    <xf numFmtId="0" fontId="84" fillId="0" borderId="0" applyNumberFormat="0" applyFill="0" applyBorder="0" applyAlignment="0" applyProtection="0"/>
    <xf numFmtId="44" fontId="31" fillId="0" borderId="0" applyFont="0" applyFill="0" applyBorder="0" applyAlignment="0" applyProtection="0"/>
    <xf numFmtId="9" fontId="31"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37" fontId="8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43" fontId="68" fillId="0" borderId="0" applyFont="0" applyFill="0" applyBorder="0" applyAlignment="0" applyProtection="0"/>
    <xf numFmtId="0" fontId="31" fillId="0" borderId="0"/>
    <xf numFmtId="43" fontId="31" fillId="0" borderId="0" applyFont="0" applyFill="0" applyBorder="0" applyAlignment="0" applyProtection="0"/>
    <xf numFmtId="43" fontId="68" fillId="0" borderId="0" applyFont="0" applyFill="0" applyBorder="0" applyAlignment="0" applyProtection="0"/>
    <xf numFmtId="0" fontId="31" fillId="0" borderId="0"/>
    <xf numFmtId="0" fontId="28" fillId="0" borderId="0"/>
    <xf numFmtId="9" fontId="28" fillId="0" borderId="0" applyFont="0" applyFill="0" applyBorder="0" applyAlignment="0" applyProtection="0"/>
    <xf numFmtId="0" fontId="67" fillId="0" borderId="0"/>
    <xf numFmtId="0" fontId="66" fillId="0" borderId="0"/>
    <xf numFmtId="0" fontId="31" fillId="0" borderId="0" applyNumberFormat="0" applyFill="0" applyBorder="0" applyAlignment="0" applyProtection="0"/>
    <xf numFmtId="9" fontId="28" fillId="0" borderId="0" applyFont="0" applyFill="0" applyBorder="0" applyAlignment="0" applyProtection="0"/>
    <xf numFmtId="43" fontId="31" fillId="0" borderId="0" applyFont="0" applyFill="0" applyBorder="0" applyAlignment="0" applyProtection="0"/>
    <xf numFmtId="43" fontId="29" fillId="0" borderId="0" applyFont="0" applyFill="0" applyBorder="0" applyAlignment="0" applyProtection="0"/>
    <xf numFmtId="9" fontId="29" fillId="0" borderId="0" applyFont="0" applyFill="0" applyBorder="0" applyAlignment="0" applyProtection="0"/>
    <xf numFmtId="0" fontId="89" fillId="0" borderId="0" applyNumberFormat="0" applyFill="0" applyBorder="0" applyAlignment="0" applyProtection="0">
      <alignment vertical="top"/>
      <protection locked="0"/>
    </xf>
    <xf numFmtId="0" fontId="29" fillId="0" borderId="0"/>
    <xf numFmtId="0" fontId="27" fillId="0" borderId="0"/>
    <xf numFmtId="43" fontId="29" fillId="0" borderId="0" applyFont="0" applyFill="0" applyBorder="0" applyAlignment="0" applyProtection="0"/>
    <xf numFmtId="0" fontId="31" fillId="0" borderId="0"/>
    <xf numFmtId="44" fontId="29" fillId="0" borderId="0" applyFont="0" applyFill="0" applyBorder="0" applyAlignment="0" applyProtection="0"/>
    <xf numFmtId="0" fontId="27" fillId="0" borderId="0"/>
    <xf numFmtId="44" fontId="94" fillId="0" borderId="0" applyFont="0" applyFill="0" applyBorder="0" applyAlignment="0" applyProtection="0"/>
    <xf numFmtId="0" fontId="95" fillId="67" borderId="0" applyAlignment="0">
      <alignment horizontal="left"/>
    </xf>
    <xf numFmtId="0" fontId="26" fillId="12" borderId="0" applyBorder="0">
      <alignment wrapText="1"/>
    </xf>
    <xf numFmtId="0" fontId="96" fillId="12" borderId="49">
      <alignment horizontal="left" wrapText="1"/>
    </xf>
    <xf numFmtId="0" fontId="26" fillId="16" borderId="0"/>
    <xf numFmtId="0" fontId="26" fillId="16" borderId="44">
      <alignment horizontal="center" vertical="center" wrapText="1"/>
    </xf>
    <xf numFmtId="0" fontId="97" fillId="68" borderId="0">
      <alignment horizontal="left" vertical="center"/>
    </xf>
    <xf numFmtId="0" fontId="98" fillId="69" borderId="0"/>
    <xf numFmtId="0" fontId="99" fillId="68" borderId="0">
      <alignment horizontal="center" vertical="center"/>
    </xf>
    <xf numFmtId="0" fontId="86" fillId="70" borderId="44">
      <alignment horizontal="left" vertical="center"/>
    </xf>
    <xf numFmtId="0" fontId="30" fillId="0" borderId="0"/>
    <xf numFmtId="0" fontId="8" fillId="0" borderId="0"/>
    <xf numFmtId="43" fontId="8" fillId="0" borderId="0" applyFont="0" applyFill="0" applyBorder="0" applyAlignment="0" applyProtection="0"/>
    <xf numFmtId="9" fontId="8" fillId="0" borderId="0" applyFont="0" applyFill="0" applyBorder="0" applyAlignment="0" applyProtection="0"/>
  </cellStyleXfs>
  <cellXfs count="1311">
    <xf numFmtId="0" fontId="0" fillId="0" borderId="0" xfId="0"/>
    <xf numFmtId="0" fontId="34" fillId="0" borderId="0" xfId="0" applyFont="1" applyAlignment="1">
      <alignment vertical="center"/>
    </xf>
    <xf numFmtId="0" fontId="34" fillId="12" borderId="0" xfId="0" applyFont="1" applyFill="1" applyAlignment="1">
      <alignment vertical="center"/>
    </xf>
    <xf numFmtId="0" fontId="32" fillId="15" borderId="0" xfId="0" applyFont="1" applyFill="1" applyAlignment="1">
      <alignment horizontal="left" vertical="center"/>
    </xf>
    <xf numFmtId="0" fontId="37" fillId="2" borderId="0" xfId="0" applyFont="1" applyFill="1"/>
    <xf numFmtId="0" fontId="34" fillId="12" borderId="0" xfId="0" applyFont="1" applyFill="1" applyAlignment="1">
      <alignment vertical="center" wrapText="1"/>
    </xf>
    <xf numFmtId="0" fontId="34" fillId="2" borderId="0" xfId="0" applyFont="1" applyFill="1"/>
    <xf numFmtId="0" fontId="37" fillId="12" borderId="0" xfId="0" applyFont="1" applyFill="1"/>
    <xf numFmtId="0" fontId="38" fillId="12" borderId="0" xfId="0" applyFont="1" applyFill="1"/>
    <xf numFmtId="0" fontId="34" fillId="14" borderId="0" xfId="0" applyFont="1" applyFill="1"/>
    <xf numFmtId="0" fontId="37" fillId="12" borderId="0" xfId="0" applyFont="1" applyFill="1" applyAlignment="1">
      <alignment horizontal="center" vertical="top"/>
    </xf>
    <xf numFmtId="0" fontId="37" fillId="12" borderId="7" xfId="0" applyFont="1" applyFill="1" applyBorder="1" applyAlignment="1">
      <alignment horizontal="center" vertical="top"/>
    </xf>
    <xf numFmtId="0" fontId="37" fillId="12" borderId="0" xfId="0" applyFont="1" applyFill="1" applyAlignment="1">
      <alignment vertical="top"/>
    </xf>
    <xf numFmtId="0" fontId="34" fillId="12" borderId="0" xfId="0" applyFont="1" applyFill="1"/>
    <xf numFmtId="0" fontId="34" fillId="0" borderId="0" xfId="0" applyFont="1"/>
    <xf numFmtId="0" fontId="34" fillId="12" borderId="0" xfId="0" applyFont="1" applyFill="1" applyAlignment="1">
      <alignment horizontal="center" wrapText="1"/>
    </xf>
    <xf numFmtId="0" fontId="34" fillId="12" borderId="0" xfId="0" applyFont="1" applyFill="1" applyAlignment="1">
      <alignment wrapText="1"/>
    </xf>
    <xf numFmtId="0" fontId="34" fillId="0" borderId="0" xfId="0" applyFont="1" applyAlignment="1">
      <alignment vertical="center" wrapText="1"/>
    </xf>
    <xf numFmtId="0" fontId="37" fillId="12" borderId="0" xfId="0" applyFont="1" applyFill="1" applyAlignment="1">
      <alignment horizontal="left" vertical="center" wrapText="1"/>
    </xf>
    <xf numFmtId="0" fontId="44" fillId="12" borderId="0" xfId="0" applyFont="1" applyFill="1" applyAlignment="1">
      <alignment wrapText="1"/>
    </xf>
    <xf numFmtId="0" fontId="34" fillId="0" borderId="0" xfId="0" applyFont="1" applyAlignment="1">
      <alignment wrapText="1"/>
    </xf>
    <xf numFmtId="0" fontId="34" fillId="0" borderId="0" xfId="0" applyFont="1" applyAlignment="1">
      <alignment horizontal="center" wrapText="1"/>
    </xf>
    <xf numFmtId="0" fontId="37" fillId="2" borderId="0" xfId="0" applyFont="1" applyFill="1" applyAlignment="1">
      <alignment horizontal="left" vertical="center"/>
    </xf>
    <xf numFmtId="0" fontId="45" fillId="2" borderId="11" xfId="0" applyFont="1" applyFill="1" applyBorder="1" applyAlignment="1">
      <alignment horizontal="left" vertical="center"/>
    </xf>
    <xf numFmtId="0" fontId="46" fillId="2" borderId="12" xfId="0" applyFont="1" applyFill="1" applyBorder="1" applyAlignment="1">
      <alignment vertical="center"/>
    </xf>
    <xf numFmtId="0" fontId="45" fillId="2" borderId="26" xfId="0" applyFont="1" applyFill="1" applyBorder="1" applyAlignment="1">
      <alignment horizontal="center" vertical="center"/>
    </xf>
    <xf numFmtId="0" fontId="46" fillId="2" borderId="0" xfId="0" applyFont="1" applyFill="1" applyAlignment="1">
      <alignment horizontal="left" vertical="center" wrapText="1"/>
    </xf>
    <xf numFmtId="0" fontId="42" fillId="2" borderId="0" xfId="0" applyFont="1" applyFill="1"/>
    <xf numFmtId="37" fontId="37" fillId="7" borderId="0" xfId="0" applyNumberFormat="1" applyFont="1" applyFill="1" applyAlignment="1">
      <alignment horizontal="center" vertical="center"/>
    </xf>
    <xf numFmtId="174" fontId="37" fillId="4" borderId="14" xfId="0" applyNumberFormat="1" applyFont="1" applyFill="1" applyBorder="1" applyAlignment="1">
      <alignment horizontal="center" vertical="center"/>
    </xf>
    <xf numFmtId="174" fontId="37" fillId="8" borderId="14" xfId="0" applyNumberFormat="1" applyFont="1" applyFill="1" applyBorder="1" applyAlignment="1">
      <alignment horizontal="center" vertical="center"/>
    </xf>
    <xf numFmtId="174" fontId="37" fillId="9" borderId="14" xfId="0" applyNumberFormat="1" applyFont="1" applyFill="1" applyBorder="1" applyAlignment="1">
      <alignment horizontal="center" vertical="center"/>
    </xf>
    <xf numFmtId="174" fontId="37" fillId="7" borderId="0" xfId="0" applyNumberFormat="1" applyFont="1" applyFill="1" applyAlignment="1">
      <alignment horizontal="center" vertical="center"/>
    </xf>
    <xf numFmtId="174" fontId="37" fillId="10" borderId="10" xfId="0" applyNumberFormat="1" applyFont="1" applyFill="1" applyBorder="1" applyAlignment="1">
      <alignment horizontal="center" vertical="center"/>
    </xf>
    <xf numFmtId="174" fontId="43" fillId="3" borderId="0" xfId="0" applyNumberFormat="1" applyFont="1" applyFill="1" applyAlignment="1">
      <alignment horizontal="center" vertical="center"/>
    </xf>
    <xf numFmtId="0" fontId="46" fillId="2" borderId="12" xfId="0" applyFont="1" applyFill="1" applyBorder="1" applyAlignment="1">
      <alignment horizontal="center" vertical="center"/>
    </xf>
    <xf numFmtId="0" fontId="46" fillId="14" borderId="12" xfId="0" applyFont="1" applyFill="1" applyBorder="1" applyAlignment="1">
      <alignment vertical="center"/>
    </xf>
    <xf numFmtId="0" fontId="47" fillId="14" borderId="0" xfId="0" applyFont="1" applyFill="1" applyAlignment="1">
      <alignment horizontal="left" vertical="center" wrapText="1"/>
    </xf>
    <xf numFmtId="0" fontId="47" fillId="2" borderId="0" xfId="0" applyFont="1" applyFill="1" applyAlignment="1">
      <alignment horizontal="center" vertical="center" wrapText="1"/>
    </xf>
    <xf numFmtId="0" fontId="37" fillId="12" borderId="0" xfId="0" applyFont="1" applyFill="1" applyAlignment="1">
      <alignment vertical="center"/>
    </xf>
    <xf numFmtId="0" fontId="38" fillId="2" borderId="0" xfId="0" applyFont="1" applyFill="1" applyAlignment="1">
      <alignment horizontal="center" vertical="center" wrapText="1"/>
    </xf>
    <xf numFmtId="0" fontId="39" fillId="15" borderId="0" xfId="0" applyFont="1" applyFill="1" applyAlignment="1">
      <alignment horizontal="left" vertical="center"/>
    </xf>
    <xf numFmtId="0" fontId="52" fillId="14" borderId="0" xfId="0" applyFont="1" applyFill="1" applyAlignment="1">
      <alignment horizontal="left" vertical="center" wrapText="1"/>
    </xf>
    <xf numFmtId="0" fontId="42" fillId="2" borderId="0" xfId="0" applyFont="1" applyFill="1" applyAlignment="1">
      <alignment horizontal="left" vertical="center"/>
    </xf>
    <xf numFmtId="0" fontId="52" fillId="14" borderId="0" xfId="0" applyFont="1" applyFill="1" applyAlignment="1">
      <alignment vertical="center" wrapText="1"/>
    </xf>
    <xf numFmtId="0" fontId="52" fillId="12" borderId="0" xfId="0" applyFont="1" applyFill="1" applyAlignment="1">
      <alignment vertical="center" wrapText="1"/>
    </xf>
    <xf numFmtId="0" fontId="49" fillId="12" borderId="0" xfId="0" applyFont="1" applyFill="1"/>
    <xf numFmtId="4" fontId="52" fillId="12" borderId="0" xfId="0" applyNumberFormat="1" applyFont="1" applyFill="1" applyAlignment="1">
      <alignment horizontal="left" vertical="center" wrapText="1"/>
    </xf>
    <xf numFmtId="0" fontId="54" fillId="12" borderId="0" xfId="0" applyFont="1" applyFill="1" applyAlignment="1">
      <alignment vertical="center"/>
    </xf>
    <xf numFmtId="0" fontId="37" fillId="12" borderId="0" xfId="0" applyFont="1" applyFill="1" applyAlignment="1">
      <alignment horizontal="left" vertical="center"/>
    </xf>
    <xf numFmtId="0" fontId="53" fillId="14" borderId="0" xfId="0" applyFont="1" applyFill="1" applyAlignment="1">
      <alignment horizontal="left" vertical="center" wrapText="1"/>
    </xf>
    <xf numFmtId="0" fontId="39" fillId="15" borderId="0" xfId="0" applyFont="1" applyFill="1" applyAlignment="1">
      <alignment vertical="center"/>
    </xf>
    <xf numFmtId="0" fontId="34" fillId="14" borderId="0" xfId="0" applyFont="1" applyFill="1" applyAlignment="1">
      <alignment vertical="center"/>
    </xf>
    <xf numFmtId="0" fontId="34" fillId="12" borderId="4" xfId="0" applyFont="1" applyFill="1" applyBorder="1" applyAlignment="1">
      <alignment vertical="center"/>
    </xf>
    <xf numFmtId="0" fontId="34" fillId="2" borderId="0" xfId="0" applyFont="1" applyFill="1" applyAlignment="1">
      <alignment vertical="center"/>
    </xf>
    <xf numFmtId="0" fontId="34" fillId="14" borderId="0" xfId="0" applyFont="1" applyFill="1" applyAlignment="1">
      <alignment vertical="center" wrapText="1"/>
    </xf>
    <xf numFmtId="0" fontId="42" fillId="14" borderId="0" xfId="0" applyFont="1" applyFill="1" applyAlignment="1">
      <alignment horizontal="left" vertical="center"/>
    </xf>
    <xf numFmtId="0" fontId="42" fillId="12" borderId="0" xfId="0" applyFont="1" applyFill="1" applyAlignment="1">
      <alignment horizontal="left" vertical="center"/>
    </xf>
    <xf numFmtId="0" fontId="42" fillId="12" borderId="0" xfId="0" applyFont="1" applyFill="1" applyAlignment="1">
      <alignment horizontal="left"/>
    </xf>
    <xf numFmtId="0" fontId="42" fillId="0" borderId="0" xfId="0" applyFont="1" applyAlignment="1">
      <alignment horizontal="left"/>
    </xf>
    <xf numFmtId="0" fontId="34" fillId="2" borderId="0" xfId="0" applyFont="1" applyFill="1" applyAlignment="1">
      <alignment vertical="center" wrapText="1"/>
    </xf>
    <xf numFmtId="0" fontId="34" fillId="2" borderId="0" xfId="0" applyFont="1" applyFill="1" applyAlignment="1">
      <alignment horizontal="center" vertical="center"/>
    </xf>
    <xf numFmtId="0" fontId="34" fillId="12" borderId="0" xfId="0" applyFont="1" applyFill="1" applyAlignment="1">
      <alignment horizontal="center" vertical="center"/>
    </xf>
    <xf numFmtId="0" fontId="34" fillId="2" borderId="0" xfId="0" applyFont="1" applyFill="1" applyAlignment="1">
      <alignment horizontal="left" vertical="center" wrapText="1"/>
    </xf>
    <xf numFmtId="49" fontId="34" fillId="14" borderId="0" xfId="0" applyNumberFormat="1" applyFont="1" applyFill="1" applyAlignment="1">
      <alignment horizontal="left" vertical="center"/>
    </xf>
    <xf numFmtId="0" fontId="34" fillId="0" borderId="0" xfId="0" applyFont="1" applyAlignment="1">
      <alignment horizontal="center" vertical="center"/>
    </xf>
    <xf numFmtId="0" fontId="34" fillId="14" borderId="0" xfId="0" applyFont="1" applyFill="1" applyAlignment="1">
      <alignment horizontal="center" vertical="center" wrapText="1"/>
    </xf>
    <xf numFmtId="0" fontId="34" fillId="14" borderId="0" xfId="0" applyFont="1" applyFill="1" applyAlignment="1">
      <alignment horizontal="left" vertical="center" wrapText="1"/>
    </xf>
    <xf numFmtId="2" fontId="37" fillId="2" borderId="0" xfId="0" applyNumberFormat="1" applyFont="1" applyFill="1" applyAlignment="1">
      <alignment horizontal="center" vertical="center"/>
    </xf>
    <xf numFmtId="0" fontId="37" fillId="2" borderId="0" xfId="0" applyFont="1" applyFill="1" applyAlignment="1">
      <alignment vertical="center"/>
    </xf>
    <xf numFmtId="171" fontId="46" fillId="2" borderId="0" xfId="0" applyNumberFormat="1" applyFont="1" applyFill="1" applyAlignment="1">
      <alignment horizontal="center" vertical="center" wrapText="1"/>
    </xf>
    <xf numFmtId="0" fontId="37" fillId="2" borderId="0" xfId="0" applyFont="1" applyFill="1" applyAlignment="1">
      <alignment horizontal="center" vertical="center"/>
    </xf>
    <xf numFmtId="171" fontId="37" fillId="2" borderId="0" xfId="0" applyNumberFormat="1" applyFont="1" applyFill="1" applyAlignment="1">
      <alignment horizontal="center" vertical="center"/>
    </xf>
    <xf numFmtId="0" fontId="49" fillId="12" borderId="0" xfId="0" applyFont="1" applyFill="1" applyAlignment="1">
      <alignment vertical="center"/>
    </xf>
    <xf numFmtId="0" fontId="34" fillId="11" borderId="0" xfId="0" applyFont="1" applyFill="1" applyAlignment="1">
      <alignment vertical="center" wrapText="1"/>
    </xf>
    <xf numFmtId="0" fontId="34" fillId="12" borderId="0" xfId="0" applyFont="1" applyFill="1" applyAlignment="1">
      <alignment horizontal="center" vertical="center" wrapText="1"/>
    </xf>
    <xf numFmtId="37" fontId="34" fillId="12" borderId="0" xfId="0" applyNumberFormat="1" applyFont="1" applyFill="1" applyAlignment="1">
      <alignment vertical="center"/>
    </xf>
    <xf numFmtId="0" fontId="38" fillId="20" borderId="0" xfId="0" applyFont="1" applyFill="1" applyAlignment="1">
      <alignment horizontal="center" vertical="center"/>
    </xf>
    <xf numFmtId="37" fontId="38" fillId="20" borderId="0" xfId="0" applyNumberFormat="1" applyFont="1" applyFill="1" applyAlignment="1">
      <alignment horizontal="center" vertical="center"/>
    </xf>
    <xf numFmtId="9" fontId="38" fillId="20" borderId="0" xfId="0" applyNumberFormat="1" applyFont="1" applyFill="1" applyAlignment="1">
      <alignment horizontal="center" vertical="center"/>
    </xf>
    <xf numFmtId="43" fontId="37" fillId="20" borderId="0" xfId="0" applyNumberFormat="1" applyFont="1" applyFill="1" applyAlignment="1">
      <alignment horizontal="center" vertical="center"/>
    </xf>
    <xf numFmtId="0" fontId="34" fillId="0" borderId="0" xfId="0" applyFont="1" applyAlignment="1">
      <alignment horizontal="center" vertical="center" wrapText="1"/>
    </xf>
    <xf numFmtId="165" fontId="42" fillId="2" borderId="0" xfId="0" applyNumberFormat="1" applyFont="1" applyFill="1"/>
    <xf numFmtId="9" fontId="42" fillId="2" borderId="0" xfId="0" applyNumberFormat="1" applyFont="1" applyFill="1"/>
    <xf numFmtId="0" fontId="45" fillId="2" borderId="0" xfId="0" applyFont="1" applyFill="1" applyAlignment="1">
      <alignment horizontal="left" vertical="center"/>
    </xf>
    <xf numFmtId="0" fontId="58" fillId="12" borderId="0" xfId="0" applyFont="1" applyFill="1"/>
    <xf numFmtId="0" fontId="58" fillId="0" borderId="0" xfId="0" applyFont="1"/>
    <xf numFmtId="0" fontId="58" fillId="2" borderId="0" xfId="0" applyFont="1" applyFill="1"/>
    <xf numFmtId="0" fontId="56" fillId="15" borderId="0" xfId="0" applyFont="1" applyFill="1" applyAlignment="1">
      <alignment vertical="center"/>
    </xf>
    <xf numFmtId="0" fontId="57" fillId="15" borderId="0" xfId="0" applyFont="1" applyFill="1" applyAlignment="1">
      <alignment horizontal="left" vertical="center"/>
    </xf>
    <xf numFmtId="0" fontId="32" fillId="15" borderId="0" xfId="0" applyFont="1" applyFill="1"/>
    <xf numFmtId="0" fontId="32" fillId="14" borderId="0" xfId="0" applyFont="1" applyFill="1"/>
    <xf numFmtId="0" fontId="32" fillId="15" borderId="0" xfId="0" applyFont="1" applyFill="1" applyAlignment="1">
      <alignment vertical="center"/>
    </xf>
    <xf numFmtId="0" fontId="58" fillId="14" borderId="0" xfId="0" applyFont="1" applyFill="1" applyAlignment="1">
      <alignment vertical="center"/>
    </xf>
    <xf numFmtId="0" fontId="58" fillId="12" borderId="0" xfId="0" applyFont="1" applyFill="1" applyAlignment="1">
      <alignment vertical="center"/>
    </xf>
    <xf numFmtId="0" fontId="58" fillId="0" borderId="0" xfId="0" applyFont="1" applyAlignment="1">
      <alignment vertical="center"/>
    </xf>
    <xf numFmtId="3" fontId="34" fillId="0" borderId="18" xfId="0" applyNumberFormat="1" applyFont="1" applyBorder="1" applyAlignment="1">
      <alignment horizontal="center" vertical="center"/>
    </xf>
    <xf numFmtId="43" fontId="34" fillId="12" borderId="0" xfId="1" applyFont="1" applyFill="1" applyAlignment="1">
      <alignment vertical="center"/>
    </xf>
    <xf numFmtId="4" fontId="34" fillId="12" borderId="0" xfId="0" applyNumberFormat="1" applyFont="1" applyFill="1" applyAlignment="1">
      <alignment vertical="center"/>
    </xf>
    <xf numFmtId="4" fontId="34" fillId="12" borderId="0" xfId="0" applyNumberFormat="1" applyFont="1" applyFill="1" applyAlignment="1">
      <alignment horizontal="center" vertical="center" wrapText="1"/>
    </xf>
    <xf numFmtId="0" fontId="60" fillId="12" borderId="0" xfId="0" applyFont="1" applyFill="1" applyAlignment="1">
      <alignment vertical="center"/>
    </xf>
    <xf numFmtId="0" fontId="60" fillId="0" borderId="0" xfId="0" applyFont="1" applyAlignment="1">
      <alignment vertical="center"/>
    </xf>
    <xf numFmtId="0" fontId="60" fillId="14" borderId="0" xfId="0" applyFont="1" applyFill="1" applyAlignment="1">
      <alignment vertical="center"/>
    </xf>
    <xf numFmtId="0" fontId="60" fillId="2" borderId="0" xfId="0" applyFont="1" applyFill="1" applyAlignment="1">
      <alignment vertical="center"/>
    </xf>
    <xf numFmtId="0" fontId="59" fillId="12" borderId="0" xfId="0" applyFont="1" applyFill="1" applyAlignment="1">
      <alignment horizontal="center" vertical="center" wrapText="1"/>
    </xf>
    <xf numFmtId="0" fontId="59" fillId="12" borderId="0" xfId="0" applyFont="1" applyFill="1" applyAlignment="1">
      <alignment vertical="center"/>
    </xf>
    <xf numFmtId="0" fontId="59" fillId="12" borderId="0" xfId="0" applyFont="1" applyFill="1" applyAlignment="1">
      <alignment vertical="center" wrapText="1"/>
    </xf>
    <xf numFmtId="169" fontId="59" fillId="12" borderId="0" xfId="0" applyNumberFormat="1" applyFont="1" applyFill="1" applyAlignment="1">
      <alignment horizontal="center" vertical="center"/>
    </xf>
    <xf numFmtId="3" fontId="34" fillId="12" borderId="0" xfId="0" applyNumberFormat="1" applyFont="1" applyFill="1" applyAlignment="1">
      <alignment vertical="center"/>
    </xf>
    <xf numFmtId="174" fontId="37" fillId="9" borderId="14" xfId="0" applyNumberFormat="1" applyFont="1" applyFill="1" applyBorder="1" applyAlignment="1">
      <alignment horizontal="center" vertical="center" wrapText="1"/>
    </xf>
    <xf numFmtId="0" fontId="58" fillId="2" borderId="0" xfId="0" applyFont="1" applyFill="1" applyAlignment="1">
      <alignment vertical="center"/>
    </xf>
    <xf numFmtId="0" fontId="42" fillId="2" borderId="0" xfId="0" applyFont="1" applyFill="1" applyAlignment="1">
      <alignment vertical="center"/>
    </xf>
    <xf numFmtId="0" fontId="42" fillId="0" borderId="0" xfId="0" applyFont="1" applyAlignment="1">
      <alignment vertical="center"/>
    </xf>
    <xf numFmtId="0" fontId="43" fillId="3" borderId="0" xfId="0" applyFont="1" applyFill="1" applyAlignment="1">
      <alignment vertical="center"/>
    </xf>
    <xf numFmtId="0" fontId="43" fillId="3" borderId="0" xfId="0" applyFont="1" applyFill="1" applyAlignment="1">
      <alignment horizontal="center" vertical="center"/>
    </xf>
    <xf numFmtId="0" fontId="34" fillId="7" borderId="0" xfId="0" applyFont="1" applyFill="1" applyAlignment="1">
      <alignment vertical="center"/>
    </xf>
    <xf numFmtId="0" fontId="34" fillId="7" borderId="0" xfId="0" applyFont="1" applyFill="1" applyAlignment="1">
      <alignment horizontal="center" vertical="center"/>
    </xf>
    <xf numFmtId="0" fontId="42" fillId="7" borderId="0" xfId="0" applyFont="1" applyFill="1" applyAlignment="1">
      <alignment vertical="center"/>
    </xf>
    <xf numFmtId="0" fontId="34" fillId="7" borderId="0" xfId="0" applyFont="1" applyFill="1" applyAlignment="1">
      <alignment horizontal="left" vertical="center"/>
    </xf>
    <xf numFmtId="0" fontId="34" fillId="8" borderId="15" xfId="0" applyFont="1" applyFill="1" applyBorder="1" applyAlignment="1">
      <alignment vertical="center"/>
    </xf>
    <xf numFmtId="0" fontId="34" fillId="8" borderId="14" xfId="0" applyFont="1" applyFill="1" applyBorder="1" applyAlignment="1">
      <alignment horizontal="center" vertical="center"/>
    </xf>
    <xf numFmtId="0" fontId="34" fillId="8" borderId="14" xfId="0" applyFont="1" applyFill="1" applyBorder="1" applyAlignment="1">
      <alignment vertical="center"/>
    </xf>
    <xf numFmtId="0" fontId="34" fillId="34" borderId="14" xfId="0" applyFont="1" applyFill="1" applyBorder="1" applyAlignment="1">
      <alignment horizontal="center" vertical="center"/>
    </xf>
    <xf numFmtId="174" fontId="34" fillId="34" borderId="14" xfId="0" applyNumberFormat="1" applyFont="1" applyFill="1" applyBorder="1" applyAlignment="1">
      <alignment horizontal="center" vertical="center"/>
    </xf>
    <xf numFmtId="0" fontId="34" fillId="4" borderId="14" xfId="0" applyFont="1" applyFill="1" applyBorder="1" applyAlignment="1">
      <alignment horizontal="center" vertical="center" wrapText="1"/>
    </xf>
    <xf numFmtId="0" fontId="34" fillId="34" borderId="14" xfId="0" applyFont="1" applyFill="1" applyBorder="1" applyAlignment="1">
      <alignment horizontal="left" vertical="center"/>
    </xf>
    <xf numFmtId="0" fontId="34" fillId="8" borderId="16" xfId="0" applyFont="1" applyFill="1" applyBorder="1" applyAlignment="1">
      <alignment vertical="center"/>
    </xf>
    <xf numFmtId="0" fontId="34" fillId="8" borderId="13" xfId="0" applyFont="1" applyFill="1" applyBorder="1" applyAlignment="1">
      <alignment horizontal="center" vertical="center"/>
    </xf>
    <xf numFmtId="0" fontId="34" fillId="4" borderId="14" xfId="0" applyFont="1" applyFill="1" applyBorder="1" applyAlignment="1">
      <alignment horizontal="center" vertical="center"/>
    </xf>
    <xf numFmtId="0" fontId="34" fillId="9" borderId="15" xfId="0" applyFont="1" applyFill="1" applyBorder="1" applyAlignment="1">
      <alignment vertical="center"/>
    </xf>
    <xf numFmtId="0" fontId="34" fillId="9" borderId="14" xfId="0" applyFont="1" applyFill="1" applyBorder="1" applyAlignment="1">
      <alignment horizontal="center" vertical="center"/>
    </xf>
    <xf numFmtId="0" fontId="34" fillId="9" borderId="14" xfId="0" applyFont="1" applyFill="1" applyBorder="1" applyAlignment="1">
      <alignment vertical="center"/>
    </xf>
    <xf numFmtId="0" fontId="34" fillId="35" borderId="14" xfId="0" applyFont="1" applyFill="1" applyBorder="1" applyAlignment="1">
      <alignment horizontal="left" vertical="center"/>
    </xf>
    <xf numFmtId="0" fontId="42" fillId="7" borderId="0" xfId="0" applyFont="1" applyFill="1" applyAlignment="1">
      <alignment horizontal="left" vertical="center"/>
    </xf>
    <xf numFmtId="174" fontId="34" fillId="7" borderId="0" xfId="0" applyNumberFormat="1" applyFont="1" applyFill="1" applyAlignment="1">
      <alignment horizontal="left" vertical="center"/>
    </xf>
    <xf numFmtId="174" fontId="34" fillId="7" borderId="0" xfId="0" applyNumberFormat="1" applyFont="1" applyFill="1" applyAlignment="1">
      <alignment horizontal="center" vertical="center"/>
    </xf>
    <xf numFmtId="0" fontId="34" fillId="7" borderId="0" xfId="0" applyFont="1" applyFill="1" applyAlignment="1">
      <alignment horizontal="left" vertical="center" wrapText="1"/>
    </xf>
    <xf numFmtId="174" fontId="34" fillId="8" borderId="14" xfId="0" applyNumberFormat="1" applyFont="1" applyFill="1" applyBorder="1" applyAlignment="1">
      <alignment horizontal="center" vertical="center"/>
    </xf>
    <xf numFmtId="174" fontId="34" fillId="9" borderId="14" xfId="0" applyNumberFormat="1" applyFont="1" applyFill="1" applyBorder="1" applyAlignment="1">
      <alignment horizontal="center" vertical="center"/>
    </xf>
    <xf numFmtId="0" fontId="34" fillId="35" borderId="14" xfId="0" applyFont="1" applyFill="1" applyBorder="1" applyAlignment="1">
      <alignment vertical="center"/>
    </xf>
    <xf numFmtId="0" fontId="34" fillId="10" borderId="9" xfId="0" applyFont="1" applyFill="1" applyBorder="1" applyAlignment="1">
      <alignment vertical="center"/>
    </xf>
    <xf numFmtId="0" fontId="34" fillId="10" borderId="10" xfId="0" applyFont="1" applyFill="1" applyBorder="1" applyAlignment="1">
      <alignment horizontal="center" vertical="center"/>
    </xf>
    <xf numFmtId="0" fontId="34" fillId="10" borderId="10" xfId="0" applyFont="1" applyFill="1" applyBorder="1" applyAlignment="1">
      <alignment vertical="center"/>
    </xf>
    <xf numFmtId="174" fontId="34" fillId="10" borderId="10" xfId="0" applyNumberFormat="1" applyFont="1" applyFill="1" applyBorder="1" applyAlignment="1">
      <alignment horizontal="center" vertical="center"/>
    </xf>
    <xf numFmtId="0" fontId="34" fillId="36" borderId="10" xfId="0" applyFont="1" applyFill="1" applyBorder="1" applyAlignment="1">
      <alignment horizontal="left" vertical="center"/>
    </xf>
    <xf numFmtId="0" fontId="34" fillId="34" borderId="10" xfId="0" applyFont="1" applyFill="1" applyBorder="1" applyAlignment="1">
      <alignment horizontal="center" vertical="center"/>
    </xf>
    <xf numFmtId="0" fontId="34" fillId="34" borderId="10" xfId="0" applyFont="1" applyFill="1" applyBorder="1" applyAlignment="1">
      <alignment vertical="center"/>
    </xf>
    <xf numFmtId="0" fontId="43" fillId="5" borderId="0" xfId="0" applyFont="1" applyFill="1" applyAlignment="1">
      <alignment vertical="center"/>
    </xf>
    <xf numFmtId="0" fontId="43" fillId="5" borderId="0" xfId="0" applyFont="1" applyFill="1" applyAlignment="1">
      <alignment horizontal="center" vertical="center"/>
    </xf>
    <xf numFmtId="37" fontId="43" fillId="33" borderId="0" xfId="0" applyNumberFormat="1" applyFont="1" applyFill="1" applyAlignment="1">
      <alignment horizontal="center" vertical="center"/>
    </xf>
    <xf numFmtId="174" fontId="34" fillId="34" borderId="14" xfId="0" applyNumberFormat="1" applyFont="1" applyFill="1" applyBorder="1" applyAlignment="1">
      <alignment horizontal="center" vertical="center" wrapText="1"/>
    </xf>
    <xf numFmtId="0" fontId="34" fillId="0" borderId="18" xfId="0" applyFont="1" applyBorder="1" applyAlignment="1">
      <alignment horizontal="right" vertical="center"/>
    </xf>
    <xf numFmtId="37" fontId="42" fillId="7" borderId="18" xfId="0" applyNumberFormat="1" applyFont="1" applyFill="1" applyBorder="1" applyAlignment="1">
      <alignment horizontal="center" vertical="center"/>
    </xf>
    <xf numFmtId="0" fontId="57" fillId="0" borderId="0" xfId="0" applyFont="1" applyAlignment="1">
      <alignment horizontal="left" vertical="center"/>
    </xf>
    <xf numFmtId="0" fontId="53" fillId="2" borderId="0" xfId="0" applyFont="1" applyFill="1" applyAlignment="1">
      <alignment horizontal="left" vertical="center" wrapText="1"/>
    </xf>
    <xf numFmtId="0" fontId="34" fillId="0" borderId="18" xfId="0" applyFont="1" applyBorder="1" applyAlignment="1">
      <alignment horizontal="center" vertical="center"/>
    </xf>
    <xf numFmtId="0" fontId="49" fillId="12" borderId="0" xfId="0" applyFont="1" applyFill="1" applyAlignment="1">
      <alignment vertical="center" wrapText="1"/>
    </xf>
    <xf numFmtId="0" fontId="34" fillId="2" borderId="0" xfId="0" applyFont="1" applyFill="1" applyAlignment="1">
      <alignment horizontal="right" vertical="center"/>
    </xf>
    <xf numFmtId="0" fontId="42" fillId="2" borderId="0" xfId="0" applyFont="1" applyFill="1" applyAlignment="1">
      <alignment horizontal="right" vertical="center"/>
    </xf>
    <xf numFmtId="0" fontId="37" fillId="12" borderId="0" xfId="0" applyFont="1" applyFill="1" applyAlignment="1">
      <alignment vertical="center" wrapText="1"/>
    </xf>
    <xf numFmtId="0" fontId="42" fillId="12" borderId="0" xfId="0" applyFont="1" applyFill="1" applyAlignment="1">
      <alignment horizontal="center" vertical="center"/>
    </xf>
    <xf numFmtId="0" fontId="42" fillId="12" borderId="0" xfId="0" applyFont="1" applyFill="1" applyAlignment="1">
      <alignment vertical="center"/>
    </xf>
    <xf numFmtId="0" fontId="34" fillId="12" borderId="22" xfId="0" applyFont="1" applyFill="1" applyBorder="1" applyAlignment="1">
      <alignment vertical="center"/>
    </xf>
    <xf numFmtId="0" fontId="57" fillId="12" borderId="0" xfId="0" applyFont="1" applyFill="1" applyAlignment="1">
      <alignment horizontal="left" vertical="center"/>
    </xf>
    <xf numFmtId="0" fontId="86" fillId="21" borderId="0" xfId="12" applyFont="1" applyFill="1" applyAlignment="1">
      <alignment vertical="center"/>
    </xf>
    <xf numFmtId="43" fontId="34" fillId="0" borderId="41" xfId="1" applyFont="1" applyBorder="1" applyAlignment="1">
      <alignment horizontal="left"/>
    </xf>
    <xf numFmtId="0" fontId="87" fillId="12" borderId="0" xfId="12" applyFont="1" applyFill="1" applyAlignment="1">
      <alignment vertical="center" wrapText="1"/>
    </xf>
    <xf numFmtId="0" fontId="59" fillId="12" borderId="0" xfId="12" applyFont="1" applyFill="1" applyAlignment="1">
      <alignment vertical="center" wrapText="1"/>
    </xf>
    <xf numFmtId="0" fontId="59" fillId="0" borderId="0" xfId="12" applyFont="1" applyAlignment="1">
      <alignment vertical="center" wrapText="1"/>
    </xf>
    <xf numFmtId="0" fontId="88" fillId="12" borderId="0" xfId="12" applyFont="1" applyFill="1" applyAlignment="1">
      <alignment vertical="center" wrapText="1"/>
    </xf>
    <xf numFmtId="0" fontId="88" fillId="0" borderId="0" xfId="12" applyFont="1" applyAlignment="1">
      <alignment vertical="center" wrapText="1"/>
    </xf>
    <xf numFmtId="0" fontId="59" fillId="37" borderId="0" xfId="12" applyFont="1" applyFill="1" applyAlignment="1">
      <alignment vertical="center" wrapText="1"/>
    </xf>
    <xf numFmtId="0" fontId="59" fillId="12" borderId="0" xfId="12" applyFont="1" applyFill="1" applyAlignment="1">
      <alignment horizontal="center" vertical="center" wrapText="1"/>
    </xf>
    <xf numFmtId="0" fontId="59" fillId="0" borderId="0" xfId="12" applyFont="1" applyAlignment="1">
      <alignment horizontal="center" vertical="center" wrapText="1"/>
    </xf>
    <xf numFmtId="0" fontId="0" fillId="0" borderId="0" xfId="0" applyAlignment="1">
      <alignment vertical="center"/>
    </xf>
    <xf numFmtId="0" fontId="0" fillId="12" borderId="0" xfId="0" applyFill="1"/>
    <xf numFmtId="0" fontId="32" fillId="0" borderId="0" xfId="0" applyFont="1" applyAlignment="1">
      <alignment horizontal="left" vertical="center"/>
    </xf>
    <xf numFmtId="0" fontId="91" fillId="12" borderId="0" xfId="0" applyFont="1" applyFill="1"/>
    <xf numFmtId="0" fontId="53" fillId="62" borderId="0" xfId="0" applyFont="1" applyFill="1" applyAlignment="1">
      <alignment horizontal="left" vertical="center" wrapText="1"/>
    </xf>
    <xf numFmtId="0" fontId="34" fillId="0" borderId="44" xfId="0" applyFont="1" applyBorder="1" applyAlignment="1">
      <alignment vertical="center"/>
    </xf>
    <xf numFmtId="0" fontId="42" fillId="26" borderId="44" xfId="0" applyFont="1" applyFill="1" applyBorder="1" applyAlignment="1">
      <alignment horizontal="left" vertical="center"/>
    </xf>
    <xf numFmtId="37" fontId="42" fillId="21" borderId="44" xfId="0" applyNumberFormat="1" applyFont="1" applyFill="1" applyBorder="1" applyAlignment="1">
      <alignment horizontal="center" vertical="center"/>
    </xf>
    <xf numFmtId="37" fontId="59" fillId="12" borderId="0" xfId="63" applyFont="1" applyFill="1" applyAlignment="1">
      <alignment horizontal="left" vertical="center"/>
    </xf>
    <xf numFmtId="39" fontId="59" fillId="12" borderId="0" xfId="63" applyNumberFormat="1" applyFont="1" applyFill="1" applyAlignment="1">
      <alignment horizontal="center" vertical="center"/>
    </xf>
    <xf numFmtId="39" fontId="87" fillId="12" borderId="0" xfId="63" applyNumberFormat="1" applyFont="1" applyFill="1" applyAlignment="1">
      <alignment horizontal="center" vertical="center"/>
    </xf>
    <xf numFmtId="37" fontId="91" fillId="12" borderId="0" xfId="63" applyFont="1" applyFill="1" applyAlignment="1">
      <alignment horizontal="left" vertical="center" wrapText="1"/>
    </xf>
    <xf numFmtId="0" fontId="34" fillId="0" borderId="44" xfId="0" applyFont="1" applyBorder="1" applyAlignment="1">
      <alignment horizontal="right" vertical="center"/>
    </xf>
    <xf numFmtId="3" fontId="34" fillId="0" borderId="44" xfId="0" applyNumberFormat="1" applyFont="1" applyBorder="1" applyAlignment="1">
      <alignment horizontal="center" vertical="center"/>
    </xf>
    <xf numFmtId="43" fontId="34" fillId="0" borderId="44" xfId="1" applyFont="1" applyBorder="1" applyAlignment="1">
      <alignment horizontal="left"/>
    </xf>
    <xf numFmtId="4" fontId="34" fillId="0" borderId="44" xfId="0" applyNumberFormat="1" applyFont="1" applyBorder="1" applyAlignment="1">
      <alignment horizontal="center"/>
    </xf>
    <xf numFmtId="0" fontId="54" fillId="2" borderId="0" xfId="0" applyFont="1" applyFill="1" applyAlignment="1">
      <alignment vertical="center" wrapText="1"/>
    </xf>
    <xf numFmtId="0" fontId="53" fillId="62" borderId="0" xfId="0" applyFont="1" applyFill="1" applyAlignment="1">
      <alignment vertical="center" wrapText="1"/>
    </xf>
    <xf numFmtId="0" fontId="47" fillId="14" borderId="0" xfId="0" applyFont="1" applyFill="1" applyAlignment="1">
      <alignment vertical="center" wrapText="1"/>
    </xf>
    <xf numFmtId="0" fontId="53" fillId="2" borderId="0" xfId="0" applyFont="1" applyFill="1" applyAlignment="1">
      <alignment vertical="center" wrapText="1"/>
    </xf>
    <xf numFmtId="37" fontId="34" fillId="14" borderId="0" xfId="63" applyFont="1" applyFill="1" applyAlignment="1">
      <alignment vertical="center"/>
    </xf>
    <xf numFmtId="37" fontId="34" fillId="12" borderId="0" xfId="63" applyFont="1" applyFill="1" applyAlignment="1">
      <alignment vertical="center"/>
    </xf>
    <xf numFmtId="0" fontId="34" fillId="12" borderId="44" xfId="0" applyFont="1" applyFill="1" applyBorder="1" applyAlignment="1">
      <alignment vertical="center"/>
    </xf>
    <xf numFmtId="170" fontId="34" fillId="14" borderId="0" xfId="0" applyNumberFormat="1" applyFont="1" applyFill="1" applyAlignment="1">
      <alignment horizontal="center" vertical="center"/>
    </xf>
    <xf numFmtId="0" fontId="40" fillId="12" borderId="0" xfId="0" applyFont="1" applyFill="1" applyAlignment="1">
      <alignment vertical="center"/>
    </xf>
    <xf numFmtId="0" fontId="53" fillId="12" borderId="0" xfId="0" applyFont="1" applyFill="1" applyAlignment="1">
      <alignment vertical="center"/>
    </xf>
    <xf numFmtId="0" fontId="44" fillId="12" borderId="22" xfId="0" applyFont="1" applyFill="1" applyBorder="1" applyAlignment="1">
      <alignment vertical="center"/>
    </xf>
    <xf numFmtId="37" fontId="34" fillId="12" borderId="0" xfId="0" applyNumberFormat="1" applyFont="1" applyFill="1" applyAlignment="1">
      <alignment horizontal="center" vertical="center" wrapText="1"/>
    </xf>
    <xf numFmtId="3" fontId="42" fillId="21" borderId="41" xfId="0" applyNumberFormat="1" applyFont="1" applyFill="1" applyBorder="1" applyAlignment="1">
      <alignment horizontal="center"/>
    </xf>
    <xf numFmtId="0" fontId="32" fillId="12" borderId="0" xfId="0" applyFont="1" applyFill="1" applyAlignment="1">
      <alignment horizontal="left" vertical="center"/>
    </xf>
    <xf numFmtId="0" fontId="54" fillId="12" borderId="0" xfId="0" applyFont="1" applyFill="1" applyAlignment="1">
      <alignment vertical="center" wrapText="1"/>
    </xf>
    <xf numFmtId="0" fontId="0" fillId="12" borderId="0" xfId="0" applyFill="1" applyAlignment="1">
      <alignment vertical="center"/>
    </xf>
    <xf numFmtId="0" fontId="54" fillId="14" borderId="0" xfId="0" applyFont="1" applyFill="1" applyAlignment="1">
      <alignment vertical="center" wrapText="1"/>
    </xf>
    <xf numFmtId="0" fontId="34" fillId="65" borderId="44" xfId="0" applyFont="1" applyFill="1" applyBorder="1" applyAlignment="1">
      <alignment horizontal="center" vertical="center"/>
    </xf>
    <xf numFmtId="0" fontId="34" fillId="0" borderId="0" xfId="0" applyFont="1" applyFill="1" applyAlignment="1">
      <alignment wrapText="1"/>
    </xf>
    <xf numFmtId="0" fontId="34" fillId="0" borderId="0" xfId="0" applyFont="1"/>
    <xf numFmtId="0" fontId="97" fillId="68" borderId="0" xfId="160">
      <alignment horizontal="left" vertical="center"/>
    </xf>
    <xf numFmtId="0" fontId="99" fillId="68" borderId="0" xfId="162" applyAlignment="1">
      <alignment horizontal="center" vertical="center" wrapText="1"/>
    </xf>
    <xf numFmtId="0" fontId="26" fillId="12" borderId="0" xfId="156">
      <alignment wrapText="1"/>
    </xf>
    <xf numFmtId="0" fontId="102" fillId="19" borderId="0" xfId="148" applyFont="1" applyFill="1" applyAlignment="1">
      <alignment horizontal="left" vertical="center" wrapText="1"/>
    </xf>
    <xf numFmtId="0" fontId="101" fillId="12" borderId="0" xfId="148" applyFont="1" applyFill="1" applyAlignment="1">
      <alignment horizontal="left" vertical="center" wrapText="1"/>
    </xf>
    <xf numFmtId="0" fontId="101" fillId="19" borderId="0" xfId="148" applyFont="1" applyFill="1" applyAlignment="1">
      <alignment horizontal="left" vertical="center" wrapText="1"/>
    </xf>
    <xf numFmtId="0" fontId="95" fillId="67" borderId="0" xfId="155" applyAlignment="1">
      <alignment horizontal="left" vertical="center" wrapText="1"/>
    </xf>
    <xf numFmtId="0" fontId="95" fillId="67" borderId="0" xfId="155" applyAlignment="1">
      <alignment vertical="center" wrapText="1"/>
    </xf>
    <xf numFmtId="37" fontId="42" fillId="0" borderId="0" xfId="0" applyNumberFormat="1" applyFont="1" applyFill="1" applyBorder="1" applyAlignment="1">
      <alignment horizontal="center" vertical="center"/>
    </xf>
    <xf numFmtId="37" fontId="49" fillId="12" borderId="22" xfId="63" applyFont="1" applyFill="1" applyBorder="1" applyAlignment="1">
      <alignment horizontal="center" vertical="center"/>
    </xf>
    <xf numFmtId="37" fontId="49" fillId="12" borderId="0" xfId="63" applyFont="1" applyFill="1" applyBorder="1" applyAlignment="1">
      <alignment horizontal="center" vertical="center" wrapText="1"/>
    </xf>
    <xf numFmtId="0" fontId="97" fillId="12" borderId="0" xfId="160" applyFill="1">
      <alignment horizontal="left" vertical="center"/>
    </xf>
    <xf numFmtId="0" fontId="95" fillId="71" borderId="0" xfId="155" applyFill="1" applyAlignment="1">
      <alignment vertical="center" wrapText="1"/>
    </xf>
    <xf numFmtId="0" fontId="95" fillId="71" borderId="0" xfId="155" applyFill="1" applyAlignment="1">
      <alignment horizontal="left" vertical="center" wrapText="1"/>
    </xf>
    <xf numFmtId="0" fontId="87" fillId="12" borderId="0" xfId="12" applyFont="1" applyFill="1" applyBorder="1" applyAlignment="1">
      <alignment vertical="center" wrapText="1"/>
    </xf>
    <xf numFmtId="0" fontId="97" fillId="68" borderId="0" xfId="160">
      <alignment horizontal="left" vertical="center"/>
    </xf>
    <xf numFmtId="0" fontId="52" fillId="14" borderId="0" xfId="0" applyFont="1" applyFill="1" applyAlignment="1">
      <alignment horizontal="left" vertical="center" wrapText="1"/>
    </xf>
    <xf numFmtId="0" fontId="47" fillId="62" borderId="0" xfId="0" applyFont="1" applyFill="1" applyAlignment="1">
      <alignment horizontal="left" vertical="center" wrapText="1"/>
    </xf>
    <xf numFmtId="0" fontId="100" fillId="2" borderId="1" xfId="0" applyFont="1" applyFill="1" applyBorder="1" applyAlignment="1">
      <alignment horizontal="left" vertical="center"/>
    </xf>
    <xf numFmtId="0" fontId="92" fillId="2" borderId="46" xfId="0" applyFont="1" applyFill="1" applyBorder="1"/>
    <xf numFmtId="37" fontId="92" fillId="2" borderId="1" xfId="0" applyNumberFormat="1" applyFont="1" applyFill="1" applyBorder="1" applyAlignment="1">
      <alignment horizontal="center"/>
    </xf>
    <xf numFmtId="9" fontId="92" fillId="2" borderId="47" xfId="0" applyNumberFormat="1" applyFont="1" applyFill="1" applyBorder="1" applyAlignment="1">
      <alignment horizontal="center"/>
    </xf>
    <xf numFmtId="0" fontId="92" fillId="0" borderId="22" xfId="0" applyFont="1" applyBorder="1"/>
    <xf numFmtId="37" fontId="109" fillId="22" borderId="20" xfId="0" applyNumberFormat="1" applyFont="1" applyFill="1" applyBorder="1" applyAlignment="1">
      <alignment horizontal="center"/>
    </xf>
    <xf numFmtId="9" fontId="109" fillId="22" borderId="48" xfId="0" applyNumberFormat="1" applyFont="1" applyFill="1" applyBorder="1" applyAlignment="1">
      <alignment horizontal="center"/>
    </xf>
    <xf numFmtId="0" fontId="86" fillId="70" borderId="50" xfId="163" applyBorder="1">
      <alignment horizontal="left" vertical="center"/>
    </xf>
    <xf numFmtId="9" fontId="92" fillId="2" borderId="1" xfId="0" applyNumberFormat="1" applyFont="1" applyFill="1" applyBorder="1" applyAlignment="1">
      <alignment horizontal="center"/>
    </xf>
    <xf numFmtId="9" fontId="92" fillId="0" borderId="5" xfId="0" applyNumberFormat="1" applyFont="1" applyBorder="1" applyAlignment="1">
      <alignment horizontal="center" wrapText="1" readingOrder="1"/>
    </xf>
    <xf numFmtId="0" fontId="92" fillId="0" borderId="6" xfId="0" applyFont="1" applyBorder="1" applyAlignment="1">
      <alignment horizontal="left" wrapText="1" readingOrder="1"/>
    </xf>
    <xf numFmtId="0" fontId="109" fillId="21" borderId="6" xfId="0" applyFont="1" applyFill="1" applyBorder="1" applyAlignment="1">
      <alignment horizontal="left" wrapText="1" readingOrder="1"/>
    </xf>
    <xf numFmtId="37" fontId="109" fillId="22" borderId="1" xfId="0" applyNumberFormat="1" applyFont="1" applyFill="1" applyBorder="1" applyAlignment="1">
      <alignment horizontal="center"/>
    </xf>
    <xf numFmtId="9" fontId="109" fillId="21" borderId="5" xfId="0" applyNumberFormat="1" applyFont="1" applyFill="1" applyBorder="1" applyAlignment="1">
      <alignment horizontal="center" wrapText="1" readingOrder="1"/>
    </xf>
    <xf numFmtId="9" fontId="92" fillId="0" borderId="5" xfId="4" applyFont="1" applyBorder="1" applyAlignment="1">
      <alignment horizontal="center" wrapText="1" readingOrder="1"/>
    </xf>
    <xf numFmtId="9" fontId="109" fillId="21" borderId="5" xfId="4" applyFont="1" applyFill="1" applyBorder="1" applyAlignment="1">
      <alignment horizontal="center" wrapText="1" readingOrder="1"/>
    </xf>
    <xf numFmtId="0" fontId="34" fillId="12" borderId="0" xfId="0" applyFont="1" applyFill="1" applyBorder="1" applyAlignment="1">
      <alignment vertical="center"/>
    </xf>
    <xf numFmtId="0" fontId="34" fillId="12" borderId="0" xfId="0" applyFont="1" applyFill="1" applyBorder="1" applyAlignment="1">
      <alignment vertical="center" wrapText="1"/>
    </xf>
    <xf numFmtId="37" fontId="100" fillId="2" borderId="1" xfId="0" applyNumberFormat="1" applyFont="1" applyFill="1" applyBorder="1" applyAlignment="1">
      <alignment horizontal="center" vertical="center"/>
    </xf>
    <xf numFmtId="37" fontId="100" fillId="0" borderId="1" xfId="0" applyNumberFormat="1" applyFont="1" applyBorder="1" applyAlignment="1">
      <alignment horizontal="center" vertical="center"/>
    </xf>
    <xf numFmtId="37" fontId="100" fillId="0" borderId="3" xfId="0" applyNumberFormat="1" applyFont="1" applyBorder="1" applyAlignment="1">
      <alignment horizontal="center" vertical="center"/>
    </xf>
    <xf numFmtId="0" fontId="106" fillId="6" borderId="44" xfId="0" applyFont="1" applyFill="1" applyBorder="1" applyAlignment="1">
      <alignment horizontal="left" vertical="center"/>
    </xf>
    <xf numFmtId="37" fontId="106" fillId="6" borderId="44" xfId="0" applyNumberFormat="1" applyFont="1" applyFill="1" applyBorder="1" applyAlignment="1">
      <alignment horizontal="center" vertical="center"/>
    </xf>
    <xf numFmtId="9" fontId="106" fillId="6" borderId="44" xfId="0" applyNumberFormat="1" applyFont="1" applyFill="1" applyBorder="1" applyAlignment="1">
      <alignment horizontal="center" vertical="center"/>
    </xf>
    <xf numFmtId="0" fontId="100" fillId="20" borderId="18" xfId="0" applyFont="1" applyFill="1" applyBorder="1" applyAlignment="1">
      <alignment horizontal="left" vertical="center"/>
    </xf>
    <xf numFmtId="37" fontId="100" fillId="20" borderId="18" xfId="0" applyNumberFormat="1" applyFont="1" applyFill="1" applyBorder="1" applyAlignment="1">
      <alignment horizontal="center" vertical="center"/>
    </xf>
    <xf numFmtId="9" fontId="100" fillId="20" borderId="18" xfId="0" applyNumberFormat="1" applyFont="1" applyFill="1" applyBorder="1" applyAlignment="1">
      <alignment horizontal="center" vertical="center"/>
    </xf>
    <xf numFmtId="0" fontId="100" fillId="2" borderId="46" xfId="0" applyFont="1" applyFill="1" applyBorder="1" applyAlignment="1">
      <alignment horizontal="left" vertical="center"/>
    </xf>
    <xf numFmtId="9" fontId="100" fillId="2" borderId="47" xfId="0" applyNumberFormat="1" applyFont="1" applyFill="1" applyBorder="1" applyAlignment="1">
      <alignment horizontal="center" vertical="center"/>
    </xf>
    <xf numFmtId="0" fontId="100" fillId="2" borderId="27" xfId="0" applyFont="1" applyFill="1" applyBorder="1" applyAlignment="1">
      <alignment horizontal="left" vertical="center"/>
    </xf>
    <xf numFmtId="9" fontId="100" fillId="2" borderId="42" xfId="0" applyNumberFormat="1" applyFont="1" applyFill="1" applyBorder="1" applyAlignment="1">
      <alignment horizontal="center" vertical="center"/>
    </xf>
    <xf numFmtId="0" fontId="100" fillId="20" borderId="44" xfId="0" applyFont="1" applyFill="1" applyBorder="1" applyAlignment="1">
      <alignment horizontal="left" vertical="center"/>
    </xf>
    <xf numFmtId="37" fontId="100" fillId="20" borderId="44" xfId="0" applyNumberFormat="1" applyFont="1" applyFill="1" applyBorder="1" applyAlignment="1">
      <alignment horizontal="center" vertical="center"/>
    </xf>
    <xf numFmtId="9" fontId="100" fillId="20" borderId="44" xfId="0" applyNumberFormat="1" applyFont="1" applyFill="1" applyBorder="1" applyAlignment="1">
      <alignment horizontal="center" vertical="center"/>
    </xf>
    <xf numFmtId="0" fontId="100" fillId="2" borderId="2" xfId="0" applyFont="1" applyFill="1" applyBorder="1" applyAlignment="1">
      <alignment vertical="center" wrapText="1"/>
    </xf>
    <xf numFmtId="37" fontId="100" fillId="2" borderId="1" xfId="0" applyNumberFormat="1" applyFont="1" applyFill="1" applyBorder="1" applyAlignment="1">
      <alignment horizontal="center" vertical="center" wrapText="1"/>
    </xf>
    <xf numFmtId="9" fontId="100" fillId="2" borderId="1" xfId="0" applyNumberFormat="1" applyFont="1" applyFill="1" applyBorder="1" applyAlignment="1">
      <alignment horizontal="center" vertical="center" wrapText="1"/>
    </xf>
    <xf numFmtId="0" fontId="26" fillId="14" borderId="18" xfId="0" applyFont="1" applyFill="1" applyBorder="1" applyAlignment="1">
      <alignment horizontal="left" vertical="center" wrapText="1"/>
    </xf>
    <xf numFmtId="0" fontId="100" fillId="2" borderId="3" xfId="0" applyFont="1" applyFill="1" applyBorder="1" applyAlignment="1">
      <alignment horizontal="left" vertical="center" wrapText="1"/>
    </xf>
    <xf numFmtId="0" fontId="106" fillId="23" borderId="2" xfId="0" applyFont="1" applyFill="1" applyBorder="1" applyAlignment="1">
      <alignment horizontal="left" vertical="center" wrapText="1"/>
    </xf>
    <xf numFmtId="37" fontId="106" fillId="23" borderId="1" xfId="0" applyNumberFormat="1" applyFont="1" applyFill="1" applyBorder="1" applyAlignment="1">
      <alignment horizontal="center" vertical="center" wrapText="1"/>
    </xf>
    <xf numFmtId="9" fontId="106" fillId="23" borderId="1" xfId="0" applyNumberFormat="1" applyFont="1" applyFill="1" applyBorder="1" applyAlignment="1">
      <alignment horizontal="center" vertical="center" wrapText="1"/>
    </xf>
    <xf numFmtId="0" fontId="26" fillId="14" borderId="18" xfId="0" applyFont="1" applyFill="1" applyBorder="1" applyAlignment="1">
      <alignment vertical="center"/>
    </xf>
    <xf numFmtId="0" fontId="26" fillId="14" borderId="44" xfId="0" applyFont="1" applyFill="1" applyBorder="1" applyAlignment="1">
      <alignment vertical="center"/>
    </xf>
    <xf numFmtId="0" fontId="26" fillId="12" borderId="23" xfId="0" applyFont="1" applyFill="1" applyBorder="1" applyAlignment="1">
      <alignment vertical="center"/>
    </xf>
    <xf numFmtId="37" fontId="100" fillId="2" borderId="3" xfId="0" applyNumberFormat="1" applyFont="1" applyFill="1" applyBorder="1" applyAlignment="1">
      <alignment horizontal="center" vertical="center"/>
    </xf>
    <xf numFmtId="0" fontId="106" fillId="23" borderId="23" xfId="0" applyFont="1" applyFill="1" applyBorder="1" applyAlignment="1">
      <alignment horizontal="center" vertical="center"/>
    </xf>
    <xf numFmtId="37" fontId="106" fillId="23" borderId="20" xfId="0" applyNumberFormat="1" applyFont="1" applyFill="1" applyBorder="1" applyAlignment="1">
      <alignment horizontal="center" vertical="center"/>
    </xf>
    <xf numFmtId="9" fontId="106" fillId="23" borderId="21" xfId="0" applyNumberFormat="1" applyFont="1" applyFill="1" applyBorder="1" applyAlignment="1">
      <alignment horizontal="center" vertical="center"/>
    </xf>
    <xf numFmtId="0" fontId="92" fillId="0" borderId="44" xfId="0" applyFont="1" applyBorder="1" applyAlignment="1">
      <alignment horizontal="left" vertical="center"/>
    </xf>
    <xf numFmtId="37" fontId="92" fillId="0" borderId="44" xfId="0" applyNumberFormat="1" applyFont="1" applyBorder="1" applyAlignment="1">
      <alignment horizontal="center" vertical="center"/>
    </xf>
    <xf numFmtId="0" fontId="92" fillId="0" borderId="44" xfId="0" applyFont="1" applyBorder="1" applyAlignment="1">
      <alignment horizontal="center" vertical="center"/>
    </xf>
    <xf numFmtId="0" fontId="92" fillId="0" borderId="44" xfId="0" applyFont="1" applyBorder="1" applyAlignment="1">
      <alignment horizontal="center" vertical="center" wrapText="1"/>
    </xf>
    <xf numFmtId="0" fontId="92" fillId="0" borderId="44" xfId="0" applyFont="1" applyBorder="1" applyAlignment="1">
      <alignment horizontal="left" vertical="center" wrapText="1"/>
    </xf>
    <xf numFmtId="37" fontId="92" fillId="0" borderId="44" xfId="0" applyNumberFormat="1" applyFont="1" applyBorder="1" applyAlignment="1">
      <alignment horizontal="center" vertical="center" wrapText="1"/>
    </xf>
    <xf numFmtId="0" fontId="103" fillId="63" borderId="23" xfId="0" applyFont="1" applyFill="1" applyBorder="1" applyAlignment="1">
      <alignment horizontal="right" vertical="center"/>
    </xf>
    <xf numFmtId="37" fontId="103" fillId="63" borderId="17" xfId="0" applyNumberFormat="1" applyFont="1" applyFill="1" applyBorder="1" applyAlignment="1">
      <alignment horizontal="center" vertical="center"/>
    </xf>
    <xf numFmtId="0" fontId="103" fillId="63" borderId="17" xfId="0" applyFont="1" applyFill="1" applyBorder="1" applyAlignment="1">
      <alignment horizontal="left" vertical="center"/>
    </xf>
    <xf numFmtId="0" fontId="92" fillId="2" borderId="44" xfId="0" applyFont="1" applyFill="1" applyBorder="1" applyAlignment="1">
      <alignment horizontal="center" vertical="center" wrapText="1"/>
    </xf>
    <xf numFmtId="0" fontId="92" fillId="2" borderId="44" xfId="0" applyFont="1" applyFill="1" applyBorder="1" applyAlignment="1">
      <alignment horizontal="center" vertical="center"/>
    </xf>
    <xf numFmtId="0" fontId="100" fillId="0" borderId="18" xfId="0" applyFont="1" applyBorder="1"/>
    <xf numFmtId="37" fontId="92" fillId="0" borderId="18" xfId="0" applyNumberFormat="1" applyFont="1" applyBorder="1" applyAlignment="1">
      <alignment horizontal="center"/>
    </xf>
    <xf numFmtId="0" fontId="100" fillId="0" borderId="44" xfId="0" applyFont="1" applyBorder="1"/>
    <xf numFmtId="37" fontId="92" fillId="0" borderId="44" xfId="0" applyNumberFormat="1" applyFont="1" applyBorder="1" applyAlignment="1">
      <alignment horizontal="center"/>
    </xf>
    <xf numFmtId="0" fontId="109" fillId="26" borderId="44" xfId="0" applyFont="1" applyFill="1" applyBorder="1" applyAlignment="1">
      <alignment horizontal="left" vertical="center"/>
    </xf>
    <xf numFmtId="37" fontId="109" fillId="21" borderId="44" xfId="0" applyNumberFormat="1" applyFont="1" applyFill="1" applyBorder="1" applyAlignment="1">
      <alignment horizontal="center" vertical="center"/>
    </xf>
    <xf numFmtId="0" fontId="26" fillId="12" borderId="44" xfId="0" applyFont="1" applyFill="1" applyBorder="1" applyAlignment="1">
      <alignment horizontal="center" vertical="center" wrapText="1"/>
    </xf>
    <xf numFmtId="0" fontId="26" fillId="0" borderId="44" xfId="0" applyFont="1" applyBorder="1" applyAlignment="1">
      <alignment horizontal="center" vertical="center" wrapText="1"/>
    </xf>
    <xf numFmtId="0" fontId="26" fillId="12" borderId="44" xfId="0" applyFont="1" applyFill="1" applyBorder="1" applyAlignment="1">
      <alignment horizontal="center" vertical="center"/>
    </xf>
    <xf numFmtId="3" fontId="92" fillId="0" borderId="18" xfId="0" applyNumberFormat="1" applyFont="1" applyBorder="1" applyAlignment="1">
      <alignment horizontal="center" vertical="center"/>
    </xf>
    <xf numFmtId="0" fontId="26" fillId="12" borderId="50" xfId="0" applyFont="1" applyFill="1" applyBorder="1" applyAlignment="1">
      <alignment horizontal="center" vertical="center" wrapText="1"/>
    </xf>
    <xf numFmtId="0" fontId="26" fillId="0" borderId="50" xfId="0" applyFont="1" applyBorder="1" applyAlignment="1">
      <alignment horizontal="center" vertical="center" wrapText="1"/>
    </xf>
    <xf numFmtId="0" fontId="26" fillId="12" borderId="50" xfId="0" applyFont="1" applyFill="1" applyBorder="1" applyAlignment="1">
      <alignment horizontal="center" vertical="center"/>
    </xf>
    <xf numFmtId="175" fontId="92" fillId="0" borderId="18" xfId="0" applyNumberFormat="1" applyFont="1" applyBorder="1" applyAlignment="1">
      <alignment horizontal="center"/>
    </xf>
    <xf numFmtId="175" fontId="92" fillId="0" borderId="44" xfId="0" applyNumberFormat="1" applyFont="1" applyBorder="1" applyAlignment="1">
      <alignment horizontal="center"/>
    </xf>
    <xf numFmtId="37" fontId="115" fillId="0" borderId="44" xfId="63" applyFont="1" applyBorder="1" applyAlignment="1">
      <alignment horizontal="left" vertical="center"/>
    </xf>
    <xf numFmtId="0" fontId="26" fillId="0" borderId="44" xfId="0" applyFont="1" applyBorder="1" applyAlignment="1">
      <alignment horizontal="left" vertical="center"/>
    </xf>
    <xf numFmtId="0" fontId="100" fillId="0" borderId="44" xfId="0" applyFont="1" applyBorder="1" applyAlignment="1">
      <alignment horizontal="left" vertical="center"/>
    </xf>
    <xf numFmtId="0" fontId="92" fillId="2" borderId="50" xfId="0" applyFont="1" applyFill="1" applyBorder="1" applyAlignment="1">
      <alignment horizontal="center" vertical="center"/>
    </xf>
    <xf numFmtId="0" fontId="97" fillId="68" borderId="0" xfId="160">
      <alignment horizontal="left" vertical="center"/>
    </xf>
    <xf numFmtId="0" fontId="106" fillId="2" borderId="46" xfId="0" applyFont="1" applyFill="1" applyBorder="1" applyAlignment="1">
      <alignment horizontal="left" vertical="center"/>
    </xf>
    <xf numFmtId="0" fontId="106" fillId="12" borderId="50" xfId="2" applyFont="1" applyFill="1" applyBorder="1" applyAlignment="1">
      <alignment horizontal="left" vertical="center"/>
    </xf>
    <xf numFmtId="0" fontId="100" fillId="2" borderId="50" xfId="0" applyFont="1" applyFill="1" applyBorder="1" applyAlignment="1">
      <alignment horizontal="left" vertical="center" wrapText="1"/>
    </xf>
    <xf numFmtId="0" fontId="92" fillId="2" borderId="50" xfId="0" applyFont="1" applyFill="1" applyBorder="1" applyAlignment="1">
      <alignment horizontal="left" vertical="center" wrapText="1"/>
    </xf>
    <xf numFmtId="0" fontId="100" fillId="2" borderId="50" xfId="0" applyFont="1" applyFill="1" applyBorder="1" applyAlignment="1">
      <alignment vertical="center" wrapText="1"/>
    </xf>
    <xf numFmtId="0" fontId="100" fillId="2" borderId="50" xfId="0" applyFont="1" applyFill="1" applyBorder="1" applyAlignment="1">
      <alignment horizontal="left" vertical="center"/>
    </xf>
    <xf numFmtId="0" fontId="99" fillId="68" borderId="22" xfId="162" applyBorder="1" applyAlignment="1">
      <alignment horizontal="center" vertical="center" wrapText="1"/>
    </xf>
    <xf numFmtId="0" fontId="99" fillId="68" borderId="0" xfId="162" applyBorder="1" applyAlignment="1">
      <alignment horizontal="center" vertical="center" wrapText="1"/>
    </xf>
    <xf numFmtId="0" fontId="99" fillId="68" borderId="42" xfId="162" applyBorder="1" applyAlignment="1">
      <alignment horizontal="center" vertical="center" wrapText="1"/>
    </xf>
    <xf numFmtId="0" fontId="92" fillId="2" borderId="50" xfId="0" applyFont="1" applyFill="1" applyBorder="1" applyAlignment="1">
      <alignment horizontal="left" vertical="center"/>
    </xf>
    <xf numFmtId="0" fontId="92" fillId="2" borderId="50" xfId="0" applyFont="1" applyFill="1" applyBorder="1" applyAlignment="1">
      <alignment horizontal="center" vertical="center" wrapText="1"/>
    </xf>
    <xf numFmtId="0" fontId="92" fillId="2" borderId="50" xfId="0" applyFont="1" applyFill="1" applyBorder="1" applyAlignment="1">
      <alignment vertical="center"/>
    </xf>
    <xf numFmtId="4" fontId="92" fillId="0" borderId="50" xfId="0" applyNumberFormat="1" applyFont="1" applyBorder="1" applyAlignment="1">
      <alignment horizontal="center" vertical="center" wrapText="1"/>
    </xf>
    <xf numFmtId="0" fontId="92" fillId="0" borderId="50" xfId="0" applyFont="1" applyBorder="1" applyAlignment="1">
      <alignment horizontal="center" vertical="center" wrapText="1"/>
    </xf>
    <xf numFmtId="4" fontId="92" fillId="2" borderId="50" xfId="0" applyNumberFormat="1" applyFont="1" applyFill="1" applyBorder="1" applyAlignment="1">
      <alignment horizontal="center" vertical="center" wrapText="1"/>
    </xf>
    <xf numFmtId="3" fontId="92" fillId="2" borderId="50" xfId="0" applyNumberFormat="1" applyFont="1" applyFill="1" applyBorder="1" applyAlignment="1">
      <alignment horizontal="center" vertical="center" wrapText="1"/>
    </xf>
    <xf numFmtId="164" fontId="92" fillId="2" borderId="50" xfId="0" applyNumberFormat="1" applyFont="1" applyFill="1" applyBorder="1" applyAlignment="1">
      <alignment horizontal="center" vertical="center" wrapText="1"/>
    </xf>
    <xf numFmtId="0" fontId="100" fillId="12" borderId="50" xfId="0" applyFont="1" applyFill="1" applyBorder="1" applyAlignment="1">
      <alignment horizontal="left" vertical="center" wrapText="1"/>
    </xf>
    <xf numFmtId="0" fontId="100" fillId="17" borderId="50" xfId="0" applyFont="1" applyFill="1" applyBorder="1" applyAlignment="1">
      <alignment horizontal="left" vertical="center" wrapText="1"/>
    </xf>
    <xf numFmtId="3" fontId="92" fillId="0" borderId="51" xfId="0" applyNumberFormat="1" applyFont="1" applyBorder="1" applyAlignment="1">
      <alignment horizontal="center" vertical="center"/>
    </xf>
    <xf numFmtId="166" fontId="109" fillId="21" borderId="51" xfId="0" applyNumberFormat="1" applyFont="1" applyFill="1" applyBorder="1" applyAlignment="1">
      <alignment horizontal="center" vertical="center"/>
    </xf>
    <xf numFmtId="0" fontId="92" fillId="0" borderId="50" xfId="0" applyFont="1" applyBorder="1" applyAlignment="1">
      <alignment vertical="center"/>
    </xf>
    <xf numFmtId="3" fontId="92" fillId="65" borderId="50" xfId="0" applyNumberFormat="1" applyFont="1" applyFill="1" applyBorder="1" applyAlignment="1">
      <alignment horizontal="center" vertical="center"/>
    </xf>
    <xf numFmtId="3" fontId="92" fillId="12" borderId="50" xfId="0" applyNumberFormat="1" applyFont="1" applyFill="1" applyBorder="1" applyAlignment="1">
      <alignment horizontal="center" vertical="center"/>
    </xf>
    <xf numFmtId="3" fontId="92" fillId="0" borderId="50" xfId="0" applyNumberFormat="1" applyFont="1" applyBorder="1" applyAlignment="1">
      <alignment horizontal="center" vertical="center"/>
    </xf>
    <xf numFmtId="0" fontId="109" fillId="21" borderId="50" xfId="0" applyFont="1" applyFill="1" applyBorder="1" applyAlignment="1">
      <alignment vertical="center"/>
    </xf>
    <xf numFmtId="3" fontId="109" fillId="21" borderId="50" xfId="0" applyNumberFormat="1" applyFont="1" applyFill="1" applyBorder="1" applyAlignment="1">
      <alignment horizontal="center" vertical="center"/>
    </xf>
    <xf numFmtId="166" fontId="109" fillId="21" borderId="50" xfId="0" applyNumberFormat="1" applyFont="1" applyFill="1" applyBorder="1" applyAlignment="1">
      <alignment horizontal="center" vertical="center"/>
    </xf>
    <xf numFmtId="0" fontId="92" fillId="0" borderId="50" xfId="0" applyFont="1" applyBorder="1" applyAlignment="1">
      <alignment vertical="center" wrapText="1"/>
    </xf>
    <xf numFmtId="0" fontId="92" fillId="0" borderId="50" xfId="0" applyFont="1" applyBorder="1" applyAlignment="1">
      <alignment horizontal="center" vertical="center"/>
    </xf>
    <xf numFmtId="0" fontId="25" fillId="12" borderId="50" xfId="0" applyFont="1" applyFill="1" applyBorder="1" applyAlignment="1">
      <alignment horizontal="center" vertical="center" wrapText="1"/>
    </xf>
    <xf numFmtId="0" fontId="25" fillId="0" borderId="50" xfId="0" applyFont="1" applyBorder="1" applyAlignment="1">
      <alignment horizontal="center" vertical="center" wrapText="1"/>
    </xf>
    <xf numFmtId="37" fontId="92" fillId="0" borderId="50" xfId="0" applyNumberFormat="1" applyFont="1" applyBorder="1" applyAlignment="1">
      <alignment horizontal="center" vertical="center"/>
    </xf>
    <xf numFmtId="0" fontId="109" fillId="26" borderId="50" xfId="0" applyFont="1" applyFill="1" applyBorder="1" applyAlignment="1">
      <alignment horizontal="left" vertical="center"/>
    </xf>
    <xf numFmtId="37" fontId="109" fillId="21" borderId="50" xfId="0" applyNumberFormat="1" applyFont="1" applyFill="1" applyBorder="1" applyAlignment="1">
      <alignment horizontal="center" vertical="center"/>
    </xf>
    <xf numFmtId="0" fontId="92" fillId="0" borderId="58" xfId="0" applyFont="1" applyBorder="1" applyAlignment="1">
      <alignment horizontal="left" wrapText="1" readingOrder="1"/>
    </xf>
    <xf numFmtId="9" fontId="92" fillId="0" borderId="59" xfId="4" applyFont="1" applyBorder="1" applyAlignment="1">
      <alignment horizontal="center" wrapText="1" readingOrder="1"/>
    </xf>
    <xf numFmtId="0" fontId="92" fillId="0" borderId="60" xfId="0" applyFont="1" applyBorder="1" applyAlignment="1">
      <alignment horizontal="left" wrapText="1" readingOrder="1"/>
    </xf>
    <xf numFmtId="0" fontId="43" fillId="72" borderId="0" xfId="0" applyFont="1" applyFill="1" applyAlignment="1">
      <alignment horizontal="left" vertical="center"/>
    </xf>
    <xf numFmtId="0" fontId="42" fillId="14" borderId="0" xfId="0" applyFont="1" applyFill="1" applyAlignment="1">
      <alignment vertical="center"/>
    </xf>
    <xf numFmtId="0" fontId="43" fillId="61" borderId="0" xfId="0" applyFont="1" applyFill="1" applyAlignment="1">
      <alignment horizontal="left" vertical="center"/>
    </xf>
    <xf numFmtId="3" fontId="34" fillId="0" borderId="41" xfId="0" applyNumberFormat="1" applyFont="1" applyBorder="1" applyAlignment="1">
      <alignment horizontal="center"/>
    </xf>
    <xf numFmtId="3" fontId="42" fillId="0" borderId="41" xfId="0" applyNumberFormat="1" applyFont="1" applyBorder="1" applyAlignment="1">
      <alignment horizontal="center"/>
    </xf>
    <xf numFmtId="3" fontId="34" fillId="0" borderId="44" xfId="0" applyNumberFormat="1" applyFont="1" applyBorder="1" applyAlignment="1">
      <alignment horizontal="center"/>
    </xf>
    <xf numFmtId="0" fontId="97" fillId="68" borderId="0" xfId="160">
      <alignment horizontal="left" vertical="center"/>
    </xf>
    <xf numFmtId="0" fontId="99" fillId="68" borderId="0" xfId="162">
      <alignment horizontal="center" vertical="center"/>
    </xf>
    <xf numFmtId="172" fontId="92" fillId="0" borderId="50" xfId="0" applyNumberFormat="1" applyFont="1" applyBorder="1" applyAlignment="1">
      <alignment horizontal="center" vertical="center"/>
    </xf>
    <xf numFmtId="166" fontId="92" fillId="0" borderId="50" xfId="0" applyNumberFormat="1" applyFont="1" applyBorder="1" applyAlignment="1">
      <alignment horizontal="center" vertical="center"/>
    </xf>
    <xf numFmtId="164" fontId="92" fillId="0" borderId="50" xfId="0" applyNumberFormat="1" applyFont="1" applyBorder="1" applyAlignment="1">
      <alignment horizontal="center" vertical="center"/>
    </xf>
    <xf numFmtId="167" fontId="92" fillId="0" borderId="50" xfId="0" applyNumberFormat="1" applyFont="1" applyBorder="1" applyAlignment="1">
      <alignment horizontal="center" vertical="center"/>
    </xf>
    <xf numFmtId="181" fontId="92" fillId="0" borderId="50" xfId="0" applyNumberFormat="1" applyFont="1" applyBorder="1" applyAlignment="1">
      <alignment horizontal="center" vertical="center"/>
    </xf>
    <xf numFmtId="0" fontId="109" fillId="21" borderId="53" xfId="0" applyFont="1" applyFill="1" applyBorder="1" applyAlignment="1">
      <alignment vertical="center"/>
    </xf>
    <xf numFmtId="3" fontId="109" fillId="21" borderId="53" xfId="0" applyNumberFormat="1" applyFont="1" applyFill="1" applyBorder="1" applyAlignment="1">
      <alignment horizontal="center" vertical="center"/>
    </xf>
    <xf numFmtId="0" fontId="99" fillId="68" borderId="50" xfId="162" applyBorder="1" applyAlignment="1">
      <alignment horizontal="center" vertical="center" wrapText="1"/>
    </xf>
    <xf numFmtId="164" fontId="92" fillId="0" borderId="51" xfId="0" applyNumberFormat="1" applyFont="1" applyBorder="1" applyAlignment="1">
      <alignment horizontal="center" vertical="center"/>
    </xf>
    <xf numFmtId="0" fontId="118" fillId="12" borderId="0" xfId="12" applyFont="1" applyFill="1" applyAlignment="1">
      <alignment vertical="center" wrapText="1"/>
    </xf>
    <xf numFmtId="0" fontId="90" fillId="12" borderId="0" xfId="0" applyFont="1" applyFill="1"/>
    <xf numFmtId="0" fontId="37" fillId="0" borderId="50" xfId="0" applyFont="1" applyBorder="1"/>
    <xf numFmtId="175" fontId="34" fillId="0" borderId="50" xfId="0" applyNumberFormat="1" applyFont="1" applyBorder="1" applyAlignment="1">
      <alignment horizontal="center"/>
    </xf>
    <xf numFmtId="0" fontId="47" fillId="62" borderId="0" xfId="0" applyFont="1" applyFill="1" applyAlignment="1">
      <alignment vertical="center" wrapText="1"/>
    </xf>
    <xf numFmtId="0" fontId="42" fillId="26" borderId="50" xfId="0" applyFont="1" applyFill="1" applyBorder="1" applyAlignment="1">
      <alignment horizontal="left" vertical="center"/>
    </xf>
    <xf numFmtId="37" fontId="42" fillId="21" borderId="50" xfId="0" applyNumberFormat="1" applyFont="1" applyFill="1" applyBorder="1" applyAlignment="1">
      <alignment horizontal="center" vertical="center"/>
    </xf>
    <xf numFmtId="0" fontId="49" fillId="0" borderId="50" xfId="0" applyFont="1" applyBorder="1" applyAlignment="1">
      <alignment vertical="center" wrapText="1"/>
    </xf>
    <xf numFmtId="37" fontId="49" fillId="65" borderId="50" xfId="1" applyNumberFormat="1" applyFont="1" applyFill="1" applyBorder="1" applyAlignment="1">
      <alignment horizontal="center" vertical="center"/>
    </xf>
    <xf numFmtId="37" fontId="49" fillId="12" borderId="50" xfId="1" applyNumberFormat="1" applyFont="1" applyFill="1" applyBorder="1" applyAlignment="1">
      <alignment horizontal="center" vertical="center"/>
    </xf>
    <xf numFmtId="0" fontId="47" fillId="61" borderId="0" xfId="0" applyFont="1" applyFill="1" applyAlignment="1">
      <alignment horizontal="left" vertical="center" wrapText="1"/>
    </xf>
    <xf numFmtId="0" fontId="47" fillId="61" borderId="0" xfId="0" applyFont="1" applyFill="1" applyAlignment="1">
      <alignment vertical="center" wrapText="1"/>
    </xf>
    <xf numFmtId="0" fontId="47" fillId="61" borderId="0" xfId="0" applyFont="1" applyFill="1" applyAlignment="1">
      <alignment horizontal="left" vertical="center"/>
    </xf>
    <xf numFmtId="0" fontId="34" fillId="0" borderId="50" xfId="0" applyFont="1" applyBorder="1" applyAlignment="1">
      <alignment vertical="center"/>
    </xf>
    <xf numFmtId="3" fontId="34" fillId="0" borderId="50" xfId="0" applyNumberFormat="1" applyFont="1" applyBorder="1" applyAlignment="1">
      <alignment horizontal="center" vertical="center"/>
    </xf>
    <xf numFmtId="0" fontId="104" fillId="12" borderId="0" xfId="0" applyFont="1" applyFill="1" applyAlignment="1">
      <alignment vertical="center" wrapText="1"/>
    </xf>
    <xf numFmtId="0" fontId="117" fillId="12" borderId="0" xfId="0" applyFont="1" applyFill="1" applyAlignment="1">
      <alignment vertical="center" wrapText="1"/>
    </xf>
    <xf numFmtId="0" fontId="52" fillId="2" borderId="0" xfId="0" applyFont="1" applyFill="1" applyAlignment="1">
      <alignment vertical="center" wrapText="1"/>
    </xf>
    <xf numFmtId="0" fontId="34" fillId="12" borderId="50" xfId="0" applyFont="1" applyFill="1" applyBorder="1"/>
    <xf numFmtId="0" fontId="42" fillId="21" borderId="50" xfId="0" applyFont="1" applyFill="1" applyBorder="1" applyAlignment="1">
      <alignment vertical="center"/>
    </xf>
    <xf numFmtId="3" fontId="37" fillId="65" borderId="50" xfId="0" applyNumberFormat="1" applyFont="1" applyFill="1" applyBorder="1" applyAlignment="1">
      <alignment horizontal="center" vertical="center"/>
    </xf>
    <xf numFmtId="0" fontId="49" fillId="0" borderId="50" xfId="0" applyFont="1" applyBorder="1" applyAlignment="1">
      <alignment horizontal="center" vertical="center" wrapText="1"/>
    </xf>
    <xf numFmtId="0" fontId="34" fillId="12" borderId="50" xfId="0" applyFont="1" applyFill="1" applyBorder="1" applyAlignment="1">
      <alignment vertical="center"/>
    </xf>
    <xf numFmtId="0" fontId="49" fillId="12" borderId="50" xfId="0" applyFont="1" applyFill="1" applyBorder="1" applyAlignment="1">
      <alignment horizontal="center" vertical="center" wrapText="1"/>
    </xf>
    <xf numFmtId="3" fontId="37" fillId="0" borderId="50" xfId="0" applyNumberFormat="1" applyFont="1" applyBorder="1" applyAlignment="1">
      <alignment horizontal="center" vertical="center"/>
    </xf>
    <xf numFmtId="3" fontId="38" fillId="21" borderId="50" xfId="0" applyNumberFormat="1" applyFont="1" applyFill="1" applyBorder="1" applyAlignment="1">
      <alignment horizontal="center" vertical="center"/>
    </xf>
    <xf numFmtId="0" fontId="118" fillId="0" borderId="0" xfId="12" applyFont="1" applyFill="1" applyAlignment="1">
      <alignment vertical="center" wrapText="1"/>
    </xf>
    <xf numFmtId="0" fontId="99" fillId="68" borderId="0" xfId="162" applyAlignment="1">
      <alignment horizontal="center" vertical="center" wrapText="1"/>
    </xf>
    <xf numFmtId="0" fontId="47" fillId="2" borderId="0" xfId="0" applyFont="1" applyFill="1" applyAlignment="1">
      <alignment horizontal="left" vertical="center" wrapText="1"/>
    </xf>
    <xf numFmtId="0" fontId="97" fillId="68" borderId="0" xfId="160">
      <alignment horizontal="left" vertical="center"/>
    </xf>
    <xf numFmtId="0" fontId="52" fillId="12" borderId="0" xfId="0" applyFont="1" applyFill="1" applyAlignment="1">
      <alignment horizontal="left" vertical="center" wrapText="1"/>
    </xf>
    <xf numFmtId="0" fontId="52" fillId="2" borderId="0" xfId="0" applyFont="1" applyFill="1" applyAlignment="1">
      <alignment horizontal="left" vertical="center" wrapText="1"/>
    </xf>
    <xf numFmtId="0" fontId="100" fillId="0" borderId="50" xfId="12" applyFont="1" applyBorder="1" applyAlignment="1">
      <alignment horizontal="left" vertical="center" wrapText="1"/>
    </xf>
    <xf numFmtId="0" fontId="100" fillId="0" borderId="50" xfId="12" applyFont="1" applyFill="1" applyBorder="1" applyAlignment="1">
      <alignment vertical="center" wrapText="1"/>
    </xf>
    <xf numFmtId="0" fontId="102" fillId="19" borderId="0" xfId="148" applyFont="1" applyFill="1" applyAlignment="1">
      <alignment horizontal="left" vertical="center"/>
    </xf>
    <xf numFmtId="0" fontId="23" fillId="12" borderId="0" xfId="148" applyFont="1" applyFill="1" applyAlignment="1">
      <alignment vertical="center"/>
    </xf>
    <xf numFmtId="0" fontId="124" fillId="12" borderId="0" xfId="12" applyFont="1" applyFill="1" applyAlignment="1">
      <alignment vertical="center" wrapText="1"/>
    </xf>
    <xf numFmtId="0" fontId="125" fillId="12" borderId="0" xfId="12" applyFont="1" applyFill="1" applyAlignment="1">
      <alignment vertical="center" wrapText="1"/>
    </xf>
    <xf numFmtId="0" fontId="125" fillId="0" borderId="0" xfId="12" applyFont="1" applyAlignment="1">
      <alignment vertical="center" wrapText="1"/>
    </xf>
    <xf numFmtId="0" fontId="100" fillId="0" borderId="50" xfId="12" applyFont="1" applyBorder="1" applyAlignment="1">
      <alignment horizontal="center" vertical="center" wrapText="1"/>
    </xf>
    <xf numFmtId="0" fontId="100" fillId="0" borderId="50" xfId="12" applyFont="1" applyBorder="1" applyAlignment="1">
      <alignment vertical="center" wrapText="1"/>
    </xf>
    <xf numFmtId="0" fontId="100" fillId="12" borderId="50" xfId="12" applyFont="1" applyFill="1" applyBorder="1" applyAlignment="1">
      <alignment horizontal="center" vertical="center" wrapText="1"/>
    </xf>
    <xf numFmtId="0" fontId="100" fillId="12" borderId="50" xfId="12" applyFont="1" applyFill="1" applyBorder="1" applyAlignment="1">
      <alignment vertical="center" wrapText="1"/>
    </xf>
    <xf numFmtId="0" fontId="124" fillId="12" borderId="0" xfId="12" applyFont="1" applyFill="1" applyBorder="1" applyAlignment="1">
      <alignment vertical="center" wrapText="1"/>
    </xf>
    <xf numFmtId="0" fontId="100" fillId="12" borderId="0" xfId="0" applyFont="1" applyFill="1" applyAlignment="1">
      <alignment vertical="center"/>
    </xf>
    <xf numFmtId="0" fontId="49" fillId="12" borderId="50" xfId="0" applyFont="1" applyFill="1" applyBorder="1" applyAlignment="1">
      <alignment vertical="center"/>
    </xf>
    <xf numFmtId="3" fontId="49" fillId="0" borderId="50" xfId="1" applyNumberFormat="1" applyFont="1" applyBorder="1" applyAlignment="1">
      <alignment horizontal="center" vertical="center"/>
    </xf>
    <xf numFmtId="3" fontId="49" fillId="12" borderId="0" xfId="1" applyNumberFormat="1" applyFont="1" applyFill="1" applyAlignment="1">
      <alignment horizontal="center" vertical="center"/>
    </xf>
    <xf numFmtId="172" fontId="49" fillId="12" borderId="0" xfId="1" applyNumberFormat="1" applyFont="1" applyFill="1" applyAlignment="1">
      <alignment horizontal="center" vertical="center"/>
    </xf>
    <xf numFmtId="4" fontId="49" fillId="12" borderId="0" xfId="1" applyNumberFormat="1" applyFont="1" applyFill="1" applyAlignment="1">
      <alignment horizontal="center" vertical="center"/>
    </xf>
    <xf numFmtId="3" fontId="34" fillId="2" borderId="0" xfId="0" applyNumberFormat="1" applyFont="1" applyFill="1" applyAlignment="1">
      <alignment vertical="center"/>
    </xf>
    <xf numFmtId="0" fontId="34" fillId="2" borderId="4" xfId="0" applyFont="1" applyFill="1" applyBorder="1" applyAlignment="1">
      <alignment vertical="center"/>
    </xf>
    <xf numFmtId="0" fontId="49" fillId="12" borderId="22" xfId="0" applyFont="1" applyFill="1" applyBorder="1" applyAlignment="1">
      <alignment vertical="center"/>
    </xf>
    <xf numFmtId="10" fontId="49" fillId="12" borderId="0" xfId="4" applyNumberFormat="1" applyFont="1" applyFill="1" applyAlignment="1">
      <alignment horizontal="center" vertical="center"/>
    </xf>
    <xf numFmtId="0" fontId="50" fillId="12" borderId="0" xfId="0" applyFont="1" applyFill="1" applyAlignment="1">
      <alignment horizontal="right" vertical="center"/>
    </xf>
    <xf numFmtId="172" fontId="50" fillId="12" borderId="0" xfId="1" applyNumberFormat="1" applyFont="1" applyFill="1" applyAlignment="1">
      <alignment horizontal="center" vertical="center"/>
    </xf>
    <xf numFmtId="0" fontId="110" fillId="14" borderId="0" xfId="0" applyFont="1" applyFill="1" applyAlignment="1">
      <alignment horizontal="left" vertical="center"/>
    </xf>
    <xf numFmtId="0" fontId="127" fillId="12" borderId="0" xfId="0" applyFont="1" applyFill="1"/>
    <xf numFmtId="3" fontId="42" fillId="21" borderId="50" xfId="0" applyNumberFormat="1" applyFont="1" applyFill="1" applyBorder="1" applyAlignment="1">
      <alignment horizontal="center" vertical="center"/>
    </xf>
    <xf numFmtId="0" fontId="128" fillId="12" borderId="0" xfId="0" applyFont="1" applyFill="1"/>
    <xf numFmtId="0" fontId="129" fillId="12" borderId="0" xfId="0" applyFont="1" applyFill="1"/>
    <xf numFmtId="4" fontId="49" fillId="0" borderId="0" xfId="150" applyNumberFormat="1" applyFont="1" applyAlignment="1">
      <alignment horizontal="center"/>
    </xf>
    <xf numFmtId="0" fontId="92" fillId="0" borderId="0" xfId="0" applyFont="1" applyBorder="1" applyAlignment="1">
      <alignment vertical="center" wrapText="1"/>
    </xf>
    <xf numFmtId="0" fontId="92" fillId="2" borderId="0" xfId="0" applyFont="1" applyFill="1" applyBorder="1" applyAlignment="1">
      <alignment horizontal="center" vertical="center"/>
    </xf>
    <xf numFmtId="177" fontId="92" fillId="14" borderId="0" xfId="0" applyNumberFormat="1" applyFont="1" applyFill="1" applyBorder="1" applyAlignment="1">
      <alignment horizontal="center" vertical="center"/>
    </xf>
    <xf numFmtId="0" fontId="26" fillId="0" borderId="0" xfId="0" applyFont="1" applyBorder="1" applyAlignment="1">
      <alignment horizontal="center" vertical="center" wrapText="1"/>
    </xf>
    <xf numFmtId="0" fontId="92" fillId="2" borderId="0" xfId="0" applyFont="1" applyFill="1" applyBorder="1" applyAlignment="1">
      <alignment horizontal="left" vertical="center" wrapText="1"/>
    </xf>
    <xf numFmtId="0" fontId="126" fillId="14" borderId="0" xfId="0" applyFont="1" applyFill="1" applyAlignment="1">
      <alignment vertical="center" wrapText="1"/>
    </xf>
    <xf numFmtId="0" fontId="22" fillId="12" borderId="50" xfId="0" applyFont="1" applyFill="1" applyBorder="1"/>
    <xf numFmtId="3" fontId="22" fillId="0" borderId="50" xfId="1" applyNumberFormat="1" applyFont="1" applyBorder="1" applyAlignment="1">
      <alignment horizontal="center"/>
    </xf>
    <xf numFmtId="3" fontId="92" fillId="65" borderId="50" xfId="0" applyNumberFormat="1" applyFont="1" applyFill="1" applyBorder="1" applyAlignment="1">
      <alignment horizontal="center"/>
    </xf>
    <xf numFmtId="37" fontId="106" fillId="26" borderId="50" xfId="0" applyNumberFormat="1" applyFont="1" applyFill="1" applyBorder="1" applyAlignment="1">
      <alignment horizontal="center"/>
    </xf>
    <xf numFmtId="0" fontId="92" fillId="12" borderId="0" xfId="0" applyFont="1" applyFill="1"/>
    <xf numFmtId="0" fontId="92" fillId="0" borderId="50" xfId="0" applyFont="1" applyBorder="1"/>
    <xf numFmtId="3" fontId="92" fillId="12" borderId="50" xfId="0" applyNumberFormat="1" applyFont="1" applyFill="1" applyBorder="1" applyAlignment="1">
      <alignment horizontal="center"/>
    </xf>
    <xf numFmtId="0" fontId="44" fillId="14" borderId="0" xfId="0" applyFont="1" applyFill="1" applyAlignment="1">
      <alignment vertical="center" wrapText="1"/>
    </xf>
    <xf numFmtId="0" fontId="37" fillId="12" borderId="0" xfId="0" applyFont="1" applyFill="1" applyAlignment="1"/>
    <xf numFmtId="0" fontId="44" fillId="14" borderId="0" xfId="0" applyFont="1" applyFill="1" applyAlignment="1">
      <alignment horizontal="left" vertical="center" wrapText="1"/>
    </xf>
    <xf numFmtId="0" fontId="22" fillId="12" borderId="50" xfId="0" applyFont="1" applyFill="1" applyBorder="1" applyAlignment="1">
      <alignment horizontal="center" vertical="center" wrapText="1"/>
    </xf>
    <xf numFmtId="0" fontId="22" fillId="0" borderId="50" xfId="0" applyFont="1" applyBorder="1" applyAlignment="1">
      <alignment horizontal="center" vertical="center" wrapText="1"/>
    </xf>
    <xf numFmtId="0" fontId="92" fillId="14" borderId="50" xfId="0" applyFont="1" applyFill="1" applyBorder="1" applyAlignment="1">
      <alignment horizontal="left" vertical="center" wrapText="1"/>
    </xf>
    <xf numFmtId="37" fontId="22" fillId="12" borderId="50" xfId="63" applyFont="1" applyFill="1" applyBorder="1" applyAlignment="1">
      <alignment horizontal="center" vertical="center" wrapText="1"/>
    </xf>
    <xf numFmtId="37" fontId="22" fillId="0" borderId="50" xfId="63" applyFont="1" applyBorder="1" applyAlignment="1">
      <alignment horizontal="center" vertical="center" wrapText="1"/>
    </xf>
    <xf numFmtId="0" fontId="100" fillId="0" borderId="50" xfId="0" applyFont="1" applyBorder="1"/>
    <xf numFmtId="175" fontId="92" fillId="0" borderId="50" xfId="0" applyNumberFormat="1" applyFont="1" applyBorder="1" applyAlignment="1">
      <alignment horizontal="center"/>
    </xf>
    <xf numFmtId="9" fontId="37" fillId="2" borderId="0" xfId="0" applyNumberFormat="1" applyFont="1" applyFill="1" applyAlignment="1">
      <alignment horizontal="center" vertical="center"/>
    </xf>
    <xf numFmtId="9" fontId="37" fillId="14" borderId="0" xfId="0" applyNumberFormat="1" applyFont="1" applyFill="1" applyAlignment="1">
      <alignment horizontal="center" vertical="center"/>
    </xf>
    <xf numFmtId="173" fontId="37" fillId="14" borderId="0" xfId="0" applyNumberFormat="1" applyFont="1" applyFill="1" applyAlignment="1">
      <alignment horizontal="center" vertical="center"/>
    </xf>
    <xf numFmtId="3" fontId="42" fillId="0" borderId="50" xfId="0" applyNumberFormat="1" applyFont="1" applyBorder="1" applyAlignment="1">
      <alignment horizontal="center" vertical="center"/>
    </xf>
    <xf numFmtId="0" fontId="52" fillId="62" borderId="0" xfId="0" applyFont="1" applyFill="1" applyAlignment="1">
      <alignment vertical="center" wrapText="1"/>
    </xf>
    <xf numFmtId="0" fontId="87" fillId="0" borderId="50" xfId="12" applyFont="1" applyFill="1" applyBorder="1" applyAlignment="1">
      <alignment vertical="center" wrapText="1"/>
    </xf>
    <xf numFmtId="0" fontId="121" fillId="2" borderId="50" xfId="7" applyFont="1" applyFill="1" applyBorder="1" applyAlignment="1">
      <alignment horizontal="left" vertical="center"/>
    </xf>
    <xf numFmtId="0" fontId="110" fillId="14" borderId="0" xfId="0" applyFont="1" applyFill="1" applyAlignment="1">
      <alignment horizontal="left" vertical="center" wrapText="1"/>
    </xf>
    <xf numFmtId="0" fontId="130" fillId="12" borderId="0" xfId="0" applyFont="1" applyFill="1" applyAlignment="1">
      <alignment vertical="center"/>
    </xf>
    <xf numFmtId="0" fontId="92" fillId="0" borderId="0" xfId="0" applyFont="1" applyAlignment="1">
      <alignment vertical="center"/>
    </xf>
    <xf numFmtId="0" fontId="92" fillId="12" borderId="0" xfId="0" applyFont="1" applyFill="1" applyAlignment="1">
      <alignment vertical="center"/>
    </xf>
    <xf numFmtId="0" fontId="100" fillId="0" borderId="50" xfId="0" applyFont="1" applyBorder="1" applyAlignment="1">
      <alignment vertical="center"/>
    </xf>
    <xf numFmtId="37" fontId="92" fillId="65" borderId="50" xfId="0" applyNumberFormat="1" applyFont="1" applyFill="1" applyBorder="1" applyAlignment="1">
      <alignment horizontal="center"/>
    </xf>
    <xf numFmtId="3" fontId="34" fillId="0" borderId="50" xfId="0" applyNumberFormat="1" applyFont="1" applyFill="1" applyBorder="1" applyAlignment="1">
      <alignment horizontal="center" vertical="center"/>
    </xf>
    <xf numFmtId="0" fontId="21" fillId="14" borderId="50" xfId="0" applyFont="1" applyFill="1" applyBorder="1" applyAlignment="1">
      <alignment vertical="center"/>
    </xf>
    <xf numFmtId="0" fontId="100" fillId="0" borderId="64" xfId="12" applyFont="1" applyBorder="1" applyAlignment="1">
      <alignment horizontal="left" vertical="center" wrapText="1"/>
    </xf>
    <xf numFmtId="0" fontId="100" fillId="0" borderId="24" xfId="12" applyFont="1" applyFill="1" applyBorder="1" applyAlignment="1">
      <alignment vertical="center" wrapText="1"/>
    </xf>
    <xf numFmtId="0" fontId="43" fillId="75" borderId="53" xfId="0" applyFont="1" applyFill="1" applyBorder="1" applyAlignment="1">
      <alignment horizontal="center" vertical="center" wrapText="1"/>
    </xf>
    <xf numFmtId="0" fontId="33" fillId="76" borderId="53" xfId="0" applyFont="1" applyFill="1" applyBorder="1" applyAlignment="1">
      <alignment horizontal="center" vertical="center" wrapText="1"/>
    </xf>
    <xf numFmtId="0" fontId="43" fillId="77" borderId="53" xfId="0" applyFont="1" applyFill="1" applyBorder="1" applyAlignment="1">
      <alignment horizontal="center" vertical="center" wrapText="1"/>
    </xf>
    <xf numFmtId="3" fontId="91" fillId="12" borderId="50" xfId="0" applyNumberFormat="1" applyFont="1" applyFill="1" applyBorder="1" applyAlignment="1">
      <alignment horizontal="center"/>
    </xf>
    <xf numFmtId="0" fontId="33" fillId="83" borderId="68" xfId="0" applyFont="1" applyFill="1" applyBorder="1" applyAlignment="1">
      <alignment horizontal="center" vertical="center" wrapText="1"/>
    </xf>
    <xf numFmtId="0" fontId="43" fillId="86" borderId="53" xfId="0" applyFont="1" applyFill="1" applyBorder="1" applyAlignment="1">
      <alignment horizontal="center" vertical="center" wrapText="1"/>
    </xf>
    <xf numFmtId="0" fontId="43" fillId="73" borderId="53" xfId="0" applyFont="1" applyFill="1" applyBorder="1" applyAlignment="1">
      <alignment horizontal="center" vertical="center" wrapText="1"/>
    </xf>
    <xf numFmtId="0" fontId="43" fillId="87" borderId="53" xfId="0" applyFont="1" applyFill="1" applyBorder="1" applyAlignment="1">
      <alignment horizontal="center" vertical="center" wrapText="1"/>
    </xf>
    <xf numFmtId="0" fontId="43" fillId="88" borderId="53" xfId="0" applyFont="1" applyFill="1" applyBorder="1" applyAlignment="1">
      <alignment horizontal="center" vertical="center" wrapText="1"/>
    </xf>
    <xf numFmtId="0" fontId="91" fillId="12" borderId="50" xfId="0" applyFont="1" applyFill="1" applyBorder="1" applyAlignment="1">
      <alignment horizontal="center"/>
    </xf>
    <xf numFmtId="166" fontId="91" fillId="12" borderId="50" xfId="0" applyNumberFormat="1" applyFont="1" applyFill="1" applyBorder="1" applyAlignment="1">
      <alignment horizontal="center"/>
    </xf>
    <xf numFmtId="179" fontId="91" fillId="12" borderId="50" xfId="154" applyNumberFormat="1" applyFont="1" applyFill="1" applyBorder="1" applyAlignment="1">
      <alignment horizontal="center"/>
    </xf>
    <xf numFmtId="3" fontId="91" fillId="12" borderId="73" xfId="0" applyNumberFormat="1" applyFont="1" applyFill="1" applyBorder="1" applyAlignment="1">
      <alignment horizontal="center"/>
    </xf>
    <xf numFmtId="0" fontId="91" fillId="12" borderId="61" xfId="0" applyFont="1" applyFill="1" applyBorder="1"/>
    <xf numFmtId="0" fontId="91" fillId="12" borderId="0" xfId="0" applyFont="1" applyFill="1" applyAlignment="1">
      <alignment horizontal="center"/>
    </xf>
    <xf numFmtId="3" fontId="91" fillId="12" borderId="0" xfId="0" applyNumberFormat="1" applyFont="1" applyFill="1" applyAlignment="1">
      <alignment horizontal="center"/>
    </xf>
    <xf numFmtId="166" fontId="91" fillId="12" borderId="0" xfId="0" applyNumberFormat="1" applyFont="1" applyFill="1" applyAlignment="1">
      <alignment horizontal="center"/>
    </xf>
    <xf numFmtId="3" fontId="0" fillId="12" borderId="0" xfId="0" applyNumberFormat="1" applyFill="1" applyAlignment="1">
      <alignment horizontal="center"/>
    </xf>
    <xf numFmtId="0" fontId="120" fillId="12" borderId="0" xfId="0" applyFont="1" applyFill="1"/>
    <xf numFmtId="0" fontId="43" fillId="75" borderId="50" xfId="0" applyFont="1" applyFill="1" applyBorder="1" applyAlignment="1">
      <alignment horizontal="center" vertical="center" wrapText="1"/>
    </xf>
    <xf numFmtId="0" fontId="43" fillId="77" borderId="50" xfId="0" applyFont="1" applyFill="1" applyBorder="1" applyAlignment="1">
      <alignment horizontal="center" vertical="center" wrapText="1"/>
    </xf>
    <xf numFmtId="0" fontId="43" fillId="86" borderId="50" xfId="0" applyFont="1" applyFill="1" applyBorder="1" applyAlignment="1">
      <alignment horizontal="center" vertical="center" wrapText="1"/>
    </xf>
    <xf numFmtId="0" fontId="37" fillId="0" borderId="0" xfId="0" applyFont="1"/>
    <xf numFmtId="0" fontId="121" fillId="2" borderId="50" xfId="7" applyFont="1" applyFill="1" applyBorder="1" applyAlignment="1">
      <alignment horizontal="left" vertical="center" wrapText="1"/>
    </xf>
    <xf numFmtId="0" fontId="99" fillId="68" borderId="50" xfId="162" applyBorder="1">
      <alignment horizontal="center" vertical="center"/>
    </xf>
    <xf numFmtId="3" fontId="34" fillId="12" borderId="50" xfId="0" applyNumberFormat="1" applyFont="1" applyFill="1" applyBorder="1" applyAlignment="1">
      <alignment horizontal="center"/>
    </xf>
    <xf numFmtId="9" fontId="34" fillId="12" borderId="0" xfId="0" applyNumberFormat="1" applyFont="1" applyFill="1" applyAlignment="1">
      <alignment vertical="center"/>
    </xf>
    <xf numFmtId="0" fontId="97" fillId="68" borderId="0" xfId="160">
      <alignment horizontal="left" vertical="center"/>
    </xf>
    <xf numFmtId="0" fontId="98" fillId="69" borderId="57" xfId="161" applyBorder="1"/>
    <xf numFmtId="0" fontId="98" fillId="69" borderId="19" xfId="161" applyBorder="1"/>
    <xf numFmtId="0" fontId="98" fillId="69" borderId="52" xfId="161" applyBorder="1"/>
    <xf numFmtId="0" fontId="99" fillId="68" borderId="0" xfId="162" applyBorder="1" applyAlignment="1">
      <alignment horizontal="center" vertical="center" wrapText="1"/>
    </xf>
    <xf numFmtId="0" fontId="99" fillId="68" borderId="0" xfId="162">
      <alignment horizontal="center" vertical="center"/>
    </xf>
    <xf numFmtId="0" fontId="99" fillId="68" borderId="42" xfId="162" applyBorder="1" applyAlignment="1">
      <alignment horizontal="center" vertical="center" wrapText="1"/>
    </xf>
    <xf numFmtId="0" fontId="99" fillId="68" borderId="19" xfId="162" applyBorder="1">
      <alignment horizontal="center" vertical="center"/>
    </xf>
    <xf numFmtId="0" fontId="26" fillId="12" borderId="50" xfId="156" applyBorder="1" applyAlignment="1">
      <alignment vertical="center" wrapText="1"/>
    </xf>
    <xf numFmtId="0" fontId="95" fillId="67" borderId="54" xfId="155" applyBorder="1" applyAlignment="1"/>
    <xf numFmtId="0" fontId="95" fillId="67" borderId="55" xfId="155" applyBorder="1" applyAlignment="1"/>
    <xf numFmtId="0" fontId="95" fillId="67" borderId="51" xfId="155" applyBorder="1" applyAlignment="1"/>
    <xf numFmtId="0" fontId="34" fillId="0" borderId="57" xfId="0" applyFont="1" applyBorder="1" applyAlignment="1">
      <alignment vertical="center"/>
    </xf>
    <xf numFmtId="3" fontId="34" fillId="0" borderId="19" xfId="0" applyNumberFormat="1" applyFont="1" applyBorder="1" applyAlignment="1">
      <alignment horizontal="center" vertical="center"/>
    </xf>
    <xf numFmtId="0" fontId="98" fillId="69" borderId="54" xfId="161" applyBorder="1"/>
    <xf numFmtId="0" fontId="98" fillId="69" borderId="55" xfId="161" applyBorder="1"/>
    <xf numFmtId="0" fontId="98" fillId="69" borderId="51" xfId="161" applyBorder="1"/>
    <xf numFmtId="0" fontId="99" fillId="68" borderId="57" xfId="162" applyBorder="1">
      <alignment horizontal="center" vertical="center"/>
    </xf>
    <xf numFmtId="0" fontId="99" fillId="68" borderId="52" xfId="162" applyBorder="1">
      <alignment horizontal="center" vertical="center"/>
    </xf>
    <xf numFmtId="0" fontId="100" fillId="0" borderId="24" xfId="0" applyFont="1" applyBorder="1"/>
    <xf numFmtId="0" fontId="95" fillId="67" borderId="54" xfId="155" applyBorder="1" applyAlignment="1">
      <alignment vertical="center" wrapText="1"/>
    </xf>
    <xf numFmtId="0" fontId="95" fillId="67" borderId="55" xfId="155" applyBorder="1" applyAlignment="1">
      <alignment vertical="center" wrapText="1"/>
    </xf>
    <xf numFmtId="0" fontId="95" fillId="67" borderId="51" xfId="155" applyBorder="1" applyAlignment="1">
      <alignment vertical="center" wrapText="1"/>
    </xf>
    <xf numFmtId="0" fontId="95" fillId="67" borderId="55" xfId="155" applyBorder="1" applyAlignment="1">
      <alignment horizontal="left" vertical="center" wrapText="1"/>
    </xf>
    <xf numFmtId="0" fontId="95" fillId="67" borderId="51" xfId="155" applyBorder="1" applyAlignment="1">
      <alignment horizontal="left" vertical="center" wrapText="1"/>
    </xf>
    <xf numFmtId="0" fontId="95" fillId="67" borderId="54" xfId="155" applyBorder="1" applyAlignment="1">
      <alignment vertical="center"/>
    </xf>
    <xf numFmtId="37" fontId="92" fillId="0" borderId="24" xfId="0" applyNumberFormat="1" applyFont="1" applyBorder="1" applyAlignment="1">
      <alignment horizontal="center"/>
    </xf>
    <xf numFmtId="0" fontId="95" fillId="67" borderId="54" xfId="155" applyBorder="1" applyAlignment="1">
      <alignment horizontal="left" vertical="center" wrapText="1"/>
    </xf>
    <xf numFmtId="0" fontId="98" fillId="69" borderId="54" xfId="161" applyBorder="1" applyAlignment="1"/>
    <xf numFmtId="0" fontId="98" fillId="69" borderId="55" xfId="161" applyBorder="1" applyAlignment="1"/>
    <xf numFmtId="0" fontId="98" fillId="69" borderId="51" xfId="161" applyBorder="1" applyAlignment="1"/>
    <xf numFmtId="0" fontId="99" fillId="68" borderId="54" xfId="162" applyBorder="1">
      <alignment horizontal="center" vertical="center"/>
    </xf>
    <xf numFmtId="0" fontId="99" fillId="68" borderId="55" xfId="162" applyBorder="1">
      <alignment horizontal="center" vertical="center"/>
    </xf>
    <xf numFmtId="0" fontId="99" fillId="68" borderId="54" xfId="162" applyBorder="1" applyAlignment="1">
      <alignment horizontal="center" vertical="center" wrapText="1"/>
    </xf>
    <xf numFmtId="0" fontId="99" fillId="68" borderId="55" xfId="162" applyBorder="1" applyAlignment="1">
      <alignment horizontal="center" vertical="center" wrapText="1"/>
    </xf>
    <xf numFmtId="0" fontId="99" fillId="68" borderId="51" xfId="162" applyBorder="1" applyAlignment="1">
      <alignment horizontal="center" vertical="center" wrapText="1"/>
    </xf>
    <xf numFmtId="0" fontId="99" fillId="68" borderId="23" xfId="162" applyBorder="1" applyAlignment="1">
      <alignment horizontal="center" vertical="center" wrapText="1"/>
    </xf>
    <xf numFmtId="0" fontId="99" fillId="68" borderId="54" xfId="162" applyFont="1" applyBorder="1" applyAlignment="1">
      <alignment horizontal="center" vertical="center" wrapText="1"/>
    </xf>
    <xf numFmtId="0" fontId="99" fillId="68" borderId="51" xfId="162" applyFont="1" applyBorder="1" applyAlignment="1">
      <alignment horizontal="center" vertical="center" wrapText="1"/>
    </xf>
    <xf numFmtId="0" fontId="95" fillId="67" borderId="54" xfId="155" applyBorder="1" applyAlignment="1">
      <alignment horizontal="left" vertical="center"/>
    </xf>
    <xf numFmtId="0" fontId="95" fillId="67" borderId="55" xfId="155" applyBorder="1" applyAlignment="1">
      <alignment vertical="center"/>
    </xf>
    <xf numFmtId="0" fontId="95" fillId="67" borderId="51" xfId="155" applyBorder="1" applyAlignment="1">
      <alignment vertical="center"/>
    </xf>
    <xf numFmtId="0" fontId="99" fillId="68" borderId="51" xfId="162" applyBorder="1">
      <alignment horizontal="center" vertical="center"/>
    </xf>
    <xf numFmtId="0" fontId="37" fillId="0" borderId="24" xfId="0" applyFont="1" applyBorder="1"/>
    <xf numFmtId="37" fontId="34" fillId="0" borderId="24" xfId="0" applyNumberFormat="1" applyFont="1" applyBorder="1" applyAlignment="1">
      <alignment horizontal="center"/>
    </xf>
    <xf numFmtId="0" fontId="99" fillId="68" borderId="74" xfId="162" applyBorder="1" applyAlignment="1">
      <alignment horizontal="center" vertical="center" wrapText="1"/>
    </xf>
    <xf numFmtId="0" fontId="99" fillId="68" borderId="75" xfId="162" applyBorder="1" applyAlignment="1">
      <alignment horizontal="center" vertical="center" wrapText="1"/>
    </xf>
    <xf numFmtId="0" fontId="19" fillId="12" borderId="50" xfId="156" applyFont="1" applyBorder="1" applyAlignment="1">
      <alignment vertical="center" wrapText="1"/>
    </xf>
    <xf numFmtId="0" fontId="100" fillId="0" borderId="50" xfId="12" applyFont="1" applyFill="1" applyBorder="1" applyAlignment="1">
      <alignment horizontal="left" vertical="center" wrapText="1"/>
    </xf>
    <xf numFmtId="0" fontId="126" fillId="14" borderId="0" xfId="0" applyFont="1" applyFill="1" applyAlignment="1">
      <alignment horizontal="left" vertical="center" wrapText="1"/>
    </xf>
    <xf numFmtId="0" fontId="41" fillId="12" borderId="0" xfId="0" applyFont="1" applyFill="1" applyAlignment="1">
      <alignment vertical="center"/>
    </xf>
    <xf numFmtId="0" fontId="42" fillId="0" borderId="0" xfId="0" applyFont="1" applyFill="1" applyBorder="1" applyAlignment="1">
      <alignment vertical="center"/>
    </xf>
    <xf numFmtId="0" fontId="42" fillId="0" borderId="0" xfId="0" applyFont="1" applyFill="1" applyBorder="1" applyAlignment="1">
      <alignment horizontal="center" vertical="center"/>
    </xf>
    <xf numFmtId="37" fontId="34" fillId="0" borderId="0" xfId="0" applyNumberFormat="1" applyFont="1" applyAlignment="1">
      <alignment vertical="center"/>
    </xf>
    <xf numFmtId="0" fontId="99" fillId="68" borderId="54" xfId="162" applyBorder="1" applyAlignment="1">
      <alignment vertical="center" wrapText="1"/>
    </xf>
    <xf numFmtId="0" fontId="99" fillId="68" borderId="55" xfId="162" applyBorder="1" applyAlignment="1">
      <alignment vertical="center" wrapText="1"/>
    </xf>
    <xf numFmtId="0" fontId="99" fillId="68" borderId="51" xfId="162" applyBorder="1" applyAlignment="1">
      <alignment vertical="center" wrapText="1"/>
    </xf>
    <xf numFmtId="37" fontId="115" fillId="0" borderId="50" xfId="63" applyFont="1" applyBorder="1" applyAlignment="1">
      <alignment horizontal="left" vertical="center"/>
    </xf>
    <xf numFmtId="0" fontId="0" fillId="12" borderId="0" xfId="0" applyFill="1" applyAlignment="1">
      <alignment wrapText="1"/>
    </xf>
    <xf numFmtId="0" fontId="18" fillId="12" borderId="50" xfId="0" applyFont="1" applyFill="1" applyBorder="1" applyAlignment="1">
      <alignment horizontal="center" vertical="center"/>
    </xf>
    <xf numFmtId="0" fontId="18" fillId="0" borderId="50" xfId="0" applyFont="1" applyBorder="1" applyAlignment="1">
      <alignment horizontal="center" vertical="center" wrapText="1"/>
    </xf>
    <xf numFmtId="0" fontId="99" fillId="68" borderId="17" xfId="162" applyBorder="1" applyAlignment="1">
      <alignment horizontal="center" vertical="center" wrapText="1"/>
    </xf>
    <xf numFmtId="0" fontId="99" fillId="68" borderId="50" xfId="162" applyBorder="1" applyAlignment="1">
      <alignment horizontal="center" vertical="center" wrapText="1"/>
    </xf>
    <xf numFmtId="0" fontId="99" fillId="68" borderId="54" xfId="162" applyBorder="1" applyAlignment="1">
      <alignment horizontal="center" vertical="center" wrapText="1"/>
    </xf>
    <xf numFmtId="0" fontId="99" fillId="68" borderId="21" xfId="162" applyBorder="1" applyAlignment="1">
      <alignment horizontal="center" vertical="center" wrapText="1"/>
    </xf>
    <xf numFmtId="0" fontId="99" fillId="68" borderId="51" xfId="162" applyBorder="1" applyAlignment="1">
      <alignment horizontal="center" vertical="center" wrapText="1"/>
    </xf>
    <xf numFmtId="0" fontId="98" fillId="69" borderId="57" xfId="161" applyBorder="1"/>
    <xf numFmtId="0" fontId="98" fillId="69" borderId="19" xfId="161" applyBorder="1"/>
    <xf numFmtId="0" fontId="98" fillId="69" borderId="52" xfId="161" applyBorder="1"/>
    <xf numFmtId="0" fontId="99" fillId="68" borderId="0" xfId="162" applyAlignment="1">
      <alignment horizontal="center" vertical="center" wrapText="1"/>
    </xf>
    <xf numFmtId="0" fontId="99" fillId="68" borderId="42" xfId="162" applyBorder="1" applyAlignment="1">
      <alignment horizontal="center" vertical="center" wrapText="1"/>
    </xf>
    <xf numFmtId="0" fontId="99" fillId="68" borderId="54" xfId="162" applyBorder="1" applyAlignment="1">
      <alignment horizontal="center" vertical="center" wrapText="1"/>
    </xf>
    <xf numFmtId="0" fontId="99" fillId="68" borderId="55" xfId="162" applyBorder="1" applyAlignment="1">
      <alignment horizontal="center" vertical="center" wrapText="1"/>
    </xf>
    <xf numFmtId="0" fontId="99" fillId="68" borderId="51" xfId="162" applyBorder="1" applyAlignment="1">
      <alignment horizontal="center" vertical="center" wrapText="1"/>
    </xf>
    <xf numFmtId="0" fontId="23" fillId="0" borderId="50" xfId="156" applyFont="1" applyFill="1" applyBorder="1" applyAlignment="1">
      <alignment vertical="center" wrapText="1"/>
    </xf>
    <xf numFmtId="0" fontId="20" fillId="12" borderId="50" xfId="156" applyFont="1" applyBorder="1" applyAlignment="1">
      <alignment vertical="center" wrapText="1"/>
    </xf>
    <xf numFmtId="0" fontId="98" fillId="69" borderId="55" xfId="161" applyBorder="1" applyAlignment="1">
      <alignment vertical="center"/>
    </xf>
    <xf numFmtId="0" fontId="99" fillId="68" borderId="0" xfId="162" applyBorder="1" applyAlignment="1">
      <alignment horizontal="center" vertical="center"/>
    </xf>
    <xf numFmtId="0" fontId="17" fillId="12" borderId="50" xfId="156" applyFont="1" applyBorder="1" applyAlignment="1">
      <alignment vertical="center" wrapText="1"/>
    </xf>
    <xf numFmtId="0" fontId="95" fillId="67" borderId="54" xfId="155" applyBorder="1" applyAlignment="1">
      <alignment wrapText="1"/>
    </xf>
    <xf numFmtId="0" fontId="95" fillId="67" borderId="55" xfId="155" applyBorder="1" applyAlignment="1">
      <alignment wrapText="1"/>
    </xf>
    <xf numFmtId="0" fontId="95" fillId="67" borderId="51" xfId="155" applyBorder="1" applyAlignment="1">
      <alignment wrapText="1"/>
    </xf>
    <xf numFmtId="0" fontId="97" fillId="68" borderId="0" xfId="160" applyAlignment="1">
      <alignment vertical="center"/>
    </xf>
    <xf numFmtId="0" fontId="98" fillId="69" borderId="17" xfId="161" applyBorder="1" applyAlignment="1">
      <alignment vertical="center"/>
    </xf>
    <xf numFmtId="0" fontId="95" fillId="67" borderId="55" xfId="155" applyBorder="1" applyAlignment="1">
      <alignment horizontal="left" vertical="center"/>
    </xf>
    <xf numFmtId="0" fontId="95" fillId="67" borderId="55" xfId="155" applyBorder="1" applyAlignment="1">
      <alignment horizontal="center" vertical="center"/>
    </xf>
    <xf numFmtId="0" fontId="95" fillId="67" borderId="51" xfId="155" applyBorder="1" applyAlignment="1">
      <alignment horizontal="left" vertical="center"/>
    </xf>
    <xf numFmtId="0" fontId="98" fillId="69" borderId="54" xfId="161" applyBorder="1"/>
    <xf numFmtId="0" fontId="98" fillId="69" borderId="55" xfId="161" applyBorder="1"/>
    <xf numFmtId="0" fontId="98" fillId="69" borderId="51" xfId="161" applyBorder="1"/>
    <xf numFmtId="0" fontId="92" fillId="0" borderId="22" xfId="0" applyFont="1" applyBorder="1" applyAlignment="1">
      <alignment vertical="center" wrapText="1"/>
    </xf>
    <xf numFmtId="0" fontId="100" fillId="0" borderId="0" xfId="0" applyFont="1" applyBorder="1" applyAlignment="1">
      <alignment horizontal="center" vertical="center"/>
    </xf>
    <xf numFmtId="0" fontId="92" fillId="2" borderId="0" xfId="0" applyFont="1" applyFill="1" applyBorder="1" applyAlignment="1">
      <alignment horizontal="center" vertical="center" wrapText="1"/>
    </xf>
    <xf numFmtId="0" fontId="92" fillId="0" borderId="23" xfId="0" applyFont="1" applyBorder="1" applyAlignment="1">
      <alignment vertical="center" wrapText="1"/>
    </xf>
    <xf numFmtId="0" fontId="92" fillId="2" borderId="17" xfId="0" applyFont="1" applyFill="1" applyBorder="1" applyAlignment="1">
      <alignment horizontal="center" vertical="center"/>
    </xf>
    <xf numFmtId="169" fontId="100" fillId="0" borderId="17" xfId="0" applyNumberFormat="1" applyFont="1" applyBorder="1" applyAlignment="1">
      <alignment horizontal="center" vertical="center"/>
    </xf>
    <xf numFmtId="0" fontId="92" fillId="0" borderId="17" xfId="0" applyFont="1" applyBorder="1" applyAlignment="1">
      <alignment horizontal="center" vertical="center" wrapText="1"/>
    </xf>
    <xf numFmtId="0" fontId="99" fillId="68" borderId="23" xfId="162" applyBorder="1">
      <alignment horizontal="center" vertical="center"/>
    </xf>
    <xf numFmtId="0" fontId="99" fillId="68" borderId="17" xfId="162" applyBorder="1">
      <alignment horizontal="center" vertical="center"/>
    </xf>
    <xf numFmtId="0" fontId="99" fillId="68" borderId="21" xfId="162" applyBorder="1">
      <alignment horizontal="center" vertical="center"/>
    </xf>
    <xf numFmtId="0" fontId="33" fillId="80" borderId="68" xfId="0" applyFont="1" applyFill="1" applyBorder="1" applyAlignment="1">
      <alignment horizontal="center" vertical="center"/>
    </xf>
    <xf numFmtId="0" fontId="99" fillId="68" borderId="0" xfId="162" applyBorder="1" applyAlignment="1">
      <alignment horizontal="center" vertical="center" wrapText="1"/>
    </xf>
    <xf numFmtId="0" fontId="98" fillId="69" borderId="54" xfId="161" applyBorder="1"/>
    <xf numFmtId="0" fontId="98" fillId="69" borderId="55" xfId="161" applyBorder="1"/>
    <xf numFmtId="0" fontId="98" fillId="69" borderId="51" xfId="161" applyBorder="1"/>
    <xf numFmtId="0" fontId="99" fillId="68" borderId="17" xfId="162" applyBorder="1" applyAlignment="1">
      <alignment horizontal="center" vertical="center" wrapText="1"/>
    </xf>
    <xf numFmtId="0" fontId="99" fillId="68" borderId="42" xfId="162" applyBorder="1" applyAlignment="1">
      <alignment horizontal="center" vertical="center" wrapText="1"/>
    </xf>
    <xf numFmtId="0" fontId="126" fillId="14" borderId="0" xfId="0" applyFont="1" applyFill="1" applyAlignment="1">
      <alignment horizontal="left" vertical="center" wrapText="1"/>
    </xf>
    <xf numFmtId="0" fontId="99" fillId="68" borderId="50" xfId="162" applyBorder="1" applyAlignment="1">
      <alignment horizontal="center" vertical="center" wrapText="1"/>
    </xf>
    <xf numFmtId="0" fontId="99" fillId="68" borderId="54" xfId="162" applyBorder="1" applyAlignment="1">
      <alignment horizontal="center" vertical="center" wrapText="1"/>
    </xf>
    <xf numFmtId="0" fontId="99" fillId="68" borderId="55" xfId="162" applyBorder="1" applyAlignment="1">
      <alignment horizontal="center" vertical="center" wrapText="1"/>
    </xf>
    <xf numFmtId="0" fontId="99" fillId="68" borderId="21" xfId="162" applyBorder="1" applyAlignment="1">
      <alignment horizontal="center" vertical="center" wrapText="1"/>
    </xf>
    <xf numFmtId="0" fontId="99" fillId="68" borderId="51" xfId="162" applyBorder="1" applyAlignment="1">
      <alignment horizontal="center" vertical="center" wrapText="1"/>
    </xf>
    <xf numFmtId="0" fontId="26" fillId="12" borderId="0" xfId="156" applyFill="1">
      <alignment wrapText="1"/>
    </xf>
    <xf numFmtId="0" fontId="95" fillId="71" borderId="0" xfId="155" applyFill="1" applyAlignment="1">
      <alignment wrapText="1"/>
    </xf>
    <xf numFmtId="0" fontId="95" fillId="71" borderId="0" xfId="155" applyFill="1" applyBorder="1" applyAlignment="1">
      <alignment wrapText="1"/>
    </xf>
    <xf numFmtId="172" fontId="49" fillId="12" borderId="19" xfId="1" applyNumberFormat="1" applyFont="1" applyFill="1" applyBorder="1" applyAlignment="1">
      <alignment horizontal="center" vertical="center"/>
    </xf>
    <xf numFmtId="0" fontId="26" fillId="12" borderId="0" xfId="0" applyFont="1" applyFill="1" applyBorder="1" applyAlignment="1">
      <alignment horizontal="center" vertical="center"/>
    </xf>
    <xf numFmtId="170" fontId="92" fillId="14" borderId="0" xfId="0" applyNumberFormat="1" applyFont="1" applyFill="1" applyBorder="1" applyAlignment="1">
      <alignment horizontal="center" vertical="center"/>
    </xf>
    <xf numFmtId="0" fontId="26" fillId="12" borderId="0" xfId="0" applyFont="1" applyFill="1" applyBorder="1" applyAlignment="1">
      <alignment horizontal="center" vertical="center" wrapText="1"/>
    </xf>
    <xf numFmtId="0" fontId="16" fillId="12" borderId="50" xfId="0" applyFont="1" applyFill="1" applyBorder="1" applyAlignment="1">
      <alignment vertical="center"/>
    </xf>
    <xf numFmtId="3" fontId="16" fillId="0" borderId="50" xfId="1" applyNumberFormat="1" applyFont="1" applyBorder="1" applyAlignment="1">
      <alignment horizontal="center" vertical="center"/>
    </xf>
    <xf numFmtId="3" fontId="16" fillId="0" borderId="50" xfId="1" applyNumberFormat="1" applyFont="1" applyFill="1" applyBorder="1" applyAlignment="1">
      <alignment horizontal="center" vertical="center"/>
    </xf>
    <xf numFmtId="3" fontId="16" fillId="12" borderId="50" xfId="1" applyNumberFormat="1" applyFont="1" applyFill="1" applyBorder="1" applyAlignment="1">
      <alignment horizontal="center" vertical="center"/>
    </xf>
    <xf numFmtId="0" fontId="92" fillId="0" borderId="50" xfId="0" applyFont="1" applyFill="1" applyBorder="1" applyAlignment="1">
      <alignment horizontal="left" vertical="center"/>
    </xf>
    <xf numFmtId="0" fontId="109" fillId="25" borderId="50" xfId="0" applyFont="1" applyFill="1" applyBorder="1" applyAlignment="1">
      <alignment horizontal="left" vertical="center"/>
    </xf>
    <xf numFmtId="3" fontId="109" fillId="25" borderId="50" xfId="0" applyNumberFormat="1" applyFont="1" applyFill="1" applyBorder="1" applyAlignment="1">
      <alignment horizontal="center" vertical="center"/>
    </xf>
    <xf numFmtId="0" fontId="16" fillId="0" borderId="50" xfId="0" applyFont="1" applyBorder="1"/>
    <xf numFmtId="0" fontId="16" fillId="12" borderId="50" xfId="0" applyFont="1" applyFill="1" applyBorder="1" applyAlignment="1">
      <alignment vertical="center" wrapText="1"/>
    </xf>
    <xf numFmtId="3" fontId="16" fillId="65" borderId="50" xfId="1" applyNumberFormat="1" applyFont="1" applyFill="1" applyBorder="1" applyAlignment="1">
      <alignment horizontal="center" vertical="center"/>
    </xf>
    <xf numFmtId="172" fontId="16" fillId="0" borderId="50" xfId="1" applyNumberFormat="1" applyFont="1" applyBorder="1" applyAlignment="1">
      <alignment horizontal="center" vertical="center"/>
    </xf>
    <xf numFmtId="4" fontId="16" fillId="0" borderId="50" xfId="1" applyNumberFormat="1" applyFont="1" applyFill="1" applyBorder="1" applyAlignment="1">
      <alignment horizontal="center" vertical="center"/>
    </xf>
    <xf numFmtId="3" fontId="100" fillId="65" borderId="50" xfId="0" applyNumberFormat="1" applyFont="1" applyFill="1" applyBorder="1" applyAlignment="1">
      <alignment horizontal="center" vertical="center"/>
    </xf>
    <xf numFmtId="164" fontId="42" fillId="21" borderId="50" xfId="0" applyNumberFormat="1" applyFont="1" applyFill="1" applyBorder="1" applyAlignment="1">
      <alignment horizontal="center" vertical="center"/>
    </xf>
    <xf numFmtId="164" fontId="49" fillId="0" borderId="50" xfId="1" applyNumberFormat="1" applyFont="1" applyBorder="1" applyAlignment="1">
      <alignment horizontal="center" vertical="center"/>
    </xf>
    <xf numFmtId="0" fontId="99" fillId="68" borderId="54" xfId="162" applyFont="1" applyBorder="1">
      <alignment horizontal="center" vertical="center"/>
    </xf>
    <xf numFmtId="0" fontId="99" fillId="68" borderId="23" xfId="162" applyFont="1" applyBorder="1">
      <alignment horizontal="center" vertical="center"/>
    </xf>
    <xf numFmtId="0" fontId="99" fillId="68" borderId="21" xfId="162" applyFont="1" applyBorder="1" applyAlignment="1">
      <alignment horizontal="center" vertical="center" wrapText="1"/>
    </xf>
    <xf numFmtId="0" fontId="18" fillId="12" borderId="24" xfId="0" applyFont="1" applyFill="1" applyBorder="1" applyAlignment="1">
      <alignment horizontal="center" vertical="center"/>
    </xf>
    <xf numFmtId="0" fontId="26" fillId="0" borderId="24" xfId="0" applyFont="1" applyBorder="1" applyAlignment="1">
      <alignment horizontal="center" vertical="center" wrapText="1"/>
    </xf>
    <xf numFmtId="37" fontId="92" fillId="65" borderId="50" xfId="0" applyNumberFormat="1" applyFont="1" applyFill="1" applyBorder="1" applyAlignment="1">
      <alignment horizontal="center" vertical="center"/>
    </xf>
    <xf numFmtId="0" fontId="109" fillId="26" borderId="50" xfId="0" applyFont="1" applyFill="1" applyBorder="1" applyAlignment="1">
      <alignment vertical="center"/>
    </xf>
    <xf numFmtId="0" fontId="109" fillId="26" borderId="50" xfId="0" applyFont="1" applyFill="1" applyBorder="1" applyAlignment="1">
      <alignment horizontal="center" vertical="center"/>
    </xf>
    <xf numFmtId="37" fontId="92" fillId="12" borderId="50" xfId="0" applyNumberFormat="1" applyFont="1" applyFill="1" applyBorder="1" applyAlignment="1">
      <alignment horizontal="center" vertical="center"/>
    </xf>
    <xf numFmtId="174" fontId="92" fillId="0" borderId="50" xfId="0" applyNumberFormat="1" applyFont="1" applyFill="1" applyBorder="1" applyAlignment="1">
      <alignment horizontal="center" vertical="center"/>
    </xf>
    <xf numFmtId="174" fontId="92" fillId="0" borderId="50" xfId="0" applyNumberFormat="1" applyFont="1" applyBorder="1" applyAlignment="1">
      <alignment horizontal="center" vertical="center"/>
    </xf>
    <xf numFmtId="37" fontId="109" fillId="26" borderId="50" xfId="0" applyNumberFormat="1" applyFont="1" applyFill="1" applyBorder="1" applyAlignment="1">
      <alignment horizontal="center" vertical="center"/>
    </xf>
    <xf numFmtId="0" fontId="109" fillId="26" borderId="50" xfId="0" applyFont="1" applyFill="1" applyBorder="1" applyAlignment="1">
      <alignment horizontal="center" vertical="center" wrapText="1"/>
    </xf>
    <xf numFmtId="2" fontId="92" fillId="0" borderId="53" xfId="0" applyNumberFormat="1" applyFont="1" applyBorder="1" applyAlignment="1">
      <alignment horizontal="center" vertical="center" wrapText="1"/>
    </xf>
    <xf numFmtId="3" fontId="109" fillId="26" borderId="50" xfId="0" applyNumberFormat="1" applyFont="1" applyFill="1" applyBorder="1" applyAlignment="1">
      <alignment horizontal="center" vertical="center"/>
    </xf>
    <xf numFmtId="37" fontId="38" fillId="24" borderId="50" xfId="0" applyNumberFormat="1" applyFont="1" applyFill="1" applyBorder="1" applyAlignment="1">
      <alignment horizontal="center" vertical="center"/>
    </xf>
    <xf numFmtId="0" fontId="38" fillId="24" borderId="50" xfId="0" applyFont="1" applyFill="1" applyBorder="1" applyAlignment="1">
      <alignment horizontal="left" vertical="center"/>
    </xf>
    <xf numFmtId="37" fontId="38" fillId="91" borderId="50" xfId="0" applyNumberFormat="1" applyFont="1" applyFill="1" applyBorder="1" applyAlignment="1">
      <alignment horizontal="center" vertical="center"/>
    </xf>
    <xf numFmtId="0" fontId="38" fillId="91" borderId="50" xfId="0" applyFont="1" applyFill="1" applyBorder="1" applyAlignment="1">
      <alignment horizontal="left" vertical="center"/>
    </xf>
    <xf numFmtId="37" fontId="38" fillId="24" borderId="53" xfId="0" applyNumberFormat="1" applyFont="1" applyFill="1" applyBorder="1" applyAlignment="1">
      <alignment horizontal="center" vertical="center"/>
    </xf>
    <xf numFmtId="0" fontId="38" fillId="24" borderId="53" xfId="0" applyFont="1" applyFill="1" applyBorder="1" applyAlignment="1">
      <alignment horizontal="left" vertical="center"/>
    </xf>
    <xf numFmtId="0" fontId="92" fillId="0" borderId="24" xfId="0" applyFont="1" applyBorder="1" applyAlignment="1">
      <alignment horizontal="left" vertical="center" wrapText="1"/>
    </xf>
    <xf numFmtId="37" fontId="92" fillId="0" borderId="24" xfId="0" applyNumberFormat="1" applyFont="1" applyBorder="1" applyAlignment="1">
      <alignment horizontal="center" vertical="center"/>
    </xf>
    <xf numFmtId="0" fontId="92" fillId="0" borderId="24" xfId="0" applyFont="1" applyBorder="1" applyAlignment="1">
      <alignment horizontal="center" vertical="center" wrapText="1"/>
    </xf>
    <xf numFmtId="0" fontId="38" fillId="24" borderId="53" xfId="0" applyFont="1" applyFill="1" applyBorder="1" applyAlignment="1">
      <alignment horizontal="right" vertical="center"/>
    </xf>
    <xf numFmtId="0" fontId="92" fillId="0" borderId="50" xfId="0" applyFont="1" applyBorder="1" applyAlignment="1">
      <alignment horizontal="left" vertical="center" wrapText="1"/>
    </xf>
    <xf numFmtId="0" fontId="38" fillId="24" borderId="50" xfId="0" applyFont="1" applyFill="1" applyBorder="1" applyAlignment="1">
      <alignment horizontal="right" vertical="center"/>
    </xf>
    <xf numFmtId="0" fontId="106" fillId="24" borderId="38" xfId="0" applyFont="1" applyFill="1" applyBorder="1" applyAlignment="1">
      <alignment horizontal="right" vertical="center"/>
    </xf>
    <xf numFmtId="0" fontId="38" fillId="91" borderId="50" xfId="0" applyFont="1" applyFill="1" applyBorder="1" applyAlignment="1">
      <alignment horizontal="right" vertical="center"/>
    </xf>
    <xf numFmtId="0" fontId="15" fillId="14" borderId="50" xfId="0" applyFont="1" applyFill="1" applyBorder="1" applyAlignment="1">
      <alignment vertical="center" wrapText="1"/>
    </xf>
    <xf numFmtId="0" fontId="15" fillId="14" borderId="18" xfId="0" applyFont="1" applyFill="1" applyBorder="1" applyAlignment="1">
      <alignment vertical="center" wrapText="1"/>
    </xf>
    <xf numFmtId="0" fontId="15" fillId="14" borderId="18" xfId="0" applyFont="1" applyFill="1" applyBorder="1" applyAlignment="1">
      <alignment horizontal="left" vertical="center"/>
    </xf>
    <xf numFmtId="0" fontId="26" fillId="14" borderId="24" xfId="0" applyFont="1" applyFill="1" applyBorder="1" applyAlignment="1">
      <alignment vertical="center"/>
    </xf>
    <xf numFmtId="37" fontId="100" fillId="2" borderId="79" xfId="0" applyNumberFormat="1" applyFont="1" applyFill="1" applyBorder="1" applyAlignment="1">
      <alignment horizontal="center" vertical="center"/>
    </xf>
    <xf numFmtId="9" fontId="26" fillId="14" borderId="24" xfId="0" applyNumberFormat="1" applyFont="1" applyFill="1" applyBorder="1" applyAlignment="1">
      <alignment horizontal="center" vertical="center"/>
    </xf>
    <xf numFmtId="10" fontId="26" fillId="14" borderId="24" xfId="0" applyNumberFormat="1" applyFont="1" applyFill="1" applyBorder="1" applyAlignment="1">
      <alignment horizontal="center" vertical="center"/>
    </xf>
    <xf numFmtId="0" fontId="100" fillId="2" borderId="79" xfId="0" applyFont="1" applyFill="1" applyBorder="1" applyAlignment="1">
      <alignment horizontal="left" vertical="center"/>
    </xf>
    <xf numFmtId="9" fontId="100" fillId="2" borderId="79" xfId="0" applyNumberFormat="1" applyFont="1" applyFill="1" applyBorder="1" applyAlignment="1">
      <alignment horizontal="center" vertical="center"/>
    </xf>
    <xf numFmtId="0" fontId="100" fillId="2" borderId="80" xfId="0" applyFont="1" applyFill="1" applyBorder="1" applyAlignment="1">
      <alignment horizontal="left" vertical="center"/>
    </xf>
    <xf numFmtId="9" fontId="100" fillId="2" borderId="81" xfId="0" applyNumberFormat="1" applyFont="1" applyFill="1" applyBorder="1" applyAlignment="1">
      <alignment horizontal="center" vertical="center"/>
    </xf>
    <xf numFmtId="0" fontId="100" fillId="2" borderId="82" xfId="0" applyFont="1" applyFill="1" applyBorder="1" applyAlignment="1">
      <alignment vertical="center" wrapText="1"/>
    </xf>
    <xf numFmtId="37" fontId="100" fillId="2" borderId="79" xfId="0" applyNumberFormat="1" applyFont="1" applyFill="1" applyBorder="1" applyAlignment="1">
      <alignment horizontal="center" vertical="center" wrapText="1"/>
    </xf>
    <xf numFmtId="9" fontId="100" fillId="2" borderId="79" xfId="0" applyNumberFormat="1" applyFont="1" applyFill="1" applyBorder="1" applyAlignment="1">
      <alignment horizontal="center" vertical="center" wrapText="1"/>
    </xf>
    <xf numFmtId="0" fontId="142" fillId="12" borderId="0" xfId="0" applyFont="1" applyFill="1"/>
    <xf numFmtId="0" fontId="95" fillId="67" borderId="54" xfId="155" applyFont="1" applyBorder="1" applyAlignment="1"/>
    <xf numFmtId="0" fontId="98" fillId="69" borderId="57" xfId="161" applyBorder="1"/>
    <xf numFmtId="0" fontId="98" fillId="69" borderId="52" xfId="161" applyBorder="1"/>
    <xf numFmtId="0" fontId="92" fillId="0" borderId="44" xfId="0" applyFont="1" applyBorder="1" applyAlignment="1">
      <alignment horizontal="left" vertical="center" wrapText="1"/>
    </xf>
    <xf numFmtId="0" fontId="52" fillId="12" borderId="0" xfId="0" applyFont="1" applyFill="1" applyAlignment="1">
      <alignment horizontal="center" vertical="center" wrapText="1"/>
    </xf>
    <xf numFmtId="0" fontId="99" fillId="68" borderId="55" xfId="162" applyBorder="1" applyAlignment="1">
      <alignment horizontal="center" vertical="center" wrapText="1"/>
    </xf>
    <xf numFmtId="0" fontId="99" fillId="68" borderId="51" xfId="162" applyBorder="1" applyAlignment="1">
      <alignment horizontal="center" vertical="center" wrapText="1"/>
    </xf>
    <xf numFmtId="0" fontId="99" fillId="68" borderId="54" xfId="162" applyBorder="1" applyAlignment="1">
      <alignment horizontal="center" vertical="center" wrapText="1"/>
    </xf>
    <xf numFmtId="0" fontId="99" fillId="68" borderId="23" xfId="162" applyBorder="1" applyAlignment="1">
      <alignment horizontal="center" vertical="center" wrapText="1"/>
    </xf>
    <xf numFmtId="0" fontId="99" fillId="68" borderId="17" xfId="162" applyBorder="1" applyAlignment="1">
      <alignment horizontal="center" vertical="center" wrapText="1"/>
    </xf>
    <xf numFmtId="0" fontId="99" fillId="68" borderId="21" xfId="162" applyBorder="1" applyAlignment="1">
      <alignment horizontal="center" vertical="center" wrapText="1"/>
    </xf>
    <xf numFmtId="0" fontId="99" fillId="68" borderId="42" xfId="162" applyBorder="1" applyAlignment="1">
      <alignment horizontal="center" vertical="center" wrapText="1"/>
    </xf>
    <xf numFmtId="0" fontId="100" fillId="12" borderId="50" xfId="0" applyFont="1" applyFill="1" applyBorder="1" applyAlignment="1">
      <alignment horizontal="left" vertical="center" wrapText="1"/>
    </xf>
    <xf numFmtId="37" fontId="106" fillId="24" borderId="50" xfId="0" applyNumberFormat="1" applyFont="1" applyFill="1" applyBorder="1" applyAlignment="1">
      <alignment horizontal="center" vertical="center"/>
    </xf>
    <xf numFmtId="0" fontId="106" fillId="24" borderId="50" xfId="0" applyFont="1" applyFill="1" applyBorder="1" applyAlignment="1">
      <alignment horizontal="left" vertical="center"/>
    </xf>
    <xf numFmtId="0" fontId="42" fillId="0" borderId="53" xfId="0" applyFont="1" applyBorder="1" applyAlignment="1">
      <alignment horizontal="left" vertical="center"/>
    </xf>
    <xf numFmtId="0" fontId="52" fillId="12" borderId="0" xfId="0" applyFont="1" applyFill="1" applyBorder="1" applyAlignment="1">
      <alignment horizontal="center" vertical="center" wrapText="1"/>
    </xf>
    <xf numFmtId="0" fontId="14" fillId="12" borderId="23" xfId="0" applyFont="1" applyFill="1" applyBorder="1" applyAlignment="1">
      <alignment vertical="center"/>
    </xf>
    <xf numFmtId="37" fontId="100" fillId="14" borderId="3" xfId="0" applyNumberFormat="1" applyFont="1" applyFill="1" applyBorder="1" applyAlignment="1">
      <alignment horizontal="center" vertical="center"/>
    </xf>
    <xf numFmtId="0" fontId="33" fillId="18" borderId="0" xfId="0" applyFont="1" applyFill="1" applyBorder="1" applyAlignment="1">
      <alignment horizontal="right" vertical="center" wrapText="1"/>
    </xf>
    <xf numFmtId="37" fontId="33" fillId="12" borderId="0" xfId="0" applyNumberFormat="1" applyFont="1" applyFill="1" applyBorder="1" applyAlignment="1">
      <alignment horizontal="center" vertical="center"/>
    </xf>
    <xf numFmtId="0" fontId="51" fillId="18" borderId="0" xfId="0" applyFont="1" applyFill="1" applyBorder="1" applyAlignment="1">
      <alignment horizontal="center" vertical="center" wrapText="1"/>
    </xf>
    <xf numFmtId="0" fontId="100" fillId="2" borderId="8" xfId="0" applyFont="1" applyFill="1" applyBorder="1" applyAlignment="1">
      <alignment vertical="center" wrapText="1"/>
    </xf>
    <xf numFmtId="3" fontId="34" fillId="90" borderId="18" xfId="0" applyNumberFormat="1" applyFont="1" applyFill="1" applyBorder="1" applyAlignment="1">
      <alignment horizontal="center" vertical="center"/>
    </xf>
    <xf numFmtId="3" fontId="34" fillId="90" borderId="44" xfId="0" applyNumberFormat="1" applyFont="1" applyFill="1" applyBorder="1" applyAlignment="1">
      <alignment horizontal="center" vertical="center"/>
    </xf>
    <xf numFmtId="3" fontId="34" fillId="90" borderId="50" xfId="0" applyNumberFormat="1" applyFont="1" applyFill="1" applyBorder="1" applyAlignment="1">
      <alignment horizontal="center" vertical="center"/>
    </xf>
    <xf numFmtId="0" fontId="34" fillId="0" borderId="53" xfId="0" applyFont="1" applyBorder="1" applyAlignment="1">
      <alignment horizontal="center" vertical="center"/>
    </xf>
    <xf numFmtId="0" fontId="43" fillId="3" borderId="54" xfId="0" applyFont="1" applyFill="1" applyBorder="1" applyAlignment="1">
      <alignment vertical="center"/>
    </xf>
    <xf numFmtId="0" fontId="43" fillId="3" borderId="55" xfId="0" applyFont="1" applyFill="1" applyBorder="1" applyAlignment="1">
      <alignment horizontal="center" vertical="center"/>
    </xf>
    <xf numFmtId="0" fontId="43" fillId="3" borderId="55" xfId="0" applyFont="1" applyFill="1" applyBorder="1" applyAlignment="1">
      <alignment vertical="center"/>
    </xf>
    <xf numFmtId="0" fontId="43" fillId="3" borderId="51" xfId="0" applyFont="1" applyFill="1" applyBorder="1" applyAlignment="1">
      <alignment horizontal="left" vertical="center"/>
    </xf>
    <xf numFmtId="37" fontId="37" fillId="4" borderId="14" xfId="0" applyNumberFormat="1" applyFont="1" applyFill="1" applyBorder="1" applyAlignment="1">
      <alignment horizontal="center" vertical="center"/>
    </xf>
    <xf numFmtId="37" fontId="37" fillId="8" borderId="14" xfId="0" applyNumberFormat="1" applyFont="1" applyFill="1" applyBorder="1" applyAlignment="1">
      <alignment horizontal="center" vertical="center"/>
    </xf>
    <xf numFmtId="37" fontId="37" fillId="9" borderId="14" xfId="0" applyNumberFormat="1" applyFont="1" applyFill="1" applyBorder="1" applyAlignment="1">
      <alignment horizontal="center" vertical="center"/>
    </xf>
    <xf numFmtId="37" fontId="37" fillId="7" borderId="0" xfId="0" applyNumberFormat="1" applyFont="1" applyFill="1" applyAlignment="1">
      <alignment horizontal="left" vertical="center"/>
    </xf>
    <xf numFmtId="37" fontId="37" fillId="8" borderId="13" xfId="0" applyNumberFormat="1" applyFont="1" applyFill="1" applyBorder="1" applyAlignment="1">
      <alignment horizontal="center" vertical="center"/>
    </xf>
    <xf numFmtId="37" fontId="34" fillId="8" borderId="14" xfId="0" applyNumberFormat="1" applyFont="1" applyFill="1" applyBorder="1" applyAlignment="1">
      <alignment horizontal="center" vertical="center"/>
    </xf>
    <xf numFmtId="0" fontId="34" fillId="9" borderId="14" xfId="0" applyFont="1" applyFill="1" applyBorder="1" applyAlignment="1">
      <alignment vertical="center" wrapText="1"/>
    </xf>
    <xf numFmtId="0" fontId="34" fillId="8" borderId="14" xfId="0" applyFont="1" applyFill="1" applyBorder="1" applyAlignment="1">
      <alignment vertical="center" wrapText="1"/>
    </xf>
    <xf numFmtId="0" fontId="34" fillId="10" borderId="10" xfId="0" applyFont="1" applyFill="1" applyBorder="1" applyAlignment="1">
      <alignment vertical="center" wrapText="1"/>
    </xf>
    <xf numFmtId="37" fontId="37" fillId="10" borderId="10" xfId="0" applyNumberFormat="1" applyFont="1" applyFill="1" applyBorder="1" applyAlignment="1">
      <alignment horizontal="center" vertical="center"/>
    </xf>
    <xf numFmtId="0" fontId="37" fillId="35" borderId="14" xfId="0" applyFont="1" applyFill="1" applyBorder="1" applyAlignment="1">
      <alignment horizontal="left" vertical="center"/>
    </xf>
    <xf numFmtId="37" fontId="43" fillId="3" borderId="0" xfId="0" applyNumberFormat="1" applyFont="1" applyFill="1" applyAlignment="1">
      <alignment horizontal="center" vertical="center"/>
    </xf>
    <xf numFmtId="3" fontId="34" fillId="12" borderId="41" xfId="0" applyNumberFormat="1" applyFont="1" applyFill="1" applyBorder="1" applyAlignment="1">
      <alignment horizontal="center"/>
    </xf>
    <xf numFmtId="0" fontId="92" fillId="2" borderId="80" xfId="0" applyFont="1" applyFill="1" applyBorder="1"/>
    <xf numFmtId="37" fontId="92" fillId="2" borderId="79" xfId="0" applyNumberFormat="1" applyFont="1" applyFill="1" applyBorder="1" applyAlignment="1">
      <alignment horizontal="center"/>
    </xf>
    <xf numFmtId="9" fontId="92" fillId="2" borderId="81" xfId="0" applyNumberFormat="1" applyFont="1" applyFill="1" applyBorder="1" applyAlignment="1">
      <alignment horizontal="center"/>
    </xf>
    <xf numFmtId="0" fontId="100" fillId="2" borderId="82" xfId="0" applyFont="1" applyFill="1" applyBorder="1" applyAlignment="1">
      <alignment vertical="center"/>
    </xf>
    <xf numFmtId="9" fontId="92" fillId="2" borderId="79" xfId="0" applyNumberFormat="1" applyFont="1" applyFill="1" applyBorder="1" applyAlignment="1">
      <alignment horizontal="center"/>
    </xf>
    <xf numFmtId="0" fontId="92" fillId="0" borderId="79" xfId="0" applyFont="1" applyBorder="1" applyAlignment="1">
      <alignment horizontal="left" wrapText="1" readingOrder="1"/>
    </xf>
    <xf numFmtId="9" fontId="100" fillId="0" borderId="79" xfId="0" applyNumberFormat="1" applyFont="1" applyBorder="1" applyAlignment="1">
      <alignment horizontal="center"/>
    </xf>
    <xf numFmtId="9" fontId="92" fillId="0" borderId="83" xfId="0" applyNumberFormat="1" applyFont="1" applyBorder="1" applyAlignment="1">
      <alignment horizontal="center" wrapText="1" readingOrder="1"/>
    </xf>
    <xf numFmtId="0" fontId="26" fillId="14" borderId="24" xfId="0" applyFont="1" applyFill="1" applyBorder="1" applyAlignment="1">
      <alignment horizontal="left" vertical="center"/>
    </xf>
    <xf numFmtId="9" fontId="92" fillId="0" borderId="83" xfId="4" applyFont="1" applyBorder="1" applyAlignment="1">
      <alignment horizontal="center" wrapText="1" readingOrder="1"/>
    </xf>
    <xf numFmtId="173" fontId="92" fillId="2" borderId="1" xfId="0" applyNumberFormat="1" applyFont="1" applyFill="1" applyBorder="1" applyAlignment="1">
      <alignment horizontal="center"/>
    </xf>
    <xf numFmtId="0" fontId="92" fillId="0" borderId="84" xfId="0" applyFont="1" applyBorder="1" applyAlignment="1">
      <alignment horizontal="left" wrapText="1" readingOrder="1"/>
    </xf>
    <xf numFmtId="0" fontId="109" fillId="21" borderId="85" xfId="0" applyFont="1" applyFill="1" applyBorder="1" applyAlignment="1">
      <alignment horizontal="left" wrapText="1" readingOrder="1"/>
    </xf>
    <xf numFmtId="37" fontId="109" fillId="22" borderId="86" xfId="0" applyNumberFormat="1" applyFont="1" applyFill="1" applyBorder="1" applyAlignment="1">
      <alignment horizontal="center"/>
    </xf>
    <xf numFmtId="9" fontId="109" fillId="21" borderId="87" xfId="4" applyFont="1" applyFill="1" applyBorder="1" applyAlignment="1">
      <alignment horizontal="center" wrapText="1" readingOrder="1"/>
    </xf>
    <xf numFmtId="0" fontId="92" fillId="0" borderId="50" xfId="0" applyFont="1" applyBorder="1" applyAlignment="1">
      <alignment horizontal="left" wrapText="1" readingOrder="1"/>
    </xf>
    <xf numFmtId="173" fontId="92" fillId="0" borderId="59" xfId="4" applyNumberFormat="1" applyFont="1" applyBorder="1" applyAlignment="1">
      <alignment horizontal="center" wrapText="1" readingOrder="1"/>
    </xf>
    <xf numFmtId="183" fontId="92" fillId="0" borderId="59" xfId="4" applyNumberFormat="1" applyFont="1" applyBorder="1" applyAlignment="1">
      <alignment horizontal="center" wrapText="1" readingOrder="1"/>
    </xf>
    <xf numFmtId="0" fontId="100" fillId="12" borderId="50" xfId="0" applyFont="1" applyFill="1" applyBorder="1" applyAlignment="1">
      <alignment horizontal="center" vertical="center" wrapText="1"/>
    </xf>
    <xf numFmtId="37" fontId="100" fillId="12" borderId="50" xfId="0" applyNumberFormat="1" applyFont="1" applyFill="1" applyBorder="1" applyAlignment="1">
      <alignment horizontal="center" vertical="center" wrapText="1"/>
    </xf>
    <xf numFmtId="0" fontId="92" fillId="12" borderId="50" xfId="0" applyFont="1" applyFill="1" applyBorder="1" applyAlignment="1">
      <alignment horizontal="center" vertical="center" wrapText="1"/>
    </xf>
    <xf numFmtId="0" fontId="26" fillId="12" borderId="18" xfId="0" applyFont="1" applyFill="1" applyBorder="1" applyAlignment="1">
      <alignment vertical="center"/>
    </xf>
    <xf numFmtId="37" fontId="100" fillId="14" borderId="1" xfId="0" applyNumberFormat="1" applyFont="1" applyFill="1" applyBorder="1" applyAlignment="1">
      <alignment horizontal="center" vertical="center"/>
    </xf>
    <xf numFmtId="0" fontId="100" fillId="14" borderId="2" xfId="0" applyFont="1" applyFill="1" applyBorder="1" applyAlignment="1">
      <alignment vertical="center" wrapText="1"/>
    </xf>
    <xf numFmtId="37" fontId="100" fillId="14" borderId="1" xfId="0" applyNumberFormat="1" applyFont="1" applyFill="1" applyBorder="1" applyAlignment="1">
      <alignment horizontal="center" vertical="center" wrapText="1"/>
    </xf>
    <xf numFmtId="173" fontId="100" fillId="2" borderId="1" xfId="0" applyNumberFormat="1" applyFont="1" applyFill="1" applyBorder="1" applyAlignment="1">
      <alignment horizontal="center" vertical="center" wrapText="1"/>
    </xf>
    <xf numFmtId="0" fontId="13" fillId="12" borderId="50" xfId="156" applyFont="1" applyBorder="1" applyAlignment="1">
      <alignment vertical="center" wrapText="1"/>
    </xf>
    <xf numFmtId="0" fontId="23" fillId="12" borderId="50" xfId="156" applyFont="1" applyBorder="1" applyAlignment="1">
      <alignment vertical="center" wrapText="1"/>
    </xf>
    <xf numFmtId="0" fontId="26" fillId="0" borderId="50" xfId="156" applyFill="1" applyBorder="1" applyAlignment="1">
      <alignment vertical="center" wrapText="1"/>
    </xf>
    <xf numFmtId="0" fontId="22" fillId="12" borderId="50" xfId="156" applyFont="1" applyBorder="1" applyAlignment="1">
      <alignment vertical="center" wrapText="1"/>
    </xf>
    <xf numFmtId="0" fontId="100" fillId="12" borderId="50" xfId="156" applyFont="1" applyBorder="1" applyAlignment="1">
      <alignment horizontal="left" vertical="center" wrapText="1"/>
    </xf>
    <xf numFmtId="0" fontId="13" fillId="12" borderId="50" xfId="156" applyFont="1" applyBorder="1" applyAlignment="1">
      <alignment horizontal="left" vertical="center" wrapText="1"/>
    </xf>
    <xf numFmtId="0" fontId="26" fillId="12" borderId="50" xfId="156" applyBorder="1" applyAlignment="1">
      <alignment horizontal="left" vertical="center" wrapText="1"/>
    </xf>
    <xf numFmtId="0" fontId="24" fillId="12" borderId="50" xfId="156" applyFont="1" applyBorder="1" applyAlignment="1">
      <alignment horizontal="left" vertical="center" wrapText="1"/>
    </xf>
    <xf numFmtId="0" fontId="26" fillId="0" borderId="50" xfId="156" applyFill="1" applyBorder="1" applyAlignment="1">
      <alignment horizontal="left" vertical="center" wrapText="1"/>
    </xf>
    <xf numFmtId="0" fontId="17" fillId="12" borderId="50" xfId="156" applyFont="1" applyBorder="1" applyAlignment="1">
      <alignment horizontal="left" vertical="center" wrapText="1"/>
    </xf>
    <xf numFmtId="0" fontId="100" fillId="0" borderId="50" xfId="156" applyFont="1" applyFill="1" applyBorder="1" applyAlignment="1">
      <alignment horizontal="left" vertical="center" wrapText="1"/>
    </xf>
    <xf numFmtId="0" fontId="100" fillId="0" borderId="61" xfId="12" applyFont="1" applyBorder="1" applyAlignment="1">
      <alignment horizontal="left" vertical="center" wrapText="1"/>
    </xf>
    <xf numFmtId="0" fontId="98" fillId="69" borderId="89" xfId="161" applyBorder="1" applyAlignment="1">
      <alignment vertical="center"/>
    </xf>
    <xf numFmtId="0" fontId="26" fillId="12" borderId="61" xfId="156" applyBorder="1" applyAlignment="1">
      <alignment horizontal="left" vertical="center" wrapText="1"/>
    </xf>
    <xf numFmtId="0" fontId="26" fillId="12" borderId="73" xfId="156" applyBorder="1" applyAlignment="1">
      <alignment horizontal="left" vertical="center" wrapText="1"/>
    </xf>
    <xf numFmtId="0" fontId="17" fillId="12" borderId="61" xfId="156" applyFont="1" applyBorder="1" applyAlignment="1">
      <alignment horizontal="left" vertical="center" wrapText="1"/>
    </xf>
    <xf numFmtId="0" fontId="26" fillId="12" borderId="61" xfId="156" applyBorder="1" applyAlignment="1">
      <alignment vertical="center" wrapText="1"/>
    </xf>
    <xf numFmtId="0" fontId="100" fillId="0" borderId="73" xfId="156" applyFont="1" applyFill="1" applyBorder="1" applyAlignment="1">
      <alignment vertical="center" wrapText="1"/>
    </xf>
    <xf numFmtId="0" fontId="23" fillId="0" borderId="61" xfId="156" applyFont="1" applyFill="1" applyBorder="1" applyAlignment="1">
      <alignment vertical="center" wrapText="1"/>
    </xf>
    <xf numFmtId="0" fontId="26" fillId="12" borderId="73" xfId="156" applyBorder="1" applyAlignment="1">
      <alignment vertical="center" wrapText="1"/>
    </xf>
    <xf numFmtId="0" fontId="99" fillId="68" borderId="75" xfId="162" applyBorder="1" applyAlignment="1">
      <alignment horizontal="center" vertical="center"/>
    </xf>
    <xf numFmtId="0" fontId="98" fillId="69" borderId="91" xfId="161" applyBorder="1" applyAlignment="1">
      <alignment vertical="center"/>
    </xf>
    <xf numFmtId="0" fontId="13" fillId="12" borderId="77" xfId="156" applyFont="1" applyBorder="1" applyAlignment="1">
      <alignment vertical="center" wrapText="1"/>
    </xf>
    <xf numFmtId="0" fontId="26" fillId="12" borderId="77" xfId="156" applyBorder="1" applyAlignment="1">
      <alignment vertical="center" wrapText="1"/>
    </xf>
    <xf numFmtId="0" fontId="100" fillId="0" borderId="73" xfId="12" applyFont="1" applyFill="1" applyBorder="1" applyAlignment="1">
      <alignment horizontal="left" vertical="center" wrapText="1"/>
    </xf>
    <xf numFmtId="0" fontId="100" fillId="12" borderId="73" xfId="156" applyFont="1" applyBorder="1" applyAlignment="1">
      <alignment horizontal="left" vertical="center" wrapText="1"/>
    </xf>
    <xf numFmtId="164" fontId="49" fillId="12" borderId="0" xfId="150" applyNumberFormat="1" applyFont="1" applyFill="1" applyAlignment="1">
      <alignment horizontal="center"/>
    </xf>
    <xf numFmtId="4" fontId="49" fillId="12" borderId="0" xfId="150" applyNumberFormat="1" applyFont="1" applyFill="1" applyAlignment="1">
      <alignment horizontal="center"/>
    </xf>
    <xf numFmtId="0" fontId="12" fillId="12" borderId="50" xfId="156" applyFont="1" applyBorder="1" applyAlignment="1">
      <alignment vertical="center" wrapText="1"/>
    </xf>
    <xf numFmtId="0" fontId="100" fillId="0" borderId="63" xfId="12" applyFont="1" applyFill="1" applyBorder="1" applyAlignment="1">
      <alignment vertical="center" wrapText="1"/>
    </xf>
    <xf numFmtId="0" fontId="92" fillId="2" borderId="50" xfId="0" applyFont="1" applyFill="1" applyBorder="1" applyAlignment="1">
      <alignment vertical="center" wrapText="1"/>
    </xf>
    <xf numFmtId="3" fontId="100" fillId="0" borderId="50" xfId="0" applyNumberFormat="1" applyFont="1" applyBorder="1" applyAlignment="1">
      <alignment horizontal="center" vertical="center"/>
    </xf>
    <xf numFmtId="0" fontId="10" fillId="12" borderId="50" xfId="0" applyFont="1" applyFill="1" applyBorder="1" applyAlignment="1">
      <alignment vertical="center"/>
    </xf>
    <xf numFmtId="3" fontId="10" fillId="0" borderId="50" xfId="150" applyNumberFormat="1" applyFont="1" applyBorder="1" applyAlignment="1">
      <alignment horizontal="center"/>
    </xf>
    <xf numFmtId="0" fontId="114" fillId="12" borderId="50" xfId="0" applyFont="1" applyFill="1" applyBorder="1"/>
    <xf numFmtId="3" fontId="10" fillId="65" borderId="50" xfId="150" applyNumberFormat="1" applyFont="1" applyFill="1" applyBorder="1" applyAlignment="1">
      <alignment horizontal="center"/>
    </xf>
    <xf numFmtId="172" fontId="10" fillId="65" borderId="50" xfId="150" applyNumberFormat="1" applyFont="1" applyFill="1" applyBorder="1" applyAlignment="1">
      <alignment horizontal="center"/>
    </xf>
    <xf numFmtId="0" fontId="92" fillId="0" borderId="50" xfId="0" applyFont="1" applyFill="1" applyBorder="1" applyAlignment="1">
      <alignment vertical="center" wrapText="1"/>
    </xf>
    <xf numFmtId="0" fontId="114" fillId="0" borderId="50" xfId="0" applyFont="1" applyFill="1" applyBorder="1"/>
    <xf numFmtId="4" fontId="10" fillId="0" borderId="50" xfId="150" applyNumberFormat="1" applyFont="1" applyBorder="1" applyAlignment="1">
      <alignment horizontal="center"/>
    </xf>
    <xf numFmtId="10" fontId="16" fillId="65" borderId="50" xfId="146" applyNumberFormat="1" applyFont="1" applyFill="1" applyBorder="1" applyAlignment="1">
      <alignment horizontal="center"/>
    </xf>
    <xf numFmtId="0" fontId="9" fillId="12" borderId="50" xfId="156" applyFont="1" applyBorder="1" applyAlignment="1">
      <alignment vertical="center" wrapText="1"/>
    </xf>
    <xf numFmtId="3" fontId="100" fillId="65" borderId="50" xfId="0" applyNumberFormat="1" applyFont="1" applyFill="1" applyBorder="1" applyAlignment="1">
      <alignment horizontal="center"/>
    </xf>
    <xf numFmtId="165" fontId="34" fillId="12" borderId="0" xfId="1" applyNumberFormat="1" applyFont="1" applyFill="1" applyAlignment="1">
      <alignment vertical="center"/>
    </xf>
    <xf numFmtId="0" fontId="92" fillId="14" borderId="50" xfId="0" applyFont="1" applyFill="1" applyBorder="1" applyAlignment="1">
      <alignment horizontal="center" vertical="center"/>
    </xf>
    <xf numFmtId="0" fontId="92" fillId="14" borderId="50" xfId="0" applyFont="1" applyFill="1" applyBorder="1" applyAlignment="1">
      <alignment horizontal="center" vertical="center" wrapText="1"/>
    </xf>
    <xf numFmtId="173" fontId="100" fillId="65" borderId="50" xfId="4" applyNumberFormat="1" applyFont="1" applyFill="1" applyBorder="1" applyAlignment="1">
      <alignment horizontal="center" vertical="center"/>
    </xf>
    <xf numFmtId="9" fontId="100" fillId="65" borderId="50" xfId="4" applyFont="1" applyFill="1" applyBorder="1" applyAlignment="1">
      <alignment horizontal="center" vertical="center"/>
    </xf>
    <xf numFmtId="0" fontId="99" fillId="68" borderId="0" xfId="162" applyBorder="1" applyAlignment="1">
      <alignment horizontal="center" vertical="center" wrapText="1"/>
    </xf>
    <xf numFmtId="0" fontId="98" fillId="69" borderId="54" xfId="161" applyBorder="1"/>
    <xf numFmtId="0" fontId="98" fillId="69" borderId="55" xfId="161" applyBorder="1"/>
    <xf numFmtId="0" fontId="98" fillId="69" borderId="51" xfId="161" applyBorder="1"/>
    <xf numFmtId="0" fontId="98" fillId="69" borderId="50" xfId="161" applyBorder="1" applyAlignment="1">
      <alignment horizontal="center"/>
    </xf>
    <xf numFmtId="0" fontId="144" fillId="2" borderId="50" xfId="0" applyFont="1" applyFill="1" applyBorder="1" applyAlignment="1">
      <alignment horizontal="center" vertical="center"/>
    </xf>
    <xf numFmtId="0" fontId="100" fillId="65" borderId="50" xfId="0" applyFont="1" applyFill="1" applyBorder="1" applyAlignment="1">
      <alignment horizontal="center" vertical="center"/>
    </xf>
    <xf numFmtId="0" fontId="144" fillId="92" borderId="50" xfId="0" applyFont="1" applyFill="1" applyBorder="1" applyAlignment="1">
      <alignment horizontal="center" vertical="center"/>
    </xf>
    <xf numFmtId="0" fontId="144" fillId="64" borderId="50" xfId="0" applyFont="1" applyFill="1" applyBorder="1" applyAlignment="1">
      <alignment horizontal="center" vertical="center"/>
    </xf>
    <xf numFmtId="0" fontId="106" fillId="2" borderId="92" xfId="0" applyFont="1" applyFill="1" applyBorder="1" applyAlignment="1">
      <alignment horizontal="left" vertical="center"/>
    </xf>
    <xf numFmtId="0" fontId="100" fillId="0" borderId="50" xfId="0" applyFont="1" applyBorder="1" applyAlignment="1">
      <alignment horizontal="left" vertical="center"/>
    </xf>
    <xf numFmtId="0" fontId="121" fillId="0" borderId="50" xfId="7" applyFont="1" applyBorder="1" applyAlignment="1">
      <alignment horizontal="left" vertical="center"/>
    </xf>
    <xf numFmtId="177" fontId="100" fillId="92" borderId="44" xfId="0" applyNumberFormat="1" applyFont="1" applyFill="1" applyBorder="1" applyAlignment="1">
      <alignment horizontal="center" vertical="center"/>
    </xf>
    <xf numFmtId="178" fontId="100" fillId="92" borderId="44" xfId="0" applyNumberFormat="1" applyFont="1" applyFill="1" applyBorder="1" applyAlignment="1">
      <alignment horizontal="center" vertical="center"/>
    </xf>
    <xf numFmtId="178" fontId="92" fillId="92" borderId="50" xfId="0" applyNumberFormat="1" applyFont="1" applyFill="1" applyBorder="1" applyAlignment="1">
      <alignment horizontal="center" vertical="center"/>
    </xf>
    <xf numFmtId="170" fontId="100" fillId="65" borderId="50" xfId="0" applyNumberFormat="1" applyFont="1" applyFill="1" applyBorder="1" applyAlignment="1">
      <alignment horizontal="center" vertical="center"/>
    </xf>
    <xf numFmtId="171" fontId="100" fillId="92" borderId="50" xfId="0" applyNumberFormat="1" applyFont="1" applyFill="1" applyBorder="1" applyAlignment="1">
      <alignment horizontal="center" vertical="center"/>
    </xf>
    <xf numFmtId="0" fontId="100" fillId="93" borderId="50" xfId="0" applyFont="1" applyFill="1" applyBorder="1" applyAlignment="1">
      <alignment horizontal="center" vertical="center"/>
    </xf>
    <xf numFmtId="176" fontId="100" fillId="93" borderId="50" xfId="0" applyNumberFormat="1" applyFont="1" applyFill="1" applyBorder="1" applyAlignment="1">
      <alignment horizontal="center" vertical="center"/>
    </xf>
    <xf numFmtId="168" fontId="100" fillId="93" borderId="50" xfId="0" applyNumberFormat="1" applyFont="1" applyFill="1" applyBorder="1" applyAlignment="1">
      <alignment horizontal="center" vertical="center"/>
    </xf>
    <xf numFmtId="169" fontId="100" fillId="93" borderId="50" xfId="0" applyNumberFormat="1" applyFont="1" applyFill="1" applyBorder="1" applyAlignment="1">
      <alignment horizontal="center" vertical="center"/>
    </xf>
    <xf numFmtId="0" fontId="106" fillId="12" borderId="50" xfId="0" applyFont="1" applyFill="1" applyBorder="1" applyAlignment="1">
      <alignment vertical="center" wrapText="1"/>
    </xf>
    <xf numFmtId="3" fontId="106" fillId="12" borderId="50" xfId="0" applyNumberFormat="1" applyFont="1" applyFill="1" applyBorder="1" applyAlignment="1">
      <alignment horizontal="center" vertical="center"/>
    </xf>
    <xf numFmtId="170" fontId="92" fillId="92" borderId="50" xfId="0" applyNumberFormat="1" applyFont="1" applyFill="1" applyBorder="1" applyAlignment="1">
      <alignment horizontal="center" vertical="center"/>
    </xf>
    <xf numFmtId="4" fontId="34" fillId="93" borderId="50" xfId="0" applyNumberFormat="1" applyFont="1" applyFill="1" applyBorder="1" applyAlignment="1">
      <alignment horizontal="center" vertical="center"/>
    </xf>
    <xf numFmtId="3" fontId="34" fillId="93" borderId="50" xfId="0" applyNumberFormat="1" applyFont="1" applyFill="1" applyBorder="1" applyAlignment="1">
      <alignment horizontal="center" vertical="center"/>
    </xf>
    <xf numFmtId="172" fontId="34" fillId="93" borderId="50" xfId="0" applyNumberFormat="1" applyFont="1" applyFill="1" applyBorder="1" applyAlignment="1">
      <alignment horizontal="center" vertical="center"/>
    </xf>
    <xf numFmtId="9" fontId="92" fillId="93" borderId="50" xfId="0" applyNumberFormat="1" applyFont="1" applyFill="1" applyBorder="1" applyAlignment="1">
      <alignment horizontal="center" vertical="center"/>
    </xf>
    <xf numFmtId="170" fontId="100" fillId="14" borderId="50" xfId="0" applyNumberFormat="1" applyFont="1" applyFill="1" applyBorder="1" applyAlignment="1">
      <alignment horizontal="center" vertical="center"/>
    </xf>
    <xf numFmtId="170" fontId="92" fillId="92" borderId="24" xfId="0" applyNumberFormat="1" applyFont="1" applyFill="1" applyBorder="1" applyAlignment="1">
      <alignment horizontal="center" vertical="center"/>
    </xf>
    <xf numFmtId="171" fontId="92" fillId="92" borderId="44" xfId="0" applyNumberFormat="1" applyFont="1" applyFill="1" applyBorder="1" applyAlignment="1">
      <alignment horizontal="center" vertical="center"/>
    </xf>
    <xf numFmtId="1" fontId="92" fillId="92" borderId="44" xfId="0" applyNumberFormat="1" applyFont="1" applyFill="1" applyBorder="1" applyAlignment="1">
      <alignment horizontal="center" vertical="center"/>
    </xf>
    <xf numFmtId="178" fontId="92" fillId="92" borderId="44" xfId="0" applyNumberFormat="1" applyFont="1" applyFill="1" applyBorder="1" applyAlignment="1">
      <alignment horizontal="center" vertical="center"/>
    </xf>
    <xf numFmtId="176" fontId="92" fillId="92" borderId="44" xfId="0" applyNumberFormat="1" applyFont="1" applyFill="1" applyBorder="1" applyAlignment="1">
      <alignment horizontal="center" vertical="center"/>
    </xf>
    <xf numFmtId="177" fontId="22" fillId="93" borderId="50" xfId="63" applyNumberFormat="1" applyFont="1" applyFill="1" applyBorder="1" applyAlignment="1">
      <alignment horizontal="center" vertical="center"/>
    </xf>
    <xf numFmtId="177" fontId="26" fillId="93" borderId="44" xfId="0" applyNumberFormat="1" applyFont="1" applyFill="1" applyBorder="1" applyAlignment="1">
      <alignment horizontal="center" vertical="center" wrapText="1"/>
    </xf>
    <xf numFmtId="177" fontId="26" fillId="93" borderId="53" xfId="0" applyNumberFormat="1" applyFont="1" applyFill="1" applyBorder="1" applyAlignment="1">
      <alignment horizontal="center" vertical="center" wrapText="1"/>
    </xf>
    <xf numFmtId="39" fontId="115" fillId="93" borderId="44" xfId="63" applyNumberFormat="1" applyFont="1" applyFill="1" applyBorder="1" applyAlignment="1">
      <alignment horizontal="center" vertical="center"/>
    </xf>
    <xf numFmtId="39" fontId="116" fillId="93" borderId="44" xfId="63" applyNumberFormat="1" applyFont="1" applyFill="1" applyBorder="1" applyAlignment="1">
      <alignment horizontal="center" vertical="center"/>
    </xf>
    <xf numFmtId="39" fontId="115" fillId="93" borderId="50" xfId="63" applyNumberFormat="1" applyFont="1" applyFill="1" applyBorder="1" applyAlignment="1">
      <alignment horizontal="center" vertical="center"/>
    </xf>
    <xf numFmtId="4" fontId="34" fillId="14" borderId="0" xfId="0" applyNumberFormat="1" applyFont="1" applyFill="1" applyAlignment="1">
      <alignment horizontal="center" vertical="center" wrapText="1"/>
    </xf>
    <xf numFmtId="0" fontId="34" fillId="12" borderId="0" xfId="0" applyFont="1" applyFill="1" applyBorder="1"/>
    <xf numFmtId="2" fontId="49" fillId="12" borderId="0" xfId="63" applyNumberFormat="1" applyFont="1" applyFill="1" applyBorder="1" applyAlignment="1">
      <alignment horizontal="center" vertical="center"/>
    </xf>
    <xf numFmtId="169" fontId="34" fillId="14" borderId="0" xfId="0" applyNumberFormat="1" applyFont="1" applyFill="1" applyAlignment="1">
      <alignment horizontal="center" vertical="center"/>
    </xf>
    <xf numFmtId="0" fontId="92" fillId="92" borderId="50" xfId="0" applyFont="1" applyFill="1" applyBorder="1" applyAlignment="1">
      <alignment horizontal="center" vertical="center"/>
    </xf>
    <xf numFmtId="0" fontId="34" fillId="93" borderId="50" xfId="0" applyFont="1" applyFill="1" applyBorder="1" applyAlignment="1">
      <alignment horizontal="center" vertical="center"/>
    </xf>
    <xf numFmtId="9" fontId="34" fillId="93" borderId="50" xfId="0" applyNumberFormat="1" applyFont="1" applyFill="1" applyBorder="1" applyAlignment="1">
      <alignment horizontal="center" vertical="center"/>
    </xf>
    <xf numFmtId="0" fontId="44" fillId="12" borderId="0" xfId="0" applyFont="1" applyFill="1" applyBorder="1" applyAlignment="1">
      <alignment wrapText="1"/>
    </xf>
    <xf numFmtId="172" fontId="16" fillId="93" borderId="50" xfId="1" applyNumberFormat="1" applyFont="1" applyFill="1" applyBorder="1" applyAlignment="1">
      <alignment horizontal="center" vertical="center"/>
    </xf>
    <xf numFmtId="4" fontId="16" fillId="93" borderId="50" xfId="1" applyNumberFormat="1" applyFont="1" applyFill="1" applyBorder="1" applyAlignment="1">
      <alignment horizontal="center" vertical="center"/>
    </xf>
    <xf numFmtId="3" fontId="16" fillId="93" borderId="50" xfId="1" applyNumberFormat="1" applyFont="1" applyFill="1" applyBorder="1" applyAlignment="1">
      <alignment horizontal="center" vertical="center"/>
    </xf>
    <xf numFmtId="1" fontId="34" fillId="65" borderId="99" xfId="0" applyNumberFormat="1" applyFont="1" applyFill="1" applyBorder="1" applyAlignment="1">
      <alignment horizontal="center" vertical="center" wrapText="1"/>
    </xf>
    <xf numFmtId="3" fontId="37" fillId="65" borderId="99" xfId="0" applyNumberFormat="1" applyFont="1" applyFill="1" applyBorder="1" applyAlignment="1">
      <alignment horizontal="center" vertical="center" wrapText="1"/>
    </xf>
    <xf numFmtId="3" fontId="34" fillId="65" borderId="99" xfId="0" applyNumberFormat="1" applyFont="1" applyFill="1" applyBorder="1" applyAlignment="1">
      <alignment horizontal="center" vertical="center" wrapText="1"/>
    </xf>
    <xf numFmtId="182" fontId="37" fillId="65" borderId="99" xfId="154" applyNumberFormat="1" applyFont="1" applyFill="1" applyBorder="1" applyAlignment="1">
      <alignment horizontal="center" vertical="center" wrapText="1"/>
    </xf>
    <xf numFmtId="0" fontId="34" fillId="65" borderId="99" xfId="0" applyFont="1" applyFill="1" applyBorder="1" applyAlignment="1">
      <alignment horizontal="center" vertical="center" wrapText="1"/>
    </xf>
    <xf numFmtId="3" fontId="34" fillId="12" borderId="99" xfId="0" applyNumberFormat="1" applyFont="1" applyFill="1" applyBorder="1" applyAlignment="1">
      <alignment horizontal="center" vertical="center" wrapText="1"/>
    </xf>
    <xf numFmtId="3" fontId="109" fillId="21" borderId="51" xfId="0" applyNumberFormat="1" applyFont="1" applyFill="1" applyBorder="1" applyAlignment="1">
      <alignment horizontal="center" vertical="center"/>
    </xf>
    <xf numFmtId="3" fontId="65" fillId="94" borderId="94" xfId="151" applyNumberFormat="1" applyFont="1" applyFill="1" applyBorder="1" applyAlignment="1">
      <alignment horizontal="center" vertical="center"/>
    </xf>
    <xf numFmtId="0" fontId="106" fillId="21" borderId="50" xfId="0" applyFont="1" applyFill="1" applyBorder="1" applyAlignment="1">
      <alignment vertical="center"/>
    </xf>
    <xf numFmtId="3" fontId="106" fillId="21" borderId="50" xfId="0" applyNumberFormat="1" applyFont="1" applyFill="1" applyBorder="1" applyAlignment="1">
      <alignment horizontal="center" vertical="center"/>
    </xf>
    <xf numFmtId="0" fontId="7" fillId="12" borderId="73" xfId="156" applyFont="1" applyFill="1" applyBorder="1" applyAlignment="1">
      <alignment vertical="center" wrapText="1"/>
    </xf>
    <xf numFmtId="0" fontId="7" fillId="12" borderId="0" xfId="156" applyFont="1" applyFill="1" applyBorder="1" applyAlignment="1">
      <alignment vertical="center" wrapText="1"/>
    </xf>
    <xf numFmtId="0" fontId="7" fillId="12" borderId="78" xfId="156" applyFont="1" applyFill="1" applyBorder="1" applyAlignment="1">
      <alignment vertical="center" wrapText="1"/>
    </xf>
    <xf numFmtId="0" fontId="100" fillId="12" borderId="63" xfId="12" applyFont="1" applyFill="1" applyBorder="1" applyAlignment="1">
      <alignment vertical="center" wrapText="1"/>
    </xf>
    <xf numFmtId="0" fontId="100" fillId="12" borderId="73" xfId="156" applyFont="1" applyFill="1" applyBorder="1" applyAlignment="1">
      <alignment vertical="center" wrapText="1"/>
    </xf>
    <xf numFmtId="0" fontId="100" fillId="12" borderId="73" xfId="156" applyFont="1" applyFill="1" applyBorder="1" applyAlignment="1">
      <alignment horizontal="left" vertical="center" wrapText="1"/>
    </xf>
    <xf numFmtId="0" fontId="7" fillId="12" borderId="73" xfId="156" applyFont="1" applyFill="1" applyBorder="1" applyAlignment="1">
      <alignment horizontal="left" vertical="center" wrapText="1"/>
    </xf>
    <xf numFmtId="0" fontId="91" fillId="12" borderId="100" xfId="0" applyFont="1" applyFill="1" applyBorder="1"/>
    <xf numFmtId="0" fontId="91" fillId="12" borderId="99" xfId="0" applyFont="1" applyFill="1" applyBorder="1" applyAlignment="1">
      <alignment horizontal="center"/>
    </xf>
    <xf numFmtId="3" fontId="91" fillId="12" borderId="99" xfId="0" applyNumberFormat="1" applyFont="1" applyFill="1" applyBorder="1" applyAlignment="1">
      <alignment horizontal="center"/>
    </xf>
    <xf numFmtId="166" fontId="91" fillId="12" borderId="99" xfId="0" applyNumberFormat="1" applyFont="1" applyFill="1" applyBorder="1" applyAlignment="1">
      <alignment horizontal="center"/>
    </xf>
    <xf numFmtId="3" fontId="91" fillId="12" borderId="101" xfId="0" applyNumberFormat="1" applyFont="1" applyFill="1" applyBorder="1" applyAlignment="1">
      <alignment horizontal="center"/>
    </xf>
    <xf numFmtId="0" fontId="91" fillId="12" borderId="64" xfId="0" applyFont="1" applyFill="1" applyBorder="1"/>
    <xf numFmtId="0" fontId="91" fillId="12" borderId="95" xfId="0" applyFont="1" applyFill="1" applyBorder="1" applyAlignment="1">
      <alignment horizontal="center"/>
    </xf>
    <xf numFmtId="3" fontId="91" fillId="0" borderId="95" xfId="0" applyNumberFormat="1" applyFont="1" applyBorder="1" applyAlignment="1">
      <alignment horizontal="center"/>
    </xf>
    <xf numFmtId="3" fontId="91" fillId="12" borderId="95" xfId="0" applyNumberFormat="1" applyFont="1" applyFill="1" applyBorder="1" applyAlignment="1">
      <alignment horizontal="center"/>
    </xf>
    <xf numFmtId="166" fontId="91" fillId="12" borderId="95" xfId="0" applyNumberFormat="1" applyFont="1" applyFill="1" applyBorder="1" applyAlignment="1">
      <alignment horizontal="center"/>
    </xf>
    <xf numFmtId="3" fontId="91" fillId="12" borderId="63" xfId="0" applyNumberFormat="1" applyFont="1" applyFill="1" applyBorder="1" applyAlignment="1">
      <alignment horizontal="center"/>
    </xf>
    <xf numFmtId="0" fontId="100" fillId="0" borderId="50" xfId="12" applyFont="1" applyFill="1" applyBorder="1" applyAlignment="1">
      <alignment horizontal="center" vertical="center" wrapText="1"/>
    </xf>
    <xf numFmtId="0" fontId="99" fillId="68" borderId="0" xfId="162" applyBorder="1" applyAlignment="1">
      <alignment horizontal="center" vertical="center" wrapText="1"/>
    </xf>
    <xf numFmtId="0" fontId="105" fillId="92" borderId="47" xfId="0" applyFont="1" applyFill="1" applyBorder="1" applyAlignment="1">
      <alignment horizontal="left" vertical="center"/>
    </xf>
    <xf numFmtId="0" fontId="105" fillId="92" borderId="93" xfId="0" applyFont="1" applyFill="1" applyBorder="1" applyAlignment="1">
      <alignment horizontal="left" vertical="center"/>
    </xf>
    <xf numFmtId="0" fontId="36" fillId="93" borderId="50" xfId="7" applyFill="1" applyBorder="1"/>
    <xf numFmtId="0" fontId="36" fillId="93" borderId="47" xfId="7" applyFill="1" applyBorder="1" applyAlignment="1">
      <alignment vertical="center"/>
    </xf>
    <xf numFmtId="0" fontId="107" fillId="93" borderId="48" xfId="0" applyFont="1" applyFill="1" applyBorder="1" applyAlignment="1">
      <alignment vertical="center"/>
    </xf>
    <xf numFmtId="0" fontId="97" fillId="68" borderId="0" xfId="160" applyAlignment="1">
      <alignment horizontal="left" vertical="center"/>
    </xf>
    <xf numFmtId="0" fontId="97" fillId="12" borderId="0" xfId="160" applyFill="1" applyAlignment="1">
      <alignment horizontal="left" vertical="center"/>
    </xf>
    <xf numFmtId="0" fontId="98" fillId="69" borderId="88" xfId="161" applyBorder="1" applyAlignment="1">
      <alignment vertical="center"/>
    </xf>
    <xf numFmtId="0" fontId="99" fillId="68" borderId="74" xfId="162" applyBorder="1" applyAlignment="1">
      <alignment horizontal="center" vertical="center"/>
    </xf>
    <xf numFmtId="0" fontId="21" fillId="12" borderId="61" xfId="156" applyFont="1" applyBorder="1" applyAlignment="1">
      <alignment vertical="center" wrapText="1"/>
    </xf>
    <xf numFmtId="0" fontId="21" fillId="12" borderId="50" xfId="156" applyFont="1" applyBorder="1" applyAlignment="1">
      <alignment vertical="center" wrapText="1"/>
    </xf>
    <xf numFmtId="0" fontId="98" fillId="69" borderId="90" xfId="161" applyBorder="1" applyAlignment="1">
      <alignment vertical="center"/>
    </xf>
    <xf numFmtId="0" fontId="21" fillId="12" borderId="76" xfId="156" applyFont="1" applyBorder="1" applyAlignment="1">
      <alignment vertical="center" wrapText="1"/>
    </xf>
    <xf numFmtId="0" fontId="21" fillId="12" borderId="77" xfId="156" applyFont="1" applyBorder="1" applyAlignment="1">
      <alignment vertical="center" wrapText="1"/>
    </xf>
    <xf numFmtId="166" fontId="92" fillId="0" borderId="51" xfId="0" applyNumberFormat="1" applyFont="1" applyBorder="1" applyAlignment="1">
      <alignment horizontal="center" vertical="center"/>
    </xf>
    <xf numFmtId="0" fontId="6" fillId="12" borderId="50" xfId="0" applyFont="1" applyFill="1" applyBorder="1" applyAlignment="1">
      <alignment horizontal="center" vertical="center" wrapText="1"/>
    </xf>
    <xf numFmtId="177" fontId="92" fillId="92" borderId="44" xfId="0" applyNumberFormat="1" applyFont="1" applyFill="1" applyBorder="1" applyAlignment="1">
      <alignment horizontal="center" vertical="center"/>
    </xf>
    <xf numFmtId="37" fontId="34" fillId="14" borderId="0" xfId="63" applyFont="1" applyFill="1" applyBorder="1" applyAlignment="1">
      <alignment horizontal="left" vertical="center" wrapText="1"/>
    </xf>
    <xf numFmtId="37" fontId="34" fillId="14" borderId="0" xfId="63" applyFont="1" applyFill="1" applyBorder="1" applyAlignment="1">
      <alignment vertical="center"/>
    </xf>
    <xf numFmtId="0" fontId="92" fillId="0" borderId="99" xfId="0" applyFont="1" applyBorder="1" applyAlignment="1">
      <alignment horizontal="left" vertical="center"/>
    </xf>
    <xf numFmtId="37" fontId="92" fillId="0" borderId="99" xfId="0" applyNumberFormat="1" applyFont="1" applyBorder="1" applyAlignment="1">
      <alignment horizontal="center" vertical="center"/>
    </xf>
    <xf numFmtId="0" fontId="92" fillId="0" borderId="99" xfId="0" applyFont="1" applyBorder="1" applyAlignment="1">
      <alignment horizontal="center" vertical="center"/>
    </xf>
    <xf numFmtId="0" fontId="99" fillId="68" borderId="102" xfId="162" applyBorder="1" applyAlignment="1">
      <alignment horizontal="center" vertical="center" wrapText="1"/>
    </xf>
    <xf numFmtId="0" fontId="99" fillId="68" borderId="103" xfId="162" applyBorder="1" applyAlignment="1">
      <alignment horizontal="center" vertical="center" wrapText="1"/>
    </xf>
    <xf numFmtId="0" fontId="99" fillId="68" borderId="104" xfId="162" applyBorder="1" applyAlignment="1">
      <alignment horizontal="center" vertical="center" wrapText="1"/>
    </xf>
    <xf numFmtId="37" fontId="106" fillId="6" borderId="99" xfId="0" applyNumberFormat="1" applyFont="1" applyFill="1" applyBorder="1" applyAlignment="1">
      <alignment horizontal="center" vertical="center"/>
    </xf>
    <xf numFmtId="9" fontId="106" fillId="6" borderId="99" xfId="0" applyNumberFormat="1" applyFont="1" applyFill="1" applyBorder="1" applyAlignment="1">
      <alignment horizontal="center" vertical="center"/>
    </xf>
    <xf numFmtId="0" fontId="106" fillId="20" borderId="0" xfId="0" applyFont="1" applyFill="1" applyBorder="1" applyAlignment="1">
      <alignment horizontal="left" vertical="center" wrapText="1"/>
    </xf>
    <xf numFmtId="37" fontId="106" fillId="20" borderId="0" xfId="0" applyNumberFormat="1" applyFont="1" applyFill="1" applyBorder="1" applyAlignment="1">
      <alignment horizontal="center" vertical="center" wrapText="1"/>
    </xf>
    <xf numFmtId="9" fontId="106" fillId="20" borderId="0" xfId="0" applyNumberFormat="1" applyFont="1" applyFill="1" applyBorder="1" applyAlignment="1">
      <alignment horizontal="center" vertical="center" wrapText="1"/>
    </xf>
    <xf numFmtId="0" fontId="106" fillId="20" borderId="96" xfId="0" applyFont="1" applyFill="1" applyBorder="1" applyAlignment="1">
      <alignment horizontal="center" vertical="center"/>
    </xf>
    <xf numFmtId="37" fontId="106" fillId="20" borderId="97" xfId="0" applyNumberFormat="1" applyFont="1" applyFill="1" applyBorder="1" applyAlignment="1">
      <alignment horizontal="center" vertical="center"/>
    </xf>
    <xf numFmtId="9" fontId="106" fillId="20" borderId="97" xfId="0" applyNumberFormat="1" applyFont="1" applyFill="1" applyBorder="1" applyAlignment="1">
      <alignment horizontal="center" vertical="center"/>
    </xf>
    <xf numFmtId="0" fontId="34" fillId="12" borderId="0" xfId="0" applyFont="1" applyFill="1" applyBorder="1" applyAlignment="1">
      <alignment horizontal="center" vertical="center" wrapText="1"/>
    </xf>
    <xf numFmtId="0" fontId="56" fillId="12" borderId="0" xfId="0" applyFont="1" applyFill="1" applyAlignment="1">
      <alignment vertical="center"/>
    </xf>
    <xf numFmtId="0" fontId="33" fillId="82" borderId="67" xfId="0" applyFont="1" applyFill="1" applyBorder="1" applyAlignment="1">
      <alignment horizontal="center" vertical="center"/>
    </xf>
    <xf numFmtId="0" fontId="99" fillId="68" borderId="55" xfId="162" applyBorder="1" applyAlignment="1">
      <alignment horizontal="center" vertical="center" wrapText="1"/>
    </xf>
    <xf numFmtId="0" fontId="99" fillId="68" borderId="51" xfId="162" applyBorder="1" applyAlignment="1">
      <alignment horizontal="center" vertical="center" wrapText="1"/>
    </xf>
    <xf numFmtId="0" fontId="99" fillId="68" borderId="54" xfId="162" applyBorder="1" applyAlignment="1">
      <alignment horizontal="center" vertical="center" wrapText="1"/>
    </xf>
    <xf numFmtId="0" fontId="99" fillId="68" borderId="50" xfId="162" applyBorder="1" applyAlignment="1">
      <alignment horizontal="center" vertical="center" wrapText="1"/>
    </xf>
    <xf numFmtId="0" fontId="5" fillId="14" borderId="50" xfId="0" applyFont="1" applyFill="1" applyBorder="1" applyAlignment="1">
      <alignment vertical="center" wrapText="1"/>
    </xf>
    <xf numFmtId="0" fontId="95" fillId="67" borderId="54" xfId="155" applyBorder="1" applyAlignment="1">
      <alignment horizontal="left" vertical="center" wrapText="1"/>
    </xf>
    <xf numFmtId="0" fontId="95" fillId="67" borderId="55" xfId="155" applyBorder="1" applyAlignment="1">
      <alignment horizontal="left" vertical="center" wrapText="1"/>
    </xf>
    <xf numFmtId="0" fontId="99" fillId="68" borderId="0" xfId="162" applyBorder="1" applyAlignment="1">
      <alignment horizontal="center" vertical="center" wrapText="1"/>
    </xf>
    <xf numFmtId="0" fontId="98" fillId="69" borderId="55" xfId="161" applyBorder="1"/>
    <xf numFmtId="0" fontId="99" fillId="68" borderId="55" xfId="162" applyBorder="1" applyAlignment="1">
      <alignment horizontal="center" vertical="center" wrapText="1"/>
    </xf>
    <xf numFmtId="0" fontId="99" fillId="68" borderId="51" xfId="162" applyBorder="1" applyAlignment="1">
      <alignment horizontal="center" vertical="center" wrapText="1"/>
    </xf>
    <xf numFmtId="0" fontId="99" fillId="68" borderId="54" xfId="162" applyBorder="1" applyAlignment="1">
      <alignment horizontal="center" vertical="center" wrapText="1"/>
    </xf>
    <xf numFmtId="0" fontId="52" fillId="62" borderId="0" xfId="0" applyFont="1" applyFill="1" applyAlignment="1">
      <alignment horizontal="left" vertical="center" wrapText="1"/>
    </xf>
    <xf numFmtId="0" fontId="99" fillId="68" borderId="0" xfId="162" applyAlignment="1">
      <alignment horizontal="center" vertical="center"/>
    </xf>
    <xf numFmtId="0" fontId="42" fillId="0" borderId="18" xfId="0" applyFont="1" applyBorder="1" applyAlignment="1">
      <alignment horizontal="left" vertical="center"/>
    </xf>
    <xf numFmtId="0" fontId="37" fillId="0" borderId="0" xfId="0" applyFont="1" applyAlignment="1">
      <alignment vertical="center"/>
    </xf>
    <xf numFmtId="0" fontId="95" fillId="67" borderId="104" xfId="155" applyBorder="1" applyAlignment="1">
      <alignment vertical="center" wrapText="1"/>
    </xf>
    <xf numFmtId="182" fontId="34" fillId="65" borderId="99" xfId="154" applyNumberFormat="1" applyFont="1" applyFill="1" applyBorder="1" applyAlignment="1">
      <alignment horizontal="center" vertical="center" wrapText="1"/>
    </xf>
    <xf numFmtId="6" fontId="34" fillId="65" borderId="99" xfId="0" applyNumberFormat="1" applyFont="1" applyFill="1" applyBorder="1" applyAlignment="1">
      <alignment horizontal="center" vertical="center" wrapText="1"/>
    </xf>
    <xf numFmtId="0" fontId="4" fillId="12" borderId="73" xfId="156" applyFont="1" applyFill="1" applyBorder="1" applyAlignment="1">
      <alignment horizontal="left" vertical="center" wrapText="1"/>
    </xf>
    <xf numFmtId="4" fontId="92" fillId="0" borderId="50" xfId="0" applyNumberFormat="1" applyFont="1" applyBorder="1" applyAlignment="1">
      <alignment horizontal="center" vertical="center"/>
    </xf>
    <xf numFmtId="172" fontId="92" fillId="0" borderId="50" xfId="0" applyNumberFormat="1" applyFont="1" applyFill="1" applyBorder="1" applyAlignment="1">
      <alignment horizontal="center" vertical="center"/>
    </xf>
    <xf numFmtId="172" fontId="92" fillId="0" borderId="18" xfId="0" applyNumberFormat="1" applyFont="1" applyBorder="1" applyAlignment="1">
      <alignment horizontal="center" vertical="center"/>
    </xf>
    <xf numFmtId="0" fontId="4" fillId="12" borderId="50" xfId="0" applyFont="1" applyFill="1" applyBorder="1" applyAlignment="1">
      <alignment horizontal="center" vertical="center"/>
    </xf>
    <xf numFmtId="177" fontId="92" fillId="14" borderId="50" xfId="0" applyNumberFormat="1" applyFont="1" applyFill="1" applyBorder="1" applyAlignment="1">
      <alignment horizontal="center" vertical="center"/>
    </xf>
    <xf numFmtId="0" fontId="4" fillId="12" borderId="50" xfId="0" applyFont="1" applyFill="1" applyBorder="1" applyAlignment="1">
      <alignment horizontal="center" vertical="center" wrapText="1"/>
    </xf>
    <xf numFmtId="3" fontId="91" fillId="12" borderId="0" xfId="0" applyNumberFormat="1" applyFont="1" applyFill="1"/>
    <xf numFmtId="0" fontId="95" fillId="67" borderId="104" xfId="155" applyBorder="1" applyAlignment="1">
      <alignment horizontal="left" vertical="center" wrapText="1"/>
    </xf>
    <xf numFmtId="0" fontId="95" fillId="67" borderId="55" xfId="155" applyBorder="1" applyAlignment="1">
      <alignment horizontal="left" vertical="center" wrapText="1"/>
    </xf>
    <xf numFmtId="0" fontId="99" fillId="68" borderId="54" xfId="162" applyBorder="1" applyAlignment="1">
      <alignment horizontal="center" vertical="center" wrapText="1"/>
    </xf>
    <xf numFmtId="0" fontId="99" fillId="68" borderId="51" xfId="162" applyBorder="1" applyAlignment="1">
      <alignment horizontal="center" vertical="center" wrapText="1"/>
    </xf>
    <xf numFmtId="0" fontId="99" fillId="68" borderId="55" xfId="162" applyBorder="1" applyAlignment="1">
      <alignment horizontal="center" vertical="center" wrapText="1"/>
    </xf>
    <xf numFmtId="0" fontId="99" fillId="68" borderId="50" xfId="162" applyBorder="1" applyAlignment="1">
      <alignment horizontal="center" vertical="center" wrapText="1"/>
    </xf>
    <xf numFmtId="0" fontId="100" fillId="0" borderId="44" xfId="0" applyFont="1" applyBorder="1" applyAlignment="1">
      <alignment horizontal="left" vertical="center" wrapText="1"/>
    </xf>
    <xf numFmtId="0" fontId="34" fillId="14" borderId="22" xfId="0" applyFont="1" applyFill="1" applyBorder="1" applyAlignment="1">
      <alignment vertical="center"/>
    </xf>
    <xf numFmtId="0" fontId="42" fillId="0" borderId="44" xfId="0" applyFont="1" applyBorder="1" applyAlignment="1">
      <alignment horizontal="left" vertical="center"/>
    </xf>
    <xf numFmtId="0" fontId="34" fillId="0" borderId="44" xfId="0" applyFont="1" applyBorder="1" applyAlignment="1">
      <alignment horizontal="right" vertical="center" wrapText="1"/>
    </xf>
    <xf numFmtId="49" fontId="34" fillId="65" borderId="44" xfId="0" applyNumberFormat="1" applyFont="1" applyFill="1" applyBorder="1" applyAlignment="1">
      <alignment horizontal="right" vertical="center" wrapText="1"/>
    </xf>
    <xf numFmtId="3" fontId="34" fillId="0" borderId="44" xfId="0" applyNumberFormat="1" applyFont="1" applyBorder="1" applyAlignment="1">
      <alignment horizontal="right" vertical="center" wrapText="1"/>
    </xf>
    <xf numFmtId="179" fontId="34" fillId="0" borderId="44" xfId="154" applyNumberFormat="1" applyFont="1" applyBorder="1" applyAlignment="1">
      <alignment horizontal="right" vertical="center" wrapText="1"/>
    </xf>
    <xf numFmtId="0" fontId="34" fillId="14" borderId="45" xfId="0" applyFont="1" applyFill="1" applyBorder="1" applyAlignment="1">
      <alignment vertical="center"/>
    </xf>
    <xf numFmtId="0" fontId="34" fillId="14" borderId="14" xfId="0" applyFont="1" applyFill="1" applyBorder="1" applyAlignment="1">
      <alignment horizontal="right" vertical="center"/>
    </xf>
    <xf numFmtId="37" fontId="34" fillId="2" borderId="0" xfId="0" applyNumberFormat="1" applyFont="1" applyFill="1" applyAlignment="1">
      <alignment vertical="center"/>
    </xf>
    <xf numFmtId="0" fontId="40" fillId="12" borderId="0" xfId="0" applyFont="1" applyFill="1" applyBorder="1" applyAlignment="1">
      <alignment vertical="center"/>
    </xf>
    <xf numFmtId="165" fontId="46" fillId="2" borderId="12" xfId="1" applyNumberFormat="1" applyFont="1" applyFill="1" applyBorder="1" applyAlignment="1">
      <alignment vertical="center"/>
    </xf>
    <xf numFmtId="43" fontId="46" fillId="2" borderId="12" xfId="0" applyNumberFormat="1" applyFont="1" applyFill="1" applyBorder="1" applyAlignment="1">
      <alignment vertical="center"/>
    </xf>
    <xf numFmtId="43" fontId="46" fillId="2" borderId="12" xfId="0" applyNumberFormat="1" applyFont="1" applyFill="1" applyBorder="1" applyAlignment="1">
      <alignment horizontal="center" vertical="center"/>
    </xf>
    <xf numFmtId="173" fontId="100" fillId="65" borderId="50" xfId="0" applyNumberFormat="1" applyFont="1" applyFill="1" applyBorder="1" applyAlignment="1">
      <alignment horizontal="center" vertical="center"/>
    </xf>
    <xf numFmtId="3" fontId="34" fillId="65" borderId="50" xfId="0" applyNumberFormat="1" applyFont="1" applyFill="1" applyBorder="1" applyAlignment="1">
      <alignment horizontal="center"/>
    </xf>
    <xf numFmtId="177" fontId="92" fillId="92" borderId="50" xfId="0" applyNumberFormat="1" applyFont="1" applyFill="1" applyBorder="1" applyAlignment="1">
      <alignment horizontal="center" vertical="center"/>
    </xf>
    <xf numFmtId="169" fontId="92" fillId="92" borderId="50" xfId="0" applyNumberFormat="1" applyFont="1" applyFill="1" applyBorder="1" applyAlignment="1">
      <alignment horizontal="center" vertical="center"/>
    </xf>
    <xf numFmtId="0" fontId="37" fillId="14" borderId="0" xfId="0" applyFont="1" applyFill="1"/>
    <xf numFmtId="0" fontId="91" fillId="12" borderId="0" xfId="0" applyFont="1" applyFill="1" applyAlignment="1">
      <alignment vertical="center"/>
    </xf>
    <xf numFmtId="0" fontId="37" fillId="0" borderId="24" xfId="0" applyFont="1" applyBorder="1" applyAlignment="1">
      <alignment vertical="center"/>
    </xf>
    <xf numFmtId="37" fontId="34" fillId="0" borderId="24" xfId="0" applyNumberFormat="1" applyFont="1" applyBorder="1" applyAlignment="1">
      <alignment horizontal="center" vertical="center"/>
    </xf>
    <xf numFmtId="0" fontId="37" fillId="0" borderId="44" xfId="0" applyFont="1" applyBorder="1" applyAlignment="1">
      <alignment vertical="center"/>
    </xf>
    <xf numFmtId="37" fontId="34" fillId="0" borderId="44" xfId="0" applyNumberFormat="1" applyFont="1" applyBorder="1" applyAlignment="1">
      <alignment horizontal="center" vertical="center"/>
    </xf>
    <xf numFmtId="0" fontId="37" fillId="0" borderId="18" xfId="0" applyFont="1" applyBorder="1" applyAlignment="1">
      <alignment vertical="center"/>
    </xf>
    <xf numFmtId="37" fontId="34" fillId="0" borderId="18" xfId="0" applyNumberFormat="1" applyFont="1" applyBorder="1" applyAlignment="1">
      <alignment horizontal="center" vertical="center"/>
    </xf>
    <xf numFmtId="0" fontId="98" fillId="69" borderId="54" xfId="161" applyBorder="1" applyAlignment="1">
      <alignment vertical="center"/>
    </xf>
    <xf numFmtId="0" fontId="98" fillId="69" borderId="51" xfId="161" applyBorder="1" applyAlignment="1">
      <alignment vertical="center"/>
    </xf>
    <xf numFmtId="4" fontId="49" fillId="0" borderId="50" xfId="1" quotePrefix="1" applyNumberFormat="1" applyFont="1" applyBorder="1" applyAlignment="1">
      <alignment horizontal="center" vertical="center"/>
    </xf>
    <xf numFmtId="164" fontId="49" fillId="0" borderId="50" xfId="1" quotePrefix="1" applyNumberFormat="1" applyFont="1" applyBorder="1" applyAlignment="1">
      <alignment horizontal="center" vertical="center"/>
    </xf>
    <xf numFmtId="3" fontId="49" fillId="0" borderId="50" xfId="1" applyNumberFormat="1" applyFont="1" applyFill="1" applyBorder="1" applyAlignment="1">
      <alignment horizontal="center" vertical="center"/>
    </xf>
    <xf numFmtId="164" fontId="49" fillId="12" borderId="0" xfId="1" applyNumberFormat="1" applyFont="1" applyFill="1" applyAlignment="1">
      <alignment horizontal="center" vertical="center"/>
    </xf>
    <xf numFmtId="4" fontId="49" fillId="0" borderId="0" xfId="1" applyNumberFormat="1" applyFont="1" applyAlignment="1">
      <alignment horizontal="center" vertical="center"/>
    </xf>
    <xf numFmtId="0" fontId="50" fillId="0" borderId="50" xfId="0" applyFont="1" applyBorder="1" applyAlignment="1">
      <alignment vertical="center"/>
    </xf>
    <xf numFmtId="180" fontId="50" fillId="0" borderId="50" xfId="0" applyNumberFormat="1" applyFont="1" applyBorder="1" applyAlignment="1">
      <alignment horizontal="center" vertical="center"/>
    </xf>
    <xf numFmtId="0" fontId="91" fillId="0" borderId="50" xfId="0" applyFont="1" applyBorder="1" applyAlignment="1">
      <alignment vertical="center"/>
    </xf>
    <xf numFmtId="180" fontId="91" fillId="0" borderId="50" xfId="0" applyNumberFormat="1" applyFont="1" applyBorder="1" applyAlignment="1">
      <alignment horizontal="center" vertical="center"/>
    </xf>
    <xf numFmtId="0" fontId="120" fillId="21" borderId="50" xfId="0" applyFont="1" applyFill="1" applyBorder="1" applyAlignment="1">
      <alignment vertical="center"/>
    </xf>
    <xf numFmtId="165" fontId="91" fillId="12" borderId="0" xfId="1" applyNumberFormat="1" applyFont="1" applyFill="1" applyAlignment="1">
      <alignment vertical="center"/>
    </xf>
    <xf numFmtId="0" fontId="98" fillId="69" borderId="102" xfId="161" applyBorder="1" applyAlignment="1">
      <alignment horizontal="left"/>
    </xf>
    <xf numFmtId="0" fontId="98" fillId="69" borderId="103" xfId="161" applyBorder="1" applyAlignment="1">
      <alignment horizontal="left"/>
    </xf>
    <xf numFmtId="0" fontId="99" fillId="68" borderId="96" xfId="162" applyBorder="1" applyAlignment="1">
      <alignment horizontal="center" vertical="center" wrapText="1"/>
    </xf>
    <xf numFmtId="0" fontId="99" fillId="68" borderId="97" xfId="162" applyBorder="1" applyAlignment="1">
      <alignment horizontal="center" vertical="center" wrapText="1"/>
    </xf>
    <xf numFmtId="0" fontId="99" fillId="68" borderId="98" xfId="162" applyBorder="1" applyAlignment="1">
      <alignment horizontal="center" vertical="center" wrapText="1"/>
    </xf>
    <xf numFmtId="0" fontId="98" fillId="69" borderId="104" xfId="161" applyBorder="1" applyAlignment="1">
      <alignment horizontal="left"/>
    </xf>
    <xf numFmtId="4" fontId="37" fillId="0" borderId="50" xfId="0" applyNumberFormat="1" applyFont="1" applyBorder="1" applyAlignment="1">
      <alignment horizontal="center" vertical="center"/>
    </xf>
    <xf numFmtId="0" fontId="131" fillId="12" borderId="0" xfId="0" applyFont="1" applyFill="1" applyAlignment="1">
      <alignment vertical="center"/>
    </xf>
    <xf numFmtId="0" fontId="91" fillId="0" borderId="50" xfId="0" applyFont="1" applyFill="1" applyBorder="1" applyAlignment="1">
      <alignment vertical="center"/>
    </xf>
    <xf numFmtId="49" fontId="91" fillId="0" borderId="50" xfId="0" applyNumberFormat="1" applyFont="1" applyFill="1" applyBorder="1" applyAlignment="1">
      <alignment horizontal="center" vertical="center"/>
    </xf>
    <xf numFmtId="3" fontId="91" fillId="0" borderId="50" xfId="0" applyNumberFormat="1" applyFont="1" applyFill="1" applyBorder="1" applyAlignment="1">
      <alignment horizontal="center" vertical="center"/>
    </xf>
    <xf numFmtId="3" fontId="91" fillId="12" borderId="50" xfId="0" applyNumberFormat="1" applyFont="1" applyFill="1" applyBorder="1" applyAlignment="1">
      <alignment horizontal="center" vertical="center"/>
    </xf>
    <xf numFmtId="172" fontId="91" fillId="12" borderId="50" xfId="0" applyNumberFormat="1" applyFont="1" applyFill="1" applyBorder="1" applyAlignment="1">
      <alignment horizontal="center" vertical="center"/>
    </xf>
    <xf numFmtId="3" fontId="91" fillId="12" borderId="50" xfId="0" applyNumberFormat="1" applyFont="1" applyFill="1" applyBorder="1" applyAlignment="1">
      <alignment horizontal="left" vertical="center" wrapText="1"/>
    </xf>
    <xf numFmtId="0" fontId="91" fillId="12" borderId="50" xfId="0" applyFont="1" applyFill="1" applyBorder="1" applyAlignment="1">
      <alignment vertical="center"/>
    </xf>
    <xf numFmtId="49" fontId="91" fillId="12" borderId="50" xfId="0" applyNumberFormat="1" applyFont="1" applyFill="1" applyBorder="1" applyAlignment="1">
      <alignment horizontal="center" vertical="center"/>
    </xf>
    <xf numFmtId="0" fontId="91" fillId="12" borderId="50" xfId="0" applyNumberFormat="1" applyFont="1" applyFill="1" applyBorder="1" applyAlignment="1">
      <alignment horizontal="center" vertical="center"/>
    </xf>
    <xf numFmtId="0" fontId="91" fillId="12" borderId="72" xfId="0" applyFont="1" applyFill="1" applyBorder="1"/>
    <xf numFmtId="0" fontId="91" fillId="12" borderId="25" xfId="0" applyFont="1" applyFill="1" applyBorder="1" applyAlignment="1">
      <alignment horizontal="center"/>
    </xf>
    <xf numFmtId="3" fontId="91" fillId="0" borderId="25" xfId="0" applyNumberFormat="1" applyFont="1" applyFill="1" applyBorder="1" applyAlignment="1">
      <alignment horizontal="center"/>
    </xf>
    <xf numFmtId="3" fontId="91" fillId="12" borderId="25" xfId="0" applyNumberFormat="1" applyFont="1" applyFill="1" applyBorder="1" applyAlignment="1">
      <alignment horizontal="center"/>
    </xf>
    <xf numFmtId="166" fontId="91" fillId="12" borderId="25" xfId="0" applyNumberFormat="1" applyFont="1" applyFill="1" applyBorder="1" applyAlignment="1">
      <alignment horizontal="center"/>
    </xf>
    <xf numFmtId="3" fontId="91" fillId="12" borderId="105" xfId="0" applyNumberFormat="1" applyFont="1" applyFill="1" applyBorder="1" applyAlignment="1">
      <alignment horizontal="center"/>
    </xf>
    <xf numFmtId="0" fontId="34" fillId="0" borderId="99" xfId="0" applyFont="1" applyBorder="1" applyAlignment="1">
      <alignment horizontal="left" vertical="center" wrapText="1"/>
    </xf>
    <xf numFmtId="0" fontId="34" fillId="0" borderId="99" xfId="0" applyFont="1" applyBorder="1" applyAlignment="1">
      <alignment vertical="center"/>
    </xf>
    <xf numFmtId="0" fontId="95" fillId="67" borderId="104" xfId="155" applyBorder="1" applyAlignment="1">
      <alignment vertical="center"/>
    </xf>
    <xf numFmtId="173" fontId="37" fillId="92" borderId="50" xfId="0" applyNumberFormat="1" applyFont="1" applyFill="1" applyBorder="1" applyAlignment="1">
      <alignment horizontal="center" vertical="center"/>
    </xf>
    <xf numFmtId="9" fontId="37" fillId="92" borderId="50" xfId="0" applyNumberFormat="1" applyFont="1" applyFill="1" applyBorder="1" applyAlignment="1">
      <alignment horizontal="center" vertical="center"/>
    </xf>
    <xf numFmtId="0" fontId="100" fillId="0" borderId="24" xfId="0" applyFont="1" applyBorder="1" applyAlignment="1">
      <alignment vertical="center"/>
    </xf>
    <xf numFmtId="0" fontId="100" fillId="0" borderId="44" xfId="0" applyFont="1" applyBorder="1" applyAlignment="1">
      <alignment vertical="center"/>
    </xf>
    <xf numFmtId="175" fontId="92" fillId="0" borderId="44" xfId="0" applyNumberFormat="1" applyFont="1" applyBorder="1" applyAlignment="1">
      <alignment horizontal="center" vertical="center"/>
    </xf>
    <xf numFmtId="0" fontId="100" fillId="0" borderId="18" xfId="0" applyFont="1" applyBorder="1" applyAlignment="1">
      <alignment vertical="center"/>
    </xf>
    <xf numFmtId="37" fontId="92" fillId="0" borderId="18" xfId="0" applyNumberFormat="1" applyFont="1" applyBorder="1" applyAlignment="1">
      <alignment horizontal="center" vertical="center"/>
    </xf>
    <xf numFmtId="0" fontId="100" fillId="93" borderId="44" xfId="0" applyFont="1" applyFill="1" applyBorder="1" applyAlignment="1">
      <alignment horizontal="center" vertical="center"/>
    </xf>
    <xf numFmtId="0" fontId="100" fillId="0" borderId="44" xfId="0" applyFont="1" applyBorder="1" applyAlignment="1">
      <alignment horizontal="center" vertical="center"/>
    </xf>
    <xf numFmtId="9" fontId="100" fillId="93" borderId="44" xfId="0" applyNumberFormat="1" applyFont="1" applyFill="1" applyBorder="1" applyAlignment="1">
      <alignment horizontal="center" vertical="center"/>
    </xf>
    <xf numFmtId="0" fontId="95" fillId="67" borderId="103" xfId="155" applyBorder="1" applyAlignment="1"/>
    <xf numFmtId="3" fontId="91" fillId="0" borderId="99" xfId="0" applyNumberFormat="1" applyFont="1" applyFill="1" applyBorder="1" applyAlignment="1">
      <alignment horizontal="center"/>
    </xf>
    <xf numFmtId="3" fontId="91" fillId="0" borderId="50" xfId="0" applyNumberFormat="1" applyFont="1" applyFill="1" applyBorder="1" applyAlignment="1">
      <alignment horizontal="center"/>
    </xf>
    <xf numFmtId="170" fontId="92" fillId="93" borderId="50" xfId="0" applyNumberFormat="1" applyFont="1" applyFill="1" applyBorder="1" applyAlignment="1">
      <alignment horizontal="center" vertical="center"/>
    </xf>
    <xf numFmtId="3" fontId="147" fillId="12" borderId="25" xfId="0" applyNumberFormat="1" applyFont="1" applyFill="1" applyBorder="1" applyAlignment="1">
      <alignment horizontal="center"/>
    </xf>
    <xf numFmtId="0" fontId="120" fillId="21" borderId="106" xfId="0" applyFont="1" applyFill="1" applyBorder="1" applyAlignment="1">
      <alignment vertical="center"/>
    </xf>
    <xf numFmtId="0" fontId="120" fillId="21" borderId="107" xfId="0" applyFont="1" applyFill="1" applyBorder="1" applyAlignment="1">
      <alignment vertical="center"/>
    </xf>
    <xf numFmtId="173" fontId="120" fillId="21" borderId="108" xfId="4" applyNumberFormat="1" applyFont="1" applyFill="1" applyBorder="1" applyAlignment="1">
      <alignment horizontal="center"/>
    </xf>
    <xf numFmtId="173" fontId="120" fillId="21" borderId="109" xfId="4" applyNumberFormat="1" applyFont="1" applyFill="1" applyBorder="1" applyAlignment="1">
      <alignment horizontal="center"/>
    </xf>
    <xf numFmtId="3" fontId="147" fillId="12" borderId="50" xfId="0" applyNumberFormat="1" applyFont="1" applyFill="1" applyBorder="1" applyAlignment="1">
      <alignment horizontal="center"/>
    </xf>
    <xf numFmtId="3" fontId="147" fillId="12" borderId="99" xfId="0" applyNumberFormat="1" applyFont="1" applyFill="1" applyBorder="1" applyAlignment="1">
      <alignment horizontal="center"/>
    </xf>
    <xf numFmtId="37" fontId="34" fillId="14" borderId="0" xfId="0" applyNumberFormat="1" applyFont="1" applyFill="1"/>
    <xf numFmtId="37" fontId="49" fillId="65" borderId="99" xfId="1" applyNumberFormat="1" applyFont="1" applyFill="1" applyBorder="1" applyAlignment="1">
      <alignment horizontal="center" vertical="center"/>
    </xf>
    <xf numFmtId="0" fontId="49" fillId="12" borderId="99" xfId="0" applyFont="1" applyFill="1" applyBorder="1"/>
    <xf numFmtId="3" fontId="34" fillId="65" borderId="99" xfId="0" applyNumberFormat="1" applyFont="1" applyFill="1" applyBorder="1" applyAlignment="1">
      <alignment horizontal="center" vertical="center"/>
    </xf>
    <xf numFmtId="0" fontId="86" fillId="70" borderId="99" xfId="163" applyBorder="1">
      <alignment horizontal="left" vertical="center"/>
    </xf>
    <xf numFmtId="0" fontId="99" fillId="68" borderId="99" xfId="162" applyBorder="1" applyAlignment="1">
      <alignment horizontal="center" vertical="center" wrapText="1"/>
    </xf>
    <xf numFmtId="183" fontId="109" fillId="22" borderId="48" xfId="0" applyNumberFormat="1" applyFont="1" applyFill="1" applyBorder="1" applyAlignment="1">
      <alignment horizontal="center"/>
    </xf>
    <xf numFmtId="0" fontId="42" fillId="12" borderId="0" xfId="0" applyFont="1" applyFill="1" applyBorder="1" applyAlignment="1">
      <alignment horizontal="left" vertical="center"/>
    </xf>
    <xf numFmtId="37" fontId="42" fillId="12" borderId="0" xfId="0" applyNumberFormat="1" applyFont="1" applyFill="1" applyBorder="1" applyAlignment="1">
      <alignment horizontal="center" vertical="center"/>
    </xf>
    <xf numFmtId="172" fontId="34" fillId="12" borderId="0" xfId="0" applyNumberFormat="1" applyFont="1" applyFill="1" applyAlignment="1">
      <alignment vertical="center"/>
    </xf>
    <xf numFmtId="4" fontId="92" fillId="65" borderId="50" xfId="0" applyNumberFormat="1" applyFont="1" applyFill="1" applyBorder="1" applyAlignment="1">
      <alignment horizontal="center" vertical="center"/>
    </xf>
    <xf numFmtId="171" fontId="34" fillId="12" borderId="0" xfId="0" applyNumberFormat="1" applyFont="1" applyFill="1" applyAlignment="1">
      <alignment vertical="center"/>
    </xf>
    <xf numFmtId="174" fontId="92" fillId="12" borderId="50" xfId="0" applyNumberFormat="1" applyFont="1" applyFill="1" applyBorder="1" applyAlignment="1">
      <alignment horizontal="center" vertical="center"/>
    </xf>
    <xf numFmtId="4" fontId="16" fillId="0" borderId="50" xfId="1" applyNumberFormat="1" applyFont="1" applyBorder="1" applyAlignment="1">
      <alignment horizontal="center" vertical="center"/>
    </xf>
    <xf numFmtId="166" fontId="16" fillId="0" borderId="50" xfId="1" applyNumberFormat="1" applyFont="1" applyBorder="1" applyAlignment="1">
      <alignment horizontal="center" vertical="center"/>
    </xf>
    <xf numFmtId="183" fontId="16" fillId="65" borderId="50" xfId="146" applyNumberFormat="1" applyFont="1" applyFill="1" applyBorder="1" applyAlignment="1">
      <alignment horizontal="center"/>
    </xf>
    <xf numFmtId="165" fontId="34" fillId="12" borderId="0" xfId="1" applyNumberFormat="1" applyFont="1" applyFill="1"/>
    <xf numFmtId="4" fontId="49" fillId="0" borderId="50" xfId="1" applyNumberFormat="1" applyFont="1" applyBorder="1" applyAlignment="1">
      <alignment horizontal="center" vertical="center"/>
    </xf>
    <xf numFmtId="4" fontId="42" fillId="21" borderId="50" xfId="0" applyNumberFormat="1" applyFont="1" applyFill="1" applyBorder="1" applyAlignment="1">
      <alignment horizontal="center" vertical="center"/>
    </xf>
    <xf numFmtId="4" fontId="99" fillId="68" borderId="17" xfId="162" applyNumberFormat="1" applyBorder="1" applyAlignment="1">
      <alignment horizontal="center" vertical="center" wrapText="1"/>
    </xf>
    <xf numFmtId="4" fontId="99" fillId="68" borderId="21" xfId="162" applyNumberFormat="1" applyBorder="1" applyAlignment="1">
      <alignment horizontal="center" vertical="center" wrapText="1"/>
    </xf>
    <xf numFmtId="4" fontId="34" fillId="12" borderId="0" xfId="0" applyNumberFormat="1" applyFont="1" applyFill="1"/>
    <xf numFmtId="0" fontId="3" fillId="12" borderId="50" xfId="0" applyFont="1" applyFill="1" applyBorder="1" applyAlignment="1">
      <alignment vertical="center"/>
    </xf>
    <xf numFmtId="37" fontId="40" fillId="8" borderId="14" xfId="0" applyNumberFormat="1" applyFont="1" applyFill="1" applyBorder="1" applyAlignment="1">
      <alignment horizontal="center" vertical="center"/>
    </xf>
    <xf numFmtId="0" fontId="53" fillId="12" borderId="0" xfId="0" applyFont="1" applyFill="1" applyAlignment="1">
      <alignment horizontal="left" vertical="center" wrapText="1"/>
    </xf>
    <xf numFmtId="37" fontId="46" fillId="2" borderId="12" xfId="0" applyNumberFormat="1" applyFont="1" applyFill="1" applyBorder="1" applyAlignment="1">
      <alignment vertical="center"/>
    </xf>
    <xf numFmtId="43" fontId="34" fillId="0" borderId="0" xfId="1" applyFont="1" applyAlignment="1">
      <alignment vertical="center"/>
    </xf>
    <xf numFmtId="37" fontId="34" fillId="2" borderId="0" xfId="0" applyNumberFormat="1" applyFont="1" applyFill="1"/>
    <xf numFmtId="0" fontId="95" fillId="67" borderId="55" xfId="155" applyBorder="1" applyAlignment="1">
      <alignment horizontal="left" vertical="center" wrapText="1"/>
    </xf>
    <xf numFmtId="0" fontId="53" fillId="12" borderId="0" xfId="0" applyFont="1" applyFill="1" applyAlignment="1">
      <alignment horizontal="left" vertical="center"/>
    </xf>
    <xf numFmtId="37" fontId="92" fillId="0" borderId="56" xfId="0" applyNumberFormat="1" applyFont="1" applyFill="1" applyBorder="1" applyAlignment="1">
      <alignment horizontal="center"/>
    </xf>
    <xf numFmtId="37" fontId="92" fillId="0" borderId="1" xfId="0" applyNumberFormat="1" applyFont="1" applyFill="1" applyBorder="1" applyAlignment="1">
      <alignment horizontal="center"/>
    </xf>
    <xf numFmtId="37" fontId="92" fillId="0" borderId="3" xfId="0" applyNumberFormat="1" applyFont="1" applyFill="1" applyBorder="1" applyAlignment="1">
      <alignment horizontal="center"/>
    </xf>
    <xf numFmtId="37" fontId="92" fillId="0" borderId="50" xfId="0" applyNumberFormat="1" applyFont="1" applyFill="1" applyBorder="1" applyAlignment="1">
      <alignment horizontal="center"/>
    </xf>
    <xf numFmtId="0" fontId="95" fillId="67" borderId="102" xfId="155" applyBorder="1" applyAlignment="1">
      <alignment horizontal="left" vertical="center"/>
    </xf>
    <xf numFmtId="0" fontId="100" fillId="0" borderId="53" xfId="12" applyFont="1" applyBorder="1" applyAlignment="1">
      <alignment horizontal="center" vertical="center" wrapText="1"/>
    </xf>
    <xf numFmtId="0" fontId="100" fillId="0" borderId="53" xfId="12" applyFont="1" applyBorder="1" applyAlignment="1">
      <alignment vertical="center" wrapText="1"/>
    </xf>
    <xf numFmtId="0" fontId="100" fillId="12" borderId="53" xfId="12" applyFont="1" applyFill="1" applyBorder="1" applyAlignment="1">
      <alignment horizontal="center" vertical="center" wrapText="1"/>
    </xf>
    <xf numFmtId="0" fontId="100" fillId="12" borderId="53" xfId="12" applyFont="1" applyFill="1" applyBorder="1" applyAlignment="1">
      <alignment vertical="center" wrapText="1"/>
    </xf>
    <xf numFmtId="0" fontId="95" fillId="67" borderId="102" xfId="155" applyBorder="1" applyAlignment="1">
      <alignment horizontal="left" vertical="center" wrapText="1"/>
    </xf>
    <xf numFmtId="0" fontId="2" fillId="21" borderId="99" xfId="0" applyFont="1" applyFill="1" applyBorder="1"/>
    <xf numFmtId="3" fontId="22" fillId="21" borderId="99" xfId="1" applyNumberFormat="1" applyFont="1" applyFill="1" applyBorder="1" applyAlignment="1">
      <alignment horizontal="center"/>
    </xf>
    <xf numFmtId="4" fontId="22" fillId="0" borderId="50" xfId="1" applyNumberFormat="1" applyFont="1" applyBorder="1" applyAlignment="1">
      <alignment horizontal="center"/>
    </xf>
    <xf numFmtId="4" fontId="22" fillId="21" borderId="99" xfId="1" applyNumberFormat="1" applyFont="1" applyFill="1" applyBorder="1" applyAlignment="1">
      <alignment horizontal="center"/>
    </xf>
    <xf numFmtId="0" fontId="108" fillId="27" borderId="54" xfId="0" applyFont="1" applyFill="1" applyBorder="1" applyAlignment="1">
      <alignment horizontal="left" vertical="center"/>
    </xf>
    <xf numFmtId="0" fontId="108" fillId="27" borderId="55" xfId="0" applyFont="1" applyFill="1" applyBorder="1" applyAlignment="1">
      <alignment horizontal="left" vertical="center"/>
    </xf>
    <xf numFmtId="0" fontId="108" fillId="27" borderId="51" xfId="0" applyFont="1" applyFill="1" applyBorder="1" applyAlignment="1">
      <alignment horizontal="left" vertical="center"/>
    </xf>
    <xf numFmtId="0" fontId="99" fillId="68" borderId="54" xfId="162" applyBorder="1" applyAlignment="1">
      <alignment horizontal="left" vertical="center"/>
    </xf>
    <xf numFmtId="0" fontId="99" fillId="68" borderId="55" xfId="162" applyBorder="1" applyAlignment="1">
      <alignment horizontal="left" vertical="center"/>
    </xf>
    <xf numFmtId="0" fontId="99" fillId="68" borderId="51" xfId="162" applyBorder="1" applyAlignment="1">
      <alignment horizontal="left" vertical="center"/>
    </xf>
    <xf numFmtId="0" fontId="100" fillId="2" borderId="50" xfId="0" applyFont="1" applyFill="1" applyBorder="1" applyAlignment="1">
      <alignment horizontal="left" vertical="center" wrapText="1"/>
    </xf>
    <xf numFmtId="0" fontId="108" fillId="89" borderId="50" xfId="0" applyFont="1" applyFill="1" applyBorder="1" applyAlignment="1">
      <alignment horizontal="left" vertical="center" wrapText="1"/>
    </xf>
    <xf numFmtId="0" fontId="108" fillId="30" borderId="50" xfId="0" applyFont="1" applyFill="1" applyBorder="1" applyAlignment="1">
      <alignment horizontal="left" vertical="center" wrapText="1"/>
    </xf>
    <xf numFmtId="0" fontId="108" fillId="32" borderId="50" xfId="0" applyFont="1" applyFill="1" applyBorder="1" applyAlignment="1">
      <alignment horizontal="left" vertical="center"/>
    </xf>
    <xf numFmtId="0" fontId="108" fillId="66" borderId="50" xfId="0" applyFont="1" applyFill="1" applyBorder="1" applyAlignment="1">
      <alignment horizontal="left" vertical="center" wrapText="1"/>
    </xf>
    <xf numFmtId="0" fontId="108" fillId="29" borderId="50" xfId="0" applyFont="1" applyFill="1" applyBorder="1" applyAlignment="1">
      <alignment horizontal="left" vertical="center" wrapText="1"/>
    </xf>
    <xf numFmtId="0" fontId="108" fillId="28" borderId="50" xfId="0" applyFont="1" applyFill="1" applyBorder="1" applyAlignment="1">
      <alignment horizontal="left" vertical="center" wrapText="1"/>
    </xf>
    <xf numFmtId="0" fontId="108" fillId="31" borderId="54" xfId="0" applyFont="1" applyFill="1" applyBorder="1" applyAlignment="1">
      <alignment horizontal="left" vertical="center"/>
    </xf>
    <xf numFmtId="0" fontId="108" fillId="31" borderId="55" xfId="0" applyFont="1" applyFill="1" applyBorder="1" applyAlignment="1">
      <alignment horizontal="left" vertical="center"/>
    </xf>
    <xf numFmtId="0" fontId="108" fillId="31" borderId="51" xfId="0" applyFont="1" applyFill="1" applyBorder="1" applyAlignment="1">
      <alignment horizontal="left" vertical="center"/>
    </xf>
    <xf numFmtId="0" fontId="98" fillId="69" borderId="22" xfId="161" applyBorder="1"/>
    <xf numFmtId="0" fontId="98" fillId="69" borderId="42" xfId="161" applyBorder="1"/>
    <xf numFmtId="0" fontId="98" fillId="69" borderId="57" xfId="161" applyBorder="1"/>
    <xf numFmtId="0" fontId="98" fillId="69" borderId="52" xfId="161" applyBorder="1"/>
    <xf numFmtId="0" fontId="98" fillId="69" borderId="54" xfId="161" applyBorder="1" applyAlignment="1">
      <alignment horizontal="center"/>
    </xf>
    <xf numFmtId="0" fontId="98" fillId="69" borderId="55" xfId="161" applyBorder="1" applyAlignment="1">
      <alignment horizontal="center"/>
    </xf>
    <xf numFmtId="0" fontId="98" fillId="69" borderId="51" xfId="161" applyBorder="1" applyAlignment="1">
      <alignment horizontal="center"/>
    </xf>
    <xf numFmtId="0" fontId="144" fillId="11" borderId="54" xfId="0" applyFont="1" applyFill="1" applyBorder="1" applyAlignment="1">
      <alignment horizontal="left" vertical="center" wrapText="1"/>
    </xf>
    <xf numFmtId="0" fontId="144" fillId="11" borderId="55" xfId="0" applyFont="1" applyFill="1" applyBorder="1" applyAlignment="1">
      <alignment horizontal="left" vertical="center" wrapText="1"/>
    </xf>
    <xf numFmtId="0" fontId="144" fillId="11" borderId="51" xfId="0" applyFont="1" applyFill="1" applyBorder="1" applyAlignment="1">
      <alignment horizontal="left" vertical="center" wrapText="1"/>
    </xf>
    <xf numFmtId="0" fontId="144" fillId="93" borderId="54" xfId="0" applyFont="1" applyFill="1" applyBorder="1" applyAlignment="1">
      <alignment horizontal="left" vertical="center" wrapText="1"/>
    </xf>
    <xf numFmtId="0" fontId="144" fillId="93" borderId="55" xfId="0" applyFont="1" applyFill="1" applyBorder="1" applyAlignment="1">
      <alignment horizontal="left" vertical="center" wrapText="1"/>
    </xf>
    <xf numFmtId="0" fontId="144" fillId="93" borderId="51" xfId="0" applyFont="1" applyFill="1" applyBorder="1" applyAlignment="1">
      <alignment horizontal="left" vertical="center" wrapText="1"/>
    </xf>
    <xf numFmtId="0" fontId="145" fillId="65" borderId="54" xfId="0" applyFont="1" applyFill="1" applyBorder="1" applyAlignment="1">
      <alignment horizontal="left" vertical="center" wrapText="1"/>
    </xf>
    <xf numFmtId="0" fontId="145" fillId="65" borderId="55" xfId="0" applyFont="1" applyFill="1" applyBorder="1" applyAlignment="1">
      <alignment horizontal="left" vertical="center" wrapText="1"/>
    </xf>
    <xf numFmtId="0" fontId="145" fillId="65" borderId="51" xfId="0" applyFont="1" applyFill="1" applyBorder="1" applyAlignment="1">
      <alignment horizontal="left" vertical="center" wrapText="1"/>
    </xf>
    <xf numFmtId="0" fontId="95" fillId="67" borderId="54" xfId="155" applyBorder="1" applyAlignment="1">
      <alignment horizontal="left"/>
    </xf>
    <xf numFmtId="0" fontId="95" fillId="67" borderId="55" xfId="155" applyBorder="1" applyAlignment="1">
      <alignment horizontal="left"/>
    </xf>
    <xf numFmtId="0" fontId="95" fillId="67" borderId="51" xfId="155" applyBorder="1" applyAlignment="1">
      <alignment horizontal="left"/>
    </xf>
    <xf numFmtId="0" fontId="99" fillId="68" borderId="19" xfId="162" applyBorder="1" applyAlignment="1">
      <alignment horizontal="center" vertical="center" wrapText="1"/>
    </xf>
    <xf numFmtId="0" fontId="92" fillId="0" borderId="99" xfId="0" applyFont="1" applyBorder="1" applyAlignment="1">
      <alignment horizontal="center" vertical="center" wrapText="1"/>
    </xf>
    <xf numFmtId="0" fontId="95" fillId="67" borderId="54" xfId="155" applyBorder="1" applyAlignment="1">
      <alignment horizontal="left" vertical="center" wrapText="1"/>
    </xf>
    <xf numFmtId="0" fontId="95" fillId="67" borderId="55" xfId="155" applyBorder="1" applyAlignment="1">
      <alignment horizontal="left" vertical="center" wrapText="1"/>
    </xf>
    <xf numFmtId="0" fontId="95" fillId="67" borderId="51" xfId="155" applyBorder="1" applyAlignment="1">
      <alignment horizontal="left" vertical="center" wrapText="1"/>
    </xf>
    <xf numFmtId="0" fontId="92" fillId="0" borderId="44" xfId="0" applyFont="1" applyBorder="1" applyAlignment="1">
      <alignment horizontal="left" vertical="center" wrapText="1"/>
    </xf>
    <xf numFmtId="0" fontId="92" fillId="0" borderId="99" xfId="0" applyFont="1" applyBorder="1" applyAlignment="1">
      <alignment horizontal="left" vertical="center" wrapText="1"/>
    </xf>
    <xf numFmtId="37" fontId="92" fillId="0" borderId="54" xfId="0" applyNumberFormat="1" applyFont="1" applyBorder="1" applyAlignment="1">
      <alignment horizontal="center" vertical="center"/>
    </xf>
    <xf numFmtId="37" fontId="92" fillId="0" borderId="51" xfId="0" applyNumberFormat="1" applyFont="1" applyBorder="1" applyAlignment="1">
      <alignment horizontal="center" vertical="center"/>
    </xf>
    <xf numFmtId="0" fontId="52" fillId="20" borderId="19" xfId="0" applyFont="1" applyFill="1" applyBorder="1" applyAlignment="1">
      <alignment horizontal="left" vertical="center" wrapText="1"/>
    </xf>
    <xf numFmtId="0" fontId="52" fillId="12" borderId="22" xfId="0" applyFont="1" applyFill="1" applyBorder="1" applyAlignment="1">
      <alignment horizontal="center" vertical="center" wrapText="1"/>
    </xf>
    <xf numFmtId="0" fontId="52" fillId="12" borderId="0" xfId="0" applyFont="1" applyFill="1" applyAlignment="1">
      <alignment horizontal="center" vertical="center" wrapText="1"/>
    </xf>
    <xf numFmtId="0" fontId="38" fillId="24" borderId="50" xfId="0" applyFont="1" applyFill="1" applyBorder="1" applyAlignment="1">
      <alignment horizontal="right" vertical="center"/>
    </xf>
    <xf numFmtId="0" fontId="86" fillId="90" borderId="50" xfId="163" applyFill="1" applyBorder="1" applyAlignment="1">
      <alignment horizontal="right" vertical="center" indent="1"/>
    </xf>
    <xf numFmtId="0" fontId="99" fillId="68" borderId="53" xfId="162" applyBorder="1" applyAlignment="1">
      <alignment horizontal="center" vertical="center" wrapText="1"/>
    </xf>
    <xf numFmtId="0" fontId="99" fillId="68" borderId="95" xfId="162" applyBorder="1" applyAlignment="1">
      <alignment horizontal="center" vertical="center" wrapText="1"/>
    </xf>
    <xf numFmtId="0" fontId="99" fillId="68" borderId="99" xfId="162" applyBorder="1" applyAlignment="1">
      <alignment horizontal="center" vertical="center" wrapText="1"/>
    </xf>
    <xf numFmtId="0" fontId="43" fillId="74" borderId="50" xfId="0" applyFont="1" applyFill="1" applyBorder="1" applyAlignment="1">
      <alignment horizontal="center" vertical="center" wrapText="1"/>
    </xf>
    <xf numFmtId="3" fontId="136" fillId="13" borderId="50" xfId="0" applyNumberFormat="1" applyFont="1" applyFill="1" applyBorder="1" applyAlignment="1">
      <alignment horizontal="center"/>
    </xf>
    <xf numFmtId="0" fontId="43" fillId="85" borderId="50" xfId="0" applyFont="1" applyFill="1" applyBorder="1" applyAlignment="1">
      <alignment horizontal="center" vertical="center" wrapText="1"/>
    </xf>
    <xf numFmtId="0" fontId="33" fillId="81" borderId="67" xfId="0" applyFont="1" applyFill="1" applyBorder="1" applyAlignment="1">
      <alignment horizontal="center" vertical="center"/>
    </xf>
    <xf numFmtId="0" fontId="33" fillId="81" borderId="68" xfId="0" applyFont="1" applyFill="1" applyBorder="1" applyAlignment="1">
      <alignment horizontal="center" vertical="center"/>
    </xf>
    <xf numFmtId="0" fontId="33" fillId="81" borderId="69" xfId="0" applyFont="1" applyFill="1" applyBorder="1" applyAlignment="1">
      <alignment horizontal="center" vertical="center"/>
    </xf>
    <xf numFmtId="0" fontId="33" fillId="80" borderId="67" xfId="0" applyFont="1" applyFill="1" applyBorder="1" applyAlignment="1">
      <alignment horizontal="center" vertical="center"/>
    </xf>
    <xf numFmtId="0" fontId="33" fillId="80" borderId="69" xfId="0" applyFont="1" applyFill="1" applyBorder="1" applyAlignment="1">
      <alignment horizontal="center" vertical="center"/>
    </xf>
    <xf numFmtId="0" fontId="33" fillId="84" borderId="67" xfId="0" applyFont="1" applyFill="1" applyBorder="1" applyAlignment="1">
      <alignment horizontal="center" vertical="center"/>
    </xf>
    <xf numFmtId="0" fontId="33" fillId="84" borderId="68" xfId="0" applyFont="1" applyFill="1" applyBorder="1" applyAlignment="1">
      <alignment horizontal="center" vertical="center"/>
    </xf>
    <xf numFmtId="0" fontId="43" fillId="85" borderId="70" xfId="0" applyFont="1" applyFill="1" applyBorder="1" applyAlignment="1">
      <alignment horizontal="center" vertical="center" wrapText="1"/>
    </xf>
    <xf numFmtId="0" fontId="43" fillId="85" borderId="23" xfId="0" applyFont="1" applyFill="1" applyBorder="1" applyAlignment="1">
      <alignment horizontal="center" vertical="center" wrapText="1"/>
    </xf>
    <xf numFmtId="0" fontId="43" fillId="85" borderId="71" xfId="0" applyFont="1" applyFill="1" applyBorder="1" applyAlignment="1">
      <alignment horizontal="center" vertical="center" wrapText="1"/>
    </xf>
    <xf numFmtId="0" fontId="43" fillId="85" borderId="63" xfId="0" applyFont="1" applyFill="1" applyBorder="1" applyAlignment="1">
      <alignment horizontal="center" vertical="center" wrapText="1"/>
    </xf>
    <xf numFmtId="0" fontId="91" fillId="12" borderId="61" xfId="0" applyFont="1" applyFill="1" applyBorder="1" applyAlignment="1">
      <alignment horizontal="left" vertical="center" wrapText="1"/>
    </xf>
    <xf numFmtId="0" fontId="43" fillId="74" borderId="65" xfId="0" applyFont="1" applyFill="1" applyBorder="1" applyAlignment="1">
      <alignment horizontal="center" vertical="center" wrapText="1"/>
    </xf>
    <xf numFmtId="0" fontId="43" fillId="74" borderId="72" xfId="0" applyFont="1" applyFill="1" applyBorder="1" applyAlignment="1">
      <alignment horizontal="center" vertical="center" wrapText="1"/>
    </xf>
    <xf numFmtId="0" fontId="43" fillId="74" borderId="62" xfId="0" applyFont="1" applyFill="1" applyBorder="1" applyAlignment="1">
      <alignment horizontal="center" vertical="center" wrapText="1"/>
    </xf>
    <xf numFmtId="0" fontId="43" fillId="74" borderId="42" xfId="0" applyFont="1" applyFill="1" applyBorder="1" applyAlignment="1">
      <alignment horizontal="center" vertical="center" wrapText="1"/>
    </xf>
    <xf numFmtId="0" fontId="43" fillId="74" borderId="66" xfId="0" applyFont="1" applyFill="1" applyBorder="1" applyAlignment="1">
      <alignment horizontal="center" vertical="center" wrapText="1"/>
    </xf>
    <xf numFmtId="0" fontId="43" fillId="74" borderId="25" xfId="0" applyFont="1" applyFill="1" applyBorder="1" applyAlignment="1">
      <alignment horizontal="center" vertical="center" wrapText="1"/>
    </xf>
    <xf numFmtId="0" fontId="33" fillId="78" borderId="67" xfId="0" applyFont="1" applyFill="1" applyBorder="1" applyAlignment="1">
      <alignment horizontal="center" vertical="center"/>
    </xf>
    <xf numFmtId="0" fontId="33" fillId="78" borderId="68" xfId="0" applyFont="1" applyFill="1" applyBorder="1" applyAlignment="1">
      <alignment horizontal="center" vertical="center"/>
    </xf>
    <xf numFmtId="0" fontId="33" fillId="78" borderId="69" xfId="0" applyFont="1" applyFill="1" applyBorder="1" applyAlignment="1">
      <alignment horizontal="center" vertical="center"/>
    </xf>
    <xf numFmtId="0" fontId="33" fillId="79" borderId="67" xfId="0" applyFont="1" applyFill="1" applyBorder="1" applyAlignment="1">
      <alignment horizontal="center" vertical="center"/>
    </xf>
    <xf numFmtId="0" fontId="33" fillId="79" borderId="69" xfId="0" applyFont="1" applyFill="1" applyBorder="1" applyAlignment="1">
      <alignment horizontal="center" vertical="center"/>
    </xf>
    <xf numFmtId="0" fontId="33" fillId="80" borderId="68" xfId="0" applyFont="1" applyFill="1" applyBorder="1" applyAlignment="1">
      <alignment horizontal="center" vertical="center"/>
    </xf>
    <xf numFmtId="0" fontId="100" fillId="0" borderId="50" xfId="12" applyFont="1" applyFill="1" applyBorder="1" applyAlignment="1">
      <alignment horizontal="center" vertical="center" wrapText="1"/>
    </xf>
    <xf numFmtId="0" fontId="123" fillId="19" borderId="0" xfId="12" applyFont="1" applyFill="1" applyAlignment="1">
      <alignment horizontal="left" vertical="center" wrapText="1"/>
    </xf>
    <xf numFmtId="0" fontId="99" fillId="69" borderId="57" xfId="161" applyFont="1" applyBorder="1" applyAlignment="1">
      <alignment horizontal="center" vertical="center"/>
    </xf>
    <xf numFmtId="0" fontId="99" fillId="69" borderId="19" xfId="161" applyFont="1" applyBorder="1" applyAlignment="1">
      <alignment horizontal="center" vertical="center"/>
    </xf>
    <xf numFmtId="0" fontId="99" fillId="69" borderId="52" xfId="161" applyFont="1" applyBorder="1" applyAlignment="1">
      <alignment horizontal="center" vertical="center"/>
    </xf>
    <xf numFmtId="0" fontId="99" fillId="68" borderId="0" xfId="162" applyBorder="1" applyAlignment="1">
      <alignment horizontal="center" vertical="center" wrapText="1"/>
    </xf>
    <xf numFmtId="0" fontId="53" fillId="12" borderId="0" xfId="0" applyFont="1" applyFill="1" applyBorder="1" applyAlignment="1">
      <alignment horizontal="left" vertical="center" wrapText="1"/>
    </xf>
    <xf numFmtId="0" fontId="53" fillId="0" borderId="0" xfId="0" applyFont="1" applyFill="1" applyBorder="1" applyAlignment="1">
      <alignment horizontal="left" vertical="center" wrapText="1"/>
    </xf>
    <xf numFmtId="0" fontId="53" fillId="12" borderId="19" xfId="0" applyFont="1" applyFill="1" applyBorder="1" applyAlignment="1">
      <alignment horizontal="left" vertical="center" wrapText="1"/>
    </xf>
    <xf numFmtId="0" fontId="92" fillId="2" borderId="53" xfId="0" applyFont="1" applyFill="1" applyBorder="1" applyAlignment="1">
      <alignment horizontal="center" vertical="center" wrapText="1"/>
    </xf>
    <xf numFmtId="0" fontId="92" fillId="2" borderId="25" xfId="0" applyFont="1" applyFill="1" applyBorder="1" applyAlignment="1">
      <alignment horizontal="center" vertical="center" wrapText="1"/>
    </xf>
    <xf numFmtId="0" fontId="92" fillId="2" borderId="95" xfId="0" applyFont="1" applyFill="1" applyBorder="1" applyAlignment="1">
      <alignment horizontal="center" vertical="center" wrapText="1"/>
    </xf>
    <xf numFmtId="0" fontId="98" fillId="69" borderId="54" xfId="161" applyBorder="1"/>
    <xf numFmtId="0" fontId="98" fillId="69" borderId="55" xfId="161" applyBorder="1"/>
    <xf numFmtId="0" fontId="98" fillId="69" borderId="51" xfId="161" applyBorder="1"/>
    <xf numFmtId="0" fontId="53" fillId="12" borderId="0" xfId="0" applyFont="1" applyFill="1" applyAlignment="1">
      <alignment horizontal="left" vertical="center" wrapText="1"/>
    </xf>
    <xf numFmtId="0" fontId="98" fillId="69" borderId="0" xfId="161" applyBorder="1"/>
    <xf numFmtId="0" fontId="98" fillId="69" borderId="19" xfId="161" applyBorder="1"/>
    <xf numFmtId="0" fontId="92" fillId="2" borderId="50" xfId="0" applyFont="1" applyFill="1" applyBorder="1" applyAlignment="1">
      <alignment horizontal="left" vertical="center" wrapText="1"/>
    </xf>
    <xf numFmtId="0" fontId="92" fillId="2" borderId="50" xfId="0" applyFont="1" applyFill="1" applyBorder="1" applyAlignment="1">
      <alignment horizontal="center" vertical="center" wrapText="1"/>
    </xf>
    <xf numFmtId="0" fontId="99" fillId="68" borderId="0" xfId="162" applyBorder="1" applyAlignment="1">
      <alignment horizontal="left" vertical="center" wrapText="1"/>
    </xf>
    <xf numFmtId="0" fontId="53" fillId="2" borderId="0" xfId="0" applyFont="1" applyFill="1" applyAlignment="1">
      <alignment horizontal="left" vertical="center" wrapText="1"/>
    </xf>
    <xf numFmtId="0" fontId="49" fillId="0" borderId="54" xfId="0" applyFont="1" applyBorder="1" applyAlignment="1">
      <alignment horizontal="center" vertical="center" wrapText="1"/>
    </xf>
    <xf numFmtId="0" fontId="49" fillId="0" borderId="55" xfId="0" applyFont="1" applyBorder="1" applyAlignment="1">
      <alignment horizontal="center" vertical="center" wrapText="1"/>
    </xf>
    <xf numFmtId="0" fontId="49" fillId="0" borderId="51" xfId="0" applyFont="1" applyBorder="1" applyAlignment="1">
      <alignment horizontal="center" vertical="center" wrapText="1"/>
    </xf>
    <xf numFmtId="0" fontId="99" fillId="68" borderId="17" xfId="162" applyBorder="1" applyAlignment="1">
      <alignment horizontal="left" vertical="center"/>
    </xf>
    <xf numFmtId="0" fontId="99" fillId="68" borderId="21" xfId="162" applyBorder="1" applyAlignment="1">
      <alignment horizontal="left" vertical="center"/>
    </xf>
    <xf numFmtId="0" fontId="34" fillId="0" borderId="50" xfId="0" applyFont="1" applyBorder="1" applyAlignment="1">
      <alignment horizontal="left" vertical="center"/>
    </xf>
    <xf numFmtId="0" fontId="99" fillId="68" borderId="23" xfId="162" applyBorder="1">
      <alignment horizontal="center" vertical="center"/>
    </xf>
    <xf numFmtId="0" fontId="99" fillId="68" borderId="17" xfId="162" applyBorder="1">
      <alignment horizontal="center" vertical="center"/>
    </xf>
    <xf numFmtId="0" fontId="34" fillId="0" borderId="22" xfId="0" applyFont="1" applyBorder="1" applyAlignment="1">
      <alignment horizontal="left" vertical="center"/>
    </xf>
    <xf numFmtId="0" fontId="34" fillId="0" borderId="42" xfId="0" applyFont="1" applyBorder="1" applyAlignment="1">
      <alignment horizontal="left" vertical="center"/>
    </xf>
    <xf numFmtId="0" fontId="98" fillId="69" borderId="102" xfId="161" applyBorder="1" applyAlignment="1">
      <alignment horizontal="left"/>
    </xf>
    <xf numFmtId="0" fontId="98" fillId="69" borderId="103" xfId="161" applyBorder="1" applyAlignment="1">
      <alignment horizontal="left"/>
    </xf>
    <xf numFmtId="0" fontId="98" fillId="69" borderId="104" xfId="161" applyBorder="1" applyAlignment="1">
      <alignment horizontal="left"/>
    </xf>
    <xf numFmtId="0" fontId="49" fillId="0" borderId="57" xfId="0" applyFont="1" applyBorder="1" applyAlignment="1">
      <alignment horizontal="left" vertical="center" wrapText="1"/>
    </xf>
    <xf numFmtId="0" fontId="49" fillId="0" borderId="19" xfId="0" applyFont="1" applyBorder="1" applyAlignment="1">
      <alignment horizontal="left" vertical="center" wrapText="1"/>
    </xf>
    <xf numFmtId="0" fontId="49" fillId="0" borderId="52" xfId="0" applyFont="1" applyBorder="1" applyAlignment="1">
      <alignment horizontal="left" vertical="center" wrapText="1"/>
    </xf>
    <xf numFmtId="0" fontId="49" fillId="0" borderId="22" xfId="0" applyFont="1" applyBorder="1" applyAlignment="1">
      <alignment horizontal="left" vertical="center" wrapText="1"/>
    </xf>
    <xf numFmtId="0" fontId="49" fillId="0" borderId="0" xfId="0" applyFont="1" applyBorder="1" applyAlignment="1">
      <alignment horizontal="left" vertical="center" wrapText="1"/>
    </xf>
    <xf numFmtId="0" fontId="49" fillId="0" borderId="42" xfId="0" applyFont="1" applyBorder="1" applyAlignment="1">
      <alignment horizontal="left" vertical="center" wrapText="1"/>
    </xf>
    <xf numFmtId="0" fontId="49" fillId="0" borderId="96" xfId="0" applyFont="1" applyBorder="1" applyAlignment="1">
      <alignment horizontal="left" vertical="center" wrapText="1"/>
    </xf>
    <xf numFmtId="0" fontId="49" fillId="0" borderId="97" xfId="0" applyFont="1" applyBorder="1" applyAlignment="1">
      <alignment horizontal="left" vertical="center" wrapText="1"/>
    </xf>
    <xf numFmtId="0" fontId="49" fillId="0" borderId="98" xfId="0" applyFont="1" applyBorder="1" applyAlignment="1">
      <alignment horizontal="left" vertical="center" wrapText="1"/>
    </xf>
    <xf numFmtId="0" fontId="49" fillId="0" borderId="54" xfId="0" applyFont="1" applyBorder="1" applyAlignment="1">
      <alignment horizontal="left" vertical="center" wrapText="1"/>
    </xf>
    <xf numFmtId="0" fontId="49" fillId="0" borderId="55" xfId="0" applyFont="1" applyBorder="1" applyAlignment="1">
      <alignment horizontal="left" vertical="center" wrapText="1"/>
    </xf>
    <xf numFmtId="0" fontId="49" fillId="0" borderId="51" xfId="0" applyFont="1" applyBorder="1" applyAlignment="1">
      <alignment horizontal="left" vertical="center" wrapText="1"/>
    </xf>
    <xf numFmtId="0" fontId="99" fillId="68" borderId="54" xfId="162" applyBorder="1" applyAlignment="1">
      <alignment horizontal="center" vertical="center" wrapText="1"/>
    </xf>
    <xf numFmtId="0" fontId="99" fillId="68" borderId="51" xfId="162" applyBorder="1" applyAlignment="1">
      <alignment horizontal="center" vertical="center" wrapText="1"/>
    </xf>
    <xf numFmtId="0" fontId="95" fillId="67" borderId="54" xfId="155" applyBorder="1" applyAlignment="1">
      <alignment horizontal="left" wrapText="1"/>
    </xf>
    <xf numFmtId="0" fontId="95" fillId="67" borderId="55" xfId="155" applyBorder="1" applyAlignment="1">
      <alignment horizontal="left" wrapText="1"/>
    </xf>
    <xf numFmtId="0" fontId="95" fillId="67" borderId="51" xfId="155" applyBorder="1" applyAlignment="1">
      <alignment horizontal="left" wrapText="1"/>
    </xf>
    <xf numFmtId="0" fontId="4" fillId="12" borderId="50" xfId="0" applyFont="1" applyFill="1" applyBorder="1" applyAlignment="1">
      <alignment horizontal="left" vertical="center" wrapText="1"/>
    </xf>
    <xf numFmtId="0" fontId="26" fillId="12" borderId="50" xfId="0" applyFont="1" applyFill="1" applyBorder="1" applyAlignment="1">
      <alignment horizontal="left" vertical="center" wrapText="1"/>
    </xf>
    <xf numFmtId="0" fontId="92" fillId="2" borderId="44" xfId="0" applyFont="1" applyFill="1" applyBorder="1" applyAlignment="1">
      <alignment horizontal="left" vertical="center" wrapText="1"/>
    </xf>
    <xf numFmtId="0" fontId="99" fillId="68" borderId="55" xfId="162" applyBorder="1" applyAlignment="1">
      <alignment horizontal="center" vertical="center" wrapText="1"/>
    </xf>
    <xf numFmtId="0" fontId="98" fillId="69" borderId="54" xfId="161" applyBorder="1" applyAlignment="1">
      <alignment horizontal="left"/>
    </xf>
    <xf numFmtId="0" fontId="98" fillId="69" borderId="55" xfId="161" applyBorder="1" applyAlignment="1">
      <alignment horizontal="left"/>
    </xf>
    <xf numFmtId="0" fontId="98" fillId="69" borderId="51" xfId="161" applyBorder="1" applyAlignment="1">
      <alignment horizontal="left"/>
    </xf>
    <xf numFmtId="0" fontId="110" fillId="14" borderId="0" xfId="0" applyFont="1" applyFill="1" applyAlignment="1">
      <alignment horizontal="left" vertical="center" wrapText="1"/>
    </xf>
    <xf numFmtId="0" fontId="99" fillId="68" borderId="42" xfId="162" applyBorder="1" applyAlignment="1">
      <alignment horizontal="center" vertical="center" wrapText="1"/>
    </xf>
    <xf numFmtId="0" fontId="53" fillId="62" borderId="0" xfId="0" applyFont="1" applyFill="1" applyAlignment="1">
      <alignment horizontal="left" vertical="center" wrapText="1"/>
    </xf>
    <xf numFmtId="0" fontId="126" fillId="14" borderId="0" xfId="0" applyFont="1" applyFill="1" applyAlignment="1">
      <alignment horizontal="left" vertical="center" wrapText="1"/>
    </xf>
    <xf numFmtId="0" fontId="109" fillId="26" borderId="54" xfId="0" applyFont="1" applyFill="1" applyBorder="1" applyAlignment="1">
      <alignment horizontal="left" vertical="center"/>
    </xf>
    <xf numFmtId="0" fontId="109" fillId="26" borderId="55" xfId="0" applyFont="1" applyFill="1" applyBorder="1" applyAlignment="1">
      <alignment horizontal="left" vertical="center"/>
    </xf>
    <xf numFmtId="0" fontId="109" fillId="26" borderId="51" xfId="0" applyFont="1" applyFill="1" applyBorder="1" applyAlignment="1">
      <alignment horizontal="left" vertical="center"/>
    </xf>
    <xf numFmtId="0" fontId="92" fillId="2" borderId="53" xfId="0" applyFont="1" applyFill="1" applyBorder="1" applyAlignment="1">
      <alignment horizontal="left" vertical="center" wrapText="1"/>
    </xf>
    <xf numFmtId="0" fontId="92" fillId="2" borderId="24" xfId="0" applyFont="1" applyFill="1" applyBorder="1" applyAlignment="1">
      <alignment horizontal="left" vertical="center" wrapText="1"/>
    </xf>
    <xf numFmtId="0" fontId="99" fillId="68" borderId="55" xfId="162" applyBorder="1" applyAlignment="1">
      <alignment horizontal="center" vertical="center"/>
    </xf>
    <xf numFmtId="0" fontId="99" fillId="68" borderId="51" xfId="162" applyBorder="1" applyAlignment="1">
      <alignment horizontal="center" vertical="center"/>
    </xf>
    <xf numFmtId="0" fontId="110" fillId="14" borderId="19" xfId="0" applyFont="1" applyFill="1" applyBorder="1" applyAlignment="1">
      <alignment horizontal="left" vertical="center" wrapText="1"/>
    </xf>
    <xf numFmtId="0" fontId="110" fillId="14" borderId="0" xfId="0" applyFont="1" applyFill="1" applyBorder="1" applyAlignment="1">
      <alignment horizontal="left" vertical="center" wrapText="1"/>
    </xf>
    <xf numFmtId="0" fontId="92" fillId="0" borderId="22" xfId="0" applyFont="1" applyBorder="1" applyAlignment="1">
      <alignment horizontal="left" vertical="center" wrapText="1"/>
    </xf>
    <xf numFmtId="0" fontId="92" fillId="0" borderId="42" xfId="0" applyFont="1" applyBorder="1" applyAlignment="1">
      <alignment horizontal="left" vertical="center" wrapText="1"/>
    </xf>
    <xf numFmtId="0" fontId="92" fillId="0" borderId="23" xfId="0" applyFont="1" applyBorder="1" applyAlignment="1">
      <alignment horizontal="left" vertical="center" wrapText="1"/>
    </xf>
    <xf numFmtId="0" fontId="92" fillId="0" borderId="21" xfId="0" applyFont="1" applyBorder="1" applyAlignment="1">
      <alignment horizontal="left" vertical="center" wrapText="1"/>
    </xf>
    <xf numFmtId="0" fontId="110" fillId="2" borderId="0" xfId="0" applyFont="1" applyFill="1" applyAlignment="1">
      <alignment horizontal="left" vertical="center" wrapText="1"/>
    </xf>
    <xf numFmtId="0" fontId="109" fillId="26" borderId="50" xfId="0" applyFont="1" applyFill="1" applyBorder="1" applyAlignment="1">
      <alignment horizontal="left"/>
    </xf>
    <xf numFmtId="0" fontId="11" fillId="12" borderId="57" xfId="0" applyFont="1" applyFill="1" applyBorder="1" applyAlignment="1">
      <alignment horizontal="left" vertical="center" wrapText="1"/>
    </xf>
    <xf numFmtId="0" fontId="11" fillId="12" borderId="19" xfId="0" applyFont="1" applyFill="1" applyBorder="1" applyAlignment="1">
      <alignment horizontal="left" vertical="center" wrapText="1"/>
    </xf>
    <xf numFmtId="0" fontId="11" fillId="12" borderId="52" xfId="0" applyFont="1" applyFill="1" applyBorder="1" applyAlignment="1">
      <alignment horizontal="left" vertical="center" wrapText="1"/>
    </xf>
    <xf numFmtId="0" fontId="11" fillId="12" borderId="22" xfId="0" applyFont="1" applyFill="1" applyBorder="1" applyAlignment="1">
      <alignment horizontal="left" vertical="center" wrapText="1"/>
    </xf>
    <xf numFmtId="0" fontId="11" fillId="12" borderId="0" xfId="0" applyFont="1" applyFill="1" applyBorder="1" applyAlignment="1">
      <alignment horizontal="left" vertical="center" wrapText="1"/>
    </xf>
    <xf numFmtId="0" fontId="11" fillId="12" borderId="42" xfId="0" applyFont="1" applyFill="1" applyBorder="1" applyAlignment="1">
      <alignment horizontal="left" vertical="center" wrapText="1"/>
    </xf>
    <xf numFmtId="0" fontId="11" fillId="12" borderId="23" xfId="0" applyFont="1" applyFill="1" applyBorder="1" applyAlignment="1">
      <alignment horizontal="left" vertical="center" wrapText="1"/>
    </xf>
    <xf numFmtId="0" fontId="11" fillId="12" borderId="17" xfId="0" applyFont="1" applyFill="1" applyBorder="1" applyAlignment="1">
      <alignment horizontal="left" vertical="center" wrapText="1"/>
    </xf>
    <xf numFmtId="0" fontId="11" fillId="12" borderId="21" xfId="0" applyFont="1" applyFill="1" applyBorder="1" applyAlignment="1">
      <alignment horizontal="left" vertical="center" wrapText="1"/>
    </xf>
    <xf numFmtId="37" fontId="92" fillId="0" borderId="50" xfId="63" applyFont="1" applyFill="1" applyBorder="1" applyAlignment="1">
      <alignment horizontal="left" vertical="center" wrapText="1"/>
    </xf>
    <xf numFmtId="0" fontId="100" fillId="12" borderId="50" xfId="0" applyFont="1" applyFill="1" applyBorder="1" applyAlignment="1">
      <alignment horizontal="left" wrapText="1"/>
    </xf>
    <xf numFmtId="0" fontId="99" fillId="68" borderId="24" xfId="162" applyBorder="1" applyAlignment="1">
      <alignment horizontal="center" vertical="center" wrapText="1"/>
    </xf>
    <xf numFmtId="0" fontId="99" fillId="68" borderId="50" xfId="162" applyBorder="1" applyAlignment="1">
      <alignment horizontal="center" vertical="center" wrapText="1"/>
    </xf>
    <xf numFmtId="0" fontId="99" fillId="68" borderId="23" xfId="162" applyBorder="1" applyAlignment="1">
      <alignment horizontal="center" vertical="center" wrapText="1"/>
    </xf>
    <xf numFmtId="0" fontId="99" fillId="68" borderId="17" xfId="162" applyBorder="1" applyAlignment="1">
      <alignment horizontal="center" vertical="center" wrapText="1"/>
    </xf>
    <xf numFmtId="0" fontId="99" fillId="68" borderId="21" xfId="162" applyBorder="1" applyAlignment="1">
      <alignment horizontal="center" vertical="center" wrapText="1"/>
    </xf>
    <xf numFmtId="0" fontId="110" fillId="12" borderId="0" xfId="0" applyFont="1" applyFill="1" applyAlignment="1">
      <alignment horizontal="left" vertical="center" wrapText="1"/>
    </xf>
    <xf numFmtId="0" fontId="98" fillId="69" borderId="54" xfId="161" applyBorder="1" applyAlignment="1">
      <alignment vertical="center"/>
    </xf>
    <xf numFmtId="0" fontId="98" fillId="69" borderId="55" xfId="161" applyBorder="1" applyAlignment="1">
      <alignment vertical="center"/>
    </xf>
    <xf numFmtId="0" fontId="98" fillId="69" borderId="51" xfId="161" applyBorder="1" applyAlignment="1">
      <alignment vertical="center"/>
    </xf>
    <xf numFmtId="0" fontId="100" fillId="0" borderId="57" xfId="0" applyFont="1" applyBorder="1" applyAlignment="1">
      <alignment horizontal="center" vertical="center" wrapText="1"/>
    </xf>
    <xf numFmtId="0" fontId="100" fillId="0" borderId="19" xfId="0" applyFont="1" applyBorder="1" applyAlignment="1">
      <alignment horizontal="center" vertical="center" wrapText="1"/>
    </xf>
    <xf numFmtId="0" fontId="100" fillId="0" borderId="52" xfId="0" applyFont="1" applyBorder="1" applyAlignment="1">
      <alignment horizontal="center" vertical="center" wrapText="1"/>
    </xf>
    <xf numFmtId="0" fontId="100" fillId="0" borderId="22" xfId="0" applyFont="1" applyBorder="1" applyAlignment="1">
      <alignment horizontal="center" vertical="center" wrapText="1"/>
    </xf>
    <xf numFmtId="0" fontId="100" fillId="0" borderId="0" xfId="0" applyFont="1" applyBorder="1" applyAlignment="1">
      <alignment horizontal="center" vertical="center" wrapText="1"/>
    </xf>
    <xf numFmtId="0" fontId="100" fillId="0" borderId="42" xfId="0" applyFont="1" applyBorder="1" applyAlignment="1">
      <alignment horizontal="center" vertical="center" wrapText="1"/>
    </xf>
    <xf numFmtId="0" fontId="100" fillId="0" borderId="96" xfId="0" applyFont="1" applyBorder="1" applyAlignment="1">
      <alignment horizontal="center" vertical="center" wrapText="1"/>
    </xf>
    <xf numFmtId="0" fontId="100" fillId="0" borderId="97" xfId="0" applyFont="1" applyBorder="1" applyAlignment="1">
      <alignment horizontal="center" vertical="center" wrapText="1"/>
    </xf>
    <xf numFmtId="0" fontId="100" fillId="0" borderId="98" xfId="0" applyFont="1" applyBorder="1" applyAlignment="1">
      <alignment horizontal="center" vertical="center" wrapText="1"/>
    </xf>
    <xf numFmtId="0" fontId="100" fillId="0" borderId="57" xfId="0" applyFont="1" applyBorder="1" applyAlignment="1">
      <alignment horizontal="left" vertical="center" wrapText="1"/>
    </xf>
    <xf numFmtId="0" fontId="100" fillId="0" borderId="19" xfId="0" applyFont="1" applyBorder="1" applyAlignment="1">
      <alignment horizontal="left" vertical="center" wrapText="1"/>
    </xf>
    <xf numFmtId="0" fontId="100" fillId="0" borderId="52" xfId="0" applyFont="1" applyBorder="1" applyAlignment="1">
      <alignment horizontal="left" vertical="center" wrapText="1"/>
    </xf>
    <xf numFmtId="0" fontId="100" fillId="0" borderId="96" xfId="0" applyFont="1" applyBorder="1" applyAlignment="1">
      <alignment horizontal="left" vertical="center" wrapText="1"/>
    </xf>
    <xf numFmtId="0" fontId="100" fillId="0" borderId="97" xfId="0" applyFont="1" applyBorder="1" applyAlignment="1">
      <alignment horizontal="left" vertical="center" wrapText="1"/>
    </xf>
    <xf numFmtId="0" fontId="100" fillId="0" borderId="98" xfId="0" applyFont="1" applyBorder="1" applyAlignment="1">
      <alignment horizontal="left" vertical="center" wrapText="1"/>
    </xf>
    <xf numFmtId="37" fontId="114" fillId="0" borderId="57" xfId="63" applyFont="1" applyBorder="1" applyAlignment="1">
      <alignment horizontal="left" vertical="center" wrapText="1"/>
    </xf>
    <xf numFmtId="37" fontId="114" fillId="0" borderId="19" xfId="63" applyFont="1" applyBorder="1" applyAlignment="1">
      <alignment horizontal="left" vertical="center" wrapText="1"/>
    </xf>
    <xf numFmtId="37" fontId="114" fillId="0" borderId="52" xfId="63" applyFont="1" applyBorder="1" applyAlignment="1">
      <alignment horizontal="left" vertical="center" wrapText="1"/>
    </xf>
    <xf numFmtId="37" fontId="114" fillId="0" borderId="22" xfId="63" applyFont="1" applyBorder="1" applyAlignment="1">
      <alignment horizontal="left" vertical="center" wrapText="1"/>
    </xf>
    <xf numFmtId="37" fontId="114" fillId="0" borderId="0" xfId="63" applyFont="1" applyBorder="1" applyAlignment="1">
      <alignment horizontal="left" vertical="center" wrapText="1"/>
    </xf>
    <xf numFmtId="37" fontId="114" fillId="0" borderId="42" xfId="63" applyFont="1" applyBorder="1" applyAlignment="1">
      <alignment horizontal="left" vertical="center" wrapText="1"/>
    </xf>
    <xf numFmtId="37" fontId="114" fillId="0" borderId="96" xfId="63" applyFont="1" applyBorder="1" applyAlignment="1">
      <alignment horizontal="left" vertical="center" wrapText="1"/>
    </xf>
    <xf numFmtId="37" fontId="114" fillId="0" borderId="97" xfId="63" applyFont="1" applyBorder="1" applyAlignment="1">
      <alignment horizontal="left" vertical="center" wrapText="1"/>
    </xf>
    <xf numFmtId="37" fontId="114" fillId="0" borderId="98" xfId="63" applyFont="1" applyBorder="1" applyAlignment="1">
      <alignment horizontal="left" vertical="center" wrapText="1"/>
    </xf>
    <xf numFmtId="0" fontId="34" fillId="0" borderId="50" xfId="0" applyFont="1" applyBorder="1" applyAlignment="1">
      <alignment horizontal="left" vertical="center" wrapText="1"/>
    </xf>
    <xf numFmtId="0" fontId="34" fillId="0" borderId="54" xfId="0" applyFont="1" applyBorder="1" applyAlignment="1">
      <alignment horizontal="left" vertical="center" wrapText="1"/>
    </xf>
    <xf numFmtId="0" fontId="34" fillId="0" borderId="51" xfId="0" applyFont="1" applyBorder="1" applyAlignment="1">
      <alignment horizontal="left" vertical="center" wrapText="1"/>
    </xf>
    <xf numFmtId="3" fontId="120" fillId="21" borderId="54" xfId="0" applyNumberFormat="1" applyFont="1" applyFill="1" applyBorder="1" applyAlignment="1">
      <alignment horizontal="center" vertical="center"/>
    </xf>
    <xf numFmtId="0" fontId="120" fillId="21" borderId="55" xfId="0" applyFont="1" applyFill="1" applyBorder="1" applyAlignment="1">
      <alignment horizontal="center" vertical="center"/>
    </xf>
    <xf numFmtId="0" fontId="120" fillId="21" borderId="51" xfId="0" applyFont="1" applyFill="1" applyBorder="1" applyAlignment="1">
      <alignment horizontal="center" vertical="center"/>
    </xf>
    <xf numFmtId="0" fontId="99" fillId="68" borderId="0" xfId="162" applyAlignment="1">
      <alignment horizontal="left" vertical="center"/>
    </xf>
    <xf numFmtId="0" fontId="34" fillId="0" borderId="102" xfId="0" applyFont="1" applyBorder="1" applyAlignment="1">
      <alignment horizontal="left" vertical="center" wrapText="1"/>
    </xf>
    <xf numFmtId="0" fontId="34" fillId="0" borderId="103" xfId="0" applyFont="1" applyBorder="1" applyAlignment="1">
      <alignment horizontal="left" vertical="center" wrapText="1"/>
    </xf>
    <xf numFmtId="0" fontId="34" fillId="0" borderId="104" xfId="0" applyFont="1" applyBorder="1" applyAlignment="1">
      <alignment horizontal="left" vertical="center" wrapText="1"/>
    </xf>
    <xf numFmtId="0" fontId="52" fillId="62" borderId="0" xfId="0" applyFont="1" applyFill="1" applyAlignment="1">
      <alignment horizontal="left" vertical="center" wrapText="1"/>
    </xf>
    <xf numFmtId="0" fontId="47" fillId="2" borderId="0" xfId="0" applyFont="1" applyFill="1" applyAlignment="1">
      <alignment horizontal="left" vertical="center" wrapText="1"/>
    </xf>
    <xf numFmtId="0" fontId="42" fillId="7" borderId="54" xfId="0" applyFont="1" applyFill="1" applyBorder="1" applyAlignment="1">
      <alignment horizontal="right" vertical="center"/>
    </xf>
    <xf numFmtId="0" fontId="42" fillId="7" borderId="51" xfId="0" applyFont="1" applyFill="1" applyBorder="1" applyAlignment="1">
      <alignment horizontal="right" vertical="center"/>
    </xf>
    <xf numFmtId="0" fontId="42" fillId="0" borderId="43" xfId="0" applyFont="1" applyBorder="1" applyAlignment="1">
      <alignment horizontal="left" vertical="center"/>
    </xf>
    <xf numFmtId="0" fontId="42" fillId="0" borderId="25" xfId="0" applyFont="1" applyBorder="1" applyAlignment="1">
      <alignment horizontal="left" vertical="center"/>
    </xf>
    <xf numFmtId="0" fontId="42" fillId="0" borderId="24" xfId="0" applyFont="1" applyBorder="1" applyAlignment="1">
      <alignment horizontal="left" vertical="center"/>
    </xf>
    <xf numFmtId="0" fontId="42" fillId="0" borderId="18" xfId="0" applyFont="1" applyBorder="1" applyAlignment="1">
      <alignment horizontal="left" vertical="center"/>
    </xf>
    <xf numFmtId="0" fontId="37" fillId="0" borderId="0" xfId="0" applyFont="1" applyAlignment="1">
      <alignment vertical="center"/>
    </xf>
    <xf numFmtId="0" fontId="98" fillId="69" borderId="0" xfId="161"/>
    <xf numFmtId="0" fontId="34" fillId="10" borderId="38" xfId="0" applyFont="1" applyFill="1" applyBorder="1" applyAlignment="1">
      <alignment horizontal="center" vertical="center"/>
    </xf>
    <xf numFmtId="0" fontId="34" fillId="10" borderId="39" xfId="0" applyFont="1" applyFill="1" applyBorder="1" applyAlignment="1">
      <alignment horizontal="center" vertical="center"/>
    </xf>
    <xf numFmtId="0" fontId="34" fillId="10" borderId="40" xfId="0" applyFont="1" applyFill="1" applyBorder="1" applyAlignment="1">
      <alignment horizontal="center" vertical="center"/>
    </xf>
    <xf numFmtId="0" fontId="34" fillId="9" borderId="38" xfId="0" applyFont="1" applyFill="1" applyBorder="1" applyAlignment="1">
      <alignment horizontal="center" vertical="center"/>
    </xf>
    <xf numFmtId="0" fontId="34" fillId="9" borderId="39" xfId="0" applyFont="1" applyFill="1" applyBorder="1" applyAlignment="1">
      <alignment horizontal="center" vertical="center"/>
    </xf>
    <xf numFmtId="0" fontId="34" fillId="9" borderId="40" xfId="0" applyFont="1" applyFill="1" applyBorder="1" applyAlignment="1">
      <alignment horizontal="center" vertical="center"/>
    </xf>
    <xf numFmtId="0" fontId="34" fillId="8" borderId="38" xfId="0" applyFont="1" applyFill="1" applyBorder="1" applyAlignment="1">
      <alignment horizontal="center" vertical="center"/>
    </xf>
    <xf numFmtId="0" fontId="34" fillId="8" borderId="39" xfId="0" applyFont="1" applyFill="1" applyBorder="1" applyAlignment="1">
      <alignment horizontal="center" vertical="center"/>
    </xf>
    <xf numFmtId="0" fontId="34" fillId="8" borderId="40" xfId="0" applyFont="1" applyFill="1" applyBorder="1" applyAlignment="1">
      <alignment horizontal="center" vertical="center"/>
    </xf>
    <xf numFmtId="0" fontId="34" fillId="0" borderId="102" xfId="0" applyFont="1" applyBorder="1" applyAlignment="1">
      <alignment horizontal="center" vertical="center"/>
    </xf>
    <xf numFmtId="0" fontId="34" fillId="0" borderId="104" xfId="0" applyFont="1" applyBorder="1" applyAlignment="1">
      <alignment horizontal="center" vertical="center"/>
    </xf>
    <xf numFmtId="0" fontId="98" fillId="69" borderId="102" xfId="161" applyBorder="1" applyAlignment="1">
      <alignment horizontal="center"/>
    </xf>
    <xf numFmtId="0" fontId="98" fillId="69" borderId="103" xfId="161" applyBorder="1" applyAlignment="1">
      <alignment horizontal="center"/>
    </xf>
    <xf numFmtId="0" fontId="98" fillId="69" borderId="104" xfId="161" applyBorder="1" applyAlignment="1">
      <alignment horizontal="center"/>
    </xf>
    <xf numFmtId="0" fontId="37" fillId="0" borderId="0" xfId="0" applyFont="1"/>
    <xf numFmtId="37" fontId="50" fillId="21" borderId="38" xfId="21" applyNumberFormat="1" applyFont="1" applyFill="1" applyBorder="1" applyAlignment="1">
      <alignment horizontal="left"/>
    </xf>
    <xf numFmtId="37" fontId="50" fillId="21" borderId="39" xfId="21" applyNumberFormat="1" applyFont="1" applyFill="1" applyBorder="1" applyAlignment="1">
      <alignment horizontal="left"/>
    </xf>
    <xf numFmtId="37" fontId="50" fillId="21" borderId="40" xfId="21" applyNumberFormat="1" applyFont="1" applyFill="1" applyBorder="1" applyAlignment="1">
      <alignment horizontal="left"/>
    </xf>
    <xf numFmtId="37" fontId="50" fillId="0" borderId="38" xfId="21" applyNumberFormat="1" applyFont="1" applyBorder="1" applyAlignment="1">
      <alignment horizontal="left"/>
    </xf>
    <xf numFmtId="37" fontId="50" fillId="0" borderId="39" xfId="21" applyNumberFormat="1" applyFont="1" applyBorder="1" applyAlignment="1">
      <alignment horizontal="left"/>
    </xf>
    <xf numFmtId="37" fontId="50" fillId="0" borderId="40" xfId="21" applyNumberFormat="1" applyFont="1" applyBorder="1" applyAlignment="1">
      <alignment horizontal="left"/>
    </xf>
  </cellXfs>
  <cellStyles count="168">
    <cellStyle name="20% - Accent1 2" xfId="64" xr:uid="{00000000-0005-0000-0000-000000000000}"/>
    <cellStyle name="20% - Accent2 2" xfId="65" xr:uid="{00000000-0005-0000-0000-000001000000}"/>
    <cellStyle name="20% - Accent3 2" xfId="66" xr:uid="{00000000-0005-0000-0000-000002000000}"/>
    <cellStyle name="20% - Accent4 2" xfId="67" xr:uid="{00000000-0005-0000-0000-000003000000}"/>
    <cellStyle name="20% - Accent5 2" xfId="68" xr:uid="{00000000-0005-0000-0000-000004000000}"/>
    <cellStyle name="20% - Accent6 2" xfId="69" xr:uid="{00000000-0005-0000-0000-000005000000}"/>
    <cellStyle name="40% - Accent1 2" xfId="70" xr:uid="{00000000-0005-0000-0000-000006000000}"/>
    <cellStyle name="40% - Accent2 2" xfId="71" xr:uid="{00000000-0005-0000-0000-000007000000}"/>
    <cellStyle name="40% - Accent3 2" xfId="72" xr:uid="{00000000-0005-0000-0000-000008000000}"/>
    <cellStyle name="40% - Accent4 2" xfId="73" xr:uid="{00000000-0005-0000-0000-000009000000}"/>
    <cellStyle name="40% - Accent5 2" xfId="74" xr:uid="{00000000-0005-0000-0000-00000A000000}"/>
    <cellStyle name="40% - Accent6 2" xfId="75" xr:uid="{00000000-0005-0000-0000-00000B000000}"/>
    <cellStyle name="60% - Accent1 2" xfId="76" xr:uid="{00000000-0005-0000-0000-00000C000000}"/>
    <cellStyle name="60% - Accent2 2" xfId="77" xr:uid="{00000000-0005-0000-0000-00000D000000}"/>
    <cellStyle name="60% - Accent3 2" xfId="78" xr:uid="{00000000-0005-0000-0000-00000E000000}"/>
    <cellStyle name="60% - Accent4 2" xfId="79" xr:uid="{00000000-0005-0000-0000-00000F000000}"/>
    <cellStyle name="60% - Accent5 2" xfId="80" xr:uid="{00000000-0005-0000-0000-000010000000}"/>
    <cellStyle name="60% - Accent6 2" xfId="81" xr:uid="{00000000-0005-0000-0000-000011000000}"/>
    <cellStyle name="Accent1 2" xfId="82" xr:uid="{00000000-0005-0000-0000-000012000000}"/>
    <cellStyle name="Accent2 2" xfId="83" xr:uid="{00000000-0005-0000-0000-000013000000}"/>
    <cellStyle name="Accent3 2" xfId="84" xr:uid="{00000000-0005-0000-0000-000014000000}"/>
    <cellStyle name="Accent4 2" xfId="85" xr:uid="{00000000-0005-0000-0000-000015000000}"/>
    <cellStyle name="Accent5 2" xfId="86" xr:uid="{00000000-0005-0000-0000-000016000000}"/>
    <cellStyle name="Accent6 2" xfId="87" xr:uid="{00000000-0005-0000-0000-000017000000}"/>
    <cellStyle name="Bad 2" xfId="88" xr:uid="{00000000-0005-0000-0000-000018000000}"/>
    <cellStyle name="Calculation 2" xfId="89" xr:uid="{00000000-0005-0000-0000-000019000000}"/>
    <cellStyle name="Check Cell 2" xfId="90" xr:uid="{00000000-0005-0000-0000-00001A000000}"/>
    <cellStyle name="Comma" xfId="1" builtinId="3"/>
    <cellStyle name="Comma 2" xfId="21" xr:uid="{00000000-0005-0000-0000-000001000000}"/>
    <cellStyle name="Comma 2 2" xfId="52" xr:uid="{00000000-0005-0000-0000-00001C000000}"/>
    <cellStyle name="Comma 2 3" xfId="28" xr:uid="{00000000-0005-0000-0000-00001B000000}"/>
    <cellStyle name="Comma 3" xfId="136" xr:uid="{00000000-0005-0000-0000-00001D000000}"/>
    <cellStyle name="Comma 4" xfId="135" xr:uid="{00000000-0005-0000-0000-00001E000000}"/>
    <cellStyle name="Comma 4 2" xfId="150" xr:uid="{00000000-0005-0000-0000-000002000000}"/>
    <cellStyle name="Comma 5" xfId="133" xr:uid="{00000000-0005-0000-0000-00001F000000}"/>
    <cellStyle name="Comma 6" xfId="144" xr:uid="{00000000-0005-0000-0000-000020000000}"/>
    <cellStyle name="Comma 7" xfId="145" xr:uid="{00000000-0005-0000-0000-0000BE000000}"/>
    <cellStyle name="Comma 8" xfId="166" xr:uid="{172B0831-9E9F-45EA-8C32-D3DA44289188}"/>
    <cellStyle name="Currency" xfId="154" builtinId="4"/>
    <cellStyle name="Currency 2" xfId="29" xr:uid="{00000000-0005-0000-0000-000021000000}"/>
    <cellStyle name="Currency 2 2" xfId="53" xr:uid="{00000000-0005-0000-0000-000022000000}"/>
    <cellStyle name="Currency 3" xfId="54" xr:uid="{00000000-0005-0000-0000-000023000000}"/>
    <cellStyle name="Currency 3 2" xfId="105" xr:uid="{00000000-0005-0000-0000-000024000000}"/>
    <cellStyle name="Currency 4" xfId="152" xr:uid="{00000000-0005-0000-0000-0000C0000000}"/>
    <cellStyle name="Explanatory Text 2" xfId="91" xr:uid="{00000000-0005-0000-0000-000025000000}"/>
    <cellStyle name="Followed Hyperlink" xfId="5"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5" builtinId="9" hidden="1"/>
    <cellStyle name="Good 2" xfId="92" xr:uid="{00000000-0005-0000-0000-000026000000}"/>
    <cellStyle name="Heading 1 2" xfId="93" xr:uid="{00000000-0005-0000-0000-000027000000}"/>
    <cellStyle name="Heading 2 2" xfId="94" xr:uid="{00000000-0005-0000-0000-000028000000}"/>
    <cellStyle name="Heading 3 2" xfId="95" xr:uid="{00000000-0005-0000-0000-000029000000}"/>
    <cellStyle name="Heading 4 2" xfId="96" xr:uid="{00000000-0005-0000-0000-00002A000000}"/>
    <cellStyle name="Hyperlink" xfId="7" builtinId="8"/>
    <cellStyle name="Hyperlink 2" xfId="147" xr:uid="{00000000-0005-0000-0000-0000C1000000}"/>
    <cellStyle name="Input 2" xfId="97" xr:uid="{00000000-0005-0000-0000-00002B000000}"/>
    <cellStyle name="Linked Cell 2" xfId="98" xr:uid="{00000000-0005-0000-0000-00002C000000}"/>
    <cellStyle name="Lotus Heading" xfId="155" xr:uid="{46EDF84C-176E-4ABC-A535-12738300B48F}"/>
    <cellStyle name="Lotus Normal" xfId="156" xr:uid="{E0F64E0C-831A-4262-8EF9-2B4F10232A19}"/>
    <cellStyle name="Lotus Normal BOLD" xfId="157" xr:uid="{C5C0F828-306F-4329-8200-030DF3CC2A05}"/>
    <cellStyle name="Lotus Normal Input Data" xfId="158" xr:uid="{20754AB0-7CF6-43E2-A380-45C82148809B}"/>
    <cellStyle name="Lotus Normal Input Data w/Grid" xfId="159" xr:uid="{661FD4CF-7DB6-4C2C-BEC1-52185447B5A1}"/>
    <cellStyle name="Lotus Section Heading" xfId="160" xr:uid="{2A849BDB-ADB8-45F3-8361-4D515BDDB764}"/>
    <cellStyle name="Lotus Subheading" xfId="161" xr:uid="{D4629956-9D23-4F02-BC64-6CD9FD87DCB0}"/>
    <cellStyle name="Lotus Subheading2" xfId="162" xr:uid="{D4937721-D69F-47B7-8B8E-E3E631415660}"/>
    <cellStyle name="Lotus total (gray)" xfId="163" xr:uid="{A3D75556-FF28-4018-B990-7D9FF154B588}"/>
    <cellStyle name="Neutral 2" xfId="99" xr:uid="{00000000-0005-0000-0000-00002D000000}"/>
    <cellStyle name="Normal" xfId="0" builtinId="0"/>
    <cellStyle name="Normal 10" xfId="26" xr:uid="{00000000-0005-0000-0000-000075000000}"/>
    <cellStyle name="Normal 11" xfId="164" xr:uid="{21910D0B-2D3A-4E30-9434-04C71EE490F1}"/>
    <cellStyle name="Normal 12" xfId="165" xr:uid="{E92B90A8-7C1E-48DF-9970-7D21D852E1A3}"/>
    <cellStyle name="Normal 13" xfId="151" xr:uid="{00000000-0005-0000-0000-000019000000}"/>
    <cellStyle name="Normal 17" xfId="149" xr:uid="{00000000-0005-0000-0000-00001A000000}"/>
    <cellStyle name="Normal 17 2" xfId="153" xr:uid="{00000000-0005-0000-0000-00001B000000}"/>
    <cellStyle name="Normal 2" xfId="2" xr:uid="{00000000-0005-0000-0000-000016000000}"/>
    <cellStyle name="Normal 2 2" xfId="56" xr:uid="{00000000-0005-0000-0000-000030000000}"/>
    <cellStyle name="Normal 2 3" xfId="55" xr:uid="{00000000-0005-0000-0000-000031000000}"/>
    <cellStyle name="Normal 2 4" xfId="49" xr:uid="{00000000-0005-0000-0000-000032000000}"/>
    <cellStyle name="Normal 2 5" xfId="27" xr:uid="{00000000-0005-0000-0000-00002F000000}"/>
    <cellStyle name="Normal 3" xfId="50" xr:uid="{00000000-0005-0000-0000-000033000000}"/>
    <cellStyle name="Normal 3 2" xfId="111" xr:uid="{00000000-0005-0000-0000-000034000000}"/>
    <cellStyle name="Normal 3 2 2" xfId="118" xr:uid="{00000000-0005-0000-0000-000035000000}"/>
    <cellStyle name="Normal 3 2 2 2" xfId="127" xr:uid="{00000000-0005-0000-0000-000036000000}"/>
    <cellStyle name="Normal 3 2 3" xfId="124" xr:uid="{00000000-0005-0000-0000-000037000000}"/>
    <cellStyle name="Normal 3 3" xfId="114" xr:uid="{00000000-0005-0000-0000-000038000000}"/>
    <cellStyle name="Normal 3 3 2" xfId="120" xr:uid="{00000000-0005-0000-0000-000039000000}"/>
    <cellStyle name="Normal 3 3 2 2" xfId="128" xr:uid="{00000000-0005-0000-0000-00003A000000}"/>
    <cellStyle name="Normal 3 3 3" xfId="126" xr:uid="{00000000-0005-0000-0000-00003B000000}"/>
    <cellStyle name="Normal 3 4" xfId="115" xr:uid="{00000000-0005-0000-0000-00003C000000}"/>
    <cellStyle name="Normal 3 4 2" xfId="129" xr:uid="{00000000-0005-0000-0000-00003D000000}"/>
    <cellStyle name="Normal 3 5" xfId="108" xr:uid="{00000000-0005-0000-0000-00003E000000}"/>
    <cellStyle name="Normal 3 6" xfId="122" xr:uid="{00000000-0005-0000-0000-00003F000000}"/>
    <cellStyle name="Normal 3 7" xfId="137" xr:uid="{00000000-0005-0000-0000-000040000000}"/>
    <cellStyle name="Normal 3 8" xfId="57" xr:uid="{00000000-0005-0000-0000-000041000000}"/>
    <cellStyle name="Normal 3 9" xfId="148" xr:uid="{00000000-0005-0000-0000-00001E000000}"/>
    <cellStyle name="Normal 4" xfId="12" xr:uid="{00000000-0005-0000-0000-000017000000}"/>
    <cellStyle name="Normal 4 2" xfId="110" xr:uid="{00000000-0005-0000-0000-000043000000}"/>
    <cellStyle name="Normal 4 2 2" xfId="117" xr:uid="{00000000-0005-0000-0000-000044000000}"/>
    <cellStyle name="Normal 4 2 2 2" xfId="130" xr:uid="{00000000-0005-0000-0000-000045000000}"/>
    <cellStyle name="Normal 4 2 3" xfId="123" xr:uid="{00000000-0005-0000-0000-000046000000}"/>
    <cellStyle name="Normal 4 3" xfId="113" xr:uid="{00000000-0005-0000-0000-000047000000}"/>
    <cellStyle name="Normal 4 3 2" xfId="119" xr:uid="{00000000-0005-0000-0000-000048000000}"/>
    <cellStyle name="Normal 4 3 2 2" xfId="131" xr:uid="{00000000-0005-0000-0000-000049000000}"/>
    <cellStyle name="Normal 4 3 3" xfId="125" xr:uid="{00000000-0005-0000-0000-00004A000000}"/>
    <cellStyle name="Normal 4 4" xfId="116" xr:uid="{00000000-0005-0000-0000-00004B000000}"/>
    <cellStyle name="Normal 4 4 2" xfId="132" xr:uid="{00000000-0005-0000-0000-00004C000000}"/>
    <cellStyle name="Normal 4 5" xfId="109" xr:uid="{00000000-0005-0000-0000-00004D000000}"/>
    <cellStyle name="Normal 4 6" xfId="121" xr:uid="{00000000-0005-0000-0000-00004E000000}"/>
    <cellStyle name="Normal 4 7" xfId="107" xr:uid="{00000000-0005-0000-0000-00004F000000}"/>
    <cellStyle name="Normal 4 8" xfId="58" xr:uid="{00000000-0005-0000-0000-000050000000}"/>
    <cellStyle name="Normal 4 9" xfId="51" xr:uid="{00000000-0005-0000-0000-000042000000}"/>
    <cellStyle name="Normal 5" xfId="59" xr:uid="{00000000-0005-0000-0000-000051000000}"/>
    <cellStyle name="Normal 5 2" xfId="112" xr:uid="{00000000-0005-0000-0000-000052000000}"/>
    <cellStyle name="Normal 5 3" xfId="138" xr:uid="{00000000-0005-0000-0000-000053000000}"/>
    <cellStyle name="Normal 6" xfId="63" xr:uid="{00000000-0005-0000-0000-000054000000}"/>
    <cellStyle name="Normal 6 2" xfId="134" xr:uid="{00000000-0005-0000-0000-000055000000}"/>
    <cellStyle name="Normal 7" xfId="140" xr:uid="{00000000-0005-0000-0000-000056000000}"/>
    <cellStyle name="Normal 8" xfId="141" xr:uid="{00000000-0005-0000-0000-000057000000}"/>
    <cellStyle name="Normal 9" xfId="142" xr:uid="{00000000-0005-0000-0000-000058000000}"/>
    <cellStyle name="Note 2" xfId="60" xr:uid="{00000000-0005-0000-0000-000059000000}"/>
    <cellStyle name="Note 2 2" xfId="100" xr:uid="{00000000-0005-0000-0000-00005A000000}"/>
    <cellStyle name="Output 2" xfId="101" xr:uid="{00000000-0005-0000-0000-00005B000000}"/>
    <cellStyle name="Percent" xfId="4" builtinId="5"/>
    <cellStyle name="Percent 2" xfId="3" xr:uid="{00000000-0005-0000-0000-00001A000000}"/>
    <cellStyle name="Percent 2 2" xfId="139" xr:uid="{00000000-0005-0000-0000-00005E000000}"/>
    <cellStyle name="Percent 2 3" xfId="61" xr:uid="{00000000-0005-0000-0000-00005F000000}"/>
    <cellStyle name="Percent 2 4" xfId="30" xr:uid="{00000000-0005-0000-0000-00005D000000}"/>
    <cellStyle name="Percent 3" xfId="62" xr:uid="{00000000-0005-0000-0000-000060000000}"/>
    <cellStyle name="Percent 3 2" xfId="106" xr:uid="{00000000-0005-0000-0000-000061000000}"/>
    <cellStyle name="Percent 4" xfId="143" xr:uid="{00000000-0005-0000-0000-0000A3000000}"/>
    <cellStyle name="Percent 5" xfId="146" xr:uid="{00000000-0005-0000-0000-0000C6000000}"/>
    <cellStyle name="Percent 6" xfId="167" xr:uid="{9A1684E3-6DB4-4093-A47C-D3ABE1B5E7DD}"/>
    <cellStyle name="rick's" xfId="31" xr:uid="{00000000-0005-0000-0000-000062000000}"/>
    <cellStyle name="style1408386967100" xfId="32" xr:uid="{00000000-0005-0000-0000-000063000000}"/>
    <cellStyle name="style1408386967172" xfId="33" xr:uid="{00000000-0005-0000-0000-000064000000}"/>
    <cellStyle name="style1408386967306" xfId="34" xr:uid="{00000000-0005-0000-0000-000065000000}"/>
    <cellStyle name="style1408386967504" xfId="35" xr:uid="{00000000-0005-0000-0000-000066000000}"/>
    <cellStyle name="style1408386967624" xfId="36" xr:uid="{00000000-0005-0000-0000-000067000000}"/>
    <cellStyle name="style1408386967851" xfId="37" xr:uid="{00000000-0005-0000-0000-000068000000}"/>
    <cellStyle name="style1408386968000" xfId="38" xr:uid="{00000000-0005-0000-0000-000069000000}"/>
    <cellStyle name="style1408386968205" xfId="39" xr:uid="{00000000-0005-0000-0000-00006A000000}"/>
    <cellStyle name="style1408386968248" xfId="40" xr:uid="{00000000-0005-0000-0000-00006B000000}"/>
    <cellStyle name="style1410817286464" xfId="41" xr:uid="{00000000-0005-0000-0000-00006C000000}"/>
    <cellStyle name="style1410817287567" xfId="42" xr:uid="{00000000-0005-0000-0000-00006D000000}"/>
    <cellStyle name="style1410817289455" xfId="43" xr:uid="{00000000-0005-0000-0000-00006E000000}"/>
    <cellStyle name="style1410818999164" xfId="44" xr:uid="{00000000-0005-0000-0000-00006F000000}"/>
    <cellStyle name="style1410818999273" xfId="45" xr:uid="{00000000-0005-0000-0000-000070000000}"/>
    <cellStyle name="style1410818999363" xfId="46" xr:uid="{00000000-0005-0000-0000-000071000000}"/>
    <cellStyle name="style1410818999950" xfId="47" xr:uid="{00000000-0005-0000-0000-000072000000}"/>
    <cellStyle name="style1410819001948" xfId="48" xr:uid="{00000000-0005-0000-0000-000073000000}"/>
    <cellStyle name="Title 2" xfId="102" xr:uid="{00000000-0005-0000-0000-000074000000}"/>
    <cellStyle name="Total 2" xfId="103" xr:uid="{00000000-0005-0000-0000-000075000000}"/>
    <cellStyle name="Warning Text 2" xfId="104" xr:uid="{00000000-0005-0000-0000-000076000000}"/>
  </cellStyles>
  <dxfs count="2">
    <dxf>
      <fill>
        <patternFill>
          <bgColor theme="0" tint="-4.9989318521683403E-2"/>
        </patternFill>
      </fill>
    </dxf>
    <dxf>
      <font>
        <color theme="0"/>
      </font>
      <fill>
        <patternFill>
          <bgColor rgb="FF339966"/>
        </patternFill>
      </fill>
    </dxf>
  </dxfs>
  <tableStyles count="1" defaultTableStyle="TableStyleMedium2" defaultPivotStyle="PivotStyleLight16">
    <tableStyle name="CustomTableStyle" pivot="0" count="2" xr9:uid="{00000000-0011-0000-FFFF-FFFF00000000}">
      <tableStyleElement type="headerRow" dxfId="1"/>
      <tableStyleElement type="firstRowStripe" dxfId="0"/>
    </tableStyle>
  </tableStyles>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t>Emissions by Sector  </a:t>
            </a:r>
            <a:r>
              <a:rPr lang="mr-IN" sz="1400" b="0" i="0" baseline="0">
                <a:effectLst/>
              </a:rPr>
              <a:t>(mt CO</a:t>
            </a:r>
            <a:r>
              <a:rPr lang="mr-IN" sz="1400" b="0" i="0" baseline="-25000">
                <a:effectLst/>
              </a:rPr>
              <a:t>2</a:t>
            </a:r>
            <a:r>
              <a:rPr lang="mr-IN" sz="1400" b="0" i="0" baseline="0">
                <a:effectLst/>
              </a:rPr>
              <a:t>e)</a:t>
            </a:r>
            <a:endParaRPr lang="mr-IN" sz="1400">
              <a:effectLst/>
            </a:endParaRPr>
          </a:p>
        </c:rich>
      </c:tx>
      <c:layout>
        <c:manualLayout>
          <c:xMode val="edge"/>
          <c:yMode val="edge"/>
          <c:x val="0.21558940929987799"/>
          <c:y val="2.34962406015038E-2"/>
        </c:manualLayout>
      </c:layout>
      <c:overlay val="0"/>
      <c:spPr>
        <a:noFill/>
        <a:ln>
          <a:noFill/>
        </a:ln>
        <a:effectLst/>
      </c:spPr>
    </c:title>
    <c:autoTitleDeleted val="0"/>
    <c:plotArea>
      <c:layout/>
      <c:barChart>
        <c:barDir val="bar"/>
        <c:grouping val="stacked"/>
        <c:varyColors val="1"/>
        <c:ser>
          <c:idx val="0"/>
          <c:order val="0"/>
          <c:tx>
            <c:strRef>
              <c:f>'Visual Summary'!$A$12</c:f>
              <c:strCache>
                <c:ptCount val="1"/>
                <c:pt idx="0">
                  <c:v>Buildings</c:v>
                </c:pt>
              </c:strCache>
            </c:strRef>
          </c:tx>
          <c:spPr>
            <a:solidFill>
              <a:srgbClr val="4F81BD"/>
            </a:solidFill>
            <a:ln>
              <a:noFill/>
            </a:ln>
            <a:effectLst/>
          </c:spPr>
          <c:invertIfNegative val="1"/>
          <c:cat>
            <c:numLit>
              <c:formatCode>General</c:formatCode>
              <c:ptCount val="1"/>
              <c:pt idx="0">
                <c:v>2018</c:v>
              </c:pt>
            </c:numLit>
          </c:cat>
          <c:val>
            <c:numRef>
              <c:f>'Visual Summary'!$B$12</c:f>
              <c:numCache>
                <c:formatCode>#,##0_);\(#,##0\)</c:formatCode>
                <c:ptCount val="1"/>
                <c:pt idx="0">
                  <c:v>5439797.1986313146</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AD68-45EA-A054-B3E4F9F3228E}"/>
            </c:ext>
          </c:extLst>
        </c:ser>
        <c:ser>
          <c:idx val="1"/>
          <c:order val="1"/>
          <c:tx>
            <c:strRef>
              <c:f>'Visual Summary'!$A$13</c:f>
              <c:strCache>
                <c:ptCount val="1"/>
                <c:pt idx="0">
                  <c:v>Transportation</c:v>
                </c:pt>
              </c:strCache>
            </c:strRef>
          </c:tx>
          <c:spPr>
            <a:solidFill>
              <a:srgbClr val="9BBB59"/>
            </a:solidFill>
            <a:ln>
              <a:noFill/>
            </a:ln>
            <a:effectLst/>
          </c:spPr>
          <c:invertIfNegative val="1"/>
          <c:cat>
            <c:numLit>
              <c:formatCode>General</c:formatCode>
              <c:ptCount val="1"/>
              <c:pt idx="0">
                <c:v>2018</c:v>
              </c:pt>
            </c:numLit>
          </c:cat>
          <c:val>
            <c:numRef>
              <c:f>'Visual Summary'!$B$13</c:f>
              <c:numCache>
                <c:formatCode>#,##0_);\(#,##0\)</c:formatCode>
                <c:ptCount val="1"/>
                <c:pt idx="0">
                  <c:v>3457799.1960392767</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1-AD68-45EA-A054-B3E4F9F3228E}"/>
            </c:ext>
          </c:extLst>
        </c:ser>
        <c:ser>
          <c:idx val="2"/>
          <c:order val="2"/>
          <c:tx>
            <c:strRef>
              <c:f>'Visual Summary'!$A$14</c:f>
              <c:strCache>
                <c:ptCount val="1"/>
                <c:pt idx="0">
                  <c:v>Solid Waste</c:v>
                </c:pt>
              </c:strCache>
            </c:strRef>
          </c:tx>
          <c:spPr>
            <a:solidFill>
              <a:srgbClr val="4BACC6"/>
            </a:solidFill>
            <a:ln>
              <a:noFill/>
            </a:ln>
            <a:effectLst/>
          </c:spPr>
          <c:invertIfNegative val="1"/>
          <c:cat>
            <c:numLit>
              <c:formatCode>General</c:formatCode>
              <c:ptCount val="1"/>
              <c:pt idx="0">
                <c:v>2018</c:v>
              </c:pt>
            </c:numLit>
          </c:cat>
          <c:val>
            <c:numRef>
              <c:f>'Visual Summary'!$B$14</c:f>
              <c:numCache>
                <c:formatCode>#,##0_);\(#,##0\)</c:formatCode>
                <c:ptCount val="1"/>
                <c:pt idx="0">
                  <c:v>169849.90290442202</c:v>
                </c:pt>
              </c:numCache>
            </c:numRef>
          </c:val>
          <c:extLst xmlns:c15="http://schemas.microsoft.com/office/drawing/2012/char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2-AD68-45EA-A054-B3E4F9F3228E}"/>
            </c:ext>
          </c:extLst>
        </c:ser>
        <c:ser>
          <c:idx val="3"/>
          <c:order val="3"/>
          <c:tx>
            <c:strRef>
              <c:f>'Visual Summary'!$A$15</c:f>
              <c:strCache>
                <c:ptCount val="1"/>
                <c:pt idx="0">
                  <c:v>Wastewater Treatment</c:v>
                </c:pt>
              </c:strCache>
            </c:strRef>
          </c:tx>
          <c:spPr>
            <a:solidFill>
              <a:srgbClr val="2C4D75"/>
            </a:solidFill>
            <a:ln>
              <a:noFill/>
            </a:ln>
            <a:effectLst/>
          </c:spPr>
          <c:invertIfNegative val="1"/>
          <c:cat>
            <c:numLit>
              <c:formatCode>General</c:formatCode>
              <c:ptCount val="1"/>
              <c:pt idx="0">
                <c:v>2018</c:v>
              </c:pt>
            </c:numLit>
          </c:cat>
          <c:val>
            <c:numRef>
              <c:f>'Visual Summary'!$B$15</c:f>
              <c:numCache>
                <c:formatCode>#,##0_);\(#,##0\)</c:formatCode>
                <c:ptCount val="1"/>
                <c:pt idx="0">
                  <c:v>5666</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3-AD68-45EA-A054-B3E4F9F3228E}"/>
            </c:ext>
          </c:extLst>
        </c:ser>
        <c:ser>
          <c:idx val="4"/>
          <c:order val="4"/>
          <c:tx>
            <c:strRef>
              <c:f>'Visual Summary'!$A$16</c:f>
              <c:strCache>
                <c:ptCount val="1"/>
                <c:pt idx="0">
                  <c:v>IPPU</c:v>
                </c:pt>
              </c:strCache>
            </c:strRef>
          </c:tx>
          <c:spPr>
            <a:solidFill>
              <a:srgbClr val="5F7530"/>
            </a:solidFill>
            <a:ln>
              <a:noFill/>
            </a:ln>
            <a:effectLst/>
          </c:spPr>
          <c:invertIfNegative val="1"/>
          <c:cat>
            <c:numLit>
              <c:formatCode>General</c:formatCode>
              <c:ptCount val="1"/>
              <c:pt idx="0">
                <c:v>2018</c:v>
              </c:pt>
            </c:numLit>
          </c:cat>
          <c:val>
            <c:numRef>
              <c:f>'Visual Summary'!$B$16</c:f>
              <c:numCache>
                <c:formatCode>#,##0_);\(#,##0\)</c:formatCode>
                <c:ptCount val="1"/>
                <c:pt idx="0">
                  <c:v>23250.329158333334</c:v>
                </c:pt>
              </c:numCache>
            </c:numRef>
          </c:val>
          <c:extLst xmlns:c15="http://schemas.microsoft.com/office/drawing/2012/char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4-AD68-45EA-A054-B3E4F9F3228E}"/>
            </c:ext>
          </c:extLst>
        </c:ser>
        <c:ser>
          <c:idx val="6"/>
          <c:order val="5"/>
          <c:tx>
            <c:strRef>
              <c:f>'Visual Summary'!$A$17</c:f>
              <c:strCache>
                <c:ptCount val="1"/>
                <c:pt idx="0">
                  <c:v>Consumption-Based</c:v>
                </c:pt>
              </c:strCache>
            </c:strRef>
          </c:tx>
          <c:spPr>
            <a:solidFill>
              <a:srgbClr val="729ACA"/>
            </a:solidFill>
            <a:ln>
              <a:noFill/>
            </a:ln>
            <a:effectLst/>
          </c:spPr>
          <c:invertIfNegative val="1"/>
          <c:cat>
            <c:numLit>
              <c:formatCode>General</c:formatCode>
              <c:ptCount val="1"/>
              <c:pt idx="0">
                <c:v>2018</c:v>
              </c:pt>
            </c:numLit>
          </c:cat>
          <c:val>
            <c:numRef>
              <c:f>'Visual Summary'!$B$17</c:f>
              <c:numCache>
                <c:formatCode>#,##0_);\(#,##0\)</c:formatCode>
                <c:ptCount val="1"/>
                <c:pt idx="0">
                  <c:v>2403340.6631482961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6-AD68-45EA-A054-B3E4F9F3228E}"/>
            </c:ext>
          </c:extLst>
        </c:ser>
        <c:dLbls>
          <c:showLegendKey val="0"/>
          <c:showVal val="0"/>
          <c:showCatName val="0"/>
          <c:showSerName val="0"/>
          <c:showPercent val="0"/>
          <c:showBubbleSize val="0"/>
        </c:dLbls>
        <c:gapWidth val="150"/>
        <c:overlap val="100"/>
        <c:axId val="2063720912"/>
        <c:axId val="2036136816"/>
        <c:extLst/>
      </c:barChart>
      <c:catAx>
        <c:axId val="2063720912"/>
        <c:scaling>
          <c:orientation val="minMax"/>
        </c:scaling>
        <c:delete val="1"/>
        <c:axPos val="l"/>
        <c:numFmt formatCode="General" sourceLinked="1"/>
        <c:majorTickMark val="none"/>
        <c:minorTickMark val="none"/>
        <c:tickLblPos val="nextTo"/>
        <c:crossAx val="2036136816"/>
        <c:crosses val="autoZero"/>
        <c:auto val="1"/>
        <c:lblAlgn val="ctr"/>
        <c:lblOffset val="100"/>
        <c:noMultiLvlLbl val="1"/>
      </c:catAx>
      <c:valAx>
        <c:axId val="2036136816"/>
        <c:scaling>
          <c:orientation val="minMax"/>
        </c:scaling>
        <c:delete val="0"/>
        <c:axPos val="b"/>
        <c:majorGridlines>
          <c:spPr>
            <a:ln w="9525" cap="flat" cmpd="sng" algn="ctr">
              <a:solidFill>
                <a:schemeClr val="tx2">
                  <a:lumMod val="15000"/>
                  <a:lumOff val="85000"/>
                </a:schemeClr>
              </a:solidFill>
              <a:prstDash val="solid"/>
              <a:round/>
            </a:ln>
            <a:effectLst/>
          </c:spPr>
        </c:majorGridlines>
        <c:numFmt formatCode="#,##0_);\(#,##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3720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bg1">
          <a:lumMod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sz="1400">
                <a:solidFill>
                  <a:schemeClr val="tx2"/>
                </a:solidFill>
              </a:rPr>
              <a:t>Waste Emissions Details (mt CO</a:t>
            </a:r>
            <a:r>
              <a:rPr lang="en-US" sz="1400" baseline="-25000">
                <a:solidFill>
                  <a:schemeClr val="tx2"/>
                </a:solidFill>
              </a:rPr>
              <a:t>2</a:t>
            </a:r>
            <a:r>
              <a:rPr lang="en-US" sz="1400">
                <a:solidFill>
                  <a:schemeClr val="tx2"/>
                </a:solidFill>
              </a:rPr>
              <a:t>e)</a:t>
            </a:r>
          </a:p>
        </c:rich>
      </c:tx>
      <c:layout>
        <c:manualLayout>
          <c:xMode val="edge"/>
          <c:yMode val="edge"/>
          <c:x val="0.22725678040245001"/>
          <c:y val="2.77777777777778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lotArea>
      <c:layout/>
      <c:barChart>
        <c:barDir val="col"/>
        <c:grouping val="stacked"/>
        <c:varyColors val="0"/>
        <c:ser>
          <c:idx val="0"/>
          <c:order val="0"/>
          <c:tx>
            <c:strRef>
              <c:f>'Visual Summary'!$A$88</c:f>
              <c:strCache>
                <c:ptCount val="1"/>
                <c:pt idx="0">
                  <c:v>Solid Waste</c:v>
                </c:pt>
              </c:strCache>
            </c:strRef>
          </c:tx>
          <c:spPr>
            <a:solidFill>
              <a:schemeClr val="accent1"/>
            </a:solidFill>
            <a:ln>
              <a:noFill/>
            </a:ln>
            <a:effectLst/>
          </c:spPr>
          <c:invertIfNegative val="0"/>
          <c:cat>
            <c:numLit>
              <c:formatCode>General</c:formatCode>
              <c:ptCount val="1"/>
              <c:pt idx="0">
                <c:v>2018</c:v>
              </c:pt>
            </c:numLit>
          </c:cat>
          <c:val>
            <c:numRef>
              <c:f>'Visual Summary'!$B$88</c:f>
              <c:numCache>
                <c:formatCode>#,##0_);\(#,##0\)</c:formatCode>
                <c:ptCount val="1"/>
                <c:pt idx="0">
                  <c:v>169849.90290442202</c:v>
                </c:pt>
              </c:numCache>
            </c:numRef>
          </c:val>
          <c:extLst>
            <c:ext xmlns:c16="http://schemas.microsoft.com/office/drawing/2014/chart" uri="{C3380CC4-5D6E-409C-BE32-E72D297353CC}">
              <c16:uniqueId val="{00000000-F084-4266-816B-A7226FA07860}"/>
            </c:ext>
          </c:extLst>
        </c:ser>
        <c:ser>
          <c:idx val="1"/>
          <c:order val="1"/>
          <c:tx>
            <c:strRef>
              <c:f>'Visual Summary'!$A$89</c:f>
              <c:strCache>
                <c:ptCount val="1"/>
                <c:pt idx="0">
                  <c:v>Wastewater</c:v>
                </c:pt>
              </c:strCache>
            </c:strRef>
          </c:tx>
          <c:spPr>
            <a:solidFill>
              <a:schemeClr val="accent3"/>
            </a:solidFill>
            <a:ln>
              <a:noFill/>
            </a:ln>
            <a:effectLst/>
          </c:spPr>
          <c:invertIfNegative val="0"/>
          <c:cat>
            <c:numLit>
              <c:formatCode>General</c:formatCode>
              <c:ptCount val="1"/>
              <c:pt idx="0">
                <c:v>2018</c:v>
              </c:pt>
            </c:numLit>
          </c:cat>
          <c:val>
            <c:numRef>
              <c:f>'Visual Summary'!$B$89</c:f>
              <c:numCache>
                <c:formatCode>#,##0_);\(#,##0\)</c:formatCode>
                <c:ptCount val="1"/>
                <c:pt idx="0">
                  <c:v>5666</c:v>
                </c:pt>
              </c:numCache>
            </c:numRef>
          </c:val>
          <c:extLst>
            <c:ext xmlns:c16="http://schemas.microsoft.com/office/drawing/2014/chart" uri="{C3380CC4-5D6E-409C-BE32-E72D297353CC}">
              <c16:uniqueId val="{00000001-F084-4266-816B-A7226FA07860}"/>
            </c:ext>
          </c:extLst>
        </c:ser>
        <c:dLbls>
          <c:showLegendKey val="0"/>
          <c:showVal val="0"/>
          <c:showCatName val="0"/>
          <c:showSerName val="0"/>
          <c:showPercent val="0"/>
          <c:showBubbleSize val="0"/>
        </c:dLbls>
        <c:gapWidth val="150"/>
        <c:overlap val="100"/>
        <c:axId val="2032322288"/>
        <c:axId val="2038071504"/>
      </c:barChart>
      <c:catAx>
        <c:axId val="2032322288"/>
        <c:scaling>
          <c:orientation val="minMax"/>
        </c:scaling>
        <c:delete val="1"/>
        <c:axPos val="b"/>
        <c:numFmt formatCode="General" sourceLinked="1"/>
        <c:majorTickMark val="none"/>
        <c:minorTickMark val="none"/>
        <c:tickLblPos val="nextTo"/>
        <c:crossAx val="2038071504"/>
        <c:crosses val="autoZero"/>
        <c:auto val="1"/>
        <c:lblAlgn val="ctr"/>
        <c:lblOffset val="100"/>
        <c:noMultiLvlLbl val="0"/>
      </c:catAx>
      <c:valAx>
        <c:axId val="203807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GHG Emissions (mt CO</a:t>
                </a:r>
                <a:r>
                  <a:rPr lang="en-US" sz="1000" b="0" i="0" baseline="-25000">
                    <a:effectLst/>
                  </a:rPr>
                  <a:t>2</a:t>
                </a:r>
                <a:r>
                  <a:rPr lang="en-US" sz="1000" b="0" i="0" baseline="0">
                    <a:effectLst/>
                  </a:rPr>
                  <a:t>e)</a:t>
                </a:r>
                <a:endParaRPr lang="en-US" sz="1000">
                  <a:effectLst/>
                </a:endParaRPr>
              </a:p>
            </c:rich>
          </c:tx>
          <c:layout>
            <c:manualLayout>
              <c:xMode val="edge"/>
              <c:yMode val="edge"/>
              <c:x val="2.4532352039251762E-2"/>
              <c:y val="0.239898530271655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232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i="0" baseline="0">
                <a:effectLst/>
              </a:rPr>
              <a:t>Waste Emissions Details (mt CO</a:t>
            </a:r>
            <a:r>
              <a:rPr lang="en-US" sz="1400" b="0" i="0" baseline="-25000">
                <a:effectLst/>
              </a:rPr>
              <a:t>2</a:t>
            </a:r>
            <a:r>
              <a:rPr lang="en-US" sz="1400" b="0" i="0" baseline="0">
                <a:effectLst/>
              </a:rPr>
              <a:t>e)</a:t>
            </a:r>
            <a:endParaRPr lang="en-US" sz="1400">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8DC0-4BE4-8006-1117223E05E6}"/>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8DC0-4BE4-8006-1117223E05E6}"/>
              </c:ext>
            </c:extLst>
          </c:dPt>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1-8DC0-4BE4-8006-1117223E05E6}"/>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'Visual Summary'!$A$88:$A$89</c:f>
              <c:strCache>
                <c:ptCount val="2"/>
                <c:pt idx="0">
                  <c:v>Solid Waste</c:v>
                </c:pt>
                <c:pt idx="1">
                  <c:v>Wastewater</c:v>
                </c:pt>
              </c:strCache>
            </c:strRef>
          </c:cat>
          <c:val>
            <c:numRef>
              <c:f>'Visual Summary'!$B$88:$B$89</c:f>
              <c:numCache>
                <c:formatCode>#,##0_);\(#,##0\)</c:formatCode>
                <c:ptCount val="2"/>
                <c:pt idx="0">
                  <c:v>169849.90290442202</c:v>
                </c:pt>
                <c:pt idx="1">
                  <c:v>5666</c:v>
                </c:pt>
              </c:numCache>
            </c:numRef>
          </c:val>
          <c:extLst>
            <c:ext xmlns:c16="http://schemas.microsoft.com/office/drawing/2014/chart" uri="{C3380CC4-5D6E-409C-BE32-E72D297353CC}">
              <c16:uniqueId val="{00000000-7F7A-4D4C-B878-C6B1A084F9A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0489497056994113"/>
          <c:y val="0.37915459682583924"/>
          <c:w val="0.35144075324382756"/>
          <c:h val="0.429736788838461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sz="1400" b="0" i="0" baseline="0">
                <a:solidFill>
                  <a:schemeClr val="tx2"/>
                </a:solidFill>
                <a:effectLst/>
              </a:rPr>
              <a:t>Core Emissions by Sector  (mt CO</a:t>
            </a:r>
            <a:r>
              <a:rPr lang="en-US" sz="1400" b="0" i="0" baseline="-25000">
                <a:solidFill>
                  <a:schemeClr val="tx2"/>
                </a:solidFill>
                <a:effectLst/>
              </a:rPr>
              <a:t>2</a:t>
            </a:r>
            <a:r>
              <a:rPr lang="en-US" sz="1400" b="0" i="0" baseline="0">
                <a:solidFill>
                  <a:schemeClr val="tx2"/>
                </a:solidFill>
                <a:effectLst/>
              </a:rPr>
              <a:t>e)</a:t>
            </a:r>
            <a:endParaRPr lang="en-US" sz="1400">
              <a:solidFill>
                <a:schemeClr val="tx2"/>
              </a:solidFill>
              <a:effectLst/>
            </a:endParaRPr>
          </a:p>
        </c:rich>
      </c:tx>
      <c:layout>
        <c:manualLayout>
          <c:xMode val="edge"/>
          <c:yMode val="edge"/>
          <c:x val="0.21461822184633716"/>
          <c:y val="2.08877284595300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lotArea>
      <c:layout>
        <c:manualLayout>
          <c:layoutTarget val="inner"/>
          <c:xMode val="edge"/>
          <c:yMode val="edge"/>
          <c:x val="0.12526721057458176"/>
          <c:y val="0.19332174642823727"/>
          <c:w val="0.77387127249154097"/>
          <c:h val="0.41295259913507304"/>
        </c:manualLayout>
      </c:layout>
      <c:barChart>
        <c:barDir val="bar"/>
        <c:grouping val="stacked"/>
        <c:varyColors val="0"/>
        <c:ser>
          <c:idx val="0"/>
          <c:order val="0"/>
          <c:tx>
            <c:strRef>
              <c:f>'Visual Summary'!$A$43</c:f>
              <c:strCache>
                <c:ptCount val="1"/>
                <c:pt idx="0">
                  <c:v>Buildings</c:v>
                </c:pt>
              </c:strCache>
            </c:strRef>
          </c:tx>
          <c:spPr>
            <a:solidFill>
              <a:schemeClr val="accent1"/>
            </a:solidFill>
            <a:ln>
              <a:noFill/>
            </a:ln>
            <a:effectLst/>
          </c:spPr>
          <c:invertIfNegative val="0"/>
          <c:val>
            <c:numRef>
              <c:f>'Visual Summary'!$B$43</c:f>
              <c:numCache>
                <c:formatCode>#,##0_);\(#,##0\)</c:formatCode>
                <c:ptCount val="1"/>
                <c:pt idx="0">
                  <c:v>5350440.6138168564</c:v>
                </c:pt>
              </c:numCache>
            </c:numRef>
          </c:val>
          <c:extLst>
            <c:ext xmlns:c16="http://schemas.microsoft.com/office/drawing/2014/chart" uri="{C3380CC4-5D6E-409C-BE32-E72D297353CC}">
              <c16:uniqueId val="{00000000-7175-4E41-9522-88FD51276C70}"/>
            </c:ext>
          </c:extLst>
        </c:ser>
        <c:ser>
          <c:idx val="1"/>
          <c:order val="1"/>
          <c:tx>
            <c:strRef>
              <c:f>'Visual Summary'!$A$44</c:f>
              <c:strCache>
                <c:ptCount val="1"/>
                <c:pt idx="0">
                  <c:v>Transportation</c:v>
                </c:pt>
              </c:strCache>
            </c:strRef>
          </c:tx>
          <c:spPr>
            <a:solidFill>
              <a:schemeClr val="accent3"/>
            </a:solidFill>
            <a:ln>
              <a:noFill/>
            </a:ln>
            <a:effectLst/>
          </c:spPr>
          <c:invertIfNegative val="0"/>
          <c:val>
            <c:numRef>
              <c:f>'Visual Summary'!$B$44</c:f>
              <c:numCache>
                <c:formatCode>#,##0_);\(#,##0\)</c:formatCode>
                <c:ptCount val="1"/>
                <c:pt idx="0">
                  <c:v>2737514.9219724517</c:v>
                </c:pt>
              </c:numCache>
            </c:numRef>
          </c:val>
          <c:extLst>
            <c:ext xmlns:c16="http://schemas.microsoft.com/office/drawing/2014/chart" uri="{C3380CC4-5D6E-409C-BE32-E72D297353CC}">
              <c16:uniqueId val="{00000001-7175-4E41-9522-88FD51276C70}"/>
            </c:ext>
          </c:extLst>
        </c:ser>
        <c:ser>
          <c:idx val="2"/>
          <c:order val="2"/>
          <c:tx>
            <c:strRef>
              <c:f>'Visual Summary'!$A$45</c:f>
              <c:strCache>
                <c:ptCount val="1"/>
                <c:pt idx="0">
                  <c:v>Solid Waste</c:v>
                </c:pt>
              </c:strCache>
            </c:strRef>
          </c:tx>
          <c:spPr>
            <a:solidFill>
              <a:schemeClr val="accent5"/>
            </a:solidFill>
            <a:ln>
              <a:noFill/>
            </a:ln>
            <a:effectLst/>
          </c:spPr>
          <c:invertIfNegative val="0"/>
          <c:val>
            <c:numRef>
              <c:f>'Visual Summary'!$B$45</c:f>
              <c:numCache>
                <c:formatCode>#,##0_);\(#,##0\)</c:formatCode>
                <c:ptCount val="1"/>
                <c:pt idx="0">
                  <c:v>169849.90290442202</c:v>
                </c:pt>
              </c:numCache>
            </c:numRef>
          </c:val>
          <c:extLst>
            <c:ext xmlns:c16="http://schemas.microsoft.com/office/drawing/2014/chart" uri="{C3380CC4-5D6E-409C-BE32-E72D297353CC}">
              <c16:uniqueId val="{00000002-7175-4E41-9522-88FD51276C70}"/>
            </c:ext>
          </c:extLst>
        </c:ser>
        <c:dLbls>
          <c:showLegendKey val="0"/>
          <c:showVal val="0"/>
          <c:showCatName val="0"/>
          <c:showSerName val="0"/>
          <c:showPercent val="0"/>
          <c:showBubbleSize val="0"/>
        </c:dLbls>
        <c:gapWidth val="150"/>
        <c:overlap val="100"/>
        <c:axId val="2034513472"/>
        <c:axId val="2034462528"/>
        <c:extLst/>
      </c:barChart>
      <c:catAx>
        <c:axId val="2034513472"/>
        <c:scaling>
          <c:orientation val="minMax"/>
        </c:scaling>
        <c:delete val="1"/>
        <c:axPos val="l"/>
        <c:numFmt formatCode="General" sourceLinked="1"/>
        <c:majorTickMark val="none"/>
        <c:minorTickMark val="none"/>
        <c:tickLblPos val="nextTo"/>
        <c:crossAx val="2034462528"/>
        <c:crosses val="autoZero"/>
        <c:auto val="1"/>
        <c:lblAlgn val="ctr"/>
        <c:lblOffset val="100"/>
        <c:noMultiLvlLbl val="0"/>
      </c:catAx>
      <c:valAx>
        <c:axId val="2034462528"/>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4513472"/>
        <c:crosses val="autoZero"/>
        <c:crossBetween val="between"/>
      </c:valAx>
      <c:spPr>
        <a:noFill/>
        <a:ln>
          <a:noFill/>
        </a:ln>
        <a:effectLst/>
      </c:spPr>
    </c:plotArea>
    <c:legend>
      <c:legendPos val="r"/>
      <c:layout>
        <c:manualLayout>
          <c:xMode val="edge"/>
          <c:yMode val="edge"/>
          <c:x val="0.15294485026721055"/>
          <c:y val="0.76096884456467884"/>
          <c:w val="0.71151298105809069"/>
          <c:h val="0.142105789712659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i="0" baseline="0">
                <a:effectLst/>
              </a:rPr>
              <a:t>Core Emissions by Sector  </a:t>
            </a:r>
            <a:r>
              <a:rPr lang="mr-IN" sz="1400" b="0" i="0" baseline="0">
                <a:effectLst/>
              </a:rPr>
              <a:t>(mt CO</a:t>
            </a:r>
            <a:r>
              <a:rPr lang="mr-IN" sz="1400" b="0" i="0" baseline="-25000">
                <a:effectLst/>
              </a:rPr>
              <a:t>2</a:t>
            </a:r>
            <a:r>
              <a:rPr lang="mr-IN" sz="1400" b="0" i="0" baseline="0">
                <a:effectLst/>
              </a:rPr>
              <a:t>e)</a:t>
            </a:r>
            <a:endParaRPr lang="mr-IN" sz="1400">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3208513506213557"/>
          <c:y val="0.23633912988381939"/>
          <c:w val="0.34239183839360821"/>
          <c:h val="0.70513855848487117"/>
        </c:manualLayout>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0A1-4FBC-95D7-D6D20488CEA3}"/>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40A1-4FBC-95D7-D6D20488CEA3}"/>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40A1-4FBC-95D7-D6D20488CEA3}"/>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40A1-4FBC-95D7-D6D20488CEA3}"/>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40A1-4FBC-95D7-D6D20488CEA3}"/>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40A1-4FBC-95D7-D6D20488CEA3}"/>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D-40A1-4FBC-95D7-D6D20488CEA3}"/>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F-40A1-4FBC-95D7-D6D20488CEA3}"/>
              </c:ext>
            </c:extLst>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1-40A1-4FBC-95D7-D6D20488CEA3}"/>
              </c:ext>
            </c:extLst>
          </c:dPt>
          <c:dPt>
            <c:idx val="9"/>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3-40A1-4FBC-95D7-D6D20488CEA3}"/>
              </c:ext>
            </c:extLst>
          </c:dPt>
          <c:dPt>
            <c:idx val="1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5-40A1-4FBC-95D7-D6D20488CEA3}"/>
              </c:ext>
            </c:extLst>
          </c:dPt>
          <c:dPt>
            <c:idx val="11"/>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7-40A1-4FBC-95D7-D6D20488CEA3}"/>
              </c:ext>
            </c:extLst>
          </c:dPt>
          <c:dPt>
            <c:idx val="1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9-40A1-4FBC-95D7-D6D20488CEA3}"/>
              </c:ext>
            </c:extLst>
          </c:dPt>
          <c:dPt>
            <c:idx val="13"/>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B-40A1-4FBC-95D7-D6D20488CEA3}"/>
              </c:ext>
            </c:extLst>
          </c:dPt>
          <c:dPt>
            <c:idx val="14"/>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D-40A1-4FBC-95D7-D6D20488CEA3}"/>
              </c:ext>
            </c:extLst>
          </c:dPt>
          <c:dPt>
            <c:idx val="15"/>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1F-40A1-4FBC-95D7-D6D20488CEA3}"/>
              </c:ext>
            </c:extLst>
          </c:dPt>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40A1-4FBC-95D7-D6D20488CEA3}"/>
                </c:ext>
              </c:extLst>
            </c:dLbl>
            <c:dLbl>
              <c:idx val="1"/>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3-40A1-4FBC-95D7-D6D20488CEA3}"/>
                </c:ext>
              </c:extLst>
            </c:dLbl>
            <c:dLbl>
              <c:idx val="2"/>
              <c:layout>
                <c:manualLayout>
                  <c:x val="-0.15503039251749856"/>
                  <c:y val="7.555983080754262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0A1-4FBC-95D7-D6D20488CEA3}"/>
                </c:ext>
              </c:extLst>
            </c:dLbl>
            <c:dLbl>
              <c:idx val="4"/>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9-40A1-4FBC-95D7-D6D20488CEA3}"/>
                </c:ext>
              </c:extLst>
            </c:dLbl>
            <c:dLbl>
              <c:idx val="5"/>
              <c:layout>
                <c:manualLayout>
                  <c:x val="1.3740998721313681E-2"/>
                  <c:y val="3.18074167448974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0A1-4FBC-95D7-D6D20488CEA3}"/>
                </c:ext>
              </c:extLst>
            </c:dLbl>
            <c:dLbl>
              <c:idx val="6"/>
              <c:layout>
                <c:manualLayout>
                  <c:x val="1.3463481183557091E-2"/>
                  <c:y val="-1.3033998182133848E-2"/>
                </c:manualLayout>
              </c:layout>
              <c:numFmt formatCode="0%" sourceLinked="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40A1-4FBC-95D7-D6D20488CEA3}"/>
                </c:ext>
              </c:extLst>
            </c:dLbl>
            <c:dLbl>
              <c:idx val="8"/>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11-40A1-4FBC-95D7-D6D20488CEA3}"/>
                </c:ext>
              </c:extLst>
            </c:dLbl>
            <c:dLbl>
              <c:idx val="1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15-40A1-4FBC-95D7-D6D20488CEA3}"/>
                </c:ext>
              </c:extLst>
            </c:dLbl>
            <c:dLbl>
              <c:idx val="11"/>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17-40A1-4FBC-95D7-D6D20488CEA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'Visual Summary'!$A$43:$A$45</c:f>
              <c:strCache>
                <c:ptCount val="3"/>
                <c:pt idx="0">
                  <c:v>Buildings</c:v>
                </c:pt>
                <c:pt idx="1">
                  <c:v>Transportation</c:v>
                </c:pt>
                <c:pt idx="2">
                  <c:v>Solid Waste</c:v>
                </c:pt>
              </c:strCache>
            </c:strRef>
          </c:cat>
          <c:val>
            <c:numRef>
              <c:f>'Visual Summary'!$B$43:$B$45</c:f>
              <c:numCache>
                <c:formatCode>#,##0_);\(#,##0\)</c:formatCode>
                <c:ptCount val="3"/>
                <c:pt idx="0">
                  <c:v>5350440.6138168564</c:v>
                </c:pt>
                <c:pt idx="1">
                  <c:v>2737514.9219724517</c:v>
                </c:pt>
                <c:pt idx="2">
                  <c:v>169849.90290442202</c:v>
                </c:pt>
              </c:numCache>
            </c:numRef>
          </c:val>
          <c:extLst>
            <c:ext xmlns:c16="http://schemas.microsoft.com/office/drawing/2014/chart" uri="{C3380CC4-5D6E-409C-BE32-E72D297353CC}">
              <c16:uniqueId val="{00000020-40A1-4FBC-95D7-D6D20488CEA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i="0" baseline="0">
                <a:effectLst/>
              </a:rPr>
              <a:t>Core Emissions by Source  </a:t>
            </a:r>
            <a:r>
              <a:rPr lang="mr-IN" sz="1400" b="0" i="0" baseline="0">
                <a:effectLst/>
              </a:rPr>
              <a:t>(mt CO</a:t>
            </a:r>
            <a:r>
              <a:rPr lang="mr-IN" sz="1400" b="0" i="0" baseline="-25000">
                <a:effectLst/>
              </a:rPr>
              <a:t>2</a:t>
            </a:r>
            <a:r>
              <a:rPr lang="mr-IN" sz="1400" b="0" i="0" baseline="0">
                <a:effectLst/>
              </a:rPr>
              <a:t>e)</a:t>
            </a:r>
            <a:endParaRPr lang="mr-IN" sz="1400">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33522783082066432"/>
          <c:y val="0.28680520709698826"/>
          <c:w val="0.49155995994367713"/>
          <c:h val="0.51309055118110236"/>
        </c:manualLayout>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827-4ED6-883E-44DD1BCA2824}"/>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C827-4ED6-883E-44DD1BCA2824}"/>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C827-4ED6-883E-44DD1BCA2824}"/>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C827-4ED6-883E-44DD1BCA2824}"/>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C827-4ED6-883E-44DD1BCA2824}"/>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C827-4ED6-883E-44DD1BCA2824}"/>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D-C827-4ED6-883E-44DD1BCA2824}"/>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F-C827-4ED6-883E-44DD1BCA2824}"/>
              </c:ext>
            </c:extLst>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1-C827-4ED6-883E-44DD1BCA2824}"/>
              </c:ext>
            </c:extLst>
          </c:dPt>
          <c:dPt>
            <c:idx val="9"/>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3-C827-4ED6-883E-44DD1BCA2824}"/>
              </c:ext>
            </c:extLst>
          </c:dPt>
          <c:dPt>
            <c:idx val="1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5-C827-4ED6-883E-44DD1BCA2824}"/>
              </c:ext>
            </c:extLst>
          </c:dPt>
          <c:dPt>
            <c:idx val="11"/>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7-C827-4ED6-883E-44DD1BCA2824}"/>
              </c:ext>
            </c:extLst>
          </c:dPt>
          <c:dPt>
            <c:idx val="1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9-C827-4ED6-883E-44DD1BCA2824}"/>
              </c:ext>
            </c:extLst>
          </c:dPt>
          <c:dPt>
            <c:idx val="13"/>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B-C827-4ED6-883E-44DD1BCA2824}"/>
              </c:ext>
            </c:extLst>
          </c:dPt>
          <c:dPt>
            <c:idx val="14"/>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D-C827-4ED6-883E-44DD1BCA2824}"/>
              </c:ext>
            </c:extLst>
          </c:dPt>
          <c:dPt>
            <c:idx val="15"/>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1F-C827-4ED6-883E-44DD1BCA2824}"/>
              </c:ext>
            </c:extLst>
          </c:dPt>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C827-4ED6-883E-44DD1BCA2824}"/>
                </c:ext>
              </c:extLst>
            </c:dLbl>
            <c:dLbl>
              <c:idx val="1"/>
              <c:layout>
                <c:manualLayout>
                  <c:x val="0.26677837832412438"/>
                  <c:y val="-2.5832593460150743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827-4ED6-883E-44DD1BCA2824}"/>
                </c:ext>
              </c:extLst>
            </c:dLbl>
            <c:dLbl>
              <c:idx val="2"/>
              <c:layout>
                <c:manualLayout>
                  <c:x val="2.3700034627602715E-2"/>
                  <c:y val="0.108454025903069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827-4ED6-883E-44DD1BCA2824}"/>
                </c:ext>
              </c:extLst>
            </c:dLbl>
            <c:dLbl>
              <c:idx val="3"/>
              <c:layout>
                <c:manualLayout>
                  <c:x val="-2.3549178723596454E-2"/>
                  <c:y val="4.4392390955286468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827-4ED6-883E-44DD1BCA2824}"/>
                </c:ext>
              </c:extLst>
            </c:dLbl>
            <c:dLbl>
              <c:idx val="4"/>
              <c:layout>
                <c:manualLayout>
                  <c:x val="-5.8663173795436181E-2"/>
                  <c:y val="0.13158420531807766"/>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827-4ED6-883E-44DD1BCA2824}"/>
                </c:ext>
              </c:extLst>
            </c:dLbl>
            <c:dLbl>
              <c:idx val="5"/>
              <c:layout>
                <c:manualLayout>
                  <c:x val="-0.21060568193794132"/>
                  <c:y val="8.255713249857228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827-4ED6-883E-44DD1BCA2824}"/>
                </c:ext>
              </c:extLst>
            </c:dLbl>
            <c:dLbl>
              <c:idx val="6"/>
              <c:layout>
                <c:manualLayout>
                  <c:x val="5.8152291193046372E-3"/>
                  <c:y val="-3.1488445626949906E-2"/>
                </c:manualLayout>
              </c:layout>
              <c:numFmt formatCode="0%" sourceLinked="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C827-4ED6-883E-44DD1BCA2824}"/>
                </c:ext>
              </c:extLst>
            </c:dLbl>
            <c:dLbl>
              <c:idx val="7"/>
              <c:layout>
                <c:manualLayout>
                  <c:x val="0.19115450434852432"/>
                  <c:y val="3.590806779030516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C827-4ED6-883E-44DD1BCA2824}"/>
                </c:ext>
              </c:extLst>
            </c:dLbl>
            <c:dLbl>
              <c:idx val="8"/>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11-C827-4ED6-883E-44DD1BCA2824}"/>
                </c:ext>
              </c:extLst>
            </c:dLbl>
            <c:dLbl>
              <c:idx val="1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15-C827-4ED6-883E-44DD1BCA2824}"/>
                </c:ext>
              </c:extLst>
            </c:dLbl>
            <c:dLbl>
              <c:idx val="11"/>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17-C827-4ED6-883E-44DD1BCA282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'Visual Summary'!$A$50:$A$57</c:f>
              <c:strCache>
                <c:ptCount val="8"/>
                <c:pt idx="0">
                  <c:v>Building Electricity</c:v>
                </c:pt>
                <c:pt idx="1">
                  <c:v>Natural Gas (including fugitive emissions)</c:v>
                </c:pt>
                <c:pt idx="2">
                  <c:v>Propane</c:v>
                </c:pt>
                <c:pt idx="3">
                  <c:v>Stationary Diesel</c:v>
                </c:pt>
                <c:pt idx="4">
                  <c:v>On-Road Transportation including Electric Vehicles</c:v>
                </c:pt>
                <c:pt idx="5">
                  <c:v>Transit (including light rail)</c:v>
                </c:pt>
                <c:pt idx="6">
                  <c:v>Landfilled Waste</c:v>
                </c:pt>
                <c:pt idx="7">
                  <c:v>Composted Waste</c:v>
                </c:pt>
              </c:strCache>
            </c:strRef>
          </c:cat>
          <c:val>
            <c:numRef>
              <c:f>'Visual Summary'!$B$50:$B$57</c:f>
              <c:numCache>
                <c:formatCode>#,##0_);\(#,##0\)</c:formatCode>
                <c:ptCount val="8"/>
                <c:pt idx="0">
                  <c:v>3420518.2063317443</c:v>
                </c:pt>
                <c:pt idx="1">
                  <c:v>1911671.6045524001</c:v>
                </c:pt>
                <c:pt idx="2">
                  <c:v>3656.3364721118801</c:v>
                </c:pt>
                <c:pt idx="3">
                  <c:v>14594.466460600002</c:v>
                </c:pt>
                <c:pt idx="4">
                  <c:v>2670048.0664684745</c:v>
                </c:pt>
                <c:pt idx="5">
                  <c:v>67466.855503977218</c:v>
                </c:pt>
                <c:pt idx="6">
                  <c:v>167488.42052842202</c:v>
                </c:pt>
                <c:pt idx="7">
                  <c:v>2361.4823759999999</c:v>
                </c:pt>
              </c:numCache>
            </c:numRef>
          </c:val>
          <c:extLst>
            <c:ext xmlns:c16="http://schemas.microsoft.com/office/drawing/2014/chart" uri="{C3380CC4-5D6E-409C-BE32-E72D297353CC}">
              <c16:uniqueId val="{00000020-C827-4ED6-883E-44DD1BCA282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sz="1400" b="0" i="0" baseline="0">
                <a:solidFill>
                  <a:schemeClr val="tx2"/>
                </a:solidFill>
                <a:effectLst/>
              </a:rPr>
              <a:t>Core Emissions by Source (mt CO</a:t>
            </a:r>
            <a:r>
              <a:rPr lang="en-US" sz="1400" b="0" i="0" baseline="-25000">
                <a:solidFill>
                  <a:schemeClr val="tx2"/>
                </a:solidFill>
                <a:effectLst/>
              </a:rPr>
              <a:t>2</a:t>
            </a:r>
            <a:r>
              <a:rPr lang="en-US" sz="1400" b="0" i="0" baseline="0">
                <a:solidFill>
                  <a:schemeClr val="tx2"/>
                </a:solidFill>
                <a:effectLst/>
              </a:rPr>
              <a:t>e)</a:t>
            </a:r>
            <a:endParaRPr lang="en-US" sz="1400">
              <a:solidFill>
                <a:schemeClr val="tx2"/>
              </a:solidFill>
              <a:effectLst/>
            </a:endParaRPr>
          </a:p>
        </c:rich>
      </c:tx>
      <c:layout>
        <c:manualLayout>
          <c:xMode val="edge"/>
          <c:yMode val="edge"/>
          <c:x val="0.21461822184633716"/>
          <c:y val="2.08877284595300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lotArea>
      <c:layout>
        <c:manualLayout>
          <c:layoutTarget val="inner"/>
          <c:xMode val="edge"/>
          <c:yMode val="edge"/>
          <c:x val="0.28339974511573751"/>
          <c:y val="0.17788968824939999"/>
          <c:w val="0.33210416498496864"/>
          <c:h val="0.69587457661281493"/>
        </c:manualLayout>
      </c:layout>
      <c:barChart>
        <c:barDir val="col"/>
        <c:grouping val="stacked"/>
        <c:varyColors val="0"/>
        <c:ser>
          <c:idx val="0"/>
          <c:order val="0"/>
          <c:tx>
            <c:strRef>
              <c:f>'Visual Summary'!$A$50</c:f>
              <c:strCache>
                <c:ptCount val="1"/>
                <c:pt idx="0">
                  <c:v>Building Electricity</c:v>
                </c:pt>
              </c:strCache>
            </c:strRef>
          </c:tx>
          <c:spPr>
            <a:solidFill>
              <a:schemeClr val="accent1"/>
            </a:solidFill>
            <a:ln>
              <a:noFill/>
            </a:ln>
            <a:effectLst/>
          </c:spPr>
          <c:invertIfNegative val="0"/>
          <c:val>
            <c:numRef>
              <c:f>'Visual Summary'!$B$50</c:f>
              <c:numCache>
                <c:formatCode>#,##0_);\(#,##0\)</c:formatCode>
                <c:ptCount val="1"/>
                <c:pt idx="0">
                  <c:v>3420518.2063317443</c:v>
                </c:pt>
              </c:numCache>
            </c:numRef>
          </c:val>
          <c:extLst>
            <c:ext xmlns:c16="http://schemas.microsoft.com/office/drawing/2014/chart" uri="{C3380CC4-5D6E-409C-BE32-E72D297353CC}">
              <c16:uniqueId val="{00000000-B8C1-4AB3-A206-AF31225373EE}"/>
            </c:ext>
          </c:extLst>
        </c:ser>
        <c:ser>
          <c:idx val="1"/>
          <c:order val="1"/>
          <c:tx>
            <c:strRef>
              <c:f>'Visual Summary'!$A$51</c:f>
              <c:strCache>
                <c:ptCount val="1"/>
                <c:pt idx="0">
                  <c:v>Natural Gas (including fugitive emissions)</c:v>
                </c:pt>
              </c:strCache>
            </c:strRef>
          </c:tx>
          <c:spPr>
            <a:solidFill>
              <a:schemeClr val="accent3"/>
            </a:solidFill>
            <a:ln>
              <a:noFill/>
            </a:ln>
            <a:effectLst/>
          </c:spPr>
          <c:invertIfNegative val="0"/>
          <c:val>
            <c:numRef>
              <c:f>'Visual Summary'!$B$51</c:f>
              <c:numCache>
                <c:formatCode>#,##0_);\(#,##0\)</c:formatCode>
                <c:ptCount val="1"/>
                <c:pt idx="0">
                  <c:v>1911671.6045524001</c:v>
                </c:pt>
              </c:numCache>
            </c:numRef>
          </c:val>
          <c:extLst>
            <c:ext xmlns:c16="http://schemas.microsoft.com/office/drawing/2014/chart" uri="{C3380CC4-5D6E-409C-BE32-E72D297353CC}">
              <c16:uniqueId val="{00000001-B8C1-4AB3-A206-AF31225373EE}"/>
            </c:ext>
          </c:extLst>
        </c:ser>
        <c:ser>
          <c:idx val="2"/>
          <c:order val="2"/>
          <c:tx>
            <c:strRef>
              <c:f>'Visual Summary'!$A$52</c:f>
              <c:strCache>
                <c:ptCount val="1"/>
                <c:pt idx="0">
                  <c:v>Propane</c:v>
                </c:pt>
              </c:strCache>
            </c:strRef>
          </c:tx>
          <c:spPr>
            <a:solidFill>
              <a:schemeClr val="accent5"/>
            </a:solidFill>
            <a:ln>
              <a:noFill/>
            </a:ln>
            <a:effectLst/>
          </c:spPr>
          <c:invertIfNegative val="0"/>
          <c:val>
            <c:numRef>
              <c:f>'Visual Summary'!$B$52</c:f>
              <c:numCache>
                <c:formatCode>#,##0_);\(#,##0\)</c:formatCode>
                <c:ptCount val="1"/>
                <c:pt idx="0">
                  <c:v>3656.3364721118801</c:v>
                </c:pt>
              </c:numCache>
            </c:numRef>
          </c:val>
          <c:extLst>
            <c:ext xmlns:c16="http://schemas.microsoft.com/office/drawing/2014/chart" uri="{C3380CC4-5D6E-409C-BE32-E72D297353CC}">
              <c16:uniqueId val="{00000002-B8C1-4AB3-A206-AF31225373EE}"/>
            </c:ext>
          </c:extLst>
        </c:ser>
        <c:ser>
          <c:idx val="3"/>
          <c:order val="3"/>
          <c:tx>
            <c:strRef>
              <c:f>'Visual Summary'!$A$53</c:f>
              <c:strCache>
                <c:ptCount val="1"/>
                <c:pt idx="0">
                  <c:v>Stationary Diesel</c:v>
                </c:pt>
              </c:strCache>
            </c:strRef>
          </c:tx>
          <c:spPr>
            <a:solidFill>
              <a:schemeClr val="accent1">
                <a:lumMod val="60000"/>
              </a:schemeClr>
            </a:solidFill>
            <a:ln>
              <a:noFill/>
            </a:ln>
            <a:effectLst/>
          </c:spPr>
          <c:invertIfNegative val="0"/>
          <c:val>
            <c:numRef>
              <c:f>'Visual Summary'!$B$53</c:f>
              <c:numCache>
                <c:formatCode>#,##0_);\(#,##0\)</c:formatCode>
                <c:ptCount val="1"/>
                <c:pt idx="0">
                  <c:v>14594.466460600002</c:v>
                </c:pt>
              </c:numCache>
            </c:numRef>
          </c:val>
          <c:extLst>
            <c:ext xmlns:c16="http://schemas.microsoft.com/office/drawing/2014/chart" uri="{C3380CC4-5D6E-409C-BE32-E72D297353CC}">
              <c16:uniqueId val="{00000003-B8C1-4AB3-A206-AF31225373EE}"/>
            </c:ext>
          </c:extLst>
        </c:ser>
        <c:ser>
          <c:idx val="4"/>
          <c:order val="4"/>
          <c:tx>
            <c:strRef>
              <c:f>'Visual Summary'!$A$54</c:f>
              <c:strCache>
                <c:ptCount val="1"/>
                <c:pt idx="0">
                  <c:v>On-Road Transportation including Electric Vehicles</c:v>
                </c:pt>
              </c:strCache>
            </c:strRef>
          </c:tx>
          <c:spPr>
            <a:solidFill>
              <a:schemeClr val="accent3">
                <a:lumMod val="60000"/>
              </a:schemeClr>
            </a:solidFill>
            <a:ln>
              <a:noFill/>
            </a:ln>
            <a:effectLst/>
          </c:spPr>
          <c:invertIfNegative val="0"/>
          <c:val>
            <c:numRef>
              <c:f>'Visual Summary'!$B$54</c:f>
              <c:numCache>
                <c:formatCode>#,##0_);\(#,##0\)</c:formatCode>
                <c:ptCount val="1"/>
                <c:pt idx="0">
                  <c:v>2670048.0664684745</c:v>
                </c:pt>
              </c:numCache>
            </c:numRef>
          </c:val>
          <c:extLst>
            <c:ext xmlns:c16="http://schemas.microsoft.com/office/drawing/2014/chart" uri="{C3380CC4-5D6E-409C-BE32-E72D297353CC}">
              <c16:uniqueId val="{00000004-B8C1-4AB3-A206-AF31225373EE}"/>
            </c:ext>
          </c:extLst>
        </c:ser>
        <c:ser>
          <c:idx val="5"/>
          <c:order val="5"/>
          <c:tx>
            <c:strRef>
              <c:f>'Visual Summary'!$A$55</c:f>
              <c:strCache>
                <c:ptCount val="1"/>
                <c:pt idx="0">
                  <c:v>Transit (including light rail)</c:v>
                </c:pt>
              </c:strCache>
            </c:strRef>
          </c:tx>
          <c:spPr>
            <a:solidFill>
              <a:schemeClr val="accent5">
                <a:lumMod val="60000"/>
              </a:schemeClr>
            </a:solidFill>
            <a:ln>
              <a:noFill/>
            </a:ln>
            <a:effectLst/>
          </c:spPr>
          <c:invertIfNegative val="0"/>
          <c:val>
            <c:numRef>
              <c:f>'Visual Summary'!$B$55</c:f>
              <c:numCache>
                <c:formatCode>#,##0_);\(#,##0\)</c:formatCode>
                <c:ptCount val="1"/>
                <c:pt idx="0">
                  <c:v>67466.855503977218</c:v>
                </c:pt>
              </c:numCache>
            </c:numRef>
          </c:val>
          <c:extLst>
            <c:ext xmlns:c16="http://schemas.microsoft.com/office/drawing/2014/chart" uri="{C3380CC4-5D6E-409C-BE32-E72D297353CC}">
              <c16:uniqueId val="{00000005-B8C1-4AB3-A206-AF31225373EE}"/>
            </c:ext>
          </c:extLst>
        </c:ser>
        <c:ser>
          <c:idx val="6"/>
          <c:order val="6"/>
          <c:tx>
            <c:strRef>
              <c:f>'Visual Summary'!$A$56</c:f>
              <c:strCache>
                <c:ptCount val="1"/>
                <c:pt idx="0">
                  <c:v>Landfilled Waste</c:v>
                </c:pt>
              </c:strCache>
            </c:strRef>
          </c:tx>
          <c:spPr>
            <a:solidFill>
              <a:schemeClr val="accent1">
                <a:lumMod val="80000"/>
                <a:lumOff val="20000"/>
              </a:schemeClr>
            </a:solidFill>
            <a:ln>
              <a:noFill/>
            </a:ln>
            <a:effectLst/>
          </c:spPr>
          <c:invertIfNegative val="0"/>
          <c:val>
            <c:numRef>
              <c:f>'Visual Summary'!$B$56</c:f>
              <c:numCache>
                <c:formatCode>#,##0_);\(#,##0\)</c:formatCode>
                <c:ptCount val="1"/>
                <c:pt idx="0">
                  <c:v>167488.42052842202</c:v>
                </c:pt>
              </c:numCache>
            </c:numRef>
          </c:val>
          <c:extLst>
            <c:ext xmlns:c16="http://schemas.microsoft.com/office/drawing/2014/chart" uri="{C3380CC4-5D6E-409C-BE32-E72D297353CC}">
              <c16:uniqueId val="{00000006-B8C1-4AB3-A206-AF31225373EE}"/>
            </c:ext>
          </c:extLst>
        </c:ser>
        <c:ser>
          <c:idx val="7"/>
          <c:order val="7"/>
          <c:tx>
            <c:strRef>
              <c:f>'Visual Summary'!$A$57</c:f>
              <c:strCache>
                <c:ptCount val="1"/>
                <c:pt idx="0">
                  <c:v>Composted Waste</c:v>
                </c:pt>
              </c:strCache>
            </c:strRef>
          </c:tx>
          <c:spPr>
            <a:solidFill>
              <a:schemeClr val="accent3">
                <a:lumMod val="80000"/>
                <a:lumOff val="20000"/>
              </a:schemeClr>
            </a:solidFill>
            <a:ln>
              <a:noFill/>
            </a:ln>
            <a:effectLst/>
          </c:spPr>
          <c:invertIfNegative val="0"/>
          <c:val>
            <c:numRef>
              <c:f>'Visual Summary'!$B$57</c:f>
              <c:numCache>
                <c:formatCode>#,##0_);\(#,##0\)</c:formatCode>
                <c:ptCount val="1"/>
                <c:pt idx="0">
                  <c:v>2361.4823759999999</c:v>
                </c:pt>
              </c:numCache>
            </c:numRef>
          </c:val>
          <c:extLst>
            <c:ext xmlns:c16="http://schemas.microsoft.com/office/drawing/2014/chart" uri="{C3380CC4-5D6E-409C-BE32-E72D297353CC}">
              <c16:uniqueId val="{00000007-B8C1-4AB3-A206-AF31225373EE}"/>
            </c:ext>
          </c:extLst>
        </c:ser>
        <c:dLbls>
          <c:showLegendKey val="0"/>
          <c:showVal val="0"/>
          <c:showCatName val="0"/>
          <c:showSerName val="0"/>
          <c:showPercent val="0"/>
          <c:showBubbleSize val="0"/>
        </c:dLbls>
        <c:gapWidth val="150"/>
        <c:overlap val="100"/>
        <c:axId val="2034513472"/>
        <c:axId val="2034462528"/>
        <c:extLst/>
      </c:barChart>
      <c:catAx>
        <c:axId val="2034513472"/>
        <c:scaling>
          <c:orientation val="minMax"/>
        </c:scaling>
        <c:delete val="1"/>
        <c:axPos val="b"/>
        <c:numFmt formatCode="General" sourceLinked="1"/>
        <c:majorTickMark val="none"/>
        <c:minorTickMark val="none"/>
        <c:tickLblPos val="nextTo"/>
        <c:crossAx val="2034462528"/>
        <c:crosses val="autoZero"/>
        <c:auto val="1"/>
        <c:lblAlgn val="ctr"/>
        <c:lblOffset val="100"/>
        <c:noMultiLvlLbl val="0"/>
      </c:catAx>
      <c:valAx>
        <c:axId val="203446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GHG Emissions (mt CO</a:t>
                </a:r>
                <a:r>
                  <a:rPr lang="en-US" sz="1000" b="0" i="0" baseline="-25000">
                    <a:effectLst/>
                  </a:rPr>
                  <a:t>2</a:t>
                </a:r>
                <a:r>
                  <a:rPr lang="en-US" sz="1000" b="0" i="0" baseline="0">
                    <a:effectLst/>
                  </a:rPr>
                  <a:t>e)</a:t>
                </a:r>
                <a:endParaRPr lang="en-US" sz="1000">
                  <a:effectLst/>
                </a:endParaRPr>
              </a:p>
            </c:rich>
          </c:tx>
          <c:layout>
            <c:manualLayout>
              <c:xMode val="edge"/>
              <c:yMode val="edge"/>
              <c:x val="3.8838092578567386E-2"/>
              <c:y val="0.254697808044264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4513472"/>
        <c:crosses val="autoZero"/>
        <c:crossBetween val="between"/>
      </c:valAx>
      <c:spPr>
        <a:noFill/>
        <a:ln>
          <a:noFill/>
        </a:ln>
        <a:effectLst/>
      </c:spPr>
    </c:plotArea>
    <c:legend>
      <c:legendPos val="r"/>
      <c:layout>
        <c:manualLayout>
          <c:xMode val="edge"/>
          <c:yMode val="edge"/>
          <c:x val="0.66003986384376512"/>
          <c:y val="0.13746886091293384"/>
          <c:w val="0.32077172817852745"/>
          <c:h val="0.7800660472221153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r>
              <a:rPr lang="en-US" sz="1400" b="0"/>
              <a:t>Total</a:t>
            </a:r>
            <a:r>
              <a:rPr lang="en-US" sz="1400" b="0" baseline="0"/>
              <a:t> </a:t>
            </a:r>
            <a:r>
              <a:rPr lang="en-US" sz="1400" b="0"/>
              <a:t>Emissions by Scope (mt CO</a:t>
            </a:r>
            <a:r>
              <a:rPr lang="en-US" sz="1400" b="0" baseline="-25000"/>
              <a:t>2</a:t>
            </a:r>
            <a:r>
              <a:rPr lang="en-US" sz="1400" b="0"/>
              <a:t>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tx>
            <c:strRef>
              <c:f>'Visual Summary'!$B$3</c:f>
              <c:strCache>
                <c:ptCount val="1"/>
                <c:pt idx="0">
                  <c:v>Emissions (mt CO2e)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6132-43FE-A7EC-982D10174A93}"/>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6132-43FE-A7EC-982D10174A93}"/>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6132-43FE-A7EC-982D10174A93}"/>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DEC9-4EFD-AB62-52925C50DC21}"/>
              </c:ext>
            </c:extLst>
          </c:dPt>
          <c:dLbls>
            <c:dLbl>
              <c:idx val="2"/>
              <c:layout>
                <c:manualLayout>
                  <c:x val="-4.9928086586809625E-2"/>
                  <c:y val="9.9054028857623062E-3"/>
                </c:manualLayout>
              </c:layout>
              <c:tx>
                <c:rich>
                  <a:bodyPr/>
                  <a:lstStyle/>
                  <a:p>
                    <a:fld id="{0BEEBC3C-8247-43D5-8323-7C6720CD6C4F}" type="CATEGORYNAME">
                      <a:rPr lang="en-US">
                        <a:solidFill>
                          <a:sysClr val="windowText" lastClr="000000"/>
                        </a:solidFill>
                      </a:rPr>
                      <a:pPr/>
                      <a:t>[CATEGORY NAME]</a:t>
                    </a:fld>
                    <a:r>
                      <a:rPr lang="en-US" baseline="0"/>
                      <a:t>
</a:t>
                    </a:r>
                    <a:fld id="{523F988A-E8E7-444B-985E-F7D62159E629}"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132-43FE-A7EC-982D10174A93}"/>
                </c:ext>
              </c:extLst>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7-DEC9-4EFD-AB62-52925C50DC2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'Visual Summary'!$A$4:$A$7</c:f>
              <c:strCache>
                <c:ptCount val="4"/>
                <c:pt idx="0">
                  <c:v>Scope 1</c:v>
                </c:pt>
                <c:pt idx="1">
                  <c:v>Scope 2</c:v>
                </c:pt>
                <c:pt idx="2">
                  <c:v>Scope 3</c:v>
                </c:pt>
                <c:pt idx="3">
                  <c:v>Consumption-based</c:v>
                </c:pt>
              </c:strCache>
            </c:strRef>
          </c:cat>
          <c:val>
            <c:numRef>
              <c:f>'Visual Summary'!$B$4:$B$7</c:f>
              <c:numCache>
                <c:formatCode>#,##0_);\(#,##0\)</c:formatCode>
                <c:ptCount val="4"/>
                <c:pt idx="0">
                  <c:v>4825744.3665837971</c:v>
                </c:pt>
                <c:pt idx="1">
                  <c:v>3456616.461245128</c:v>
                </c:pt>
                <c:pt idx="2">
                  <c:v>814001.79890442197</c:v>
                </c:pt>
                <c:pt idx="3">
                  <c:v>2403340.6631482961</c:v>
                </c:pt>
              </c:numCache>
            </c:numRef>
          </c:val>
          <c:extLst>
            <c:ext xmlns:c16="http://schemas.microsoft.com/office/drawing/2014/chart" uri="{C3380CC4-5D6E-409C-BE32-E72D297353CC}">
              <c16:uniqueId val="{00000000-B216-423C-9CEE-D8511A491715}"/>
            </c:ext>
          </c:extLst>
        </c:ser>
        <c:ser>
          <c:idx val="1"/>
          <c:order val="1"/>
          <c:tx>
            <c:strRef>
              <c:f>'Visual Summary'!$C$3</c:f>
              <c:strCache>
                <c:ptCount val="1"/>
                <c:pt idx="0">
                  <c:v>Percentage of 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7-6132-43FE-A7EC-982D10174A93}"/>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9-6132-43FE-A7EC-982D10174A93}"/>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B-6132-43FE-A7EC-982D10174A93}"/>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DEC9-4EFD-AB62-52925C50DC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'Visual Summary'!$A$4:$A$7</c:f>
              <c:strCache>
                <c:ptCount val="4"/>
                <c:pt idx="0">
                  <c:v>Scope 1</c:v>
                </c:pt>
                <c:pt idx="1">
                  <c:v>Scope 2</c:v>
                </c:pt>
                <c:pt idx="2">
                  <c:v>Scope 3</c:v>
                </c:pt>
                <c:pt idx="3">
                  <c:v>Consumption-based</c:v>
                </c:pt>
              </c:strCache>
            </c:strRef>
          </c:cat>
          <c:val>
            <c:numRef>
              <c:f>'Visual Summary'!$C$4:$C$7</c:f>
              <c:numCache>
                <c:formatCode>0%</c:formatCode>
                <c:ptCount val="4"/>
                <c:pt idx="0">
                  <c:v>0.41964077202147226</c:v>
                </c:pt>
                <c:pt idx="1">
                  <c:v>0.30058309976454217</c:v>
                </c:pt>
                <c:pt idx="2">
                  <c:v>7.0784591426862789E-2</c:v>
                </c:pt>
                <c:pt idx="3">
                  <c:v>0.20899153678712276</c:v>
                </c:pt>
              </c:numCache>
            </c:numRef>
          </c:val>
          <c:extLst>
            <c:ext xmlns:c16="http://schemas.microsoft.com/office/drawing/2014/chart" uri="{C3380CC4-5D6E-409C-BE32-E72D297353CC}">
              <c16:uniqueId val="{00000001-B216-423C-9CEE-D8511A49171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i="0" baseline="0">
                <a:effectLst/>
              </a:rPr>
              <a:t>Emissions by Source  </a:t>
            </a:r>
            <a:r>
              <a:rPr lang="mr-IN" sz="1400" b="0" i="0" baseline="0">
                <a:effectLst/>
              </a:rPr>
              <a:t>(mt CO</a:t>
            </a:r>
            <a:r>
              <a:rPr lang="mr-IN" sz="1400" b="0" i="0" baseline="-25000">
                <a:effectLst/>
              </a:rPr>
              <a:t>2</a:t>
            </a:r>
            <a:r>
              <a:rPr lang="mr-IN" sz="1400" b="0" i="0" baseline="0">
                <a:effectLst/>
              </a:rPr>
              <a:t>e)</a:t>
            </a:r>
            <a:endParaRPr lang="mr-IN" sz="1400">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6607132872109515"/>
          <c:y val="0.2948614618927351"/>
          <c:w val="0.49155995994367713"/>
          <c:h val="0.51309055118110236"/>
        </c:manualLayout>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B875-46DF-815D-199D47AA2170}"/>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B875-46DF-815D-199D47AA2170}"/>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B875-46DF-815D-199D47AA2170}"/>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B875-46DF-815D-199D47AA2170}"/>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B875-46DF-815D-199D47AA2170}"/>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B875-46DF-815D-199D47AA2170}"/>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D-B875-46DF-815D-199D47AA2170}"/>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F-B875-46DF-815D-199D47AA2170}"/>
              </c:ext>
            </c:extLst>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1-B875-46DF-815D-199D47AA2170}"/>
              </c:ext>
            </c:extLst>
          </c:dPt>
          <c:dPt>
            <c:idx val="9"/>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3-85EA-4A1A-84AB-EE87DCC938C2}"/>
              </c:ext>
            </c:extLst>
          </c:dPt>
          <c:dPt>
            <c:idx val="1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5-85EA-4A1A-84AB-EE87DCC938C2}"/>
              </c:ext>
            </c:extLst>
          </c:dPt>
          <c:dPt>
            <c:idx val="11"/>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7-85EA-4A1A-84AB-EE87DCC938C2}"/>
              </c:ext>
            </c:extLst>
          </c:dPt>
          <c:dPt>
            <c:idx val="1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9-85EA-4A1A-84AB-EE87DCC938C2}"/>
              </c:ext>
            </c:extLst>
          </c:dPt>
          <c:dPt>
            <c:idx val="13"/>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B-85EA-4A1A-84AB-EE87DCC938C2}"/>
              </c:ext>
            </c:extLst>
          </c:dPt>
          <c:dPt>
            <c:idx val="14"/>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D-85EA-4A1A-84AB-EE87DCC938C2}"/>
              </c:ext>
            </c:extLst>
          </c:dPt>
          <c:dPt>
            <c:idx val="15"/>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1F-85EA-4A1A-84AB-EE87DCC938C2}"/>
              </c:ext>
            </c:extLst>
          </c:dPt>
          <c:dPt>
            <c:idx val="1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21-5976-4772-955D-D0F625F7E5E0}"/>
              </c:ext>
            </c:extLst>
          </c:dPt>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1-B875-46DF-815D-199D47AA2170}"/>
                </c:ext>
              </c:extLst>
            </c:dLbl>
            <c:dLbl>
              <c:idx val="1"/>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3-B875-46DF-815D-199D47AA2170}"/>
                </c:ext>
              </c:extLst>
            </c:dLbl>
            <c:dLbl>
              <c:idx val="4"/>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9-B875-46DF-815D-199D47AA2170}"/>
                </c:ext>
              </c:extLst>
            </c:dLbl>
            <c:dLbl>
              <c:idx val="5"/>
              <c:layout>
                <c:manualLayout>
                  <c:x val="1.3740998721313681E-2"/>
                  <c:y val="3.18074167448974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B875-46DF-815D-199D47AA2170}"/>
                </c:ext>
              </c:extLst>
            </c:dLbl>
            <c:dLbl>
              <c:idx val="6"/>
              <c:layout>
                <c:manualLayout>
                  <c:x val="1.3463481183557091E-2"/>
                  <c:y val="-1.3033998182133848E-2"/>
                </c:manualLayout>
              </c:layout>
              <c:numFmt formatCode="0%" sourceLinked="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875-46DF-815D-199D47AA2170}"/>
                </c:ext>
              </c:extLst>
            </c:dLbl>
            <c:dLbl>
              <c:idx val="8"/>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11-B875-46DF-815D-199D47AA2170}"/>
                </c:ext>
              </c:extLst>
            </c:dLbl>
            <c:dLbl>
              <c:idx val="1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15-85EA-4A1A-84AB-EE87DCC938C2}"/>
                </c:ext>
              </c:extLst>
            </c:dLbl>
            <c:dLbl>
              <c:idx val="11"/>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17-85EA-4A1A-84AB-EE87DCC938C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'Visual Summary'!$A$22:$A$38</c:f>
              <c:strCache>
                <c:ptCount val="17"/>
                <c:pt idx="0">
                  <c:v>Building Electricity</c:v>
                </c:pt>
                <c:pt idx="1">
                  <c:v>Natural Gas (including fugitive emissions)</c:v>
                </c:pt>
                <c:pt idx="2">
                  <c:v>Propane</c:v>
                </c:pt>
                <c:pt idx="3">
                  <c:v>Stationary Diesel</c:v>
                </c:pt>
                <c:pt idx="4">
                  <c:v>On-Road Transportation including Electric Vehicles</c:v>
                </c:pt>
                <c:pt idx="5">
                  <c:v>Transit</c:v>
                </c:pt>
                <c:pt idx="6">
                  <c:v>Rail and Light Rail </c:v>
                </c:pt>
                <c:pt idx="7">
                  <c:v>Transboundary Aviation</c:v>
                </c:pt>
                <c:pt idx="8">
                  <c:v>In-Boundary Aviation</c:v>
                </c:pt>
                <c:pt idx="9">
                  <c:v>Off-Road Vehicles and Equipment</c:v>
                </c:pt>
                <c:pt idx="10">
                  <c:v>Landfilled Waste</c:v>
                </c:pt>
                <c:pt idx="11">
                  <c:v>Composted Waste</c:v>
                </c:pt>
                <c:pt idx="12">
                  <c:v>Wastewater</c:v>
                </c:pt>
                <c:pt idx="13">
                  <c:v>Refrigerants</c:v>
                </c:pt>
                <c:pt idx="14">
                  <c:v>Food </c:v>
                </c:pt>
                <c:pt idx="15">
                  <c:v>Cement</c:v>
                </c:pt>
                <c:pt idx="16">
                  <c:v>Water Delivery</c:v>
                </c:pt>
              </c:strCache>
            </c:strRef>
          </c:cat>
          <c:val>
            <c:numRef>
              <c:f>'Visual Summary'!$B$22:$B$38</c:f>
              <c:numCache>
                <c:formatCode>#,##0_);\(#,##0\)</c:formatCode>
                <c:ptCount val="17"/>
                <c:pt idx="0">
                  <c:v>3420518.2063317443</c:v>
                </c:pt>
                <c:pt idx="1">
                  <c:v>2001028.1893668587</c:v>
                </c:pt>
                <c:pt idx="2">
                  <c:v>3656.3364721118801</c:v>
                </c:pt>
                <c:pt idx="3">
                  <c:v>14594.466460600002</c:v>
                </c:pt>
                <c:pt idx="4">
                  <c:v>2670048.0664684745</c:v>
                </c:pt>
                <c:pt idx="5">
                  <c:v>36266.545636515635</c:v>
                </c:pt>
                <c:pt idx="6">
                  <c:v>74171.870633112587</c:v>
                </c:pt>
                <c:pt idx="7">
                  <c:v>644264.09600000002</c:v>
                </c:pt>
                <c:pt idx="8">
                  <c:v>82.521669299579969</c:v>
                </c:pt>
                <c:pt idx="9">
                  <c:v>32966.095631874356</c:v>
                </c:pt>
                <c:pt idx="10">
                  <c:v>167488.42052842202</c:v>
                </c:pt>
                <c:pt idx="11">
                  <c:v>2361.4823759999999</c:v>
                </c:pt>
                <c:pt idx="12">
                  <c:v>5666</c:v>
                </c:pt>
                <c:pt idx="13">
                  <c:v>23250.329158333334</c:v>
                </c:pt>
                <c:pt idx="14">
                  <c:v>1425725.4103752396</c:v>
                </c:pt>
                <c:pt idx="15">
                  <c:v>958724.90635305655</c:v>
                </c:pt>
                <c:pt idx="16">
                  <c:v>18890.346420000002</c:v>
                </c:pt>
              </c:numCache>
            </c:numRef>
          </c:val>
          <c:extLst>
            <c:ext xmlns:c16="http://schemas.microsoft.com/office/drawing/2014/chart" uri="{C3380CC4-5D6E-409C-BE32-E72D297353CC}">
              <c16:uniqueId val="{00000000-FAAE-4EF2-92C3-E48E703B62B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7316910251326501"/>
          <c:y val="0.15988413656464151"/>
          <c:w val="0.32683089748673494"/>
          <c:h val="0.7785076120851357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b="0" i="0" baseline="0">
                <a:effectLst/>
              </a:rPr>
              <a:t>Emissions by Sector  (mt CO</a:t>
            </a:r>
            <a:r>
              <a:rPr lang="en-US" sz="1400" b="0" i="0" baseline="-25000">
                <a:effectLst/>
              </a:rPr>
              <a:t>2</a:t>
            </a:r>
            <a:r>
              <a:rPr lang="en-US" sz="1400" b="0" i="0" baseline="0">
                <a:effectLst/>
              </a:rPr>
              <a:t>e)</a:t>
            </a:r>
            <a:endParaRPr lang="en-US" sz="1400" b="0">
              <a:effectLst/>
            </a:endParaRP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79F-4B9E-AAFB-9C30BD927DF3}"/>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479F-4B9E-AAFB-9C30BD927DF3}"/>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479F-4B9E-AAFB-9C30BD927DF3}"/>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479F-4B9E-AAFB-9C30BD927DF3}"/>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479F-4B9E-AAFB-9C30BD927DF3}"/>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ACE7-4708-9443-16AEC31CF6C5}"/>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D-479F-4B9E-AAFB-9C30BD927DF3}"/>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F-479F-4B9E-AAFB-9C30BD927DF3}"/>
              </c:ext>
            </c:extLst>
          </c:dPt>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479F-4B9E-AAFB-9C30BD927DF3}"/>
                </c:ext>
              </c:extLst>
            </c:dLbl>
            <c:dLbl>
              <c:idx val="1"/>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3-479F-4B9E-AAFB-9C30BD927DF3}"/>
                </c:ext>
              </c:extLst>
            </c:dLbl>
            <c:dLbl>
              <c:idx val="2"/>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5-479F-4B9E-AAFB-9C30BD927DF3}"/>
                </c:ext>
              </c:extLst>
            </c:dLbl>
            <c:dLbl>
              <c:idx val="3"/>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7-479F-4B9E-AAFB-9C30BD927DF3}"/>
                </c:ext>
              </c:extLst>
            </c:dLbl>
            <c:dLbl>
              <c:idx val="5"/>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B-ACE7-4708-9443-16AEC31CF6C5}"/>
                </c:ext>
              </c:extLst>
            </c:dLbl>
            <c:dLbl>
              <c:idx val="6"/>
              <c:layout>
                <c:manualLayout>
                  <c:x val="3.9586797084520155E-2"/>
                  <c:y val="4.374703233544765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479F-4B9E-AAFB-9C30BD927DF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'Visual Summary'!$A$12:$A$17</c:f>
              <c:strCache>
                <c:ptCount val="6"/>
                <c:pt idx="0">
                  <c:v>Buildings</c:v>
                </c:pt>
                <c:pt idx="1">
                  <c:v>Transportation</c:v>
                </c:pt>
                <c:pt idx="2">
                  <c:v>Solid Waste</c:v>
                </c:pt>
                <c:pt idx="3">
                  <c:v>Wastewater Treatment</c:v>
                </c:pt>
                <c:pt idx="4">
                  <c:v>IPPU</c:v>
                </c:pt>
                <c:pt idx="5">
                  <c:v>Consumption-Based</c:v>
                </c:pt>
              </c:strCache>
            </c:strRef>
          </c:cat>
          <c:val>
            <c:numRef>
              <c:f>'Visual Summary'!$B$12:$B$17</c:f>
              <c:numCache>
                <c:formatCode>#,##0_);\(#,##0\)</c:formatCode>
                <c:ptCount val="6"/>
                <c:pt idx="0">
                  <c:v>5439797.1986313146</c:v>
                </c:pt>
                <c:pt idx="1">
                  <c:v>3457799.1960392767</c:v>
                </c:pt>
                <c:pt idx="2">
                  <c:v>169849.90290442202</c:v>
                </c:pt>
                <c:pt idx="3">
                  <c:v>5666</c:v>
                </c:pt>
                <c:pt idx="4">
                  <c:v>23250.329158333334</c:v>
                </c:pt>
                <c:pt idx="5">
                  <c:v>2403340.6631482961</c:v>
                </c:pt>
              </c:numCache>
            </c:numRef>
          </c:val>
          <c:extLst>
            <c:ext xmlns:c16="http://schemas.microsoft.com/office/drawing/2014/chart" uri="{C3380CC4-5D6E-409C-BE32-E72D297353CC}">
              <c16:uniqueId val="{00000000-C6B8-4943-A8FB-D8B67F74276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sz="1400" b="0" i="0" baseline="0">
                <a:solidFill>
                  <a:schemeClr val="tx2"/>
                </a:solidFill>
                <a:effectLst/>
              </a:rPr>
              <a:t>Emissions by Source  (mt CO</a:t>
            </a:r>
            <a:r>
              <a:rPr lang="en-US" sz="1400" b="0" i="0" baseline="-25000">
                <a:solidFill>
                  <a:schemeClr val="tx2"/>
                </a:solidFill>
                <a:effectLst/>
              </a:rPr>
              <a:t>2</a:t>
            </a:r>
            <a:r>
              <a:rPr lang="en-US" sz="1400" b="0" i="0" baseline="0">
                <a:solidFill>
                  <a:schemeClr val="tx2"/>
                </a:solidFill>
                <a:effectLst/>
              </a:rPr>
              <a:t>e)</a:t>
            </a:r>
            <a:endParaRPr lang="en-US" sz="1400">
              <a:solidFill>
                <a:schemeClr val="tx2"/>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lotArea>
      <c:layout>
        <c:manualLayout>
          <c:layoutTarget val="inner"/>
          <c:xMode val="edge"/>
          <c:yMode val="edge"/>
          <c:x val="0.28339974511573751"/>
          <c:y val="0.17788968824939999"/>
          <c:w val="0.33210416498496864"/>
          <c:h val="0.69587457661281493"/>
        </c:manualLayout>
      </c:layout>
      <c:barChart>
        <c:barDir val="col"/>
        <c:grouping val="stacked"/>
        <c:varyColors val="0"/>
        <c:ser>
          <c:idx val="0"/>
          <c:order val="0"/>
          <c:tx>
            <c:strRef>
              <c:f>'Visual Summary'!$A$22</c:f>
              <c:strCache>
                <c:ptCount val="1"/>
                <c:pt idx="0">
                  <c:v>Building Electricity</c:v>
                </c:pt>
              </c:strCache>
            </c:strRef>
          </c:tx>
          <c:spPr>
            <a:solidFill>
              <a:schemeClr val="accent1"/>
            </a:solidFill>
            <a:ln>
              <a:noFill/>
            </a:ln>
            <a:effectLst/>
          </c:spPr>
          <c:invertIfNegative val="0"/>
          <c:val>
            <c:numRef>
              <c:f>'Visual Summary'!$B$22</c:f>
              <c:numCache>
                <c:formatCode>#,##0_);\(#,##0\)</c:formatCode>
                <c:ptCount val="1"/>
                <c:pt idx="0">
                  <c:v>3420518.2063317443</c:v>
                </c:pt>
              </c:numCache>
            </c:numRef>
          </c:val>
          <c:extLst>
            <c:ext xmlns:c16="http://schemas.microsoft.com/office/drawing/2014/chart" uri="{C3380CC4-5D6E-409C-BE32-E72D297353CC}">
              <c16:uniqueId val="{00000000-615F-4E1A-9A3A-75BB02524D66}"/>
            </c:ext>
          </c:extLst>
        </c:ser>
        <c:ser>
          <c:idx val="1"/>
          <c:order val="1"/>
          <c:tx>
            <c:strRef>
              <c:f>'Visual Summary'!$A$23</c:f>
              <c:strCache>
                <c:ptCount val="1"/>
                <c:pt idx="0">
                  <c:v>Natural Gas (including fugitive emissions)</c:v>
                </c:pt>
              </c:strCache>
            </c:strRef>
          </c:tx>
          <c:spPr>
            <a:solidFill>
              <a:schemeClr val="accent3"/>
            </a:solidFill>
            <a:ln>
              <a:noFill/>
            </a:ln>
            <a:effectLst/>
          </c:spPr>
          <c:invertIfNegative val="0"/>
          <c:val>
            <c:numRef>
              <c:f>'Visual Summary'!$B$23</c:f>
              <c:numCache>
                <c:formatCode>#,##0_);\(#,##0\)</c:formatCode>
                <c:ptCount val="1"/>
                <c:pt idx="0">
                  <c:v>2001028.1893668587</c:v>
                </c:pt>
              </c:numCache>
            </c:numRef>
          </c:val>
          <c:extLst>
            <c:ext xmlns:c16="http://schemas.microsoft.com/office/drawing/2014/chart" uri="{C3380CC4-5D6E-409C-BE32-E72D297353CC}">
              <c16:uniqueId val="{00000009-615F-4E1A-9A3A-75BB02524D66}"/>
            </c:ext>
          </c:extLst>
        </c:ser>
        <c:ser>
          <c:idx val="2"/>
          <c:order val="2"/>
          <c:tx>
            <c:strRef>
              <c:f>'Visual Summary'!$A$24</c:f>
              <c:strCache>
                <c:ptCount val="1"/>
                <c:pt idx="0">
                  <c:v>Propane</c:v>
                </c:pt>
              </c:strCache>
            </c:strRef>
          </c:tx>
          <c:spPr>
            <a:solidFill>
              <a:schemeClr val="accent5"/>
            </a:solidFill>
            <a:ln>
              <a:noFill/>
            </a:ln>
            <a:effectLst/>
          </c:spPr>
          <c:invertIfNegative val="0"/>
          <c:val>
            <c:numRef>
              <c:f>'Visual Summary'!$B$24</c:f>
              <c:numCache>
                <c:formatCode>#,##0_);\(#,##0\)</c:formatCode>
                <c:ptCount val="1"/>
                <c:pt idx="0">
                  <c:v>3656.3364721118801</c:v>
                </c:pt>
              </c:numCache>
            </c:numRef>
          </c:val>
          <c:extLst>
            <c:ext xmlns:c16="http://schemas.microsoft.com/office/drawing/2014/chart" uri="{C3380CC4-5D6E-409C-BE32-E72D297353CC}">
              <c16:uniqueId val="{0000000A-615F-4E1A-9A3A-75BB02524D66}"/>
            </c:ext>
          </c:extLst>
        </c:ser>
        <c:ser>
          <c:idx val="3"/>
          <c:order val="3"/>
          <c:tx>
            <c:strRef>
              <c:f>'Visual Summary'!$A$25</c:f>
              <c:strCache>
                <c:ptCount val="1"/>
                <c:pt idx="0">
                  <c:v>Stationary Diesel</c:v>
                </c:pt>
              </c:strCache>
            </c:strRef>
          </c:tx>
          <c:spPr>
            <a:solidFill>
              <a:schemeClr val="accent1">
                <a:lumMod val="60000"/>
              </a:schemeClr>
            </a:solidFill>
            <a:ln>
              <a:noFill/>
            </a:ln>
            <a:effectLst/>
          </c:spPr>
          <c:invertIfNegative val="0"/>
          <c:val>
            <c:numRef>
              <c:f>'Visual Summary'!$B$25</c:f>
              <c:numCache>
                <c:formatCode>#,##0_);\(#,##0\)</c:formatCode>
                <c:ptCount val="1"/>
                <c:pt idx="0">
                  <c:v>14594.466460600002</c:v>
                </c:pt>
              </c:numCache>
            </c:numRef>
          </c:val>
          <c:extLst>
            <c:ext xmlns:c16="http://schemas.microsoft.com/office/drawing/2014/chart" uri="{C3380CC4-5D6E-409C-BE32-E72D297353CC}">
              <c16:uniqueId val="{0000000B-615F-4E1A-9A3A-75BB02524D66}"/>
            </c:ext>
          </c:extLst>
        </c:ser>
        <c:ser>
          <c:idx val="4"/>
          <c:order val="4"/>
          <c:tx>
            <c:strRef>
              <c:f>'Visual Summary'!$A$26</c:f>
              <c:strCache>
                <c:ptCount val="1"/>
                <c:pt idx="0">
                  <c:v>On-Road Transportation including Electric Vehicles</c:v>
                </c:pt>
              </c:strCache>
            </c:strRef>
          </c:tx>
          <c:spPr>
            <a:solidFill>
              <a:schemeClr val="accent3">
                <a:lumMod val="60000"/>
              </a:schemeClr>
            </a:solidFill>
            <a:ln>
              <a:noFill/>
            </a:ln>
            <a:effectLst/>
          </c:spPr>
          <c:invertIfNegative val="0"/>
          <c:val>
            <c:numRef>
              <c:f>'Visual Summary'!$B$26</c:f>
              <c:numCache>
                <c:formatCode>#,##0_);\(#,##0\)</c:formatCode>
                <c:ptCount val="1"/>
                <c:pt idx="0">
                  <c:v>2670048.0664684745</c:v>
                </c:pt>
              </c:numCache>
            </c:numRef>
          </c:val>
          <c:extLst>
            <c:ext xmlns:c16="http://schemas.microsoft.com/office/drawing/2014/chart" uri="{C3380CC4-5D6E-409C-BE32-E72D297353CC}">
              <c16:uniqueId val="{0000000C-615F-4E1A-9A3A-75BB02524D66}"/>
            </c:ext>
          </c:extLst>
        </c:ser>
        <c:ser>
          <c:idx val="7"/>
          <c:order val="5"/>
          <c:tx>
            <c:strRef>
              <c:f>'Visual Summary'!$A$27</c:f>
              <c:strCache>
                <c:ptCount val="1"/>
                <c:pt idx="0">
                  <c:v>Transit</c:v>
                </c:pt>
              </c:strCache>
            </c:strRef>
          </c:tx>
          <c:spPr>
            <a:solidFill>
              <a:schemeClr val="accent3">
                <a:lumMod val="80000"/>
                <a:lumOff val="20000"/>
              </a:schemeClr>
            </a:solidFill>
            <a:ln>
              <a:noFill/>
            </a:ln>
            <a:effectLst/>
          </c:spPr>
          <c:invertIfNegative val="0"/>
          <c:val>
            <c:numRef>
              <c:f>'Visual Summary'!$B$27</c:f>
              <c:numCache>
                <c:formatCode>#,##0_);\(#,##0\)</c:formatCode>
                <c:ptCount val="1"/>
                <c:pt idx="0">
                  <c:v>36266.545636515635</c:v>
                </c:pt>
              </c:numCache>
            </c:numRef>
          </c:val>
          <c:extLst>
            <c:ext xmlns:c16="http://schemas.microsoft.com/office/drawing/2014/chart" uri="{C3380CC4-5D6E-409C-BE32-E72D297353CC}">
              <c16:uniqueId val="{0000000F-615F-4E1A-9A3A-75BB02524D66}"/>
            </c:ext>
          </c:extLst>
        </c:ser>
        <c:ser>
          <c:idx val="8"/>
          <c:order val="6"/>
          <c:tx>
            <c:strRef>
              <c:f>'Visual Summary'!$A$28</c:f>
              <c:strCache>
                <c:ptCount val="1"/>
                <c:pt idx="0">
                  <c:v>Rail and Light Rail </c:v>
                </c:pt>
              </c:strCache>
            </c:strRef>
          </c:tx>
          <c:spPr>
            <a:solidFill>
              <a:schemeClr val="accent5">
                <a:lumMod val="80000"/>
                <a:lumOff val="20000"/>
              </a:schemeClr>
            </a:solidFill>
            <a:ln>
              <a:noFill/>
            </a:ln>
            <a:effectLst/>
          </c:spPr>
          <c:invertIfNegative val="0"/>
          <c:val>
            <c:numRef>
              <c:f>'Visual Summary'!$B$28</c:f>
              <c:numCache>
                <c:formatCode>#,##0_);\(#,##0\)</c:formatCode>
                <c:ptCount val="1"/>
                <c:pt idx="0">
                  <c:v>74171.870633112587</c:v>
                </c:pt>
              </c:numCache>
            </c:numRef>
          </c:val>
          <c:extLst>
            <c:ext xmlns:c16="http://schemas.microsoft.com/office/drawing/2014/chart" uri="{C3380CC4-5D6E-409C-BE32-E72D297353CC}">
              <c16:uniqueId val="{00000010-615F-4E1A-9A3A-75BB02524D66}"/>
            </c:ext>
          </c:extLst>
        </c:ser>
        <c:ser>
          <c:idx val="5"/>
          <c:order val="7"/>
          <c:tx>
            <c:strRef>
              <c:f>'Visual Summary'!$A$29</c:f>
              <c:strCache>
                <c:ptCount val="1"/>
                <c:pt idx="0">
                  <c:v>Transboundary Aviation</c:v>
                </c:pt>
              </c:strCache>
            </c:strRef>
          </c:tx>
          <c:spPr>
            <a:solidFill>
              <a:schemeClr val="accent5">
                <a:lumMod val="60000"/>
              </a:schemeClr>
            </a:solidFill>
            <a:ln>
              <a:noFill/>
            </a:ln>
            <a:effectLst/>
          </c:spPr>
          <c:invertIfNegative val="0"/>
          <c:val>
            <c:numRef>
              <c:f>'Visual Summary'!$B$29</c:f>
              <c:numCache>
                <c:formatCode>#,##0_);\(#,##0\)</c:formatCode>
                <c:ptCount val="1"/>
                <c:pt idx="0">
                  <c:v>644264.09600000002</c:v>
                </c:pt>
              </c:numCache>
            </c:numRef>
          </c:val>
          <c:extLst>
            <c:ext xmlns:c16="http://schemas.microsoft.com/office/drawing/2014/chart" uri="{C3380CC4-5D6E-409C-BE32-E72D297353CC}">
              <c16:uniqueId val="{00000000-56D1-4D96-90F4-F172704B8372}"/>
            </c:ext>
          </c:extLst>
        </c:ser>
        <c:ser>
          <c:idx val="6"/>
          <c:order val="8"/>
          <c:tx>
            <c:strRef>
              <c:f>'Visual Summary'!$A$30</c:f>
              <c:strCache>
                <c:ptCount val="1"/>
                <c:pt idx="0">
                  <c:v>In-Boundary Aviation</c:v>
                </c:pt>
              </c:strCache>
            </c:strRef>
          </c:tx>
          <c:spPr>
            <a:solidFill>
              <a:schemeClr val="accent1">
                <a:lumMod val="80000"/>
                <a:lumOff val="20000"/>
              </a:schemeClr>
            </a:solidFill>
            <a:ln>
              <a:noFill/>
            </a:ln>
            <a:effectLst/>
          </c:spPr>
          <c:invertIfNegative val="0"/>
          <c:val>
            <c:numRef>
              <c:f>'Visual Summary'!$B$30</c:f>
              <c:numCache>
                <c:formatCode>#,##0_);\(#,##0\)</c:formatCode>
                <c:ptCount val="1"/>
                <c:pt idx="0">
                  <c:v>82.521669299579969</c:v>
                </c:pt>
              </c:numCache>
            </c:numRef>
          </c:val>
          <c:extLst>
            <c:ext xmlns:c16="http://schemas.microsoft.com/office/drawing/2014/chart" uri="{C3380CC4-5D6E-409C-BE32-E72D297353CC}">
              <c16:uniqueId val="{00000001-56D1-4D96-90F4-F172704B8372}"/>
            </c:ext>
          </c:extLst>
        </c:ser>
        <c:ser>
          <c:idx val="9"/>
          <c:order val="9"/>
          <c:tx>
            <c:strRef>
              <c:f>'Visual Summary'!$A$31</c:f>
              <c:strCache>
                <c:ptCount val="1"/>
                <c:pt idx="0">
                  <c:v>Off-Road Vehicles and Equipment</c:v>
                </c:pt>
              </c:strCache>
            </c:strRef>
          </c:tx>
          <c:spPr>
            <a:solidFill>
              <a:schemeClr val="accent1">
                <a:lumMod val="80000"/>
              </a:schemeClr>
            </a:solidFill>
            <a:ln>
              <a:noFill/>
            </a:ln>
            <a:effectLst/>
          </c:spPr>
          <c:invertIfNegative val="0"/>
          <c:val>
            <c:numRef>
              <c:f>'Visual Summary'!$B$31</c:f>
              <c:numCache>
                <c:formatCode>#,##0_);\(#,##0\)</c:formatCode>
                <c:ptCount val="1"/>
                <c:pt idx="0">
                  <c:v>32966.095631874356</c:v>
                </c:pt>
              </c:numCache>
            </c:numRef>
          </c:val>
          <c:extLst>
            <c:ext xmlns:c16="http://schemas.microsoft.com/office/drawing/2014/chart" uri="{C3380CC4-5D6E-409C-BE32-E72D297353CC}">
              <c16:uniqueId val="{00000002-56D1-4D96-90F4-F172704B8372}"/>
            </c:ext>
          </c:extLst>
        </c:ser>
        <c:ser>
          <c:idx val="10"/>
          <c:order val="10"/>
          <c:tx>
            <c:strRef>
              <c:f>'Visual Summary'!$A$32</c:f>
              <c:strCache>
                <c:ptCount val="1"/>
                <c:pt idx="0">
                  <c:v>Landfilled Waste</c:v>
                </c:pt>
              </c:strCache>
            </c:strRef>
          </c:tx>
          <c:spPr>
            <a:solidFill>
              <a:schemeClr val="accent3">
                <a:lumMod val="80000"/>
              </a:schemeClr>
            </a:solidFill>
            <a:ln>
              <a:noFill/>
            </a:ln>
            <a:effectLst/>
          </c:spPr>
          <c:invertIfNegative val="0"/>
          <c:val>
            <c:numRef>
              <c:f>'Visual Summary'!$B$32</c:f>
              <c:numCache>
                <c:formatCode>#,##0_);\(#,##0\)</c:formatCode>
                <c:ptCount val="1"/>
                <c:pt idx="0">
                  <c:v>167488.42052842202</c:v>
                </c:pt>
              </c:numCache>
            </c:numRef>
          </c:val>
          <c:extLst>
            <c:ext xmlns:c16="http://schemas.microsoft.com/office/drawing/2014/chart" uri="{C3380CC4-5D6E-409C-BE32-E72D297353CC}">
              <c16:uniqueId val="{00000003-56D1-4D96-90F4-F172704B8372}"/>
            </c:ext>
          </c:extLst>
        </c:ser>
        <c:ser>
          <c:idx val="11"/>
          <c:order val="11"/>
          <c:tx>
            <c:strRef>
              <c:f>'Visual Summary'!$A$33</c:f>
              <c:strCache>
                <c:ptCount val="1"/>
                <c:pt idx="0">
                  <c:v>Composted Waste</c:v>
                </c:pt>
              </c:strCache>
            </c:strRef>
          </c:tx>
          <c:spPr>
            <a:solidFill>
              <a:schemeClr val="accent5">
                <a:lumMod val="80000"/>
              </a:schemeClr>
            </a:solidFill>
            <a:ln>
              <a:noFill/>
            </a:ln>
            <a:effectLst/>
          </c:spPr>
          <c:invertIfNegative val="0"/>
          <c:val>
            <c:numRef>
              <c:f>'Visual Summary'!$B$33</c:f>
              <c:numCache>
                <c:formatCode>#,##0_);\(#,##0\)</c:formatCode>
                <c:ptCount val="1"/>
                <c:pt idx="0">
                  <c:v>2361.4823759999999</c:v>
                </c:pt>
              </c:numCache>
            </c:numRef>
          </c:val>
          <c:extLst>
            <c:ext xmlns:c16="http://schemas.microsoft.com/office/drawing/2014/chart" uri="{C3380CC4-5D6E-409C-BE32-E72D297353CC}">
              <c16:uniqueId val="{00000004-56D1-4D96-90F4-F172704B8372}"/>
            </c:ext>
          </c:extLst>
        </c:ser>
        <c:ser>
          <c:idx val="13"/>
          <c:order val="12"/>
          <c:tx>
            <c:strRef>
              <c:f>'Visual Summary'!$A$34</c:f>
              <c:strCache>
                <c:ptCount val="1"/>
                <c:pt idx="0">
                  <c:v>Wastewater</c:v>
                </c:pt>
              </c:strCache>
            </c:strRef>
          </c:tx>
          <c:spPr>
            <a:solidFill>
              <a:schemeClr val="accent3">
                <a:lumMod val="60000"/>
                <a:lumOff val="40000"/>
              </a:schemeClr>
            </a:solidFill>
            <a:ln>
              <a:noFill/>
            </a:ln>
            <a:effectLst/>
          </c:spPr>
          <c:invertIfNegative val="0"/>
          <c:val>
            <c:numRef>
              <c:f>'Visual Summary'!$B$34</c:f>
              <c:numCache>
                <c:formatCode>#,##0_);\(#,##0\)</c:formatCode>
                <c:ptCount val="1"/>
                <c:pt idx="0">
                  <c:v>5666</c:v>
                </c:pt>
              </c:numCache>
            </c:numRef>
          </c:val>
          <c:extLst>
            <c:ext xmlns:c16="http://schemas.microsoft.com/office/drawing/2014/chart" uri="{C3380CC4-5D6E-409C-BE32-E72D297353CC}">
              <c16:uniqueId val="{00000006-56D1-4D96-90F4-F172704B8372}"/>
            </c:ext>
          </c:extLst>
        </c:ser>
        <c:ser>
          <c:idx val="12"/>
          <c:order val="13"/>
          <c:tx>
            <c:strRef>
              <c:f>'Visual Summary'!$A$35</c:f>
              <c:strCache>
                <c:ptCount val="1"/>
                <c:pt idx="0">
                  <c:v>Refrigerants</c:v>
                </c:pt>
              </c:strCache>
            </c:strRef>
          </c:tx>
          <c:spPr>
            <a:solidFill>
              <a:schemeClr val="accent1">
                <a:lumMod val="60000"/>
                <a:lumOff val="40000"/>
              </a:schemeClr>
            </a:solidFill>
            <a:ln>
              <a:noFill/>
            </a:ln>
            <a:effectLst/>
          </c:spPr>
          <c:invertIfNegative val="0"/>
          <c:val>
            <c:numRef>
              <c:f>'Visual Summary'!$B$35</c:f>
              <c:numCache>
                <c:formatCode>#,##0_);\(#,##0\)</c:formatCode>
                <c:ptCount val="1"/>
                <c:pt idx="0">
                  <c:v>23250.329158333334</c:v>
                </c:pt>
              </c:numCache>
            </c:numRef>
          </c:val>
          <c:extLst>
            <c:ext xmlns:c16="http://schemas.microsoft.com/office/drawing/2014/chart" uri="{C3380CC4-5D6E-409C-BE32-E72D297353CC}">
              <c16:uniqueId val="{00000001-765E-4127-AD79-1D9267D78176}"/>
            </c:ext>
          </c:extLst>
        </c:ser>
        <c:ser>
          <c:idx val="14"/>
          <c:order val="14"/>
          <c:tx>
            <c:strRef>
              <c:f>'Visual Summary'!$A$36</c:f>
              <c:strCache>
                <c:ptCount val="1"/>
                <c:pt idx="0">
                  <c:v>Food </c:v>
                </c:pt>
              </c:strCache>
            </c:strRef>
          </c:tx>
          <c:spPr>
            <a:solidFill>
              <a:schemeClr val="accent5">
                <a:lumMod val="60000"/>
                <a:lumOff val="40000"/>
              </a:schemeClr>
            </a:solidFill>
            <a:ln>
              <a:noFill/>
            </a:ln>
            <a:effectLst/>
          </c:spPr>
          <c:invertIfNegative val="0"/>
          <c:val>
            <c:numRef>
              <c:f>'Visual Summary'!$B$36</c:f>
              <c:numCache>
                <c:formatCode>#,##0_);\(#,##0\)</c:formatCode>
                <c:ptCount val="1"/>
                <c:pt idx="0">
                  <c:v>1425725.4103752396</c:v>
                </c:pt>
              </c:numCache>
            </c:numRef>
          </c:val>
          <c:extLst>
            <c:ext xmlns:c16="http://schemas.microsoft.com/office/drawing/2014/chart" uri="{C3380CC4-5D6E-409C-BE32-E72D297353CC}">
              <c16:uniqueId val="{00000002-765E-4127-AD79-1D9267D78176}"/>
            </c:ext>
          </c:extLst>
        </c:ser>
        <c:ser>
          <c:idx val="15"/>
          <c:order val="15"/>
          <c:tx>
            <c:strRef>
              <c:f>'Visual Summary'!$A$37</c:f>
              <c:strCache>
                <c:ptCount val="1"/>
                <c:pt idx="0">
                  <c:v>Cement</c:v>
                </c:pt>
              </c:strCache>
            </c:strRef>
          </c:tx>
          <c:spPr>
            <a:solidFill>
              <a:schemeClr val="accent1">
                <a:lumMod val="50000"/>
              </a:schemeClr>
            </a:solidFill>
            <a:ln>
              <a:noFill/>
            </a:ln>
            <a:effectLst/>
          </c:spPr>
          <c:invertIfNegative val="0"/>
          <c:val>
            <c:numRef>
              <c:f>'Visual Summary'!$B$37</c:f>
              <c:numCache>
                <c:formatCode>#,##0_);\(#,##0\)</c:formatCode>
                <c:ptCount val="1"/>
                <c:pt idx="0">
                  <c:v>958724.90635305655</c:v>
                </c:pt>
              </c:numCache>
            </c:numRef>
          </c:val>
          <c:extLst>
            <c:ext xmlns:c16="http://schemas.microsoft.com/office/drawing/2014/chart" uri="{C3380CC4-5D6E-409C-BE32-E72D297353CC}">
              <c16:uniqueId val="{00000003-765E-4127-AD79-1D9267D78176}"/>
            </c:ext>
          </c:extLst>
        </c:ser>
        <c:ser>
          <c:idx val="16"/>
          <c:order val="16"/>
          <c:tx>
            <c:strRef>
              <c:f>'Visual Summary'!$A$38</c:f>
              <c:strCache>
                <c:ptCount val="1"/>
                <c:pt idx="0">
                  <c:v>Water Delivery</c:v>
                </c:pt>
              </c:strCache>
            </c:strRef>
          </c:tx>
          <c:spPr>
            <a:solidFill>
              <a:schemeClr val="accent3">
                <a:lumMod val="50000"/>
              </a:schemeClr>
            </a:solidFill>
            <a:ln>
              <a:noFill/>
            </a:ln>
            <a:effectLst/>
          </c:spPr>
          <c:invertIfNegative val="0"/>
          <c:val>
            <c:numRef>
              <c:f>'Visual Summary'!$B$38</c:f>
              <c:numCache>
                <c:formatCode>#,##0_);\(#,##0\)</c:formatCode>
                <c:ptCount val="1"/>
                <c:pt idx="0">
                  <c:v>18890.346420000002</c:v>
                </c:pt>
              </c:numCache>
            </c:numRef>
          </c:val>
          <c:extLst>
            <c:ext xmlns:c16="http://schemas.microsoft.com/office/drawing/2014/chart" uri="{C3380CC4-5D6E-409C-BE32-E72D297353CC}">
              <c16:uniqueId val="{00000004-765E-4127-AD79-1D9267D78176}"/>
            </c:ext>
          </c:extLst>
        </c:ser>
        <c:dLbls>
          <c:showLegendKey val="0"/>
          <c:showVal val="0"/>
          <c:showCatName val="0"/>
          <c:showSerName val="0"/>
          <c:showPercent val="0"/>
          <c:showBubbleSize val="0"/>
        </c:dLbls>
        <c:gapWidth val="150"/>
        <c:overlap val="100"/>
        <c:axId val="2034513472"/>
        <c:axId val="2034462528"/>
        <c:extLst/>
      </c:barChart>
      <c:catAx>
        <c:axId val="2034513472"/>
        <c:scaling>
          <c:orientation val="minMax"/>
        </c:scaling>
        <c:delete val="1"/>
        <c:axPos val="b"/>
        <c:numFmt formatCode="General" sourceLinked="1"/>
        <c:majorTickMark val="none"/>
        <c:minorTickMark val="none"/>
        <c:tickLblPos val="nextTo"/>
        <c:crossAx val="2034462528"/>
        <c:crosses val="autoZero"/>
        <c:auto val="1"/>
        <c:lblAlgn val="ctr"/>
        <c:lblOffset val="100"/>
        <c:noMultiLvlLbl val="0"/>
      </c:catAx>
      <c:valAx>
        <c:axId val="203446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GHG Emissions (mt CO</a:t>
                </a:r>
                <a:r>
                  <a:rPr lang="en-US" sz="1000" b="0" i="0" baseline="-25000">
                    <a:effectLst/>
                  </a:rPr>
                  <a:t>2</a:t>
                </a:r>
                <a:r>
                  <a:rPr lang="en-US" sz="1000" b="0" i="0" baseline="0">
                    <a:effectLst/>
                  </a:rPr>
                  <a:t>e)</a:t>
                </a:r>
                <a:endParaRPr lang="en-US" sz="1000">
                  <a:effectLst/>
                </a:endParaRPr>
              </a:p>
            </c:rich>
          </c:tx>
          <c:layout>
            <c:manualLayout>
              <c:xMode val="edge"/>
              <c:yMode val="edge"/>
              <c:x val="3.8838092578567386E-2"/>
              <c:y val="0.254697808044264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4513472"/>
        <c:crosses val="autoZero"/>
        <c:crossBetween val="between"/>
      </c:valAx>
      <c:spPr>
        <a:noFill/>
        <a:ln>
          <a:noFill/>
        </a:ln>
        <a:effectLst/>
      </c:spPr>
    </c:plotArea>
    <c:legend>
      <c:legendPos val="r"/>
      <c:layout>
        <c:manualLayout>
          <c:xMode val="edge"/>
          <c:yMode val="edge"/>
          <c:x val="0.66003986384376512"/>
          <c:y val="0.13746886091293384"/>
          <c:w val="0.29539988172225357"/>
          <c:h val="0.7908838398321957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t>Stationary Emissions Details (mt CO</a:t>
            </a:r>
            <a:r>
              <a:rPr lang="en-US" sz="1400" b="0" baseline="-25000"/>
              <a:t>2</a:t>
            </a:r>
            <a:r>
              <a:rPr lang="en-US" sz="1400" b="0"/>
              <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29D0-4EF5-AEF5-DB31BA0767CF}"/>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29D0-4EF5-AEF5-DB31BA0767CF}"/>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29D0-4EF5-AEF5-DB31BA0767CF}"/>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29D0-4EF5-AEF5-DB31BA0767CF}"/>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29D0-4EF5-AEF5-DB31BA0767CF}"/>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29D0-4EF5-AEF5-DB31BA0767CF}"/>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D-29D0-4EF5-AEF5-DB31BA0767CF}"/>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F-29D0-4EF5-AEF5-DB31BA0767CF}"/>
              </c:ext>
            </c:extLst>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1-29D0-4EF5-AEF5-DB31BA0767CF}"/>
              </c:ext>
            </c:extLst>
          </c:dPt>
          <c:dPt>
            <c:idx val="9"/>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3-029F-421E-907B-9DD80F7E60ED}"/>
              </c:ext>
            </c:extLst>
          </c:dPt>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1-29D0-4EF5-AEF5-DB31BA0767CF}"/>
                </c:ext>
              </c:extLst>
            </c:dLbl>
            <c:dLbl>
              <c:idx val="1"/>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3-29D0-4EF5-AEF5-DB31BA0767CF}"/>
                </c:ext>
              </c:extLst>
            </c:dLbl>
            <c:dLbl>
              <c:idx val="3"/>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7-29D0-4EF5-AEF5-DB31BA0767CF}"/>
                </c:ext>
              </c:extLst>
            </c:dLbl>
            <c:dLbl>
              <c:idx val="4"/>
              <c:layout>
                <c:manualLayout>
                  <c:x val="-0.172363172345392"/>
                  <c:y val="9.432186527440010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9D0-4EF5-AEF5-DB31BA0767CF}"/>
                </c:ext>
              </c:extLst>
            </c:dLbl>
            <c:dLbl>
              <c:idx val="5"/>
              <c:layout>
                <c:manualLayout>
                  <c:x val="-0.17818740399385599"/>
                  <c:y val="3.18508188636248E-2"/>
                </c:manualLayout>
              </c:layout>
              <c:showLegendKey val="0"/>
              <c:showVal val="0"/>
              <c:showCatName val="0"/>
              <c:showSerName val="0"/>
              <c:showPercent val="1"/>
              <c:showBubbleSize val="0"/>
              <c:extLst>
                <c:ext xmlns:c15="http://schemas.microsoft.com/office/drawing/2012/chart" uri="{CE6537A1-D6FC-4f65-9D91-7224C49458BB}">
                  <c15:layout>
                    <c:manualLayout>
                      <c:w val="0.113671274961598"/>
                      <c:h val="0.14254859611231099"/>
                    </c:manualLayout>
                  </c15:layout>
                </c:ext>
                <c:ext xmlns:c16="http://schemas.microsoft.com/office/drawing/2014/chart" uri="{C3380CC4-5D6E-409C-BE32-E72D297353CC}">
                  <c16:uniqueId val="{0000000B-29D0-4EF5-AEF5-DB31BA0767CF}"/>
                </c:ext>
              </c:extLst>
            </c:dLbl>
            <c:dLbl>
              <c:idx val="6"/>
              <c:delete val="1"/>
              <c:extLst>
                <c:ext xmlns:c15="http://schemas.microsoft.com/office/drawing/2012/chart" uri="{CE6537A1-D6FC-4f65-9D91-7224C49458BB}"/>
                <c:ext xmlns:c16="http://schemas.microsoft.com/office/drawing/2014/chart" uri="{C3380CC4-5D6E-409C-BE32-E72D297353CC}">
                  <c16:uniqueId val="{0000000D-29D0-4EF5-AEF5-DB31BA0767CF}"/>
                </c:ext>
              </c:extLst>
            </c:dLbl>
            <c:dLbl>
              <c:idx val="7"/>
              <c:layout>
                <c:manualLayout>
                  <c:x val="-8.8125960061443895E-2"/>
                  <c:y val="-3.7642216969099199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29D0-4EF5-AEF5-DB31BA0767CF}"/>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'Visual Summary'!$A$62:$A$71</c:f>
              <c:strCache>
                <c:ptCount val="10"/>
                <c:pt idx="0">
                  <c:v>Residential Electricity</c:v>
                </c:pt>
                <c:pt idx="1">
                  <c:v>Residential Natural Gas</c:v>
                </c:pt>
                <c:pt idx="2">
                  <c:v>Residential Propane</c:v>
                </c:pt>
                <c:pt idx="3">
                  <c:v>Multifamily Electricity</c:v>
                </c:pt>
                <c:pt idx="4">
                  <c:v>Multifamily Natural Gas</c:v>
                </c:pt>
                <c:pt idx="5">
                  <c:v>Commercial Electricity</c:v>
                </c:pt>
                <c:pt idx="6">
                  <c:v>Commercial Natural Gas</c:v>
                </c:pt>
                <c:pt idx="7">
                  <c:v>Commercial Propane</c:v>
                </c:pt>
                <c:pt idx="8">
                  <c:v>Commercial Diesel</c:v>
                </c:pt>
                <c:pt idx="9">
                  <c:v>Fugitive Emissions</c:v>
                </c:pt>
              </c:strCache>
            </c:strRef>
          </c:cat>
          <c:val>
            <c:numRef>
              <c:f>'Visual Summary'!$B$62:$B$71</c:f>
              <c:numCache>
                <c:formatCode>#,##0_);\(#,##0\)</c:formatCode>
                <c:ptCount val="10"/>
                <c:pt idx="0">
                  <c:v>479138.64189823944</c:v>
                </c:pt>
                <c:pt idx="1">
                  <c:v>763698.36901130015</c:v>
                </c:pt>
                <c:pt idx="2">
                  <c:v>4.494473739800001</c:v>
                </c:pt>
                <c:pt idx="3">
                  <c:v>535380.81321295991</c:v>
                </c:pt>
                <c:pt idx="4">
                  <c:v>260220.60497495002</c:v>
                </c:pt>
                <c:pt idx="5">
                  <c:v>2405998.7512205448</c:v>
                </c:pt>
                <c:pt idx="6">
                  <c:v>887752.63056615007</c:v>
                </c:pt>
                <c:pt idx="7">
                  <c:v>3651.8419983720801</c:v>
                </c:pt>
                <c:pt idx="8">
                  <c:v>14594.466460600002</c:v>
                </c:pt>
                <c:pt idx="9">
                  <c:v>89356.58481445862</c:v>
                </c:pt>
              </c:numCache>
            </c:numRef>
          </c:val>
          <c:extLst>
            <c:ext xmlns:c16="http://schemas.microsoft.com/office/drawing/2014/chart" uri="{C3380CC4-5D6E-409C-BE32-E72D297353CC}">
              <c16:uniqueId val="{00000000-C4F6-43FD-A685-9FCB592620D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212586329934596"/>
          <c:y val="0.23642557099369099"/>
          <c:w val="0.33039274200314001"/>
          <c:h val="0.6681812386517009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solidFill>
                  <a:schemeClr val="tx2"/>
                </a:solidFill>
                <a:effectLst/>
              </a:rPr>
              <a:t>Stationary Emissions Details (mt CO</a:t>
            </a:r>
            <a:r>
              <a:rPr lang="en-US" sz="1400" b="0" i="0" baseline="-25000">
                <a:solidFill>
                  <a:schemeClr val="tx2"/>
                </a:solidFill>
                <a:effectLst/>
              </a:rPr>
              <a:t>2</a:t>
            </a:r>
            <a:r>
              <a:rPr lang="en-US" sz="1400" b="0" i="0" baseline="0">
                <a:solidFill>
                  <a:schemeClr val="tx2"/>
                </a:solidFill>
                <a:effectLst/>
              </a:rPr>
              <a:t>e)</a:t>
            </a:r>
            <a:endParaRPr lang="en-US" sz="1400">
              <a:solidFill>
                <a:schemeClr val="tx2"/>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'Visual Summary'!$A$62</c:f>
              <c:strCache>
                <c:ptCount val="1"/>
                <c:pt idx="0">
                  <c:v>Residential Electricity</c:v>
                </c:pt>
              </c:strCache>
            </c:strRef>
          </c:tx>
          <c:spPr>
            <a:solidFill>
              <a:schemeClr val="accent1"/>
            </a:solidFill>
            <a:ln>
              <a:noFill/>
            </a:ln>
            <a:effectLst/>
          </c:spPr>
          <c:invertIfNegative val="0"/>
          <c:cat>
            <c:numLit>
              <c:formatCode>General</c:formatCode>
              <c:ptCount val="1"/>
              <c:pt idx="0">
                <c:v>2018</c:v>
              </c:pt>
            </c:numLit>
          </c:cat>
          <c:val>
            <c:numRef>
              <c:f>'Visual Summary'!$B$62</c:f>
              <c:numCache>
                <c:formatCode>#,##0_);\(#,##0\)</c:formatCode>
                <c:ptCount val="1"/>
                <c:pt idx="0">
                  <c:v>479138.64189823944</c:v>
                </c:pt>
              </c:numCache>
              <c:extLst/>
            </c:numRef>
          </c:val>
          <c:extLst>
            <c:ext xmlns:c16="http://schemas.microsoft.com/office/drawing/2014/chart" uri="{C3380CC4-5D6E-409C-BE32-E72D297353CC}">
              <c16:uniqueId val="{00000000-1A7A-4A3C-B097-DC8603722EE2}"/>
            </c:ext>
          </c:extLst>
        </c:ser>
        <c:ser>
          <c:idx val="1"/>
          <c:order val="1"/>
          <c:tx>
            <c:strRef>
              <c:f>'Visual Summary'!$A$63</c:f>
              <c:strCache>
                <c:ptCount val="1"/>
                <c:pt idx="0">
                  <c:v>Residential Natural Gas</c:v>
                </c:pt>
              </c:strCache>
            </c:strRef>
          </c:tx>
          <c:spPr>
            <a:solidFill>
              <a:schemeClr val="accent3"/>
            </a:solidFill>
            <a:ln>
              <a:noFill/>
            </a:ln>
            <a:effectLst/>
          </c:spPr>
          <c:invertIfNegative val="0"/>
          <c:cat>
            <c:numLit>
              <c:formatCode>General</c:formatCode>
              <c:ptCount val="1"/>
              <c:pt idx="0">
                <c:v>2018</c:v>
              </c:pt>
            </c:numLit>
          </c:cat>
          <c:val>
            <c:numRef>
              <c:f>'Visual Summary'!$B$63</c:f>
              <c:numCache>
                <c:formatCode>#,##0_);\(#,##0\)</c:formatCode>
                <c:ptCount val="1"/>
                <c:pt idx="0">
                  <c:v>763698.36901130015</c:v>
                </c:pt>
              </c:numCache>
              <c:extLst/>
            </c:numRef>
          </c:val>
          <c:extLst>
            <c:ext xmlns:c16="http://schemas.microsoft.com/office/drawing/2014/chart" uri="{C3380CC4-5D6E-409C-BE32-E72D297353CC}">
              <c16:uniqueId val="{00000001-1A7A-4A3C-B097-DC8603722EE2}"/>
            </c:ext>
          </c:extLst>
        </c:ser>
        <c:ser>
          <c:idx val="2"/>
          <c:order val="2"/>
          <c:tx>
            <c:strRef>
              <c:f>'Visual Summary'!$A$64</c:f>
              <c:strCache>
                <c:ptCount val="1"/>
                <c:pt idx="0">
                  <c:v>Residential Propane</c:v>
                </c:pt>
              </c:strCache>
            </c:strRef>
          </c:tx>
          <c:spPr>
            <a:solidFill>
              <a:schemeClr val="accent5"/>
            </a:solidFill>
            <a:ln>
              <a:noFill/>
            </a:ln>
            <a:effectLst/>
          </c:spPr>
          <c:invertIfNegative val="0"/>
          <c:cat>
            <c:numLit>
              <c:formatCode>General</c:formatCode>
              <c:ptCount val="1"/>
              <c:pt idx="0">
                <c:v>2018</c:v>
              </c:pt>
            </c:numLit>
          </c:cat>
          <c:val>
            <c:numRef>
              <c:f>'Visual Summary'!$B$64</c:f>
              <c:numCache>
                <c:formatCode>#,##0_);\(#,##0\)</c:formatCode>
                <c:ptCount val="1"/>
                <c:pt idx="0">
                  <c:v>4.494473739800001</c:v>
                </c:pt>
              </c:numCache>
              <c:extLst/>
            </c:numRef>
          </c:val>
          <c:extLst>
            <c:ext xmlns:c16="http://schemas.microsoft.com/office/drawing/2014/chart" uri="{C3380CC4-5D6E-409C-BE32-E72D297353CC}">
              <c16:uniqueId val="{00000002-1A7A-4A3C-B097-DC8603722EE2}"/>
            </c:ext>
          </c:extLst>
        </c:ser>
        <c:ser>
          <c:idx val="3"/>
          <c:order val="3"/>
          <c:tx>
            <c:strRef>
              <c:f>'Visual Summary'!$A$67</c:f>
              <c:strCache>
                <c:ptCount val="1"/>
                <c:pt idx="0">
                  <c:v>Commercial Electricity</c:v>
                </c:pt>
              </c:strCache>
            </c:strRef>
          </c:tx>
          <c:spPr>
            <a:solidFill>
              <a:schemeClr val="accent1">
                <a:lumMod val="60000"/>
              </a:schemeClr>
            </a:solidFill>
            <a:ln>
              <a:noFill/>
            </a:ln>
            <a:effectLst/>
          </c:spPr>
          <c:invertIfNegative val="0"/>
          <c:cat>
            <c:numLit>
              <c:formatCode>General</c:formatCode>
              <c:ptCount val="1"/>
              <c:pt idx="0">
                <c:v>2018</c:v>
              </c:pt>
            </c:numLit>
          </c:cat>
          <c:val>
            <c:numRef>
              <c:f>'Visual Summary'!$B$67</c:f>
              <c:numCache>
                <c:formatCode>#,##0_);\(#,##0\)</c:formatCode>
                <c:ptCount val="1"/>
                <c:pt idx="0">
                  <c:v>2405998.7512205448</c:v>
                </c:pt>
              </c:numCache>
              <c:extLst/>
            </c:numRef>
          </c:val>
          <c:extLst>
            <c:ext xmlns:c16="http://schemas.microsoft.com/office/drawing/2014/chart" uri="{C3380CC4-5D6E-409C-BE32-E72D297353CC}">
              <c16:uniqueId val="{00000003-1A7A-4A3C-B097-DC8603722EE2}"/>
            </c:ext>
          </c:extLst>
        </c:ser>
        <c:ser>
          <c:idx val="4"/>
          <c:order val="4"/>
          <c:tx>
            <c:strRef>
              <c:f>'Visual Summary'!$A$68</c:f>
              <c:strCache>
                <c:ptCount val="1"/>
                <c:pt idx="0">
                  <c:v>Commercial Natural Gas</c:v>
                </c:pt>
              </c:strCache>
            </c:strRef>
          </c:tx>
          <c:spPr>
            <a:solidFill>
              <a:schemeClr val="accent3">
                <a:lumMod val="60000"/>
              </a:schemeClr>
            </a:solidFill>
            <a:ln>
              <a:noFill/>
            </a:ln>
            <a:effectLst/>
          </c:spPr>
          <c:invertIfNegative val="0"/>
          <c:cat>
            <c:numLit>
              <c:formatCode>General</c:formatCode>
              <c:ptCount val="1"/>
              <c:pt idx="0">
                <c:v>2018</c:v>
              </c:pt>
            </c:numLit>
          </c:cat>
          <c:val>
            <c:numRef>
              <c:f>'Visual Summary'!$B$68</c:f>
              <c:numCache>
                <c:formatCode>#,##0_);\(#,##0\)</c:formatCode>
                <c:ptCount val="1"/>
                <c:pt idx="0">
                  <c:v>887752.63056615007</c:v>
                </c:pt>
              </c:numCache>
              <c:extLst/>
            </c:numRef>
          </c:val>
          <c:extLst>
            <c:ext xmlns:c16="http://schemas.microsoft.com/office/drawing/2014/chart" uri="{C3380CC4-5D6E-409C-BE32-E72D297353CC}">
              <c16:uniqueId val="{00000004-1A7A-4A3C-B097-DC8603722EE2}"/>
            </c:ext>
          </c:extLst>
        </c:ser>
        <c:ser>
          <c:idx val="5"/>
          <c:order val="5"/>
          <c:tx>
            <c:strRef>
              <c:f>'Visual Summary'!$A$69</c:f>
              <c:strCache>
                <c:ptCount val="1"/>
                <c:pt idx="0">
                  <c:v>Commercial Propane</c:v>
                </c:pt>
              </c:strCache>
            </c:strRef>
          </c:tx>
          <c:spPr>
            <a:solidFill>
              <a:schemeClr val="accent5">
                <a:lumMod val="60000"/>
              </a:schemeClr>
            </a:solidFill>
            <a:ln>
              <a:noFill/>
            </a:ln>
            <a:effectLst/>
          </c:spPr>
          <c:invertIfNegative val="0"/>
          <c:cat>
            <c:numLit>
              <c:formatCode>General</c:formatCode>
              <c:ptCount val="1"/>
              <c:pt idx="0">
                <c:v>2018</c:v>
              </c:pt>
            </c:numLit>
          </c:cat>
          <c:val>
            <c:numRef>
              <c:f>'Visual Summary'!$B$69</c:f>
              <c:numCache>
                <c:formatCode>#,##0_);\(#,##0\)</c:formatCode>
                <c:ptCount val="1"/>
                <c:pt idx="0">
                  <c:v>3651.8419983720801</c:v>
                </c:pt>
              </c:numCache>
              <c:extLst/>
            </c:numRef>
          </c:val>
          <c:extLst>
            <c:ext xmlns:c16="http://schemas.microsoft.com/office/drawing/2014/chart" uri="{C3380CC4-5D6E-409C-BE32-E72D297353CC}">
              <c16:uniqueId val="{00000005-1A7A-4A3C-B097-DC8603722EE2}"/>
            </c:ext>
          </c:extLst>
        </c:ser>
        <c:ser>
          <c:idx val="6"/>
          <c:order val="6"/>
          <c:tx>
            <c:strRef>
              <c:f>'Visual Summary'!$A$70</c:f>
              <c:strCache>
                <c:ptCount val="1"/>
                <c:pt idx="0">
                  <c:v>Commercial Diesel</c:v>
                </c:pt>
              </c:strCache>
            </c:strRef>
          </c:tx>
          <c:spPr>
            <a:solidFill>
              <a:schemeClr val="accent1">
                <a:lumMod val="80000"/>
                <a:lumOff val="20000"/>
              </a:schemeClr>
            </a:solidFill>
            <a:ln>
              <a:noFill/>
            </a:ln>
            <a:effectLst/>
          </c:spPr>
          <c:invertIfNegative val="0"/>
          <c:cat>
            <c:numLit>
              <c:formatCode>General</c:formatCode>
              <c:ptCount val="1"/>
              <c:pt idx="0">
                <c:v>2018</c:v>
              </c:pt>
            </c:numLit>
          </c:cat>
          <c:val>
            <c:numRef>
              <c:f>'Visual Summary'!$B$70</c:f>
              <c:numCache>
                <c:formatCode>#,##0_);\(#,##0\)</c:formatCode>
                <c:ptCount val="1"/>
                <c:pt idx="0">
                  <c:v>14594.466460600002</c:v>
                </c:pt>
              </c:numCache>
              <c:extLst/>
            </c:numRef>
          </c:val>
          <c:extLst>
            <c:ext xmlns:c16="http://schemas.microsoft.com/office/drawing/2014/chart" uri="{C3380CC4-5D6E-409C-BE32-E72D297353CC}">
              <c16:uniqueId val="{00000006-1A7A-4A3C-B097-DC8603722EE2}"/>
            </c:ext>
          </c:extLst>
        </c:ser>
        <c:ser>
          <c:idx val="7"/>
          <c:order val="7"/>
          <c:tx>
            <c:strRef>
              <c:f>'Visual Summary'!$A$71</c:f>
              <c:strCache>
                <c:ptCount val="1"/>
                <c:pt idx="0">
                  <c:v>Fugitive Emissions</c:v>
                </c:pt>
              </c:strCache>
            </c:strRef>
          </c:tx>
          <c:spPr>
            <a:solidFill>
              <a:schemeClr val="accent3">
                <a:lumMod val="80000"/>
                <a:lumOff val="20000"/>
              </a:schemeClr>
            </a:solidFill>
            <a:ln>
              <a:noFill/>
            </a:ln>
            <a:effectLst/>
          </c:spPr>
          <c:invertIfNegative val="0"/>
          <c:cat>
            <c:numLit>
              <c:formatCode>General</c:formatCode>
              <c:ptCount val="1"/>
              <c:pt idx="0">
                <c:v>2018</c:v>
              </c:pt>
            </c:numLit>
          </c:cat>
          <c:val>
            <c:numRef>
              <c:f>'Visual Summary'!$B$71</c:f>
              <c:numCache>
                <c:formatCode>#,##0_);\(#,##0\)</c:formatCode>
                <c:ptCount val="1"/>
                <c:pt idx="0">
                  <c:v>89356.58481445862</c:v>
                </c:pt>
              </c:numCache>
              <c:extLst/>
            </c:numRef>
          </c:val>
          <c:extLst>
            <c:ext xmlns:c16="http://schemas.microsoft.com/office/drawing/2014/chart" uri="{C3380CC4-5D6E-409C-BE32-E72D297353CC}">
              <c16:uniqueId val="{00000000-F30F-4286-ACD5-8FC3458E0EE3}"/>
            </c:ext>
          </c:extLst>
        </c:ser>
        <c:dLbls>
          <c:showLegendKey val="0"/>
          <c:showVal val="0"/>
          <c:showCatName val="0"/>
          <c:showSerName val="0"/>
          <c:showPercent val="0"/>
          <c:showBubbleSize val="0"/>
        </c:dLbls>
        <c:gapWidth val="150"/>
        <c:overlap val="100"/>
        <c:axId val="2106225168"/>
        <c:axId val="2106215952"/>
      </c:barChart>
      <c:catAx>
        <c:axId val="2106225168"/>
        <c:scaling>
          <c:orientation val="minMax"/>
        </c:scaling>
        <c:delete val="1"/>
        <c:axPos val="b"/>
        <c:numFmt formatCode="General" sourceLinked="1"/>
        <c:majorTickMark val="none"/>
        <c:minorTickMark val="none"/>
        <c:tickLblPos val="nextTo"/>
        <c:crossAx val="2106215952"/>
        <c:crosses val="autoZero"/>
        <c:auto val="1"/>
        <c:lblAlgn val="ctr"/>
        <c:lblOffset val="100"/>
        <c:noMultiLvlLbl val="0"/>
      </c:catAx>
      <c:valAx>
        <c:axId val="210621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GHG Emissions (mt CO</a:t>
                </a:r>
                <a:r>
                  <a:rPr lang="en-US" sz="1000" b="0" i="0" baseline="-25000">
                    <a:effectLst/>
                  </a:rPr>
                  <a:t>2</a:t>
                </a:r>
                <a:r>
                  <a:rPr lang="en-US" sz="1000" b="0" i="0" baseline="0">
                    <a:effectLst/>
                  </a:rPr>
                  <a:t>e)</a:t>
                </a:r>
                <a:endParaRPr lang="en-US" sz="1000">
                  <a:effectLst/>
                </a:endParaRPr>
              </a:p>
            </c:rich>
          </c:tx>
          <c:layout>
            <c:manualLayout>
              <c:xMode val="edge"/>
              <c:yMode val="edge"/>
              <c:x val="1.8433179723502304E-2"/>
              <c:y val="0.217090753756451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6225168"/>
        <c:crosses val="autoZero"/>
        <c:crossBetween val="between"/>
      </c:valAx>
      <c:spPr>
        <a:noFill/>
        <a:ln>
          <a:noFill/>
        </a:ln>
        <a:effectLst/>
      </c:spPr>
    </c:plotArea>
    <c:legend>
      <c:legendPos val="r"/>
      <c:layout>
        <c:manualLayout>
          <c:xMode val="edge"/>
          <c:yMode val="edge"/>
          <c:x val="0.67331242615845199"/>
          <c:y val="0.20844985629496099"/>
          <c:w val="0.29355171505679001"/>
          <c:h val="0.6932827539303901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t>Transportation Emissions Details (mt CO</a:t>
            </a:r>
            <a:r>
              <a:rPr lang="en-US" sz="1400" b="0" baseline="-25000"/>
              <a:t>2</a:t>
            </a:r>
            <a:r>
              <a:rPr lang="en-US" sz="1400" b="0"/>
              <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556-43DB-A4F7-5689C2AE58CA}"/>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0556-43DB-A4F7-5689C2AE58CA}"/>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0556-43DB-A4F7-5689C2AE58CA}"/>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0556-43DB-A4F7-5689C2AE58CA}"/>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0556-43DB-A4F7-5689C2AE58CA}"/>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0556-43DB-A4F7-5689C2AE58CA}"/>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D-0556-43DB-A4F7-5689C2AE58CA}"/>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F-0556-43DB-A4F7-5689C2AE58CA}"/>
              </c:ext>
            </c:extLst>
          </c:dPt>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1-0556-43DB-A4F7-5689C2AE58CA}"/>
                </c:ext>
              </c:extLst>
            </c:dLbl>
            <c:dLbl>
              <c:idx val="4"/>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9-0556-43DB-A4F7-5689C2AE58CA}"/>
                </c:ext>
              </c:extLst>
            </c:dLbl>
            <c:dLbl>
              <c:idx val="5"/>
              <c:layout>
                <c:manualLayout>
                  <c:x val="3.6755886015640775E-2"/>
                  <c:y val="-1.693309463077678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0556-43DB-A4F7-5689C2AE58CA}"/>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'Visual Summary'!$A$76:$A$83</c:f>
              <c:strCache>
                <c:ptCount val="8"/>
                <c:pt idx="0">
                  <c:v>Fossil Fuel Vehicles</c:v>
                </c:pt>
                <c:pt idx="1">
                  <c:v>Transit</c:v>
                </c:pt>
                <c:pt idx="2">
                  <c:v>Light Rail</c:v>
                </c:pt>
                <c:pt idx="3">
                  <c:v>Railways</c:v>
                </c:pt>
                <c:pt idx="4">
                  <c:v>Electric Vehicles</c:v>
                </c:pt>
                <c:pt idx="5">
                  <c:v>Transboundary Aviation</c:v>
                </c:pt>
                <c:pt idx="6">
                  <c:v>In-Boundary Aviation</c:v>
                </c:pt>
                <c:pt idx="7">
                  <c:v>Off-Road Vehicles</c:v>
                </c:pt>
              </c:strCache>
            </c:strRef>
          </c:cat>
          <c:val>
            <c:numRef>
              <c:f>'Visual Summary'!$B$76:$B$83</c:f>
              <c:numCache>
                <c:formatCode>#,##0_);\(#,##0\)</c:formatCode>
                <c:ptCount val="8"/>
                <c:pt idx="0">
                  <c:v>2665150.1214225525</c:v>
                </c:pt>
                <c:pt idx="1">
                  <c:v>36266.545636515635</c:v>
                </c:pt>
                <c:pt idx="2">
                  <c:v>31200.309867461583</c:v>
                </c:pt>
                <c:pt idx="3">
                  <c:v>42971.560765650996</c:v>
                </c:pt>
                <c:pt idx="4">
                  <c:v>4897.9450459217469</c:v>
                </c:pt>
                <c:pt idx="5">
                  <c:v>2057662.9439781066</c:v>
                </c:pt>
                <c:pt idx="6">
                  <c:v>82.521669299579969</c:v>
                </c:pt>
                <c:pt idx="7">
                  <c:v>32966.095631874356</c:v>
                </c:pt>
              </c:numCache>
            </c:numRef>
          </c:val>
          <c:extLst>
            <c:ext xmlns:c16="http://schemas.microsoft.com/office/drawing/2014/chart" uri="{C3380CC4-5D6E-409C-BE32-E72D297353CC}">
              <c16:uniqueId val="{00000000-ADBD-4504-9318-E0D52B25C985}"/>
            </c:ext>
          </c:extLst>
        </c:ser>
        <c:dLbls>
          <c:showLegendKey val="0"/>
          <c:showVal val="0"/>
          <c:showCatName val="0"/>
          <c:showSerName val="0"/>
          <c:showPercent val="0"/>
          <c:showBubbleSize val="0"/>
          <c:showLeaderLines val="1"/>
        </c:dLbls>
        <c:firstSliceAng val="0"/>
      </c:pieChart>
      <c:spPr>
        <a:noFill/>
        <a:ln>
          <a:noFill/>
        </a:ln>
        <a:effectLst/>
      </c:spPr>
    </c:plotArea>
    <c:legend>
      <c:legendPos val="tr"/>
      <c:layout>
        <c:manualLayout>
          <c:xMode val="edge"/>
          <c:yMode val="edge"/>
          <c:x val="0.66572492954509699"/>
          <c:y val="0.20478402229447301"/>
          <c:w val="0.30969749749023301"/>
          <c:h val="0.7441244774732930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solidFill>
                  <a:schemeClr val="tx2"/>
                </a:solidFill>
                <a:effectLst/>
              </a:rPr>
              <a:t>Transportation Emissions Details (mt CO</a:t>
            </a:r>
            <a:r>
              <a:rPr lang="en-US" sz="1400" b="0" i="0" baseline="-25000">
                <a:solidFill>
                  <a:schemeClr val="tx2"/>
                </a:solidFill>
                <a:effectLst/>
              </a:rPr>
              <a:t>2</a:t>
            </a:r>
            <a:r>
              <a:rPr lang="en-US" sz="1400" b="0" i="0" baseline="0">
                <a:solidFill>
                  <a:schemeClr val="tx2"/>
                </a:solidFill>
                <a:effectLst/>
              </a:rPr>
              <a:t>e)</a:t>
            </a:r>
            <a:endParaRPr lang="en-US" sz="1400">
              <a:solidFill>
                <a:schemeClr val="tx2"/>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'Visual Summary'!$A$76</c:f>
              <c:strCache>
                <c:ptCount val="1"/>
                <c:pt idx="0">
                  <c:v>Fossil Fuel Vehicles</c:v>
                </c:pt>
              </c:strCache>
            </c:strRef>
          </c:tx>
          <c:spPr>
            <a:solidFill>
              <a:schemeClr val="accent1"/>
            </a:solidFill>
            <a:ln>
              <a:noFill/>
            </a:ln>
            <a:effectLst/>
          </c:spPr>
          <c:invertIfNegative val="0"/>
          <c:val>
            <c:numRef>
              <c:f>'Visual Summary'!$B$76</c:f>
              <c:numCache>
                <c:formatCode>#,##0_);\(#,##0\)</c:formatCode>
                <c:ptCount val="1"/>
                <c:pt idx="0">
                  <c:v>2665150.1214225525</c:v>
                </c:pt>
              </c:numCache>
            </c:numRef>
          </c:val>
          <c:extLst>
            <c:ext xmlns:c16="http://schemas.microsoft.com/office/drawing/2014/chart" uri="{C3380CC4-5D6E-409C-BE32-E72D297353CC}">
              <c16:uniqueId val="{00000000-C677-4D2A-8C3D-AC966FC6F86E}"/>
            </c:ext>
          </c:extLst>
        </c:ser>
        <c:ser>
          <c:idx val="2"/>
          <c:order val="1"/>
          <c:tx>
            <c:strRef>
              <c:f>'Visual Summary'!$A$77</c:f>
              <c:strCache>
                <c:ptCount val="1"/>
                <c:pt idx="0">
                  <c:v>Transit</c:v>
                </c:pt>
              </c:strCache>
            </c:strRef>
          </c:tx>
          <c:spPr>
            <a:solidFill>
              <a:schemeClr val="accent5"/>
            </a:solidFill>
            <a:ln>
              <a:noFill/>
            </a:ln>
            <a:effectLst/>
          </c:spPr>
          <c:invertIfNegative val="0"/>
          <c:val>
            <c:numRef>
              <c:f>'Visual Summary'!$B$77</c:f>
              <c:numCache>
                <c:formatCode>#,##0_);\(#,##0\)</c:formatCode>
                <c:ptCount val="1"/>
                <c:pt idx="0">
                  <c:v>36266.545636515635</c:v>
                </c:pt>
              </c:numCache>
            </c:numRef>
          </c:val>
          <c:extLst>
            <c:ext xmlns:c16="http://schemas.microsoft.com/office/drawing/2014/chart" uri="{C3380CC4-5D6E-409C-BE32-E72D297353CC}">
              <c16:uniqueId val="{00000002-C677-4D2A-8C3D-AC966FC6F86E}"/>
            </c:ext>
          </c:extLst>
        </c:ser>
        <c:ser>
          <c:idx val="3"/>
          <c:order val="2"/>
          <c:tx>
            <c:strRef>
              <c:f>'Visual Summary'!$A$78</c:f>
              <c:strCache>
                <c:ptCount val="1"/>
                <c:pt idx="0">
                  <c:v>Light Rail</c:v>
                </c:pt>
              </c:strCache>
            </c:strRef>
          </c:tx>
          <c:spPr>
            <a:solidFill>
              <a:schemeClr val="accent1">
                <a:lumMod val="60000"/>
              </a:schemeClr>
            </a:solidFill>
            <a:ln>
              <a:noFill/>
            </a:ln>
            <a:effectLst/>
          </c:spPr>
          <c:invertIfNegative val="0"/>
          <c:val>
            <c:numRef>
              <c:f>'Visual Summary'!$B$78</c:f>
              <c:numCache>
                <c:formatCode>#,##0_);\(#,##0\)</c:formatCode>
                <c:ptCount val="1"/>
                <c:pt idx="0">
                  <c:v>31200.309867461583</c:v>
                </c:pt>
              </c:numCache>
            </c:numRef>
          </c:val>
          <c:extLst>
            <c:ext xmlns:c16="http://schemas.microsoft.com/office/drawing/2014/chart" uri="{C3380CC4-5D6E-409C-BE32-E72D297353CC}">
              <c16:uniqueId val="{00000003-C677-4D2A-8C3D-AC966FC6F86E}"/>
            </c:ext>
          </c:extLst>
        </c:ser>
        <c:ser>
          <c:idx val="4"/>
          <c:order val="3"/>
          <c:tx>
            <c:strRef>
              <c:f>'Visual Summary'!$A$79</c:f>
              <c:strCache>
                <c:ptCount val="1"/>
                <c:pt idx="0">
                  <c:v>Railways</c:v>
                </c:pt>
              </c:strCache>
            </c:strRef>
          </c:tx>
          <c:spPr>
            <a:solidFill>
              <a:schemeClr val="accent3">
                <a:lumMod val="60000"/>
              </a:schemeClr>
            </a:solidFill>
            <a:ln>
              <a:noFill/>
            </a:ln>
            <a:effectLst/>
          </c:spPr>
          <c:invertIfNegative val="0"/>
          <c:val>
            <c:numRef>
              <c:f>'Visual Summary'!$B$79</c:f>
              <c:numCache>
                <c:formatCode>#,##0_);\(#,##0\)</c:formatCode>
                <c:ptCount val="1"/>
                <c:pt idx="0">
                  <c:v>42971.560765650996</c:v>
                </c:pt>
              </c:numCache>
            </c:numRef>
          </c:val>
          <c:extLst>
            <c:ext xmlns:c16="http://schemas.microsoft.com/office/drawing/2014/chart" uri="{C3380CC4-5D6E-409C-BE32-E72D297353CC}">
              <c16:uniqueId val="{00000004-C677-4D2A-8C3D-AC966FC6F86E}"/>
            </c:ext>
          </c:extLst>
        </c:ser>
        <c:ser>
          <c:idx val="5"/>
          <c:order val="4"/>
          <c:tx>
            <c:strRef>
              <c:f>'Visual Summary'!$A$80</c:f>
              <c:strCache>
                <c:ptCount val="1"/>
                <c:pt idx="0">
                  <c:v>Electric Vehicles</c:v>
                </c:pt>
              </c:strCache>
            </c:strRef>
          </c:tx>
          <c:spPr>
            <a:solidFill>
              <a:schemeClr val="accent5">
                <a:lumMod val="60000"/>
              </a:schemeClr>
            </a:solidFill>
            <a:ln>
              <a:noFill/>
            </a:ln>
            <a:effectLst/>
          </c:spPr>
          <c:invertIfNegative val="0"/>
          <c:val>
            <c:numRef>
              <c:f>'Visual Summary'!$B$80</c:f>
              <c:numCache>
                <c:formatCode>#,##0_);\(#,##0\)</c:formatCode>
                <c:ptCount val="1"/>
                <c:pt idx="0">
                  <c:v>4897.9450459217469</c:v>
                </c:pt>
              </c:numCache>
            </c:numRef>
          </c:val>
          <c:extLst>
            <c:ext xmlns:c16="http://schemas.microsoft.com/office/drawing/2014/chart" uri="{C3380CC4-5D6E-409C-BE32-E72D297353CC}">
              <c16:uniqueId val="{00000000-C060-4A71-8928-BB29EC6FB678}"/>
            </c:ext>
          </c:extLst>
        </c:ser>
        <c:ser>
          <c:idx val="6"/>
          <c:order val="5"/>
          <c:tx>
            <c:strRef>
              <c:f>'Visual Summary'!$A$81</c:f>
              <c:strCache>
                <c:ptCount val="1"/>
                <c:pt idx="0">
                  <c:v>Transboundary Aviation</c:v>
                </c:pt>
              </c:strCache>
            </c:strRef>
          </c:tx>
          <c:spPr>
            <a:solidFill>
              <a:schemeClr val="accent1">
                <a:lumMod val="80000"/>
                <a:lumOff val="20000"/>
              </a:schemeClr>
            </a:solidFill>
            <a:ln>
              <a:noFill/>
            </a:ln>
            <a:effectLst/>
          </c:spPr>
          <c:invertIfNegative val="0"/>
          <c:val>
            <c:numRef>
              <c:f>'Visual Summary'!$B$81</c:f>
              <c:numCache>
                <c:formatCode>#,##0_);\(#,##0\)</c:formatCode>
                <c:ptCount val="1"/>
                <c:pt idx="0">
                  <c:v>2057662.9439781066</c:v>
                </c:pt>
              </c:numCache>
            </c:numRef>
          </c:val>
          <c:extLst>
            <c:ext xmlns:c16="http://schemas.microsoft.com/office/drawing/2014/chart" uri="{C3380CC4-5D6E-409C-BE32-E72D297353CC}">
              <c16:uniqueId val="{00000000-DA6C-48B2-830F-55E913312C56}"/>
            </c:ext>
          </c:extLst>
        </c:ser>
        <c:ser>
          <c:idx val="1"/>
          <c:order val="6"/>
          <c:tx>
            <c:strRef>
              <c:f>'Visual Summary'!$A$82</c:f>
              <c:strCache>
                <c:ptCount val="1"/>
                <c:pt idx="0">
                  <c:v>In-Boundary Aviation</c:v>
                </c:pt>
              </c:strCache>
            </c:strRef>
          </c:tx>
          <c:spPr>
            <a:solidFill>
              <a:schemeClr val="accent3"/>
            </a:solidFill>
            <a:ln>
              <a:noFill/>
            </a:ln>
            <a:effectLst/>
          </c:spPr>
          <c:invertIfNegative val="0"/>
          <c:val>
            <c:numRef>
              <c:f>'Visual Summary'!$B$82</c:f>
              <c:numCache>
                <c:formatCode>#,##0_);\(#,##0\)</c:formatCode>
                <c:ptCount val="1"/>
                <c:pt idx="0">
                  <c:v>82.521669299579969</c:v>
                </c:pt>
              </c:numCache>
            </c:numRef>
          </c:val>
          <c:extLst>
            <c:ext xmlns:c16="http://schemas.microsoft.com/office/drawing/2014/chart" uri="{C3380CC4-5D6E-409C-BE32-E72D297353CC}">
              <c16:uniqueId val="{00000001-D9B8-4C01-8B40-29BFB44B2D3F}"/>
            </c:ext>
          </c:extLst>
        </c:ser>
        <c:ser>
          <c:idx val="7"/>
          <c:order val="7"/>
          <c:tx>
            <c:strRef>
              <c:f>'Visual Summary'!$A$83</c:f>
              <c:strCache>
                <c:ptCount val="1"/>
                <c:pt idx="0">
                  <c:v>Off-Road Vehicles</c:v>
                </c:pt>
              </c:strCache>
            </c:strRef>
          </c:tx>
          <c:spPr>
            <a:solidFill>
              <a:schemeClr val="accent3">
                <a:lumMod val="80000"/>
                <a:lumOff val="20000"/>
              </a:schemeClr>
            </a:solidFill>
            <a:ln>
              <a:noFill/>
            </a:ln>
            <a:effectLst/>
          </c:spPr>
          <c:invertIfNegative val="0"/>
          <c:val>
            <c:numRef>
              <c:f>'Visual Summary'!$B$83</c:f>
              <c:numCache>
                <c:formatCode>#,##0_);\(#,##0\)</c:formatCode>
                <c:ptCount val="1"/>
                <c:pt idx="0">
                  <c:v>32966.095631874356</c:v>
                </c:pt>
              </c:numCache>
            </c:numRef>
          </c:val>
          <c:extLst>
            <c:ext xmlns:c16="http://schemas.microsoft.com/office/drawing/2014/chart" uri="{C3380CC4-5D6E-409C-BE32-E72D297353CC}">
              <c16:uniqueId val="{00000002-D9B8-4C01-8B40-29BFB44B2D3F}"/>
            </c:ext>
          </c:extLst>
        </c:ser>
        <c:dLbls>
          <c:showLegendKey val="0"/>
          <c:showVal val="0"/>
          <c:showCatName val="0"/>
          <c:showSerName val="0"/>
          <c:showPercent val="0"/>
          <c:showBubbleSize val="0"/>
        </c:dLbls>
        <c:gapWidth val="150"/>
        <c:overlap val="100"/>
        <c:axId val="1970528176"/>
        <c:axId val="1970515760"/>
      </c:barChart>
      <c:catAx>
        <c:axId val="1970528176"/>
        <c:scaling>
          <c:orientation val="minMax"/>
        </c:scaling>
        <c:delete val="1"/>
        <c:axPos val="b"/>
        <c:numFmt formatCode="General" sourceLinked="1"/>
        <c:majorTickMark val="none"/>
        <c:minorTickMark val="none"/>
        <c:tickLblPos val="nextTo"/>
        <c:crossAx val="1970515760"/>
        <c:crosses val="autoZero"/>
        <c:auto val="1"/>
        <c:lblAlgn val="ctr"/>
        <c:lblOffset val="100"/>
        <c:noMultiLvlLbl val="0"/>
      </c:catAx>
      <c:valAx>
        <c:axId val="1970515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GHG Emissions (mt CO</a:t>
                </a:r>
                <a:r>
                  <a:rPr lang="en-US" sz="1000" b="0" i="0" baseline="-25000">
                    <a:effectLst/>
                  </a:rPr>
                  <a:t>2</a:t>
                </a:r>
                <a:r>
                  <a:rPr lang="en-US" sz="1000" b="0" i="0" baseline="0">
                    <a:effectLst/>
                  </a:rPr>
                  <a:t>e)</a:t>
                </a:r>
                <a:endParaRPr lang="en-US" sz="1000">
                  <a:effectLst/>
                </a:endParaRPr>
              </a:p>
            </c:rich>
          </c:tx>
          <c:layout>
            <c:manualLayout>
              <c:xMode val="edge"/>
              <c:yMode val="edge"/>
              <c:x val="1.8399264029438821E-2"/>
              <c:y val="0.146972721224218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0528176"/>
        <c:crosses val="autoZero"/>
        <c:crossBetween val="between"/>
      </c:valAx>
      <c:spPr>
        <a:noFill/>
        <a:ln>
          <a:noFill/>
        </a:ln>
        <a:effectLst/>
      </c:spPr>
    </c:plotArea>
    <c:legend>
      <c:legendPos val="r"/>
      <c:layout>
        <c:manualLayout>
          <c:xMode val="edge"/>
          <c:yMode val="edge"/>
          <c:x val="0.63542559477155702"/>
          <c:y val="0.20189489786830539"/>
          <c:w val="0.2276744680031221"/>
          <c:h val="0.61215448536413153"/>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8</xdr:col>
      <xdr:colOff>134302</xdr:colOff>
      <xdr:row>10</xdr:row>
      <xdr:rowOff>89533</xdr:rowOff>
    </xdr:from>
    <xdr:to>
      <xdr:col>12</xdr:col>
      <xdr:colOff>904875</xdr:colOff>
      <xdr:row>18</xdr:row>
      <xdr:rowOff>733424</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3</xdr:col>
      <xdr:colOff>391240</xdr:colOff>
      <xdr:row>2</xdr:row>
      <xdr:rowOff>165019</xdr:rowOff>
    </xdr:from>
    <xdr:to>
      <xdr:col>7</xdr:col>
      <xdr:colOff>933450</xdr:colOff>
      <xdr:row>8</xdr:row>
      <xdr:rowOff>857249</xdr:rowOff>
    </xdr:to>
    <xdr:graphicFrame macro="">
      <xdr:nvGraphicFramePr>
        <xdr:cNvPr id="5" name="Chart 4">
          <a:extLst>
            <a:ext uri="{FF2B5EF4-FFF2-40B4-BE49-F238E27FC236}">
              <a16:creationId xmlns:a16="http://schemas.microsoft.com/office/drawing/2014/main" id="{56E5FB44-45A2-4E09-8861-0FB3DEA9C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228600</xdr:colOff>
      <xdr:row>20</xdr:row>
      <xdr:rowOff>106681</xdr:rowOff>
    </xdr:from>
    <xdr:to>
      <xdr:col>8</xdr:col>
      <xdr:colOff>381000</xdr:colOff>
      <xdr:row>39</xdr:row>
      <xdr:rowOff>1</xdr:rowOff>
    </xdr:to>
    <xdr:graphicFrame macro="">
      <xdr:nvGraphicFramePr>
        <xdr:cNvPr id="7" name="Chart 6">
          <a:extLst>
            <a:ext uri="{FF2B5EF4-FFF2-40B4-BE49-F238E27FC236}">
              <a16:creationId xmlns:a16="http://schemas.microsoft.com/office/drawing/2014/main" id="{FF8D0264-7E9A-46A2-9077-5918C9595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360996</xdr:colOff>
      <xdr:row>10</xdr:row>
      <xdr:rowOff>102871</xdr:rowOff>
    </xdr:from>
    <xdr:to>
      <xdr:col>7</xdr:col>
      <xdr:colOff>933450</xdr:colOff>
      <xdr:row>18</xdr:row>
      <xdr:rowOff>714375</xdr:rowOff>
    </xdr:to>
    <xdr:graphicFrame macro="">
      <xdr:nvGraphicFramePr>
        <xdr:cNvPr id="8" name="Chart 7">
          <a:extLst>
            <a:ext uri="{FF2B5EF4-FFF2-40B4-BE49-F238E27FC236}">
              <a16:creationId xmlns:a16="http://schemas.microsoft.com/office/drawing/2014/main" id="{DF76938E-E64A-490C-B344-0D8D72CE2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508634</xdr:colOff>
      <xdr:row>20</xdr:row>
      <xdr:rowOff>114300</xdr:rowOff>
    </xdr:from>
    <xdr:to>
      <xdr:col>13</xdr:col>
      <xdr:colOff>22860</xdr:colOff>
      <xdr:row>38</xdr:row>
      <xdr:rowOff>175260</xdr:rowOff>
    </xdr:to>
    <xdr:graphicFrame macro="">
      <xdr:nvGraphicFramePr>
        <xdr:cNvPr id="10" name="Chart 9">
          <a:extLst>
            <a:ext uri="{FF2B5EF4-FFF2-40B4-BE49-F238E27FC236}">
              <a16:creationId xmlns:a16="http://schemas.microsoft.com/office/drawing/2014/main" id="{9196366F-4555-4285-851C-0D053AE74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291782</xdr:colOff>
      <xdr:row>60</xdr:row>
      <xdr:rowOff>72390</xdr:rowOff>
    </xdr:from>
    <xdr:to>
      <xdr:col>8</xdr:col>
      <xdr:colOff>266700</xdr:colOff>
      <xdr:row>72</xdr:row>
      <xdr:rowOff>15240</xdr:rowOff>
    </xdr:to>
    <xdr:graphicFrame macro="">
      <xdr:nvGraphicFramePr>
        <xdr:cNvPr id="12" name="Chart 11">
          <a:extLst>
            <a:ext uri="{FF2B5EF4-FFF2-40B4-BE49-F238E27FC236}">
              <a16:creationId xmlns:a16="http://schemas.microsoft.com/office/drawing/2014/main" id="{98ACAC51-655E-45DE-A45B-E90434629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487680</xdr:colOff>
      <xdr:row>60</xdr:row>
      <xdr:rowOff>49530</xdr:rowOff>
    </xdr:from>
    <xdr:to>
      <xdr:col>12</xdr:col>
      <xdr:colOff>1104900</xdr:colOff>
      <xdr:row>72</xdr:row>
      <xdr:rowOff>28575</xdr:rowOff>
    </xdr:to>
    <xdr:graphicFrame macro="">
      <xdr:nvGraphicFramePr>
        <xdr:cNvPr id="13" name="Chart 12">
          <a:extLst>
            <a:ext uri="{FF2B5EF4-FFF2-40B4-BE49-F238E27FC236}">
              <a16:creationId xmlns:a16="http://schemas.microsoft.com/office/drawing/2014/main" id="{A1DD409F-2F8A-49B2-BE82-CD41AF789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352426</xdr:colOff>
      <xdr:row>74</xdr:row>
      <xdr:rowOff>28575</xdr:rowOff>
    </xdr:from>
    <xdr:to>
      <xdr:col>8</xdr:col>
      <xdr:colOff>285751</xdr:colOff>
      <xdr:row>84</xdr:row>
      <xdr:rowOff>723900</xdr:rowOff>
    </xdr:to>
    <xdr:graphicFrame macro="">
      <xdr:nvGraphicFramePr>
        <xdr:cNvPr id="14" name="Chart 13">
          <a:extLst>
            <a:ext uri="{FF2B5EF4-FFF2-40B4-BE49-F238E27FC236}">
              <a16:creationId xmlns:a16="http://schemas.microsoft.com/office/drawing/2014/main" id="{FED398C9-110F-4AE2-91EA-4EEF905B6F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617218</xdr:colOff>
      <xdr:row>74</xdr:row>
      <xdr:rowOff>47626</xdr:rowOff>
    </xdr:from>
    <xdr:to>
      <xdr:col>12</xdr:col>
      <xdr:colOff>1095375</xdr:colOff>
      <xdr:row>84</xdr:row>
      <xdr:rowOff>571500</xdr:rowOff>
    </xdr:to>
    <xdr:graphicFrame macro="">
      <xdr:nvGraphicFramePr>
        <xdr:cNvPr id="15" name="Chart 14">
          <a:extLst>
            <a:ext uri="{FF2B5EF4-FFF2-40B4-BE49-F238E27FC236}">
              <a16:creationId xmlns:a16="http://schemas.microsoft.com/office/drawing/2014/main" id="{757B1408-D931-4343-A3FE-E7245FA2D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600074</xdr:colOff>
      <xdr:row>86</xdr:row>
      <xdr:rowOff>57149</xdr:rowOff>
    </xdr:from>
    <xdr:to>
      <xdr:col>12</xdr:col>
      <xdr:colOff>1085850</xdr:colOff>
      <xdr:row>90</xdr:row>
      <xdr:rowOff>1133475</xdr:rowOff>
    </xdr:to>
    <xdr:graphicFrame macro="">
      <xdr:nvGraphicFramePr>
        <xdr:cNvPr id="16" name="Chart 15">
          <a:extLst>
            <a:ext uri="{FF2B5EF4-FFF2-40B4-BE49-F238E27FC236}">
              <a16:creationId xmlns:a16="http://schemas.microsoft.com/office/drawing/2014/main" id="{02ED6D18-1BB9-4A4D-A923-8A43D727D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342901</xdr:colOff>
      <xdr:row>86</xdr:row>
      <xdr:rowOff>74295</xdr:rowOff>
    </xdr:from>
    <xdr:to>
      <xdr:col>8</xdr:col>
      <xdr:colOff>274321</xdr:colOff>
      <xdr:row>90</xdr:row>
      <xdr:rowOff>1200151</xdr:rowOff>
    </xdr:to>
    <xdr:graphicFrame macro="">
      <xdr:nvGraphicFramePr>
        <xdr:cNvPr id="17" name="Chart 16">
          <a:extLst>
            <a:ext uri="{FF2B5EF4-FFF2-40B4-BE49-F238E27FC236}">
              <a16:creationId xmlns:a16="http://schemas.microsoft.com/office/drawing/2014/main" id="{7939A557-DBBF-47ED-8314-B596AAAF9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619124</xdr:colOff>
      <xdr:row>41</xdr:row>
      <xdr:rowOff>148591</xdr:rowOff>
    </xdr:from>
    <xdr:to>
      <xdr:col>12</xdr:col>
      <xdr:colOff>1009650</xdr:colOff>
      <xdr:row>46</xdr:row>
      <xdr:rowOff>1562100</xdr:rowOff>
    </xdr:to>
    <xdr:graphicFrame macro="">
      <xdr:nvGraphicFramePr>
        <xdr:cNvPr id="18" name="Chart 17">
          <a:extLst>
            <a:ext uri="{FF2B5EF4-FFF2-40B4-BE49-F238E27FC236}">
              <a16:creationId xmlns:a16="http://schemas.microsoft.com/office/drawing/2014/main" id="{EE0967AB-E6C5-46CD-9270-55F2AF0C1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609601</xdr:colOff>
      <xdr:row>41</xdr:row>
      <xdr:rowOff>121921</xdr:rowOff>
    </xdr:from>
    <xdr:to>
      <xdr:col>8</xdr:col>
      <xdr:colOff>466726</xdr:colOff>
      <xdr:row>46</xdr:row>
      <xdr:rowOff>1562101</xdr:rowOff>
    </xdr:to>
    <xdr:graphicFrame macro="">
      <xdr:nvGraphicFramePr>
        <xdr:cNvPr id="19" name="Chart 18">
          <a:extLst>
            <a:ext uri="{FF2B5EF4-FFF2-40B4-BE49-F238E27FC236}">
              <a16:creationId xmlns:a16="http://schemas.microsoft.com/office/drawing/2014/main" id="{C22FFF4A-C2B0-4244-84C3-C0D0F18B2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390525</xdr:colOff>
      <xdr:row>48</xdr:row>
      <xdr:rowOff>114301</xdr:rowOff>
    </xdr:from>
    <xdr:to>
      <xdr:col>8</xdr:col>
      <xdr:colOff>447675</xdr:colOff>
      <xdr:row>58</xdr:row>
      <xdr:rowOff>1190625</xdr:rowOff>
    </xdr:to>
    <xdr:graphicFrame macro="">
      <xdr:nvGraphicFramePr>
        <xdr:cNvPr id="20" name="Chart 19">
          <a:extLst>
            <a:ext uri="{FF2B5EF4-FFF2-40B4-BE49-F238E27FC236}">
              <a16:creationId xmlns:a16="http://schemas.microsoft.com/office/drawing/2014/main" id="{5A4BA08F-A2D1-4BDE-AB41-E7B03D48E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704850</xdr:colOff>
      <xdr:row>48</xdr:row>
      <xdr:rowOff>129540</xdr:rowOff>
    </xdr:from>
    <xdr:to>
      <xdr:col>12</xdr:col>
      <xdr:colOff>1123950</xdr:colOff>
      <xdr:row>58</xdr:row>
      <xdr:rowOff>1181100</xdr:rowOff>
    </xdr:to>
    <xdr:graphicFrame macro="">
      <xdr:nvGraphicFramePr>
        <xdr:cNvPr id="21" name="Chart 20">
          <a:extLst>
            <a:ext uri="{FF2B5EF4-FFF2-40B4-BE49-F238E27FC236}">
              <a16:creationId xmlns:a16="http://schemas.microsoft.com/office/drawing/2014/main" id="{BFC1D8BC-DD82-48FF-92B9-E33A8B31D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1722120</xdr:colOff>
      <xdr:row>17</xdr:row>
      <xdr:rowOff>0</xdr:rowOff>
    </xdr:to>
    <xdr:sp macro="" textlink="">
      <xdr:nvSpPr>
        <xdr:cNvPr id="1049" name="Text Box 25" hidden="1">
          <a:extLst>
            <a:ext uri="{FF2B5EF4-FFF2-40B4-BE49-F238E27FC236}">
              <a16:creationId xmlns:a16="http://schemas.microsoft.com/office/drawing/2014/main" id="{EA15A529-C031-40A2-B2B9-688517E68D4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0</xdr:colOff>
      <xdr:row>59</xdr:row>
      <xdr:rowOff>137160</xdr:rowOff>
    </xdr:to>
    <xdr:sp macro="" textlink="">
      <xdr:nvSpPr>
        <xdr:cNvPr id="2050" name="Text Box 2" hidden="1">
          <a:extLst>
            <a:ext uri="{FF2B5EF4-FFF2-40B4-BE49-F238E27FC236}">
              <a16:creationId xmlns:a16="http://schemas.microsoft.com/office/drawing/2014/main" id="{D2653093-5949-42A2-B9F2-2B1DFA51168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Elizabeth.babcock@denvergov.org" TargetMode="External"/><Relationship Id="rId2" Type="http://schemas.openxmlformats.org/officeDocument/2006/relationships/hyperlink" Target="http://www.lotussustainability.com/" TargetMode="External"/><Relationship Id="rId1" Type="http://schemas.openxmlformats.org/officeDocument/2006/relationships/hyperlink" Target="mailto:hillary@lotussustainability.com"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www.slcdocs.com/slcgreen/SLC%20Community%20Carbon%20Footprint%20Report%20(2).pdf" TargetMode="External"/><Relationship Id="rId13" Type="http://schemas.openxmlformats.org/officeDocument/2006/relationships/hyperlink" Target="https://thrivingearthexchange.org/wp-content/uploads/2018/03/COA_GHG_Emissions_Updated-2019-01-15.pdf" TargetMode="External"/><Relationship Id="rId3" Type="http://schemas.openxmlformats.org/officeDocument/2006/relationships/hyperlink" Target="https://vancouver.ca/green-vancouver/climate-and-renewables.aspx" TargetMode="External"/><Relationship Id="rId7" Type="http://schemas.openxmlformats.org/officeDocument/2006/relationships/hyperlink" Target="https://nyc-ghg-inventory.cusp.nyu.edu/" TargetMode="External"/><Relationship Id="rId12" Type="http://schemas.openxmlformats.org/officeDocument/2006/relationships/hyperlink" Target="http://www.minneapolismn.gov/sustainability/climate-action-goals/ghg-emissions" TargetMode="External"/><Relationship Id="rId2" Type="http://schemas.openxmlformats.org/officeDocument/2006/relationships/hyperlink" Target="https://www.boston.gov/departments/environment/bostons-carbon-emissions" TargetMode="External"/><Relationship Id="rId1" Type="http://schemas.openxmlformats.org/officeDocument/2006/relationships/hyperlink" Target="https://data.austintexas.gov/stories/s/2017-State-of-Our-Environment-Report-Climate-Chang/wkin-wnwu/" TargetMode="External"/><Relationship Id="rId6" Type="http://schemas.openxmlformats.org/officeDocument/2006/relationships/hyperlink" Target="https://aspencore.org/wp-content/uploads/2019/09/Aspen-2017-GHG-Inventory-Report_FINAL_8-19-2019.pdf" TargetMode="External"/><Relationship Id="rId11" Type="http://schemas.openxmlformats.org/officeDocument/2006/relationships/hyperlink" Target="https://www.lakewood.org/files/assets/public/planning/sustainability/2018-ghg-emissions-inventory-summary-report.pdf" TargetMode="External"/><Relationship Id="rId5" Type="http://schemas.openxmlformats.org/officeDocument/2006/relationships/hyperlink" Target="https://www-static.bouldercolorado.gov/docs/Final_Boulder_community_report_2018_101119_updatedcolors-1-201910231028.pdf?_ga=2.265965190.862980120.1571852944-802383008.1571852944" TargetMode="External"/><Relationship Id="rId10" Type="http://schemas.openxmlformats.org/officeDocument/2006/relationships/hyperlink" Target="https://www.chicago.gov/content/dam/city/progs/env/GHG_Inventory/CityofChicago_2015_GHG_Emissions_Inventory_Report.pdf" TargetMode="External"/><Relationship Id="rId4" Type="http://schemas.openxmlformats.org/officeDocument/2006/relationships/hyperlink" Target="http://ftcollinscap.clearpointstrategy.com/" TargetMode="External"/><Relationship Id="rId9" Type="http://schemas.openxmlformats.org/officeDocument/2006/relationships/hyperlink" Target="https://www.seattle.gov/Documents/Departments/OSE/ClimateDocs/2016_SEA_GHG_Inventory.pdf" TargetMode="External"/><Relationship Id="rId1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denverwater.org/sites/default/files/2017-05/2016-comprehensive-annual-financial-report.pdf;%20Denver%20Water%20Financial%20Report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Z983"/>
  <sheetViews>
    <sheetView workbookViewId="0">
      <selection activeCell="I5" sqref="I5:K5"/>
    </sheetView>
  </sheetViews>
  <sheetFormatPr defaultColWidth="11.125" defaultRowHeight="15" customHeight="1" outlineLevelRow="1"/>
  <cols>
    <col min="1" max="1" width="28.125" style="14" customWidth="1"/>
    <col min="2" max="2" width="39.5" style="14" customWidth="1"/>
    <col min="3" max="4" width="27.25" style="14" customWidth="1"/>
    <col min="5" max="5" width="28.75" style="14" customWidth="1"/>
    <col min="6" max="8" width="27.25" style="14" customWidth="1"/>
    <col min="9" max="26" width="10.625" style="14" customWidth="1"/>
    <col min="27" max="16384" width="11.125" style="14"/>
  </cols>
  <sheetData>
    <row r="1" spans="1:26" s="86" customFormat="1" ht="24" customHeight="1">
      <c r="A1" s="210" t="s">
        <v>624</v>
      </c>
      <c r="B1" s="210"/>
      <c r="C1" s="210"/>
      <c r="D1" s="492"/>
      <c r="E1" s="492"/>
      <c r="F1" s="492"/>
      <c r="G1" s="13"/>
      <c r="H1" s="13"/>
      <c r="I1" s="13"/>
      <c r="J1" s="13"/>
      <c r="K1" s="13"/>
      <c r="L1" s="13"/>
      <c r="M1" s="13"/>
      <c r="N1" s="13"/>
      <c r="O1" s="13"/>
      <c r="P1" s="13"/>
      <c r="Q1" s="13"/>
      <c r="R1" s="13"/>
      <c r="S1" s="13"/>
      <c r="T1" s="13"/>
      <c r="U1" s="87"/>
      <c r="V1" s="87"/>
      <c r="W1" s="87"/>
      <c r="X1" s="87"/>
      <c r="Y1" s="87"/>
      <c r="Z1" s="87"/>
    </row>
    <row r="2" spans="1:26" s="209" customFormat="1" ht="20.25">
      <c r="A2" s="671" t="s">
        <v>625</v>
      </c>
      <c r="B2" s="576"/>
      <c r="C2" s="576"/>
      <c r="D2" s="576"/>
      <c r="E2" s="576"/>
      <c r="F2" s="578"/>
      <c r="G2" s="6"/>
      <c r="H2" s="6"/>
      <c r="I2" s="6"/>
      <c r="J2" s="6"/>
      <c r="K2" s="6"/>
      <c r="L2" s="6"/>
      <c r="M2" s="6"/>
      <c r="N2" s="6"/>
      <c r="O2" s="6"/>
      <c r="P2" s="6"/>
      <c r="Q2" s="6"/>
      <c r="R2" s="6"/>
      <c r="S2" s="6"/>
      <c r="T2" s="6"/>
      <c r="U2" s="6"/>
      <c r="V2" s="6"/>
      <c r="W2" s="6"/>
      <c r="X2" s="6"/>
      <c r="Y2" s="6"/>
      <c r="Z2" s="6"/>
    </row>
    <row r="3" spans="1:26" ht="15" hidden="1" customHeight="1" outlineLevel="1">
      <c r="A3" s="1089" t="s">
        <v>2</v>
      </c>
      <c r="B3" s="1090"/>
      <c r="C3" s="1090"/>
      <c r="D3" s="1091"/>
      <c r="E3" s="22"/>
      <c r="F3" s="793" t="s">
        <v>8</v>
      </c>
      <c r="G3" s="6"/>
      <c r="H3" s="6"/>
      <c r="I3" s="6"/>
      <c r="J3" s="6"/>
      <c r="K3" s="6"/>
      <c r="L3" s="6"/>
      <c r="M3" s="6"/>
      <c r="N3" s="6"/>
      <c r="O3" s="6"/>
      <c r="P3" s="6"/>
      <c r="Q3" s="6"/>
      <c r="R3" s="6"/>
      <c r="S3" s="6"/>
      <c r="T3" s="6"/>
      <c r="U3" s="6"/>
      <c r="V3" s="6"/>
      <c r="W3" s="6"/>
      <c r="X3" s="6"/>
      <c r="Y3" s="6"/>
      <c r="Z3" s="6"/>
    </row>
    <row r="4" spans="1:26" ht="15" hidden="1" customHeight="1" outlineLevel="1">
      <c r="A4" s="794" t="s">
        <v>4</v>
      </c>
      <c r="B4" s="1092" t="s">
        <v>1293</v>
      </c>
      <c r="C4" s="1093"/>
      <c r="D4" s="1094"/>
      <c r="E4" s="22"/>
      <c r="F4" s="795">
        <v>2019</v>
      </c>
      <c r="G4" s="6"/>
      <c r="H4" s="6"/>
      <c r="I4" s="6"/>
      <c r="J4" s="6"/>
      <c r="K4" s="6"/>
      <c r="L4" s="6"/>
      <c r="M4" s="6"/>
      <c r="N4" s="6"/>
      <c r="O4" s="6"/>
      <c r="P4" s="6"/>
      <c r="Q4" s="6"/>
      <c r="R4" s="6"/>
      <c r="S4" s="6"/>
      <c r="T4" s="6"/>
      <c r="U4" s="6"/>
      <c r="V4" s="6"/>
      <c r="W4" s="6"/>
      <c r="X4" s="6"/>
      <c r="Y4" s="6"/>
      <c r="Z4" s="6"/>
    </row>
    <row r="5" spans="1:26" ht="15" hidden="1" customHeight="1" outlineLevel="1">
      <c r="A5" s="796" t="s">
        <v>1294</v>
      </c>
      <c r="B5" s="1095" t="s">
        <v>1295</v>
      </c>
      <c r="C5" s="1096"/>
      <c r="D5" s="1097"/>
      <c r="E5" s="22"/>
      <c r="F5" s="22"/>
      <c r="G5" s="22"/>
      <c r="H5" s="22"/>
      <c r="I5" s="6"/>
      <c r="J5" s="6"/>
      <c r="K5" s="6"/>
      <c r="L5" s="6"/>
      <c r="M5" s="6"/>
      <c r="N5" s="6"/>
      <c r="O5" s="6"/>
      <c r="P5" s="6"/>
      <c r="Q5" s="6"/>
      <c r="R5" s="6"/>
      <c r="S5" s="6"/>
      <c r="T5" s="6"/>
      <c r="U5" s="6"/>
      <c r="V5" s="6"/>
      <c r="W5" s="6"/>
      <c r="X5" s="6"/>
      <c r="Y5" s="6"/>
      <c r="Z5" s="6"/>
    </row>
    <row r="6" spans="1:26" s="13" customFormat="1" ht="15" hidden="1" customHeight="1" outlineLevel="1">
      <c r="A6" s="797" t="s">
        <v>1296</v>
      </c>
      <c r="B6" s="1098" t="s">
        <v>1297</v>
      </c>
      <c r="C6" s="1099"/>
      <c r="D6" s="1100"/>
      <c r="E6" s="22"/>
      <c r="F6" s="22"/>
      <c r="G6" s="22"/>
      <c r="H6" s="22"/>
      <c r="I6" s="9"/>
      <c r="J6" s="9"/>
      <c r="K6" s="9"/>
      <c r="L6" s="9"/>
      <c r="M6" s="9"/>
      <c r="N6" s="9"/>
      <c r="O6" s="9"/>
      <c r="P6" s="9"/>
      <c r="Q6" s="9"/>
      <c r="R6" s="9"/>
      <c r="S6" s="9"/>
      <c r="T6" s="9"/>
      <c r="U6" s="9"/>
      <c r="V6" s="9"/>
      <c r="W6" s="9"/>
      <c r="X6" s="9"/>
      <c r="Y6" s="9"/>
      <c r="Z6" s="9"/>
    </row>
    <row r="7" spans="1:26" s="209" customFormat="1" ht="20.25" collapsed="1">
      <c r="A7" s="531" t="s">
        <v>626</v>
      </c>
      <c r="B7" s="576"/>
      <c r="C7" s="576"/>
      <c r="D7" s="576"/>
      <c r="E7" s="576"/>
      <c r="F7" s="578"/>
      <c r="G7" s="6"/>
      <c r="H7" s="6"/>
      <c r="I7" s="6"/>
      <c r="J7" s="6"/>
      <c r="K7" s="6"/>
      <c r="L7" s="6"/>
      <c r="M7" s="6"/>
      <c r="N7" s="6"/>
      <c r="O7" s="6"/>
      <c r="P7" s="6"/>
      <c r="Q7" s="6"/>
      <c r="R7" s="6"/>
      <c r="S7" s="6"/>
      <c r="T7" s="6"/>
      <c r="U7" s="6"/>
      <c r="V7" s="6"/>
      <c r="W7" s="6"/>
      <c r="X7" s="6"/>
      <c r="Y7" s="6"/>
      <c r="Z7" s="6"/>
    </row>
    <row r="8" spans="1:26" ht="15" hidden="1" customHeight="1" outlineLevel="1">
      <c r="A8" s="1085" t="s">
        <v>3</v>
      </c>
      <c r="B8" s="1086"/>
      <c r="C8" s="22"/>
      <c r="D8" s="1087" t="s">
        <v>543</v>
      </c>
      <c r="E8" s="1088"/>
      <c r="F8" s="22"/>
      <c r="G8" s="6"/>
      <c r="H8" s="6"/>
      <c r="I8" s="6"/>
      <c r="J8" s="6"/>
      <c r="K8" s="6"/>
      <c r="L8" s="6"/>
      <c r="M8" s="6"/>
      <c r="N8" s="6"/>
      <c r="O8" s="6"/>
      <c r="P8" s="6"/>
      <c r="Q8" s="6"/>
      <c r="R8" s="6"/>
      <c r="S8" s="6"/>
      <c r="T8" s="6"/>
      <c r="U8" s="6"/>
      <c r="V8" s="6"/>
      <c r="W8" s="6"/>
      <c r="X8" s="6"/>
      <c r="Y8" s="6"/>
      <c r="Z8" s="6"/>
    </row>
    <row r="9" spans="1:26" ht="15" hidden="1" customHeight="1" outlineLevel="1">
      <c r="A9" s="308" t="s">
        <v>5</v>
      </c>
      <c r="B9" s="870" t="s">
        <v>523</v>
      </c>
      <c r="C9" s="22"/>
      <c r="D9" s="309" t="s">
        <v>544</v>
      </c>
      <c r="E9" s="870" t="s">
        <v>545</v>
      </c>
      <c r="F9" s="22"/>
      <c r="G9" s="6"/>
      <c r="H9" s="6"/>
      <c r="I9" s="6"/>
      <c r="J9" s="6"/>
      <c r="K9" s="6"/>
      <c r="L9" s="6"/>
      <c r="M9" s="6"/>
      <c r="N9" s="6"/>
      <c r="O9" s="6"/>
      <c r="P9" s="6"/>
      <c r="Q9" s="6"/>
      <c r="R9" s="6"/>
      <c r="S9" s="6"/>
      <c r="T9" s="6"/>
      <c r="U9" s="6"/>
      <c r="V9" s="6"/>
      <c r="W9" s="6"/>
      <c r="X9" s="6"/>
      <c r="Y9" s="6"/>
      <c r="Z9" s="6"/>
    </row>
    <row r="10" spans="1:26" ht="15" hidden="1" customHeight="1" outlineLevel="1">
      <c r="A10" s="308" t="s">
        <v>6</v>
      </c>
      <c r="B10" s="870" t="s">
        <v>1298</v>
      </c>
      <c r="C10" s="22"/>
      <c r="D10" s="309" t="s">
        <v>6</v>
      </c>
      <c r="E10" s="870" t="s">
        <v>1305</v>
      </c>
      <c r="F10" s="22"/>
      <c r="G10" s="6"/>
      <c r="H10" s="6"/>
      <c r="I10" s="6"/>
      <c r="J10" s="6"/>
      <c r="K10" s="6"/>
      <c r="L10" s="6"/>
      <c r="M10" s="6"/>
      <c r="N10" s="6"/>
      <c r="O10" s="6"/>
      <c r="P10" s="6"/>
      <c r="Q10" s="6"/>
      <c r="R10" s="6"/>
      <c r="S10" s="6"/>
      <c r="T10" s="6"/>
      <c r="U10" s="6"/>
      <c r="V10" s="6"/>
      <c r="W10" s="6"/>
      <c r="X10" s="6"/>
      <c r="Y10" s="6"/>
      <c r="Z10" s="6"/>
    </row>
    <row r="11" spans="1:26" ht="15" hidden="1" customHeight="1" outlineLevel="1">
      <c r="A11" s="308" t="s">
        <v>7</v>
      </c>
      <c r="B11" s="870" t="s">
        <v>1299</v>
      </c>
      <c r="C11" s="22"/>
      <c r="D11" s="309" t="s">
        <v>7</v>
      </c>
      <c r="E11" s="870" t="s">
        <v>1306</v>
      </c>
      <c r="F11" s="22"/>
      <c r="G11" s="6"/>
      <c r="H11" s="6"/>
      <c r="I11" s="6"/>
      <c r="J11" s="6"/>
      <c r="K11" s="6"/>
      <c r="L11" s="6"/>
      <c r="M11" s="6"/>
      <c r="N11" s="6"/>
      <c r="O11" s="6"/>
      <c r="P11" s="6"/>
      <c r="Q11" s="6"/>
      <c r="R11" s="6"/>
      <c r="S11" s="6"/>
      <c r="T11" s="6"/>
      <c r="U11" s="6"/>
      <c r="V11" s="6"/>
      <c r="W11" s="6"/>
      <c r="X11" s="6"/>
      <c r="Y11" s="6"/>
      <c r="Z11" s="6"/>
    </row>
    <row r="12" spans="1:26" ht="15" hidden="1" customHeight="1" outlineLevel="1">
      <c r="A12" s="308" t="s">
        <v>9</v>
      </c>
      <c r="B12" s="870" t="s">
        <v>1300</v>
      </c>
      <c r="C12" s="22"/>
      <c r="D12" s="309" t="s">
        <v>10</v>
      </c>
      <c r="E12" s="870" t="s">
        <v>1307</v>
      </c>
      <c r="F12" s="22"/>
      <c r="G12" s="6"/>
      <c r="H12" s="6"/>
      <c r="I12" s="6"/>
      <c r="J12" s="6"/>
      <c r="K12" s="6"/>
      <c r="L12" s="6"/>
      <c r="M12" s="6"/>
      <c r="N12" s="6"/>
      <c r="O12" s="6"/>
      <c r="P12" s="6"/>
      <c r="Q12" s="6"/>
      <c r="R12" s="6"/>
      <c r="S12" s="6"/>
      <c r="T12" s="6"/>
      <c r="U12" s="6"/>
      <c r="V12" s="6"/>
      <c r="W12" s="6"/>
      <c r="X12" s="6"/>
      <c r="Y12" s="6"/>
      <c r="Z12" s="6"/>
    </row>
    <row r="13" spans="1:26" ht="15" hidden="1" customHeight="1" outlineLevel="1">
      <c r="A13" s="308" t="s">
        <v>10</v>
      </c>
      <c r="B13" s="871" t="s">
        <v>1301</v>
      </c>
      <c r="C13" s="22"/>
      <c r="D13" s="309" t="s">
        <v>11</v>
      </c>
      <c r="E13" s="873" t="s">
        <v>1308</v>
      </c>
      <c r="F13" s="22"/>
      <c r="G13" s="6"/>
      <c r="H13" s="6"/>
      <c r="I13" s="6"/>
      <c r="J13" s="6"/>
      <c r="K13" s="6"/>
      <c r="L13" s="6"/>
      <c r="M13" s="6"/>
      <c r="N13" s="6"/>
      <c r="O13" s="6"/>
      <c r="P13" s="6"/>
      <c r="Q13" s="6"/>
      <c r="R13" s="6"/>
      <c r="S13" s="6"/>
      <c r="T13" s="6"/>
      <c r="U13" s="6"/>
      <c r="V13" s="6"/>
      <c r="W13" s="6"/>
      <c r="X13" s="6"/>
      <c r="Y13" s="6"/>
      <c r="Z13" s="6"/>
    </row>
    <row r="14" spans="1:26" ht="15" hidden="1" customHeight="1" outlineLevel="1">
      <c r="A14" s="798" t="s">
        <v>11</v>
      </c>
      <c r="B14" s="872" t="s">
        <v>1302</v>
      </c>
      <c r="C14" s="22"/>
      <c r="D14" s="309" t="s">
        <v>546</v>
      </c>
      <c r="E14" s="874" t="s">
        <v>547</v>
      </c>
      <c r="F14" s="22"/>
      <c r="G14" s="6"/>
      <c r="H14" s="6"/>
      <c r="I14" s="6"/>
      <c r="J14" s="6"/>
      <c r="K14" s="6"/>
      <c r="L14" s="6"/>
      <c r="M14" s="6"/>
      <c r="N14" s="6"/>
      <c r="O14" s="6"/>
      <c r="P14" s="6"/>
      <c r="Q14" s="6"/>
      <c r="R14" s="6"/>
      <c r="S14" s="6"/>
      <c r="T14" s="6"/>
      <c r="U14" s="6"/>
      <c r="V14" s="6"/>
      <c r="W14" s="6"/>
      <c r="X14" s="6"/>
      <c r="Y14" s="6"/>
      <c r="Z14" s="6"/>
    </row>
    <row r="15" spans="1:26" s="1" customFormat="1" ht="20.25" collapsed="1">
      <c r="A15" s="531" t="s">
        <v>12</v>
      </c>
      <c r="B15" s="532"/>
      <c r="C15" s="576"/>
      <c r="D15" s="576"/>
      <c r="E15" s="576"/>
      <c r="F15" s="578"/>
      <c r="G15" s="54"/>
      <c r="H15" s="2"/>
      <c r="I15" s="2"/>
      <c r="J15" s="2"/>
      <c r="K15" s="2"/>
      <c r="L15" s="2"/>
      <c r="M15" s="54"/>
      <c r="N15" s="54"/>
      <c r="O15" s="54"/>
      <c r="P15" s="54"/>
      <c r="Q15" s="54"/>
      <c r="R15" s="54"/>
      <c r="S15" s="54"/>
      <c r="T15" s="54"/>
      <c r="U15" s="54"/>
      <c r="V15" s="54"/>
      <c r="W15" s="54"/>
      <c r="X15" s="54"/>
      <c r="Y15" s="54"/>
      <c r="Z15" s="54"/>
    </row>
    <row r="16" spans="1:26" s="209" customFormat="1" ht="15" hidden="1" customHeight="1" outlineLevel="1">
      <c r="A16" s="489" t="s">
        <v>424</v>
      </c>
      <c r="B16" s="489" t="s">
        <v>13</v>
      </c>
      <c r="C16" s="1072" t="s">
        <v>14</v>
      </c>
      <c r="D16" s="1073"/>
      <c r="E16" s="1073"/>
      <c r="F16" s="1074"/>
      <c r="G16" s="6"/>
      <c r="H16" s="6"/>
      <c r="I16" s="6"/>
      <c r="J16" s="6"/>
      <c r="K16" s="6"/>
      <c r="L16" s="6"/>
      <c r="M16" s="6"/>
      <c r="N16" s="6"/>
      <c r="O16" s="6"/>
      <c r="P16" s="6"/>
      <c r="Q16" s="6"/>
      <c r="R16" s="6"/>
      <c r="S16" s="6"/>
      <c r="T16" s="6"/>
      <c r="U16" s="6"/>
      <c r="V16" s="6"/>
      <c r="W16" s="6"/>
      <c r="X16" s="6"/>
      <c r="Y16" s="6"/>
    </row>
    <row r="17" spans="1:25" s="209" customFormat="1" ht="15" hidden="1" customHeight="1" outlineLevel="1">
      <c r="A17" s="1069" t="s">
        <v>15</v>
      </c>
      <c r="B17" s="1070"/>
      <c r="C17" s="1070"/>
      <c r="D17" s="1070"/>
      <c r="E17" s="1070"/>
      <c r="F17" s="1071"/>
      <c r="G17" s="6"/>
      <c r="H17" s="6"/>
      <c r="I17" s="6"/>
      <c r="J17" s="6"/>
      <c r="K17" s="6"/>
      <c r="L17" s="6"/>
      <c r="M17" s="6"/>
      <c r="N17" s="6"/>
      <c r="O17" s="6"/>
      <c r="P17" s="6"/>
      <c r="Q17" s="6"/>
      <c r="R17" s="6"/>
      <c r="S17" s="6"/>
      <c r="T17" s="6"/>
      <c r="U17" s="6"/>
      <c r="V17" s="6"/>
      <c r="W17" s="6"/>
      <c r="X17" s="6"/>
      <c r="Y17" s="6"/>
    </row>
    <row r="18" spans="1:25" s="487" customFormat="1" ht="15" hidden="1" customHeight="1" outlineLevel="1">
      <c r="A18" s="313" t="s">
        <v>90</v>
      </c>
      <c r="B18" s="454" t="s">
        <v>36</v>
      </c>
      <c r="C18" s="1075" t="s">
        <v>415</v>
      </c>
      <c r="D18" s="1075"/>
      <c r="E18" s="1075"/>
      <c r="F18" s="1075"/>
      <c r="G18" s="4"/>
      <c r="H18" s="4"/>
      <c r="I18" s="4"/>
      <c r="J18" s="4"/>
      <c r="K18" s="4"/>
      <c r="L18" s="4"/>
      <c r="M18" s="4"/>
      <c r="N18" s="4"/>
      <c r="O18" s="4"/>
      <c r="P18" s="4"/>
      <c r="Q18" s="4"/>
      <c r="R18" s="4"/>
      <c r="S18" s="4"/>
      <c r="T18" s="4"/>
      <c r="U18" s="4"/>
      <c r="V18" s="4"/>
      <c r="W18" s="4"/>
      <c r="X18" s="4"/>
      <c r="Y18" s="4"/>
    </row>
    <row r="19" spans="1:25" s="487" customFormat="1" hidden="1" outlineLevel="1">
      <c r="A19" s="313" t="s">
        <v>90</v>
      </c>
      <c r="B19" s="454" t="s">
        <v>416</v>
      </c>
      <c r="C19" s="1075" t="s">
        <v>425</v>
      </c>
      <c r="D19" s="1075"/>
      <c r="E19" s="1075"/>
      <c r="F19" s="1075"/>
      <c r="G19" s="4"/>
      <c r="H19" s="4"/>
      <c r="I19" s="4"/>
      <c r="J19" s="4"/>
      <c r="K19" s="4"/>
      <c r="L19" s="4"/>
      <c r="M19" s="4"/>
      <c r="N19" s="4"/>
      <c r="O19" s="4"/>
      <c r="P19" s="4"/>
      <c r="Q19" s="4"/>
      <c r="R19" s="4"/>
      <c r="S19" s="4"/>
      <c r="T19" s="4"/>
      <c r="U19" s="4"/>
      <c r="V19" s="4"/>
      <c r="W19" s="4"/>
      <c r="X19" s="4"/>
      <c r="Y19" s="4"/>
    </row>
    <row r="20" spans="1:25" s="487" customFormat="1" hidden="1" outlineLevel="1">
      <c r="A20" s="313" t="s">
        <v>90</v>
      </c>
      <c r="B20" s="454" t="s">
        <v>1035</v>
      </c>
      <c r="C20" s="1075" t="s">
        <v>1036</v>
      </c>
      <c r="D20" s="1075"/>
      <c r="E20" s="1075"/>
      <c r="F20" s="1075"/>
      <c r="G20" s="4"/>
      <c r="H20" s="4"/>
      <c r="I20" s="4"/>
      <c r="J20" s="4"/>
      <c r="K20" s="4"/>
      <c r="L20" s="4"/>
      <c r="M20" s="4"/>
      <c r="N20" s="4"/>
      <c r="O20" s="4"/>
      <c r="P20" s="4"/>
      <c r="Q20" s="4"/>
      <c r="R20" s="4"/>
      <c r="S20" s="4"/>
      <c r="T20" s="4"/>
      <c r="U20" s="4"/>
      <c r="V20" s="4"/>
      <c r="W20" s="4"/>
      <c r="X20" s="4"/>
      <c r="Y20" s="4"/>
    </row>
    <row r="21" spans="1:25" s="487" customFormat="1" hidden="1" outlineLevel="1">
      <c r="A21" s="313" t="s">
        <v>90</v>
      </c>
      <c r="B21" s="454" t="s">
        <v>1037</v>
      </c>
      <c r="C21" s="1075" t="s">
        <v>1038</v>
      </c>
      <c r="D21" s="1075"/>
      <c r="E21" s="1075"/>
      <c r="F21" s="1075"/>
      <c r="G21" s="4"/>
      <c r="H21" s="4"/>
      <c r="I21" s="4"/>
      <c r="J21" s="4"/>
      <c r="K21" s="4"/>
      <c r="L21" s="4"/>
      <c r="M21" s="4"/>
      <c r="N21" s="4"/>
      <c r="O21" s="4"/>
      <c r="P21" s="4"/>
      <c r="Q21" s="4"/>
      <c r="R21" s="4"/>
      <c r="S21" s="4"/>
      <c r="T21" s="4"/>
      <c r="U21" s="4"/>
      <c r="V21" s="4"/>
      <c r="W21" s="4"/>
      <c r="X21" s="4"/>
      <c r="Y21" s="4"/>
    </row>
    <row r="22" spans="1:25" s="209" customFormat="1" hidden="1" outlineLevel="1">
      <c r="A22" s="799" t="s">
        <v>16</v>
      </c>
      <c r="B22" s="800" t="s">
        <v>17</v>
      </c>
      <c r="C22" s="1075" t="s">
        <v>18</v>
      </c>
      <c r="D22" s="1075"/>
      <c r="E22" s="1075"/>
      <c r="F22" s="1075"/>
      <c r="G22" s="6"/>
      <c r="H22" s="6"/>
      <c r="I22" s="6"/>
      <c r="J22" s="6"/>
      <c r="K22" s="6"/>
      <c r="L22" s="6"/>
      <c r="M22" s="6"/>
      <c r="N22" s="6"/>
      <c r="O22" s="6"/>
      <c r="P22" s="6"/>
      <c r="Q22" s="6"/>
      <c r="R22" s="6"/>
      <c r="S22" s="6"/>
      <c r="T22" s="6"/>
      <c r="U22" s="6"/>
      <c r="V22" s="6"/>
      <c r="W22" s="6"/>
      <c r="X22" s="6"/>
      <c r="Y22" s="6"/>
    </row>
    <row r="23" spans="1:25" s="209" customFormat="1" ht="15" hidden="1" customHeight="1" outlineLevel="1">
      <c r="A23" s="1082" t="s">
        <v>567</v>
      </c>
      <c r="B23" s="1083"/>
      <c r="C23" s="1083"/>
      <c r="D23" s="1083"/>
      <c r="E23" s="1083"/>
      <c r="F23" s="1084"/>
      <c r="G23" s="6"/>
      <c r="H23" s="6"/>
      <c r="I23" s="6"/>
      <c r="J23" s="6"/>
      <c r="K23" s="6"/>
      <c r="L23" s="6"/>
      <c r="M23" s="6"/>
      <c r="N23" s="6"/>
      <c r="O23" s="6"/>
      <c r="P23" s="6"/>
      <c r="Q23" s="6"/>
      <c r="R23" s="6"/>
      <c r="S23" s="6"/>
      <c r="T23" s="6"/>
      <c r="U23" s="6"/>
      <c r="V23" s="6"/>
      <c r="W23" s="6"/>
      <c r="X23" s="6"/>
      <c r="Y23" s="6"/>
    </row>
    <row r="24" spans="1:25" s="209" customFormat="1" hidden="1" outlineLevel="1">
      <c r="A24" s="313" t="s">
        <v>19</v>
      </c>
      <c r="B24" s="454" t="s">
        <v>19</v>
      </c>
      <c r="C24" s="1075" t="s">
        <v>422</v>
      </c>
      <c r="D24" s="1075"/>
      <c r="E24" s="1075"/>
      <c r="F24" s="1075"/>
      <c r="G24" s="6"/>
      <c r="H24" s="6"/>
      <c r="I24" s="6"/>
      <c r="J24" s="6"/>
      <c r="K24" s="6"/>
      <c r="L24" s="6"/>
      <c r="M24" s="6"/>
      <c r="N24" s="6"/>
      <c r="O24" s="6"/>
      <c r="P24" s="6"/>
      <c r="Q24" s="6"/>
      <c r="R24" s="6"/>
      <c r="S24" s="6"/>
      <c r="T24" s="6"/>
      <c r="U24" s="6"/>
      <c r="V24" s="6"/>
      <c r="W24" s="6"/>
      <c r="X24" s="6"/>
      <c r="Y24" s="6"/>
    </row>
    <row r="25" spans="1:25" s="209" customFormat="1" hidden="1" outlineLevel="1">
      <c r="A25" s="313" t="s">
        <v>1043</v>
      </c>
      <c r="B25" s="454" t="s">
        <v>1043</v>
      </c>
      <c r="C25" s="1075" t="s">
        <v>1044</v>
      </c>
      <c r="D25" s="1075"/>
      <c r="E25" s="1075"/>
      <c r="F25" s="1075"/>
      <c r="G25" s="6"/>
      <c r="H25" s="6"/>
      <c r="I25" s="6"/>
      <c r="J25" s="6"/>
      <c r="K25" s="6"/>
      <c r="L25" s="6"/>
      <c r="M25" s="6"/>
      <c r="N25" s="6"/>
      <c r="O25" s="6"/>
      <c r="P25" s="6"/>
      <c r="Q25" s="6"/>
      <c r="R25" s="6"/>
      <c r="S25" s="6"/>
      <c r="T25" s="6"/>
      <c r="U25" s="6"/>
      <c r="V25" s="6"/>
      <c r="W25" s="6"/>
      <c r="X25" s="6"/>
      <c r="Y25" s="6"/>
    </row>
    <row r="26" spans="1:25" s="209" customFormat="1" hidden="1" outlineLevel="1">
      <c r="A26" s="1081" t="s">
        <v>20</v>
      </c>
      <c r="B26" s="1081"/>
      <c r="C26" s="1081"/>
      <c r="D26" s="1081"/>
      <c r="E26" s="1081"/>
      <c r="F26" s="1081"/>
      <c r="G26" s="6"/>
      <c r="H26" s="6"/>
      <c r="I26" s="6"/>
      <c r="J26" s="6"/>
      <c r="K26" s="6"/>
      <c r="L26" s="6"/>
      <c r="M26" s="6"/>
      <c r="N26" s="6"/>
      <c r="O26" s="6"/>
      <c r="P26" s="6"/>
      <c r="Q26" s="6"/>
      <c r="R26" s="6"/>
      <c r="S26" s="6"/>
      <c r="T26" s="6"/>
      <c r="U26" s="6"/>
      <c r="V26" s="6"/>
      <c r="W26" s="6"/>
      <c r="X26" s="6"/>
      <c r="Y26" s="6"/>
    </row>
    <row r="27" spans="1:25" s="209" customFormat="1" hidden="1" outlineLevel="1">
      <c r="A27" s="799" t="s">
        <v>21</v>
      </c>
      <c r="B27" s="488" t="s">
        <v>568</v>
      </c>
      <c r="C27" s="1075" t="s">
        <v>498</v>
      </c>
      <c r="D27" s="1075"/>
      <c r="E27" s="1075"/>
      <c r="F27" s="1075"/>
      <c r="G27" s="6"/>
      <c r="H27" s="6"/>
      <c r="I27" s="6"/>
      <c r="J27" s="6"/>
      <c r="K27" s="6"/>
      <c r="L27" s="6"/>
      <c r="M27" s="6"/>
      <c r="N27" s="6"/>
      <c r="O27" s="6"/>
      <c r="P27" s="6"/>
      <c r="Q27" s="6"/>
      <c r="R27" s="6"/>
      <c r="S27" s="6"/>
      <c r="T27" s="6"/>
      <c r="U27" s="6"/>
      <c r="V27" s="6"/>
      <c r="W27" s="6"/>
      <c r="X27" s="6"/>
      <c r="Y27" s="6"/>
    </row>
    <row r="28" spans="1:25" s="209" customFormat="1" hidden="1" outlineLevel="1">
      <c r="A28" s="799" t="s">
        <v>21</v>
      </c>
      <c r="B28" s="488" t="s">
        <v>417</v>
      </c>
      <c r="C28" s="1075" t="s">
        <v>1039</v>
      </c>
      <c r="D28" s="1075"/>
      <c r="E28" s="1075"/>
      <c r="F28" s="1075"/>
      <c r="G28" s="6"/>
      <c r="H28" s="6"/>
      <c r="I28" s="6"/>
      <c r="J28" s="6"/>
      <c r="K28" s="6"/>
      <c r="L28" s="6"/>
      <c r="M28" s="6"/>
      <c r="N28" s="6"/>
      <c r="O28" s="6"/>
      <c r="P28" s="6"/>
      <c r="Q28" s="6"/>
      <c r="R28" s="6"/>
      <c r="S28" s="6"/>
      <c r="T28" s="6"/>
      <c r="U28" s="6"/>
      <c r="V28" s="6"/>
      <c r="W28" s="6"/>
      <c r="X28" s="6"/>
      <c r="Y28" s="6"/>
    </row>
    <row r="29" spans="1:25" s="209" customFormat="1" ht="15" hidden="1" customHeight="1" outlineLevel="1">
      <c r="A29" s="1080" t="s">
        <v>22</v>
      </c>
      <c r="B29" s="1080"/>
      <c r="C29" s="1080"/>
      <c r="D29" s="1080"/>
      <c r="E29" s="1080"/>
      <c r="F29" s="1080"/>
      <c r="G29" s="6"/>
      <c r="H29" s="6"/>
      <c r="I29" s="6"/>
      <c r="J29" s="6"/>
      <c r="K29" s="6"/>
      <c r="L29" s="6"/>
      <c r="M29" s="6"/>
      <c r="N29" s="6"/>
      <c r="O29" s="6"/>
      <c r="P29" s="6"/>
      <c r="Q29" s="6"/>
      <c r="R29" s="6"/>
      <c r="S29" s="6"/>
      <c r="T29" s="6"/>
      <c r="U29" s="6"/>
      <c r="V29" s="6"/>
      <c r="W29" s="6"/>
      <c r="X29" s="6"/>
      <c r="Y29" s="6"/>
    </row>
    <row r="30" spans="1:25" s="209" customFormat="1" hidden="1" outlineLevel="1">
      <c r="A30" s="312" t="s">
        <v>23</v>
      </c>
      <c r="B30" s="454" t="s">
        <v>185</v>
      </c>
      <c r="C30" s="1075" t="s">
        <v>499</v>
      </c>
      <c r="D30" s="1075"/>
      <c r="E30" s="1075"/>
      <c r="F30" s="1075"/>
      <c r="G30" s="6"/>
      <c r="H30" s="6"/>
      <c r="I30" s="6"/>
      <c r="J30" s="6"/>
      <c r="K30" s="6"/>
      <c r="L30" s="6"/>
      <c r="M30" s="6"/>
      <c r="N30" s="6"/>
      <c r="O30" s="6"/>
      <c r="P30" s="6"/>
      <c r="Q30" s="6"/>
      <c r="R30" s="6"/>
      <c r="S30" s="6"/>
      <c r="T30" s="6"/>
      <c r="U30" s="6"/>
      <c r="V30" s="6"/>
      <c r="W30" s="6"/>
      <c r="X30" s="6"/>
      <c r="Y30" s="6"/>
    </row>
    <row r="31" spans="1:25" s="209" customFormat="1" hidden="1" outlineLevel="1">
      <c r="A31" s="312" t="s">
        <v>24</v>
      </c>
      <c r="B31" s="454" t="s">
        <v>488</v>
      </c>
      <c r="C31" s="1075" t="s">
        <v>500</v>
      </c>
      <c r="D31" s="1075"/>
      <c r="E31" s="1075"/>
      <c r="F31" s="1075"/>
      <c r="G31" s="6"/>
      <c r="H31" s="6"/>
      <c r="I31" s="6"/>
      <c r="J31" s="6"/>
      <c r="K31" s="6"/>
      <c r="L31" s="6"/>
      <c r="M31" s="6"/>
      <c r="N31" s="6"/>
      <c r="O31" s="6"/>
      <c r="P31" s="6"/>
      <c r="Q31" s="6"/>
      <c r="R31" s="6"/>
      <c r="S31" s="6"/>
      <c r="T31" s="6"/>
      <c r="U31" s="6"/>
      <c r="V31" s="6"/>
      <c r="W31" s="6"/>
      <c r="X31" s="6"/>
      <c r="Y31" s="6"/>
    </row>
    <row r="32" spans="1:25" s="209" customFormat="1" hidden="1" outlineLevel="1">
      <c r="A32" s="312" t="s">
        <v>124</v>
      </c>
      <c r="B32" s="454" t="s">
        <v>678</v>
      </c>
      <c r="C32" s="1075" t="s">
        <v>1040</v>
      </c>
      <c r="D32" s="1075"/>
      <c r="E32" s="1075"/>
      <c r="F32" s="1075"/>
      <c r="G32" s="6"/>
      <c r="H32" s="6"/>
      <c r="I32" s="6"/>
      <c r="J32" s="6"/>
      <c r="K32" s="6"/>
      <c r="L32" s="6"/>
      <c r="M32" s="6"/>
      <c r="N32" s="6"/>
      <c r="O32" s="6"/>
      <c r="P32" s="6"/>
      <c r="Q32" s="6"/>
      <c r="R32" s="6"/>
      <c r="S32" s="6"/>
      <c r="T32" s="6"/>
      <c r="U32" s="6"/>
      <c r="V32" s="6"/>
      <c r="W32" s="6"/>
      <c r="X32" s="6"/>
      <c r="Y32" s="6"/>
    </row>
    <row r="33" spans="1:26" s="209" customFormat="1" hidden="1" outlineLevel="1">
      <c r="A33" s="312" t="s">
        <v>25</v>
      </c>
      <c r="B33" s="454" t="s">
        <v>203</v>
      </c>
      <c r="C33" s="1075" t="s">
        <v>501</v>
      </c>
      <c r="D33" s="1075"/>
      <c r="E33" s="1075"/>
      <c r="F33" s="1075"/>
      <c r="G33" s="6"/>
      <c r="H33" s="6"/>
      <c r="I33" s="6"/>
      <c r="J33" s="6"/>
      <c r="K33" s="6"/>
      <c r="L33" s="6"/>
      <c r="M33" s="6"/>
      <c r="N33" s="6"/>
      <c r="O33" s="6"/>
      <c r="P33" s="6"/>
      <c r="Q33" s="6"/>
      <c r="R33" s="6"/>
      <c r="S33" s="6"/>
      <c r="T33" s="6"/>
      <c r="U33" s="6"/>
      <c r="V33" s="6"/>
      <c r="W33" s="6"/>
      <c r="X33" s="6"/>
      <c r="Y33" s="6"/>
    </row>
    <row r="34" spans="1:26" s="209" customFormat="1" hidden="1" outlineLevel="1">
      <c r="A34" s="312" t="s">
        <v>950</v>
      </c>
      <c r="B34" s="454" t="s">
        <v>801</v>
      </c>
      <c r="C34" s="1075" t="s">
        <v>1041</v>
      </c>
      <c r="D34" s="1075"/>
      <c r="E34" s="1075"/>
      <c r="F34" s="1075"/>
      <c r="G34" s="6"/>
      <c r="H34" s="6"/>
      <c r="I34" s="6"/>
      <c r="J34" s="6"/>
      <c r="K34" s="6"/>
      <c r="L34" s="6"/>
      <c r="M34" s="6"/>
      <c r="N34" s="6"/>
      <c r="O34" s="6"/>
      <c r="P34" s="6"/>
      <c r="Q34" s="6"/>
      <c r="R34" s="6"/>
      <c r="S34" s="6"/>
      <c r="T34" s="6"/>
      <c r="U34" s="6"/>
      <c r="V34" s="6"/>
      <c r="W34" s="6"/>
      <c r="X34" s="6"/>
      <c r="Y34" s="6"/>
    </row>
    <row r="35" spans="1:26" s="209" customFormat="1" ht="15" hidden="1" customHeight="1" outlineLevel="1">
      <c r="A35" s="1077" t="s">
        <v>26</v>
      </c>
      <c r="B35" s="1077"/>
      <c r="C35" s="1077"/>
      <c r="D35" s="1077"/>
      <c r="E35" s="1077"/>
      <c r="F35" s="1077"/>
      <c r="G35" s="6"/>
      <c r="H35" s="6"/>
      <c r="I35" s="6"/>
      <c r="J35" s="6"/>
      <c r="K35" s="6"/>
      <c r="L35" s="6"/>
      <c r="M35" s="6"/>
      <c r="N35" s="6"/>
      <c r="O35" s="6"/>
      <c r="P35" s="6"/>
      <c r="Q35" s="6"/>
      <c r="R35" s="6"/>
      <c r="S35" s="6"/>
      <c r="T35" s="6"/>
      <c r="U35" s="6"/>
      <c r="V35" s="6"/>
      <c r="W35" s="6"/>
      <c r="X35" s="6"/>
      <c r="Y35" s="6"/>
    </row>
    <row r="36" spans="1:26" s="209" customFormat="1" hidden="1" outlineLevel="1">
      <c r="A36" s="312" t="s">
        <v>27</v>
      </c>
      <c r="B36" s="454" t="s">
        <v>418</v>
      </c>
      <c r="C36" s="1075" t="s">
        <v>1309</v>
      </c>
      <c r="D36" s="1075"/>
      <c r="E36" s="1075"/>
      <c r="F36" s="1075"/>
      <c r="G36" s="6"/>
      <c r="H36" s="6"/>
      <c r="I36" s="6"/>
      <c r="J36" s="6"/>
      <c r="K36" s="6"/>
      <c r="L36" s="6"/>
      <c r="M36" s="6"/>
      <c r="N36" s="6"/>
      <c r="O36" s="6"/>
      <c r="P36" s="6"/>
      <c r="Q36" s="6"/>
      <c r="R36" s="6"/>
      <c r="S36" s="6"/>
      <c r="T36" s="6"/>
      <c r="U36" s="6"/>
      <c r="V36" s="6"/>
      <c r="W36" s="6"/>
      <c r="X36" s="6"/>
      <c r="Y36" s="6"/>
    </row>
    <row r="37" spans="1:26" s="209" customFormat="1" hidden="1" outlineLevel="1">
      <c r="A37" s="312" t="s">
        <v>28</v>
      </c>
      <c r="B37" s="454" t="s">
        <v>210</v>
      </c>
      <c r="C37" s="1075" t="s">
        <v>502</v>
      </c>
      <c r="D37" s="1075"/>
      <c r="E37" s="1075"/>
      <c r="F37" s="1075"/>
      <c r="G37" s="6"/>
      <c r="H37" s="6"/>
      <c r="I37" s="6"/>
      <c r="J37" s="6"/>
      <c r="K37" s="6"/>
      <c r="L37" s="6"/>
      <c r="M37" s="6"/>
      <c r="N37" s="6"/>
      <c r="O37" s="6"/>
      <c r="P37" s="6"/>
      <c r="Q37" s="6"/>
      <c r="R37" s="6"/>
      <c r="S37" s="6"/>
      <c r="T37" s="6"/>
      <c r="U37" s="6"/>
      <c r="V37" s="6"/>
      <c r="W37" s="6"/>
      <c r="X37" s="6"/>
      <c r="Y37" s="6"/>
    </row>
    <row r="38" spans="1:26" s="209" customFormat="1" ht="15" hidden="1" customHeight="1" outlineLevel="1">
      <c r="A38" s="1076" t="s">
        <v>727</v>
      </c>
      <c r="B38" s="1076"/>
      <c r="C38" s="1076"/>
      <c r="D38" s="1076"/>
      <c r="E38" s="1076"/>
      <c r="F38" s="1076"/>
      <c r="G38" s="6"/>
      <c r="H38" s="6"/>
      <c r="I38" s="6"/>
      <c r="J38" s="6"/>
      <c r="K38" s="6"/>
      <c r="L38" s="6"/>
      <c r="M38" s="6"/>
      <c r="N38" s="6"/>
      <c r="O38" s="6"/>
      <c r="P38" s="6"/>
      <c r="Q38" s="6"/>
      <c r="R38" s="6"/>
      <c r="S38" s="6"/>
      <c r="T38" s="6"/>
      <c r="U38" s="6"/>
      <c r="V38" s="6"/>
      <c r="W38" s="6"/>
      <c r="X38" s="6"/>
      <c r="Y38" s="6"/>
    </row>
    <row r="39" spans="1:26" s="209" customFormat="1" hidden="1" outlineLevel="1">
      <c r="A39" s="312" t="s">
        <v>465</v>
      </c>
      <c r="B39" s="454" t="s">
        <v>728</v>
      </c>
      <c r="C39" s="1075" t="s">
        <v>1042</v>
      </c>
      <c r="D39" s="1075"/>
      <c r="E39" s="1075"/>
      <c r="F39" s="1075"/>
      <c r="G39" s="6"/>
      <c r="H39" s="6"/>
      <c r="I39" s="6"/>
      <c r="J39" s="6"/>
      <c r="K39" s="6"/>
      <c r="L39" s="6"/>
      <c r="M39" s="6"/>
      <c r="N39" s="6"/>
      <c r="O39" s="6"/>
      <c r="P39" s="6"/>
      <c r="Q39" s="6"/>
      <c r="R39" s="6"/>
      <c r="S39" s="6"/>
      <c r="T39" s="6"/>
      <c r="U39" s="6"/>
      <c r="V39" s="6"/>
      <c r="W39" s="6"/>
      <c r="X39" s="6"/>
      <c r="Y39" s="6"/>
    </row>
    <row r="40" spans="1:26" s="209" customFormat="1" ht="15" hidden="1" customHeight="1" outlineLevel="1">
      <c r="A40" s="1079" t="s">
        <v>596</v>
      </c>
      <c r="B40" s="1079"/>
      <c r="C40" s="1079"/>
      <c r="D40" s="1079"/>
      <c r="E40" s="1079"/>
      <c r="F40" s="1079"/>
      <c r="G40" s="6"/>
      <c r="H40" s="6"/>
      <c r="I40" s="6"/>
      <c r="J40" s="6"/>
      <c r="K40" s="6"/>
      <c r="L40" s="6"/>
      <c r="M40" s="6"/>
      <c r="N40" s="6"/>
      <c r="O40" s="6"/>
      <c r="P40" s="6"/>
      <c r="Q40" s="6"/>
      <c r="R40" s="6"/>
      <c r="S40" s="6"/>
      <c r="T40" s="6"/>
      <c r="U40" s="6"/>
      <c r="V40" s="6"/>
      <c r="W40" s="6"/>
      <c r="X40" s="6"/>
      <c r="Y40" s="6"/>
    </row>
    <row r="41" spans="1:26" s="209" customFormat="1" hidden="1" outlineLevel="1">
      <c r="A41" s="312" t="s">
        <v>563</v>
      </c>
      <c r="B41" s="454" t="s">
        <v>597</v>
      </c>
      <c r="C41" s="1075" t="s">
        <v>598</v>
      </c>
      <c r="D41" s="1075"/>
      <c r="E41" s="1075"/>
      <c r="F41" s="1075"/>
      <c r="G41" s="6"/>
      <c r="H41" s="6"/>
      <c r="I41" s="6"/>
      <c r="J41" s="6"/>
      <c r="K41" s="6"/>
      <c r="L41" s="6"/>
      <c r="M41" s="6"/>
      <c r="N41" s="6"/>
      <c r="O41" s="6"/>
      <c r="P41" s="6"/>
      <c r="Q41" s="6"/>
      <c r="R41" s="6"/>
      <c r="S41" s="6"/>
      <c r="T41" s="6"/>
      <c r="U41" s="6"/>
      <c r="V41" s="6"/>
      <c r="W41" s="6"/>
      <c r="X41" s="6"/>
      <c r="Y41" s="6"/>
    </row>
    <row r="42" spans="1:26" s="209" customFormat="1" ht="15" hidden="1" customHeight="1" outlineLevel="1">
      <c r="A42" s="1078" t="s">
        <v>29</v>
      </c>
      <c r="B42" s="1078"/>
      <c r="C42" s="1078"/>
      <c r="D42" s="1078"/>
      <c r="E42" s="1078"/>
      <c r="F42" s="1078"/>
      <c r="G42" s="6"/>
      <c r="H42" s="6"/>
      <c r="I42" s="6"/>
      <c r="J42" s="6"/>
      <c r="K42" s="6"/>
      <c r="L42" s="6"/>
      <c r="M42" s="6"/>
      <c r="N42" s="6"/>
      <c r="O42" s="6"/>
      <c r="P42" s="6"/>
      <c r="Q42" s="6"/>
      <c r="R42" s="6"/>
      <c r="S42" s="6"/>
      <c r="T42" s="6"/>
      <c r="U42" s="6"/>
      <c r="V42" s="6"/>
      <c r="W42" s="6"/>
      <c r="X42" s="6"/>
      <c r="Y42" s="6"/>
    </row>
    <row r="43" spans="1:26" s="209" customFormat="1" ht="15" hidden="1" customHeight="1" outlineLevel="1">
      <c r="A43" s="313" t="s">
        <v>19</v>
      </c>
      <c r="B43" s="454" t="s">
        <v>30</v>
      </c>
      <c r="C43" s="1075" t="s">
        <v>31</v>
      </c>
      <c r="D43" s="1075"/>
      <c r="E43" s="1075"/>
      <c r="F43" s="1075"/>
      <c r="G43" s="6"/>
      <c r="H43" s="6"/>
      <c r="I43" s="6"/>
      <c r="J43" s="6"/>
      <c r="K43" s="6"/>
      <c r="L43" s="6"/>
      <c r="M43" s="6"/>
      <c r="N43" s="6"/>
      <c r="O43" s="6"/>
      <c r="P43" s="6"/>
      <c r="Q43" s="6"/>
      <c r="R43" s="6"/>
      <c r="S43" s="6"/>
      <c r="T43" s="6"/>
      <c r="U43" s="6"/>
      <c r="V43" s="6"/>
      <c r="W43" s="6"/>
      <c r="X43" s="6"/>
      <c r="Y43" s="6"/>
    </row>
    <row r="44" spans="1:26" s="209" customFormat="1" ht="15" hidden="1" customHeight="1" outlineLevel="1">
      <c r="A44" s="313" t="s">
        <v>32</v>
      </c>
      <c r="B44" s="454" t="s">
        <v>33</v>
      </c>
      <c r="C44" s="1075" t="s">
        <v>34</v>
      </c>
      <c r="D44" s="1075"/>
      <c r="E44" s="1075"/>
      <c r="F44" s="1075"/>
      <c r="G44" s="6"/>
      <c r="H44" s="6"/>
      <c r="I44" s="6"/>
      <c r="J44" s="6"/>
      <c r="K44" s="6"/>
      <c r="L44" s="6"/>
      <c r="M44" s="6"/>
      <c r="N44" s="6"/>
      <c r="O44" s="6"/>
      <c r="P44" s="6"/>
      <c r="Q44" s="6"/>
      <c r="R44" s="6"/>
      <c r="S44" s="6"/>
      <c r="T44" s="6"/>
      <c r="U44" s="6"/>
      <c r="V44" s="6"/>
      <c r="W44" s="6"/>
      <c r="X44" s="6"/>
      <c r="Y44" s="6"/>
    </row>
    <row r="45" spans="1:26" s="209" customFormat="1" ht="15" hidden="1" customHeight="1" outlineLevel="1">
      <c r="A45" s="310" t="s">
        <v>420</v>
      </c>
      <c r="B45" s="454" t="s">
        <v>32</v>
      </c>
      <c r="C45" s="1075" t="s">
        <v>419</v>
      </c>
      <c r="D45" s="1075"/>
      <c r="E45" s="1075"/>
      <c r="F45" s="1075"/>
      <c r="G45" s="6"/>
      <c r="H45" s="6"/>
      <c r="I45" s="6"/>
      <c r="J45" s="6"/>
      <c r="K45" s="6"/>
      <c r="L45" s="6"/>
      <c r="M45" s="6"/>
      <c r="N45" s="6"/>
      <c r="O45" s="6"/>
      <c r="P45" s="6"/>
      <c r="Q45" s="6"/>
      <c r="R45" s="6"/>
      <c r="S45" s="6"/>
      <c r="T45" s="6"/>
      <c r="U45" s="6"/>
      <c r="V45" s="6"/>
      <c r="W45" s="6"/>
      <c r="X45" s="6"/>
      <c r="Y45" s="6"/>
    </row>
    <row r="46" spans="1:26" s="209" customFormat="1" ht="15" hidden="1" customHeight="1" outlineLevel="1">
      <c r="A46" s="310" t="s">
        <v>421</v>
      </c>
      <c r="B46" s="454" t="s">
        <v>35</v>
      </c>
      <c r="C46" s="1075" t="s">
        <v>503</v>
      </c>
      <c r="D46" s="1075"/>
      <c r="E46" s="1075"/>
      <c r="F46" s="1075"/>
      <c r="G46" s="6"/>
      <c r="H46" s="6"/>
      <c r="I46" s="6"/>
      <c r="J46" s="6"/>
      <c r="K46" s="6"/>
      <c r="L46" s="6"/>
      <c r="M46" s="6"/>
      <c r="N46" s="6"/>
      <c r="O46" s="6"/>
      <c r="P46" s="6"/>
      <c r="Q46" s="6"/>
      <c r="R46" s="6"/>
      <c r="S46" s="6"/>
      <c r="T46" s="6"/>
      <c r="U46" s="6"/>
      <c r="V46" s="6"/>
      <c r="W46" s="6"/>
      <c r="X46" s="6"/>
      <c r="Y46" s="6"/>
    </row>
    <row r="47" spans="1:26" ht="12.75" hidden="1" outlineLevel="1">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2.75" collapsed="1">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2.7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2.7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2.7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2.7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2.7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2.7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2.7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2.7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2.7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2.7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7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7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2.7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2.7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2.7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2.7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2.7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2.7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2.7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2.7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2.7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2.7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2.7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2.7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2.7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2.7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2.7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2.7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7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2.7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2.7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2.7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2.7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2.7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2.7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2.7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2.7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2.7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2.7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2.7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7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7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2.7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2.7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2.7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2.7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2.7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2.7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2.7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2.7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7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7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7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7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7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7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7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7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7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sheetData>
  <mergeCells count="37">
    <mergeCell ref="A8:B8"/>
    <mergeCell ref="D8:E8"/>
    <mergeCell ref="A3:D3"/>
    <mergeCell ref="B4:D4"/>
    <mergeCell ref="B5:D5"/>
    <mergeCell ref="B6:D6"/>
    <mergeCell ref="A29:F29"/>
    <mergeCell ref="A26:F26"/>
    <mergeCell ref="C18:F18"/>
    <mergeCell ref="C19:F19"/>
    <mergeCell ref="C20:F20"/>
    <mergeCell ref="C21:F21"/>
    <mergeCell ref="C22:F22"/>
    <mergeCell ref="A23:F23"/>
    <mergeCell ref="C44:F44"/>
    <mergeCell ref="C45:F45"/>
    <mergeCell ref="C46:F46"/>
    <mergeCell ref="C39:F39"/>
    <mergeCell ref="C41:F41"/>
    <mergeCell ref="A42:F42"/>
    <mergeCell ref="A40:F40"/>
    <mergeCell ref="A17:F17"/>
    <mergeCell ref="C16:F16"/>
    <mergeCell ref="C37:F37"/>
    <mergeCell ref="C43:F43"/>
    <mergeCell ref="A38:F38"/>
    <mergeCell ref="C31:F31"/>
    <mergeCell ref="C32:F32"/>
    <mergeCell ref="C33:F33"/>
    <mergeCell ref="C34:F34"/>
    <mergeCell ref="C36:F36"/>
    <mergeCell ref="A35:F35"/>
    <mergeCell ref="C24:F24"/>
    <mergeCell ref="C25:F25"/>
    <mergeCell ref="C27:F27"/>
    <mergeCell ref="C28:F28"/>
    <mergeCell ref="C30:F30"/>
  </mergeCells>
  <hyperlinks>
    <hyperlink ref="E13" r:id="rId1" xr:uid="{B6616B05-D7C4-48E7-BF78-9D7B1ABCBE46}"/>
    <hyperlink ref="E14" r:id="rId2" xr:uid="{7A1ED430-6FA2-41C4-B65D-4BEF397DB713}"/>
    <hyperlink ref="B22" location="'Inventory Data Checklist'!A1" display="Inventory Data Checklist" xr:uid="{4D50D6AF-40A7-47F5-A52C-6C7B6D2B777E}"/>
    <hyperlink ref="B24" location="'Community Indicators'!A1" display="Community Indicators" xr:uid="{4958F515-8392-4162-8EF2-E380079505E6}"/>
    <hyperlink ref="B27" location="'Stationary Energy Data'!A1" display="Stationary Energy Data" xr:uid="{074D6E34-2124-4170-BE0A-F005C251B410}"/>
    <hyperlink ref="B18" location="'Visual Summary'!A1" display="Visual Summary" xr:uid="{D19BD0AD-040B-438B-B9AA-E3A4DDE0390F}"/>
    <hyperlink ref="B19" location="'Emission Summary'!A1" display="Emission Summary" xr:uid="{6A843EF7-5C00-4E16-99A9-2970B1B711CC}"/>
    <hyperlink ref="B28" location="'Fugitive Emissions Data'!A1" display="Fugitive Emissions Data" xr:uid="{CAD2A8AC-6750-48E3-BC16-4CB6DB962F8F}"/>
    <hyperlink ref="B30" location="'On-Road Data'!A1" display="On-Road Data" xr:uid="{D2A4C374-DE82-41BF-8F49-66E0850C4431}"/>
    <hyperlink ref="B33" location="'Aviation Data'!A1" display="Aviation Data" xr:uid="{7809EFD8-EE54-4BD4-9804-EAC234644F45}"/>
    <hyperlink ref="B36" location="'Waste_Recycling Data'!A1" display="Waste_Recycling Data" xr:uid="{417657A4-F50C-4FDD-9897-C9FD638756FA}"/>
    <hyperlink ref="B37" location="'Wastewater Data'!A1" display="Wastewater Data" xr:uid="{F7B17938-6A5C-4EC8-B709-BD049D51079C}"/>
    <hyperlink ref="B43" location="'GPC Table 4.1'!A1" display="GPC Table 4.1" xr:uid="{1A4D7FA1-DEB9-4502-B86C-8D15DDC2C138}"/>
    <hyperlink ref="B44" location="'GPC Table 4.2'!A1" display="GPC Table 4.2" xr:uid="{4AD95869-7BC5-44C5-B1A3-0017C8208877}"/>
    <hyperlink ref="B45" location="'GPC Table 4.3'!A1" display="GPC Table 4.3" xr:uid="{EBFF852D-B154-4A3D-BBC8-4A453E5E844B}"/>
    <hyperlink ref="B46" location="'GPC Table 4.4'!A1" display="GPC Table 4.4" xr:uid="{800B2F0A-05DF-4DD7-9F2D-A3E52CBC60E8}"/>
    <hyperlink ref="B31" location="'Transit Data'!A1" display="Transit Data" xr:uid="{91871ECE-E916-41C8-AF3F-A31FE4C61AAE}"/>
    <hyperlink ref="B32" location="'Railways Data'!A1" display="Railways Data" xr:uid="{5D777566-A470-47F0-B4F5-AA40F1CA404E}"/>
    <hyperlink ref="B21" location="'Year-to-Year Comparisons'!A1" display="Year-to-Year Comparison" xr:uid="{88E6DF27-5074-464E-AC47-79F9B5C45D91}"/>
    <hyperlink ref="B34" location="'Off-Road'!A1" display="Off-Road Data" xr:uid="{A3E27111-9B28-4E62-B9C3-56FFA5C72EDF}"/>
    <hyperlink ref="B20" location="Benchmarking!A1" display="Benchmarking" xr:uid="{79EB9B11-E088-486C-8366-A2BCA23B3C5E}"/>
    <hyperlink ref="B41" location="'Consumption-Based Data'!A1" display="Consumption-Based Data" xr:uid="{6E5EBDE3-36E6-4670-9E06-4C6AB357B832}"/>
    <hyperlink ref="B39" location="IPPU!A1" display="IPPU Data" xr:uid="{9F33C89D-D6A5-4839-B90D-8A761E4AEF00}"/>
    <hyperlink ref="B25" location="'Conversion Factors and GWPs'!A1" display="Conversion Factors and GWPs" xr:uid="{70C94FE9-3471-4ADA-981F-18366C53200A}"/>
    <hyperlink ref="B14" r:id="rId3" display="mailto:Elizabeth.babcock@denvergov.org" xr:uid="{C6132C17-85B4-4FB5-9002-A774BB608F29}"/>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theme="3"/>
  </sheetPr>
  <dimension ref="A1:AH1018"/>
  <sheetViews>
    <sheetView workbookViewId="0">
      <selection activeCell="A50" sqref="A50:B50"/>
    </sheetView>
  </sheetViews>
  <sheetFormatPr defaultColWidth="11.125" defaultRowHeight="15" customHeight="1" outlineLevelRow="2"/>
  <cols>
    <col min="1" max="3" width="23.625" style="14" customWidth="1"/>
    <col min="4" max="4" width="18.25" style="14" customWidth="1"/>
    <col min="5" max="5" width="26.25" style="13" customWidth="1"/>
    <col min="6" max="6" width="24.125" style="13" customWidth="1"/>
    <col min="7" max="22" width="8.625" style="13" customWidth="1"/>
    <col min="23" max="16384" width="11.125" style="14"/>
  </cols>
  <sheetData>
    <row r="1" spans="1:30" s="86" customFormat="1" ht="24" customHeight="1">
      <c r="A1" s="225" t="s">
        <v>79</v>
      </c>
      <c r="B1" s="225"/>
      <c r="C1" s="225"/>
      <c r="D1" s="225"/>
      <c r="E1" s="492"/>
      <c r="F1" s="492"/>
      <c r="G1" s="904"/>
      <c r="H1" s="904"/>
      <c r="I1" s="904"/>
      <c r="J1" s="904"/>
      <c r="K1" s="904"/>
      <c r="L1" s="904"/>
      <c r="M1" s="904"/>
      <c r="N1" s="904"/>
      <c r="O1" s="88"/>
      <c r="P1" s="88"/>
      <c r="Q1" s="88"/>
      <c r="R1" s="88"/>
      <c r="S1" s="88"/>
      <c r="T1" s="88"/>
      <c r="U1" s="88"/>
      <c r="V1" s="88"/>
      <c r="W1" s="85"/>
      <c r="X1" s="85"/>
      <c r="Y1" s="85"/>
      <c r="Z1" s="85"/>
      <c r="AA1" s="85"/>
      <c r="AB1" s="85"/>
      <c r="AC1" s="85"/>
      <c r="AD1" s="85"/>
    </row>
    <row r="2" spans="1:30" s="209" customFormat="1" ht="21">
      <c r="A2" s="517" t="s">
        <v>414</v>
      </c>
      <c r="B2" s="532"/>
      <c r="C2" s="532"/>
      <c r="D2" s="532"/>
      <c r="E2" s="532"/>
      <c r="F2" s="533"/>
      <c r="G2" s="904"/>
      <c r="H2" s="904"/>
      <c r="I2" s="904"/>
      <c r="J2" s="904"/>
      <c r="K2" s="904"/>
      <c r="L2" s="904"/>
      <c r="M2" s="904"/>
      <c r="N2" s="904"/>
      <c r="O2" s="88"/>
      <c r="P2" s="88"/>
      <c r="Q2" s="88"/>
      <c r="R2" s="88"/>
      <c r="S2" s="88"/>
      <c r="T2" s="88"/>
      <c r="U2" s="88"/>
      <c r="V2" s="88"/>
      <c r="W2" s="85"/>
      <c r="X2" s="85"/>
      <c r="Y2" s="85"/>
      <c r="Z2" s="85"/>
      <c r="AA2" s="85"/>
      <c r="AB2" s="85"/>
      <c r="AC2" s="85"/>
      <c r="AD2" s="85"/>
    </row>
    <row r="3" spans="1:30" ht="16.5" customHeight="1" outlineLevel="1">
      <c r="A3" s="511" t="s">
        <v>64</v>
      </c>
      <c r="B3" s="518">
        <f>F45+C64+C71</f>
        <v>89356.584814458605</v>
      </c>
      <c r="C3" s="193"/>
      <c r="D3" s="193"/>
      <c r="E3" s="193"/>
      <c r="F3" s="154"/>
      <c r="G3" s="904"/>
      <c r="H3" s="904"/>
      <c r="I3" s="904"/>
      <c r="J3" s="904"/>
      <c r="K3" s="904"/>
      <c r="L3" s="904"/>
      <c r="M3" s="904"/>
      <c r="N3" s="904"/>
      <c r="O3" s="88"/>
      <c r="P3" s="88"/>
      <c r="Q3" s="88"/>
      <c r="R3" s="88"/>
      <c r="S3" s="88"/>
      <c r="T3" s="88"/>
      <c r="U3" s="88"/>
      <c r="V3" s="88"/>
      <c r="W3" s="85"/>
      <c r="X3" s="85"/>
      <c r="Y3" s="85"/>
      <c r="Z3" s="85"/>
      <c r="AA3" s="85"/>
      <c r="AB3" s="85"/>
      <c r="AC3" s="85"/>
      <c r="AD3" s="85"/>
    </row>
    <row r="4" spans="1:30" ht="16.5" customHeight="1" outlineLevel="1">
      <c r="A4" s="290" t="s">
        <v>66</v>
      </c>
      <c r="B4" s="291" t="s">
        <v>63</v>
      </c>
      <c r="C4" s="193"/>
      <c r="D4" s="193"/>
      <c r="E4" s="193"/>
      <c r="F4" s="50"/>
      <c r="G4" s="904"/>
      <c r="H4" s="904"/>
      <c r="I4" s="904"/>
      <c r="J4" s="904"/>
      <c r="K4" s="904"/>
      <c r="L4" s="904"/>
      <c r="M4" s="904"/>
      <c r="N4" s="904"/>
      <c r="O4" s="88"/>
      <c r="P4" s="88"/>
      <c r="Q4" s="88"/>
      <c r="R4" s="88"/>
      <c r="S4" s="88"/>
      <c r="T4" s="88"/>
      <c r="U4" s="88"/>
      <c r="V4" s="88"/>
      <c r="W4" s="85"/>
      <c r="X4" s="85"/>
      <c r="Y4" s="85"/>
      <c r="Z4" s="85"/>
      <c r="AA4" s="85"/>
      <c r="AB4" s="85"/>
      <c r="AC4" s="85"/>
      <c r="AD4" s="85"/>
    </row>
    <row r="5" spans="1:30" ht="16.5" customHeight="1" outlineLevel="1">
      <c r="A5" s="288" t="s">
        <v>67</v>
      </c>
      <c r="B5" s="289" t="s">
        <v>63</v>
      </c>
      <c r="C5" s="193"/>
      <c r="D5" s="193"/>
      <c r="E5" s="193"/>
      <c r="F5" s="50"/>
      <c r="G5" s="904"/>
      <c r="H5" s="904"/>
      <c r="I5" s="904"/>
      <c r="J5" s="904"/>
      <c r="K5" s="904"/>
      <c r="L5" s="904"/>
      <c r="M5" s="904"/>
      <c r="N5" s="904"/>
      <c r="O5" s="88"/>
      <c r="P5" s="88"/>
      <c r="Q5" s="88"/>
      <c r="R5" s="88"/>
      <c r="S5" s="88"/>
      <c r="T5" s="88"/>
      <c r="U5" s="88"/>
      <c r="V5" s="88"/>
      <c r="W5" s="85"/>
      <c r="X5" s="85"/>
      <c r="Y5" s="85"/>
      <c r="Z5" s="85"/>
      <c r="AA5" s="85"/>
      <c r="AB5" s="85"/>
      <c r="AC5" s="85"/>
      <c r="AD5" s="85"/>
    </row>
    <row r="6" spans="1:30" ht="16.5" customHeight="1" outlineLevel="1">
      <c r="A6" s="292" t="s">
        <v>78</v>
      </c>
      <c r="B6" s="293">
        <f>SUM(B3:B5)</f>
        <v>89356.584814458605</v>
      </c>
      <c r="C6" s="193"/>
      <c r="D6" s="193"/>
      <c r="E6" s="193"/>
      <c r="F6" s="50"/>
      <c r="G6" s="904"/>
      <c r="H6" s="904"/>
      <c r="I6" s="904"/>
      <c r="J6" s="904"/>
      <c r="K6" s="904"/>
      <c r="L6" s="904"/>
      <c r="M6" s="904"/>
      <c r="N6" s="904"/>
      <c r="O6" s="88"/>
      <c r="P6" s="88"/>
      <c r="Q6" s="88"/>
      <c r="R6" s="88"/>
      <c r="S6" s="88"/>
      <c r="T6" s="88"/>
      <c r="U6" s="88"/>
      <c r="V6" s="88"/>
      <c r="W6" s="85"/>
      <c r="X6" s="85"/>
      <c r="Y6" s="85"/>
      <c r="Z6" s="85"/>
      <c r="AA6" s="85"/>
      <c r="AB6" s="85"/>
      <c r="AC6" s="85"/>
      <c r="AD6" s="85"/>
    </row>
    <row r="7" spans="1:30" s="209" customFormat="1" ht="21">
      <c r="A7" s="517" t="s">
        <v>630</v>
      </c>
      <c r="B7" s="532"/>
      <c r="C7" s="532"/>
      <c r="D7" s="532"/>
      <c r="E7" s="532"/>
      <c r="F7" s="533"/>
      <c r="G7" s="904"/>
      <c r="H7" s="904"/>
      <c r="I7" s="904"/>
      <c r="J7" s="904"/>
      <c r="K7" s="904"/>
      <c r="L7" s="904"/>
      <c r="M7" s="904"/>
      <c r="N7" s="904"/>
      <c r="O7" s="88"/>
      <c r="P7" s="88"/>
      <c r="Q7" s="88"/>
      <c r="R7" s="88"/>
      <c r="S7" s="88"/>
      <c r="T7" s="88"/>
      <c r="U7" s="88"/>
      <c r="V7" s="88"/>
      <c r="W7" s="85"/>
      <c r="X7" s="85"/>
      <c r="Y7" s="85"/>
      <c r="Z7" s="85"/>
      <c r="AA7" s="85"/>
      <c r="AB7" s="85"/>
      <c r="AC7" s="85"/>
      <c r="AD7" s="85"/>
    </row>
    <row r="8" spans="1:30" s="212" customFormat="1" ht="43.5" customHeight="1" outlineLevel="1">
      <c r="A8" s="1169" t="s">
        <v>1323</v>
      </c>
      <c r="B8" s="1169"/>
      <c r="C8" s="1169"/>
      <c r="D8" s="1169"/>
      <c r="E8" s="1169"/>
      <c r="F8" s="1169"/>
    </row>
    <row r="9" spans="1:30" s="212" customFormat="1" ht="22.5" customHeight="1" outlineLevel="1">
      <c r="A9" s="1169" t="s">
        <v>700</v>
      </c>
      <c r="B9" s="1169"/>
      <c r="C9" s="1169"/>
      <c r="D9" s="1169"/>
      <c r="E9" s="1169"/>
      <c r="F9" s="1169"/>
    </row>
    <row r="10" spans="1:30" s="212" customFormat="1" ht="70.150000000000006" customHeight="1" outlineLevel="1">
      <c r="A10" s="1169" t="s">
        <v>1322</v>
      </c>
      <c r="B10" s="1169"/>
      <c r="C10" s="1169"/>
      <c r="D10" s="1169"/>
      <c r="E10" s="1169"/>
      <c r="F10" s="1169"/>
    </row>
    <row r="11" spans="1:30" s="212" customFormat="1" ht="27.75" customHeight="1" outlineLevel="1">
      <c r="A11" s="1169" t="s">
        <v>701</v>
      </c>
      <c r="B11" s="1169"/>
      <c r="C11" s="1169"/>
      <c r="D11" s="1169"/>
      <c r="E11" s="1169"/>
      <c r="F11" s="1169"/>
    </row>
    <row r="12" spans="1:30" s="212" customFormat="1" ht="15" customHeight="1" outlineLevel="1">
      <c r="A12" s="1169" t="s">
        <v>702</v>
      </c>
      <c r="B12" s="1169"/>
      <c r="C12" s="1169"/>
      <c r="D12" s="1169"/>
      <c r="E12" s="1169"/>
      <c r="F12" s="1169"/>
    </row>
    <row r="13" spans="1:30" s="212" customFormat="1" ht="15" customHeight="1" outlineLevel="1">
      <c r="A13" s="1169" t="s">
        <v>703</v>
      </c>
      <c r="B13" s="1169"/>
      <c r="C13" s="1169"/>
      <c r="D13" s="1169"/>
      <c r="E13" s="1169"/>
      <c r="F13" s="1169"/>
    </row>
    <row r="14" spans="1:30" s="212" customFormat="1" ht="15" customHeight="1" outlineLevel="1">
      <c r="A14" s="1169" t="s">
        <v>1269</v>
      </c>
      <c r="B14" s="1169"/>
      <c r="C14" s="1169"/>
      <c r="D14" s="1169"/>
      <c r="E14" s="1169"/>
      <c r="F14" s="1169"/>
    </row>
    <row r="15" spans="1:30" s="212" customFormat="1" ht="58.5" customHeight="1" outlineLevel="1">
      <c r="A15" s="1169" t="s">
        <v>704</v>
      </c>
      <c r="B15" s="1169"/>
      <c r="C15" s="1169"/>
      <c r="D15" s="1169"/>
      <c r="E15" s="1169"/>
      <c r="F15" s="1169"/>
    </row>
    <row r="16" spans="1:30" s="212" customFormat="1" ht="20.25">
      <c r="A16" s="571" t="s">
        <v>0</v>
      </c>
      <c r="B16" s="572"/>
      <c r="C16" s="572"/>
      <c r="D16" s="572"/>
      <c r="E16" s="572"/>
      <c r="F16" s="573"/>
    </row>
    <row r="17" spans="1:34" s="209" customFormat="1" ht="15.75" hidden="1" outlineLevel="1">
      <c r="A17" s="790" t="s">
        <v>740</v>
      </c>
      <c r="B17" s="791"/>
      <c r="C17" s="791"/>
      <c r="D17" s="791"/>
      <c r="E17" s="791"/>
      <c r="F17" s="792"/>
      <c r="G17" s="2"/>
      <c r="H17" s="2"/>
      <c r="I17" s="2"/>
      <c r="J17" s="2"/>
      <c r="K17" s="2"/>
      <c r="L17" s="2"/>
      <c r="M17" s="2"/>
      <c r="N17" s="2"/>
      <c r="O17" s="2"/>
      <c r="P17" s="2"/>
      <c r="Q17" s="2"/>
      <c r="R17" s="2"/>
      <c r="S17" s="2"/>
      <c r="T17" s="2"/>
      <c r="U17" s="2"/>
      <c r="V17" s="2"/>
      <c r="W17" s="2"/>
      <c r="X17" s="2"/>
      <c r="Y17" s="2"/>
      <c r="Z17" s="2"/>
      <c r="AA17" s="13"/>
      <c r="AB17" s="13"/>
      <c r="AC17" s="13"/>
      <c r="AD17" s="13"/>
      <c r="AE17" s="13"/>
      <c r="AF17" s="13"/>
      <c r="AG17" s="13"/>
      <c r="AH17" s="13"/>
    </row>
    <row r="18" spans="1:34" s="209" customFormat="1" ht="14.25" hidden="1" outlineLevel="2">
      <c r="A18" s="589" t="s">
        <v>55</v>
      </c>
      <c r="B18" s="590" t="s">
        <v>56</v>
      </c>
      <c r="C18" s="590" t="s">
        <v>57</v>
      </c>
      <c r="D18" s="1173" t="s">
        <v>41</v>
      </c>
      <c r="E18" s="1173"/>
      <c r="F18" s="1174"/>
      <c r="G18" s="2"/>
      <c r="H18" s="2"/>
      <c r="I18" s="2"/>
      <c r="J18" s="2"/>
      <c r="K18" s="2"/>
      <c r="L18" s="2"/>
      <c r="M18" s="2"/>
      <c r="N18" s="2"/>
      <c r="O18" s="2"/>
      <c r="P18" s="2"/>
      <c r="Q18" s="2"/>
      <c r="R18" s="2"/>
      <c r="S18" s="2"/>
      <c r="T18" s="2"/>
      <c r="U18" s="2"/>
      <c r="V18" s="2"/>
      <c r="W18" s="2"/>
      <c r="X18" s="2"/>
      <c r="Y18" s="2"/>
      <c r="Z18" s="2"/>
      <c r="AA18" s="13"/>
      <c r="AB18" s="13"/>
      <c r="AC18" s="13"/>
      <c r="AD18" s="13"/>
      <c r="AE18" s="13"/>
      <c r="AF18" s="13"/>
      <c r="AG18" s="13"/>
      <c r="AH18" s="13"/>
    </row>
    <row r="19" spans="1:34" s="209" customFormat="1" ht="24" hidden="1" customHeight="1" outlineLevel="2">
      <c r="A19" s="376" t="s">
        <v>741</v>
      </c>
      <c r="B19" s="813">
        <v>10.62</v>
      </c>
      <c r="C19" s="384" t="s">
        <v>742</v>
      </c>
      <c r="D19" s="1170" t="s">
        <v>743</v>
      </c>
      <c r="E19" s="1171"/>
      <c r="F19" s="1172"/>
      <c r="G19" s="2"/>
      <c r="H19" s="2"/>
      <c r="I19" s="2"/>
      <c r="J19" s="2"/>
      <c r="K19" s="2"/>
      <c r="L19" s="2"/>
      <c r="M19" s="2"/>
      <c r="N19" s="2"/>
      <c r="O19" s="2"/>
      <c r="P19" s="2"/>
      <c r="Q19" s="2"/>
      <c r="R19" s="2"/>
      <c r="S19" s="2"/>
      <c r="T19" s="2"/>
      <c r="U19" s="2"/>
      <c r="V19" s="2"/>
      <c r="W19" s="2"/>
      <c r="X19" s="2"/>
      <c r="Y19" s="2"/>
      <c r="Z19" s="2"/>
      <c r="AA19" s="13"/>
      <c r="AB19" s="13"/>
      <c r="AC19" s="13"/>
      <c r="AD19" s="13"/>
      <c r="AE19" s="13"/>
      <c r="AF19" s="13"/>
      <c r="AG19" s="13"/>
      <c r="AH19" s="13"/>
    </row>
    <row r="20" spans="1:34" s="209" customFormat="1" ht="14.25" hidden="1" outlineLevel="2">
      <c r="A20" s="504"/>
      <c r="B20" s="505"/>
      <c r="C20" s="107"/>
      <c r="D20" s="2"/>
      <c r="E20" s="2"/>
      <c r="F20" s="2"/>
      <c r="G20" s="2"/>
      <c r="H20" s="2"/>
      <c r="I20" s="2"/>
      <c r="J20" s="2"/>
      <c r="K20" s="2"/>
      <c r="L20" s="2"/>
      <c r="M20" s="2"/>
      <c r="N20" s="2"/>
      <c r="O20" s="2"/>
      <c r="P20" s="2"/>
      <c r="Q20" s="2"/>
      <c r="R20" s="2"/>
      <c r="S20" s="2"/>
      <c r="T20" s="2"/>
      <c r="U20" s="2"/>
      <c r="V20" s="2"/>
      <c r="W20" s="2"/>
      <c r="X20" s="2"/>
      <c r="Y20" s="2"/>
      <c r="Z20" s="2"/>
      <c r="AA20" s="13"/>
      <c r="AB20" s="13"/>
      <c r="AC20" s="13"/>
      <c r="AD20" s="13"/>
      <c r="AE20" s="13"/>
      <c r="AF20" s="13"/>
      <c r="AG20" s="13"/>
      <c r="AH20" s="13"/>
    </row>
    <row r="21" spans="1:34" s="209" customFormat="1" ht="15.75" hidden="1" outlineLevel="1" collapsed="1">
      <c r="A21" s="790" t="s">
        <v>744</v>
      </c>
      <c r="B21" s="791"/>
      <c r="C21" s="791"/>
      <c r="D21" s="791"/>
      <c r="E21" s="791"/>
      <c r="F21" s="792"/>
      <c r="G21" s="2"/>
      <c r="H21" s="2"/>
      <c r="I21" s="2"/>
      <c r="J21" s="2"/>
      <c r="K21" s="2"/>
      <c r="L21" s="2"/>
      <c r="M21" s="2"/>
      <c r="N21" s="2"/>
      <c r="O21" s="2"/>
      <c r="P21" s="2"/>
      <c r="Q21" s="2"/>
      <c r="R21" s="2"/>
      <c r="S21" s="2"/>
      <c r="T21" s="2"/>
      <c r="U21" s="2"/>
      <c r="V21" s="2"/>
      <c r="W21" s="2"/>
      <c r="X21" s="2"/>
      <c r="Y21" s="2"/>
      <c r="Z21" s="2"/>
      <c r="AA21" s="13"/>
      <c r="AB21" s="13"/>
      <c r="AC21" s="13"/>
      <c r="AD21" s="13"/>
      <c r="AE21" s="13"/>
      <c r="AF21" s="13"/>
      <c r="AG21" s="13"/>
      <c r="AH21" s="13"/>
    </row>
    <row r="22" spans="1:34" s="209" customFormat="1" ht="14.25" hidden="1" outlineLevel="2">
      <c r="A22" s="353" t="s">
        <v>55</v>
      </c>
      <c r="B22" s="353" t="s">
        <v>56</v>
      </c>
      <c r="C22" s="353" t="s">
        <v>57</v>
      </c>
      <c r="D22" s="1173" t="s">
        <v>41</v>
      </c>
      <c r="E22" s="1173"/>
      <c r="F22" s="1174"/>
      <c r="G22" s="2"/>
      <c r="H22" s="2"/>
      <c r="I22" s="2"/>
      <c r="J22" s="2"/>
      <c r="K22" s="2"/>
      <c r="L22" s="2"/>
      <c r="M22" s="2"/>
      <c r="N22" s="2"/>
      <c r="O22" s="2"/>
      <c r="P22" s="2"/>
      <c r="Q22" s="2"/>
      <c r="R22" s="2"/>
      <c r="S22" s="2"/>
      <c r="T22" s="2"/>
      <c r="U22" s="2"/>
      <c r="V22" s="2"/>
      <c r="W22" s="2"/>
      <c r="X22" s="2"/>
      <c r="Y22" s="2"/>
      <c r="Z22" s="2"/>
      <c r="AA22" s="13"/>
      <c r="AB22" s="13"/>
      <c r="AC22" s="13"/>
      <c r="AD22" s="13"/>
      <c r="AE22" s="13"/>
      <c r="AF22" s="13"/>
      <c r="AG22" s="13"/>
      <c r="AH22" s="13"/>
    </row>
    <row r="23" spans="1:34" s="209" customFormat="1" ht="27" hidden="1" customHeight="1" outlineLevel="2">
      <c r="A23" s="376" t="s">
        <v>741</v>
      </c>
      <c r="B23" s="813">
        <v>0.4</v>
      </c>
      <c r="C23" s="384" t="s">
        <v>745</v>
      </c>
      <c r="D23" s="1183" t="s">
        <v>743</v>
      </c>
      <c r="E23" s="1184"/>
      <c r="F23" s="1185"/>
      <c r="G23" s="2"/>
      <c r="H23" s="2"/>
      <c r="I23" s="2"/>
      <c r="J23" s="2"/>
      <c r="K23" s="2"/>
      <c r="L23" s="2"/>
      <c r="M23" s="2"/>
      <c r="N23" s="2"/>
      <c r="O23" s="2"/>
      <c r="P23" s="2"/>
      <c r="Q23" s="2"/>
      <c r="R23" s="2"/>
      <c r="S23" s="2"/>
      <c r="T23" s="2"/>
      <c r="U23" s="2"/>
      <c r="V23" s="2"/>
      <c r="W23" s="2"/>
      <c r="X23" s="2"/>
      <c r="Y23" s="2"/>
      <c r="Z23" s="2"/>
      <c r="AA23" s="13"/>
      <c r="AB23" s="13"/>
      <c r="AC23" s="13"/>
      <c r="AD23" s="13"/>
      <c r="AE23" s="13"/>
      <c r="AF23" s="13"/>
      <c r="AG23" s="13"/>
      <c r="AH23" s="13"/>
    </row>
    <row r="24" spans="1:34" s="13" customFormat="1" ht="27" hidden="1" outlineLevel="2">
      <c r="A24" s="385" t="s">
        <v>741</v>
      </c>
      <c r="B24" s="814">
        <v>1250</v>
      </c>
      <c r="C24" s="386" t="s">
        <v>746</v>
      </c>
      <c r="D24" s="1186"/>
      <c r="E24" s="1187"/>
      <c r="F24" s="1188"/>
      <c r="G24" s="2"/>
      <c r="H24" s="2"/>
      <c r="I24" s="2"/>
      <c r="J24" s="2"/>
      <c r="K24" s="2"/>
      <c r="L24" s="2"/>
      <c r="M24" s="2"/>
      <c r="N24" s="2"/>
      <c r="O24" s="2"/>
      <c r="P24" s="2"/>
      <c r="Q24" s="2"/>
      <c r="R24" s="2"/>
      <c r="S24" s="2"/>
      <c r="T24" s="2"/>
      <c r="U24" s="2"/>
      <c r="V24" s="2"/>
      <c r="W24" s="2"/>
      <c r="X24" s="2"/>
      <c r="Y24" s="2"/>
      <c r="Z24" s="2"/>
    </row>
    <row r="25" spans="1:34" s="13" customFormat="1" ht="27" hidden="1" outlineLevel="2">
      <c r="A25" s="385" t="s">
        <v>741</v>
      </c>
      <c r="B25" s="814">
        <v>1185</v>
      </c>
      <c r="C25" s="386" t="s">
        <v>747</v>
      </c>
      <c r="D25" s="1186"/>
      <c r="E25" s="1187"/>
      <c r="F25" s="1188"/>
      <c r="G25" s="2"/>
      <c r="H25" s="2"/>
      <c r="I25" s="2"/>
      <c r="J25" s="2"/>
      <c r="K25" s="2"/>
      <c r="L25" s="2"/>
      <c r="M25" s="2"/>
      <c r="N25" s="2"/>
      <c r="O25" s="2"/>
      <c r="P25" s="2"/>
      <c r="Q25" s="2"/>
      <c r="R25" s="2"/>
      <c r="S25" s="2"/>
      <c r="T25" s="2"/>
      <c r="U25" s="2"/>
      <c r="V25" s="2"/>
      <c r="W25" s="2"/>
      <c r="X25" s="2"/>
      <c r="Y25" s="2"/>
      <c r="Z25" s="2"/>
    </row>
    <row r="26" spans="1:34" s="13" customFormat="1" ht="27" hidden="1" outlineLevel="2">
      <c r="A26" s="385" t="s">
        <v>741</v>
      </c>
      <c r="B26" s="813">
        <v>0.62</v>
      </c>
      <c r="C26" s="386" t="s">
        <v>748</v>
      </c>
      <c r="D26" s="1186"/>
      <c r="E26" s="1187"/>
      <c r="F26" s="1188"/>
      <c r="G26" s="2"/>
      <c r="H26" s="2"/>
      <c r="I26" s="2"/>
      <c r="J26" s="2"/>
      <c r="K26" s="2"/>
      <c r="L26" s="2"/>
      <c r="M26" s="2"/>
      <c r="N26" s="2"/>
      <c r="O26" s="2"/>
      <c r="P26" s="2"/>
      <c r="Q26" s="2"/>
      <c r="R26" s="2"/>
      <c r="S26" s="2"/>
      <c r="T26" s="2"/>
      <c r="U26" s="2"/>
      <c r="V26" s="2"/>
      <c r="W26" s="2"/>
      <c r="X26" s="2"/>
      <c r="Y26" s="2"/>
      <c r="Z26" s="2"/>
    </row>
    <row r="27" spans="1:34" s="13" customFormat="1" ht="39.75" hidden="1" outlineLevel="2">
      <c r="A27" s="385" t="s">
        <v>741</v>
      </c>
      <c r="B27" s="815">
        <v>983.7</v>
      </c>
      <c r="C27" s="386" t="s">
        <v>749</v>
      </c>
      <c r="D27" s="1186"/>
      <c r="E27" s="1187"/>
      <c r="F27" s="1188"/>
      <c r="G27" s="2"/>
      <c r="H27" s="2"/>
      <c r="I27" s="2"/>
      <c r="J27" s="2"/>
      <c r="K27" s="2"/>
      <c r="L27" s="2"/>
      <c r="M27" s="2"/>
      <c r="N27" s="2"/>
      <c r="O27" s="2"/>
      <c r="P27" s="2"/>
      <c r="Q27" s="2"/>
      <c r="R27" s="2"/>
      <c r="S27" s="2"/>
      <c r="T27" s="2"/>
      <c r="U27" s="2"/>
      <c r="V27" s="2"/>
      <c r="W27" s="2"/>
      <c r="X27" s="2"/>
      <c r="Y27" s="2"/>
      <c r="Z27" s="2"/>
    </row>
    <row r="28" spans="1:34" s="13" customFormat="1" ht="27" hidden="1" outlineLevel="2">
      <c r="A28" s="385" t="s">
        <v>741</v>
      </c>
      <c r="B28" s="815">
        <v>964.2</v>
      </c>
      <c r="C28" s="386" t="s">
        <v>750</v>
      </c>
      <c r="D28" s="1189"/>
      <c r="E28" s="1190"/>
      <c r="F28" s="1191"/>
      <c r="G28" s="2"/>
      <c r="H28" s="2"/>
      <c r="I28" s="2"/>
      <c r="J28" s="2"/>
      <c r="K28" s="2"/>
      <c r="L28" s="2"/>
      <c r="M28" s="2"/>
      <c r="N28" s="2"/>
      <c r="O28" s="2"/>
      <c r="P28" s="2"/>
      <c r="Q28" s="2"/>
      <c r="R28" s="2"/>
      <c r="S28" s="2"/>
      <c r="T28" s="2"/>
      <c r="U28" s="2"/>
      <c r="V28" s="2"/>
      <c r="W28" s="2"/>
      <c r="X28" s="2"/>
      <c r="Y28" s="2"/>
      <c r="Z28" s="2"/>
    </row>
    <row r="29" spans="1:34" s="209" customFormat="1" ht="14.25" hidden="1" outlineLevel="2">
      <c r="A29" s="504"/>
      <c r="B29" s="505"/>
      <c r="C29" s="107"/>
      <c r="D29" s="2"/>
      <c r="E29" s="2"/>
      <c r="F29" s="2"/>
      <c r="G29" s="2"/>
      <c r="H29" s="2"/>
      <c r="I29" s="2"/>
      <c r="J29" s="2"/>
      <c r="K29" s="2"/>
      <c r="L29" s="2"/>
      <c r="M29" s="2"/>
      <c r="N29" s="2"/>
      <c r="O29" s="2"/>
      <c r="P29" s="2"/>
      <c r="Q29" s="2"/>
      <c r="R29" s="2"/>
      <c r="S29" s="2"/>
      <c r="T29" s="2"/>
      <c r="U29" s="2"/>
      <c r="V29" s="2"/>
      <c r="W29" s="2"/>
      <c r="X29" s="2"/>
      <c r="Y29" s="2"/>
      <c r="Z29" s="2"/>
      <c r="AA29" s="13"/>
      <c r="AB29" s="13"/>
      <c r="AC29" s="13"/>
      <c r="AD29" s="13"/>
      <c r="AE29" s="13"/>
      <c r="AF29" s="13"/>
      <c r="AG29" s="13"/>
      <c r="AH29" s="13"/>
    </row>
    <row r="30" spans="1:34" s="209" customFormat="1" ht="15.75" hidden="1" outlineLevel="1" collapsed="1">
      <c r="A30" s="790" t="s">
        <v>751</v>
      </c>
      <c r="B30" s="791"/>
      <c r="C30" s="791"/>
      <c r="D30" s="791"/>
      <c r="E30" s="791"/>
      <c r="F30" s="792"/>
      <c r="G30" s="2"/>
      <c r="H30" s="2"/>
      <c r="I30" s="2"/>
      <c r="J30" s="2"/>
      <c r="K30" s="2"/>
      <c r="L30" s="2"/>
      <c r="M30" s="2"/>
      <c r="N30" s="2"/>
      <c r="O30" s="2"/>
      <c r="P30" s="2"/>
      <c r="Q30" s="2"/>
      <c r="R30" s="2"/>
      <c r="S30" s="2"/>
      <c r="T30" s="2"/>
      <c r="U30" s="2"/>
      <c r="V30" s="2"/>
      <c r="W30" s="2"/>
      <c r="X30" s="2"/>
      <c r="Y30" s="2"/>
      <c r="Z30" s="2"/>
      <c r="AA30" s="13"/>
      <c r="AB30" s="13"/>
      <c r="AC30" s="13"/>
      <c r="AD30" s="13"/>
      <c r="AE30" s="13"/>
      <c r="AF30" s="13"/>
      <c r="AG30" s="13"/>
      <c r="AH30" s="13"/>
    </row>
    <row r="31" spans="1:34" s="209" customFormat="1" ht="14.25" hidden="1" outlineLevel="2">
      <c r="A31" s="509" t="s">
        <v>55</v>
      </c>
      <c r="B31" s="499" t="s">
        <v>56</v>
      </c>
      <c r="C31" s="499" t="s">
        <v>57</v>
      </c>
      <c r="D31" s="1173" t="s">
        <v>41</v>
      </c>
      <c r="E31" s="1173"/>
      <c r="F31" s="1174"/>
      <c r="G31" s="2"/>
      <c r="H31" s="2"/>
      <c r="I31" s="2"/>
      <c r="J31" s="2"/>
      <c r="K31" s="2"/>
      <c r="L31" s="2"/>
      <c r="M31" s="2"/>
      <c r="N31" s="2"/>
      <c r="O31" s="2"/>
      <c r="P31" s="2"/>
      <c r="Q31" s="2"/>
      <c r="R31" s="2"/>
      <c r="S31" s="2"/>
      <c r="T31" s="2"/>
      <c r="U31" s="2"/>
      <c r="V31" s="2"/>
      <c r="W31" s="2"/>
      <c r="X31" s="2"/>
      <c r="Y31" s="2"/>
      <c r="Z31" s="2"/>
      <c r="AA31" s="13"/>
      <c r="AB31" s="13"/>
      <c r="AC31" s="13"/>
      <c r="AD31" s="13"/>
      <c r="AE31" s="13"/>
      <c r="AF31" s="13"/>
      <c r="AG31" s="13"/>
      <c r="AH31" s="13"/>
    </row>
    <row r="32" spans="1:34" s="209" customFormat="1" ht="27" hidden="1" outlineLevel="2">
      <c r="A32" s="376" t="s">
        <v>741</v>
      </c>
      <c r="B32" s="813">
        <v>54.71</v>
      </c>
      <c r="C32" s="384" t="s">
        <v>752</v>
      </c>
      <c r="D32" s="1192" t="s">
        <v>743</v>
      </c>
      <c r="E32" s="1193"/>
      <c r="F32" s="1194"/>
      <c r="G32" s="2"/>
      <c r="H32" s="2"/>
      <c r="I32" s="2"/>
      <c r="J32" s="2"/>
      <c r="K32" s="2"/>
      <c r="L32" s="2"/>
      <c r="M32" s="2"/>
      <c r="N32" s="2"/>
      <c r="O32" s="2"/>
      <c r="P32" s="2"/>
      <c r="Q32" s="2"/>
      <c r="R32" s="2"/>
      <c r="S32" s="2"/>
      <c r="T32" s="2"/>
      <c r="U32" s="2"/>
      <c r="V32" s="2"/>
      <c r="W32" s="2"/>
      <c r="X32" s="2"/>
      <c r="Y32" s="2"/>
      <c r="Z32" s="2"/>
      <c r="AA32" s="13"/>
      <c r="AB32" s="13"/>
      <c r="AC32" s="13"/>
      <c r="AD32" s="13"/>
      <c r="AE32" s="13"/>
      <c r="AF32" s="13"/>
      <c r="AG32" s="13"/>
      <c r="AH32" s="13"/>
    </row>
    <row r="33" spans="1:34" s="209" customFormat="1" ht="14.25" hidden="1" outlineLevel="2">
      <c r="A33" s="504"/>
      <c r="B33" s="505"/>
      <c r="C33" s="107"/>
      <c r="D33" s="2"/>
      <c r="E33" s="2"/>
      <c r="F33" s="2"/>
      <c r="G33" s="2"/>
      <c r="H33" s="2"/>
      <c r="I33" s="2"/>
      <c r="J33" s="2"/>
      <c r="K33" s="2"/>
      <c r="L33" s="2"/>
      <c r="M33" s="2"/>
      <c r="N33" s="2"/>
      <c r="O33" s="2"/>
      <c r="P33" s="2"/>
      <c r="Q33" s="2"/>
      <c r="R33" s="2"/>
      <c r="S33" s="2"/>
      <c r="T33" s="2"/>
      <c r="U33" s="2"/>
      <c r="V33" s="2"/>
      <c r="W33" s="2"/>
      <c r="X33" s="2"/>
      <c r="Y33" s="2"/>
      <c r="Z33" s="2"/>
      <c r="AA33" s="13"/>
      <c r="AB33" s="13"/>
      <c r="AC33" s="13"/>
      <c r="AD33" s="13"/>
      <c r="AE33" s="13"/>
      <c r="AF33" s="13"/>
      <c r="AG33" s="13"/>
      <c r="AH33" s="13"/>
    </row>
    <row r="34" spans="1:34" s="209" customFormat="1" ht="15.75" hidden="1" outlineLevel="1" collapsed="1">
      <c r="A34" s="790" t="s">
        <v>753</v>
      </c>
      <c r="B34" s="791"/>
      <c r="C34" s="791"/>
      <c r="D34" s="791"/>
      <c r="E34" s="791"/>
      <c r="F34" s="792"/>
      <c r="G34" s="2"/>
      <c r="H34" s="2"/>
      <c r="I34" s="2"/>
      <c r="J34" s="2"/>
      <c r="K34" s="2"/>
      <c r="L34" s="2"/>
      <c r="M34" s="2"/>
      <c r="N34" s="2"/>
      <c r="O34" s="2"/>
      <c r="P34" s="2"/>
      <c r="Q34" s="2"/>
      <c r="R34" s="2"/>
      <c r="S34" s="2"/>
      <c r="T34" s="2"/>
      <c r="U34" s="2"/>
      <c r="V34" s="2"/>
      <c r="W34" s="2"/>
      <c r="X34" s="2"/>
      <c r="Y34" s="2"/>
      <c r="Z34" s="2"/>
      <c r="AA34" s="13"/>
      <c r="AB34" s="13"/>
      <c r="AC34" s="13"/>
      <c r="AD34" s="13"/>
      <c r="AE34" s="13"/>
      <c r="AF34" s="13"/>
      <c r="AG34" s="13"/>
      <c r="AH34" s="13"/>
    </row>
    <row r="35" spans="1:34" s="209" customFormat="1" ht="14.25" hidden="1" outlineLevel="2">
      <c r="A35" s="589" t="s">
        <v>55</v>
      </c>
      <c r="B35" s="590" t="s">
        <v>56</v>
      </c>
      <c r="C35" s="590" t="s">
        <v>57</v>
      </c>
      <c r="D35" s="1173" t="s">
        <v>41</v>
      </c>
      <c r="E35" s="1173"/>
      <c r="F35" s="1174"/>
      <c r="G35" s="2"/>
      <c r="H35" s="2"/>
      <c r="I35" s="2"/>
      <c r="J35" s="2"/>
      <c r="K35" s="2"/>
      <c r="L35" s="2"/>
      <c r="M35" s="2"/>
      <c r="N35" s="2"/>
      <c r="O35" s="2"/>
      <c r="P35" s="2"/>
      <c r="Q35" s="2"/>
      <c r="R35" s="2"/>
      <c r="S35" s="2"/>
      <c r="T35" s="2"/>
      <c r="U35" s="2"/>
      <c r="V35" s="2"/>
      <c r="W35" s="2"/>
      <c r="X35" s="2"/>
      <c r="Y35" s="2"/>
      <c r="Z35" s="2"/>
      <c r="AA35" s="13"/>
      <c r="AB35" s="13"/>
      <c r="AC35" s="13"/>
      <c r="AD35" s="13"/>
      <c r="AE35" s="13"/>
      <c r="AF35" s="13"/>
      <c r="AG35" s="13"/>
      <c r="AH35" s="13"/>
    </row>
    <row r="36" spans="1:34" s="209" customFormat="1" ht="14.25" hidden="1" outlineLevel="2">
      <c r="A36" s="376" t="s">
        <v>741</v>
      </c>
      <c r="B36" s="813">
        <v>439.43</v>
      </c>
      <c r="C36" s="384" t="s">
        <v>754</v>
      </c>
      <c r="D36" s="1183" t="s">
        <v>743</v>
      </c>
      <c r="E36" s="1184"/>
      <c r="F36" s="1185"/>
      <c r="G36" s="2"/>
      <c r="H36" s="2"/>
      <c r="I36" s="2"/>
      <c r="J36" s="2"/>
      <c r="K36" s="2"/>
      <c r="L36" s="2"/>
      <c r="M36" s="2"/>
      <c r="N36" s="2"/>
      <c r="O36" s="2"/>
      <c r="P36" s="2"/>
      <c r="Q36" s="2"/>
      <c r="R36" s="2"/>
      <c r="S36" s="2"/>
      <c r="T36" s="2"/>
      <c r="U36" s="2"/>
      <c r="V36" s="2"/>
      <c r="W36" s="2"/>
      <c r="X36" s="2"/>
      <c r="Y36" s="2"/>
      <c r="Z36" s="2"/>
      <c r="AA36" s="13"/>
      <c r="AB36" s="13"/>
      <c r="AC36" s="13"/>
      <c r="AD36" s="13"/>
      <c r="AE36" s="13"/>
      <c r="AF36" s="13"/>
      <c r="AG36" s="13"/>
      <c r="AH36" s="13"/>
    </row>
    <row r="37" spans="1:34" s="209" customFormat="1" ht="14.25" hidden="1" outlineLevel="2">
      <c r="A37" s="376" t="s">
        <v>741</v>
      </c>
      <c r="B37" s="813">
        <v>6.26</v>
      </c>
      <c r="C37" s="384" t="s">
        <v>755</v>
      </c>
      <c r="D37" s="1186"/>
      <c r="E37" s="1187"/>
      <c r="F37" s="1188"/>
      <c r="G37" s="2"/>
      <c r="H37" s="2"/>
      <c r="I37" s="2"/>
      <c r="J37" s="2"/>
      <c r="K37" s="2"/>
      <c r="L37" s="2"/>
      <c r="M37" s="2"/>
      <c r="N37" s="2"/>
      <c r="O37" s="2"/>
      <c r="P37" s="2"/>
      <c r="Q37" s="2"/>
      <c r="R37" s="2"/>
      <c r="S37" s="2"/>
      <c r="T37" s="2"/>
      <c r="U37" s="2"/>
      <c r="V37" s="2"/>
      <c r="W37" s="2"/>
      <c r="X37" s="2"/>
      <c r="Y37" s="2"/>
      <c r="Z37" s="2"/>
      <c r="AA37" s="13"/>
      <c r="AB37" s="13"/>
      <c r="AC37" s="13"/>
      <c r="AD37" s="13"/>
      <c r="AE37" s="13"/>
      <c r="AF37" s="13"/>
      <c r="AG37" s="13"/>
      <c r="AH37" s="13"/>
    </row>
    <row r="38" spans="1:34" s="209" customFormat="1" ht="14.25" hidden="1" outlineLevel="2">
      <c r="A38" s="376" t="s">
        <v>741</v>
      </c>
      <c r="B38" s="813">
        <v>3.85</v>
      </c>
      <c r="C38" s="384" t="s">
        <v>756</v>
      </c>
      <c r="D38" s="1189"/>
      <c r="E38" s="1190"/>
      <c r="F38" s="1191"/>
      <c r="G38" s="2"/>
      <c r="H38" s="2"/>
      <c r="I38" s="2"/>
      <c r="J38" s="2"/>
      <c r="K38" s="2"/>
      <c r="L38" s="2"/>
      <c r="M38" s="2"/>
      <c r="N38" s="2"/>
      <c r="O38" s="2"/>
      <c r="P38" s="2"/>
      <c r="Q38" s="2"/>
      <c r="R38" s="2"/>
      <c r="S38" s="2"/>
      <c r="T38" s="2"/>
      <c r="U38" s="2"/>
      <c r="V38" s="2"/>
      <c r="W38" s="2"/>
      <c r="X38" s="2"/>
      <c r="Y38" s="2"/>
      <c r="Z38" s="2"/>
      <c r="AA38" s="13"/>
      <c r="AB38" s="13"/>
      <c r="AC38" s="13"/>
      <c r="AD38" s="13"/>
      <c r="AE38" s="13"/>
      <c r="AF38" s="13"/>
      <c r="AG38" s="13"/>
      <c r="AH38" s="13"/>
    </row>
    <row r="39" spans="1:34" s="212" customFormat="1" hidden="1" outlineLevel="1" collapsed="1"/>
    <row r="40" spans="1:34" s="212" customFormat="1" ht="20.25" collapsed="1">
      <c r="A40" s="571" t="s">
        <v>631</v>
      </c>
      <c r="B40" s="572"/>
      <c r="C40" s="572"/>
      <c r="D40" s="572"/>
      <c r="E40" s="572"/>
      <c r="F40" s="573"/>
    </row>
    <row r="41" spans="1:34" s="209" customFormat="1" ht="15" customHeight="1" outlineLevel="1">
      <c r="A41" s="506" t="s">
        <v>582</v>
      </c>
      <c r="B41" s="507"/>
      <c r="C41" s="507"/>
      <c r="D41" s="507"/>
      <c r="E41" s="914"/>
      <c r="F41" s="508"/>
      <c r="G41" s="13"/>
      <c r="H41" s="13"/>
      <c r="I41" s="13"/>
      <c r="J41" s="13"/>
      <c r="K41" s="13"/>
      <c r="L41" s="13"/>
      <c r="M41" s="13"/>
      <c r="N41" s="13"/>
      <c r="O41" s="13"/>
      <c r="P41" s="13"/>
      <c r="Q41" s="13"/>
      <c r="R41" s="13"/>
      <c r="S41" s="13"/>
      <c r="T41" s="13"/>
      <c r="U41" s="13"/>
      <c r="V41" s="13"/>
      <c r="W41" s="13"/>
    </row>
    <row r="42" spans="1:34" s="209" customFormat="1" ht="27.75" customHeight="1" outlineLevel="2">
      <c r="A42" s="314" t="s">
        <v>41</v>
      </c>
      <c r="B42" s="315" t="s">
        <v>167</v>
      </c>
      <c r="C42" s="315" t="s">
        <v>1153</v>
      </c>
      <c r="D42" s="315" t="s">
        <v>1154</v>
      </c>
      <c r="E42" s="913" t="s">
        <v>1368</v>
      </c>
      <c r="F42" s="316" t="s">
        <v>1155</v>
      </c>
      <c r="G42" s="13"/>
      <c r="H42" s="13"/>
      <c r="I42" s="13"/>
      <c r="J42" s="13"/>
      <c r="K42" s="13"/>
      <c r="L42" s="13"/>
      <c r="M42" s="13"/>
      <c r="N42" s="13"/>
      <c r="O42" s="13"/>
      <c r="P42" s="13"/>
      <c r="Q42" s="13"/>
      <c r="R42" s="13"/>
      <c r="S42" s="13"/>
      <c r="T42" s="13"/>
      <c r="U42" s="13"/>
      <c r="V42" s="13"/>
      <c r="W42" s="13"/>
    </row>
    <row r="43" spans="1:34" outlineLevel="2">
      <c r="A43" s="329" t="s">
        <v>62</v>
      </c>
      <c r="B43" s="332">
        <f>'Stationary Energy Data'!$B$50+'Stationary Energy Data'!$B$51</f>
        <v>166913151</v>
      </c>
      <c r="C43" s="332">
        <f>(B43/(1-0.003))*100000/1028*0.02832*0.8*0.01/1000*0.003</f>
        <v>11.068958868012601</v>
      </c>
      <c r="D43" s="332">
        <f>($B$43/(1-0.003))*100000/1028*0.02832*0.8*0.934/1000*0.003</f>
        <v>1033.8407582723769</v>
      </c>
      <c r="E43" s="332">
        <v>0</v>
      </c>
      <c r="F43" s="332">
        <f>D43*'Conversion Factors and GWPs'!$C$14+C43</f>
        <v>28958.610190494568</v>
      </c>
      <c r="W43" s="13"/>
    </row>
    <row r="44" spans="1:34" outlineLevel="2">
      <c r="A44" s="329" t="s">
        <v>65</v>
      </c>
      <c r="B44" s="332">
        <f>'Stationary Energy Data'!$B$52+'Stationary Energy Data'!B53</f>
        <v>192514825</v>
      </c>
      <c r="C44" s="332">
        <f t="shared" ref="C44" si="0">(B44/(1-0.003))*100000/1028*0.02832*0.8*0.01/1000*0.003</f>
        <v>12.766751251419633</v>
      </c>
      <c r="D44" s="332">
        <f>($B$44/(1-0.003))*100000/1028*0.02832*0.8*0.934/1000*0.003</f>
        <v>1192.4145668825936</v>
      </c>
      <c r="E44" s="332">
        <v>0</v>
      </c>
      <c r="F44" s="332">
        <f>D44*'Conversion Factors and GWPs'!$C$14+C44</f>
        <v>33400.374623964039</v>
      </c>
      <c r="W44" s="13"/>
    </row>
    <row r="45" spans="1:34" outlineLevel="2">
      <c r="A45" s="333" t="s">
        <v>78</v>
      </c>
      <c r="B45" s="334">
        <f>SUM(B43:B44)</f>
        <v>359427976</v>
      </c>
      <c r="C45" s="334">
        <f>SUM(C43:C44)</f>
        <v>23.835710119432235</v>
      </c>
      <c r="D45" s="334">
        <f>SUM(D43:D44)</f>
        <v>2226.2553251549707</v>
      </c>
      <c r="E45" s="334">
        <f>SUM(E43:E44)</f>
        <v>0</v>
      </c>
      <c r="F45" s="334">
        <f>SUM(F43:F44)</f>
        <v>62358.984814458607</v>
      </c>
      <c r="W45" s="13"/>
    </row>
    <row r="46" spans="1:34" s="13" customFormat="1" ht="15" customHeight="1" outlineLevel="2"/>
    <row r="47" spans="1:34" s="13" customFormat="1" ht="15" customHeight="1" outlineLevel="1">
      <c r="A47" s="1180" t="s">
        <v>729</v>
      </c>
      <c r="B47" s="1181"/>
      <c r="C47" s="1181"/>
      <c r="D47" s="1181"/>
      <c r="E47" s="1181"/>
      <c r="F47" s="1182"/>
    </row>
    <row r="48" spans="1:34" s="13" customFormat="1" ht="14.25" outlineLevel="2">
      <c r="A48" s="1176" t="s">
        <v>41</v>
      </c>
      <c r="B48" s="1177"/>
      <c r="C48" s="591" t="s">
        <v>56</v>
      </c>
    </row>
    <row r="49" spans="1:6" s="13" customFormat="1" ht="12.75" outlineLevel="2">
      <c r="A49" s="1178" t="s">
        <v>1156</v>
      </c>
      <c r="B49" s="1179"/>
      <c r="C49" s="383">
        <v>0</v>
      </c>
    </row>
    <row r="50" spans="1:6" s="13" customFormat="1" ht="12.75" outlineLevel="2">
      <c r="A50" s="1175" t="s">
        <v>730</v>
      </c>
      <c r="B50" s="1175"/>
      <c r="C50" s="383">
        <v>0</v>
      </c>
    </row>
    <row r="51" spans="1:6" s="13" customFormat="1" ht="12.75" outlineLevel="2">
      <c r="A51" s="1175" t="s">
        <v>731</v>
      </c>
      <c r="B51" s="1175"/>
      <c r="C51" s="383">
        <v>0</v>
      </c>
    </row>
    <row r="52" spans="1:6" s="13" customFormat="1" ht="12.75" outlineLevel="2">
      <c r="A52" s="1175" t="s">
        <v>732</v>
      </c>
      <c r="B52" s="1175"/>
      <c r="C52" s="383">
        <v>0</v>
      </c>
    </row>
    <row r="53" spans="1:6" s="13" customFormat="1" ht="12.75" outlineLevel="2">
      <c r="A53" s="1175" t="s">
        <v>733</v>
      </c>
      <c r="B53" s="1175"/>
      <c r="C53" s="383">
        <v>0</v>
      </c>
    </row>
    <row r="54" spans="1:6" s="13" customFormat="1" ht="12.75" outlineLevel="2">
      <c r="A54" s="1175" t="s">
        <v>734</v>
      </c>
      <c r="B54" s="1175"/>
      <c r="C54" s="383">
        <v>0</v>
      </c>
    </row>
    <row r="55" spans="1:6" s="13" customFormat="1" ht="12.75" outlineLevel="2">
      <c r="A55" s="1175" t="s">
        <v>735</v>
      </c>
      <c r="B55" s="1175"/>
      <c r="C55" s="383">
        <v>0</v>
      </c>
    </row>
    <row r="56" spans="1:6" s="13" customFormat="1" ht="12.75" outlineLevel="2">
      <c r="A56" s="1175" t="s">
        <v>736</v>
      </c>
      <c r="B56" s="1175"/>
      <c r="C56" s="383">
        <v>1</v>
      </c>
    </row>
    <row r="57" spans="1:6" s="13" customFormat="1" ht="12.75" outlineLevel="2">
      <c r="A57" s="1175" t="s">
        <v>737</v>
      </c>
      <c r="B57" s="1175"/>
      <c r="C57" s="383">
        <v>0</v>
      </c>
    </row>
    <row r="58" spans="1:6" s="13" customFormat="1" ht="15" customHeight="1" outlineLevel="2"/>
    <row r="59" spans="1:6" s="13" customFormat="1" ht="15.75" outlineLevel="1">
      <c r="A59" s="978" t="s">
        <v>738</v>
      </c>
      <c r="B59" s="979"/>
      <c r="C59" s="979"/>
      <c r="D59" s="979"/>
      <c r="E59" s="979"/>
      <c r="F59" s="983"/>
    </row>
    <row r="60" spans="1:6" s="13" customFormat="1" ht="33" outlineLevel="2">
      <c r="A60" s="980" t="s">
        <v>41</v>
      </c>
      <c r="B60" s="981" t="s">
        <v>1154</v>
      </c>
      <c r="C60" s="982" t="s">
        <v>1155</v>
      </c>
    </row>
    <row r="61" spans="1:6" s="13" customFormat="1" ht="12.75" outlineLevel="2">
      <c r="A61" s="381" t="s">
        <v>1160</v>
      </c>
      <c r="B61" s="387">
        <f>C50*$B$19</f>
        <v>0</v>
      </c>
      <c r="C61" s="387">
        <f>B61*'Conversion Factors and GWPs'!$C$14</f>
        <v>0</v>
      </c>
    </row>
    <row r="62" spans="1:6" s="13" customFormat="1" ht="12.75" outlineLevel="2">
      <c r="A62" s="381" t="s">
        <v>1161</v>
      </c>
      <c r="B62" s="984">
        <f>(C51*$B$23)+(C53*$B$24)+(C52*$B$26)+(C55*$B$25)+(C54*$B$27)+(C56*$B$28)</f>
        <v>964.2</v>
      </c>
      <c r="C62" s="387">
        <f>B62*'Conversion Factors and GWPs'!$C$14</f>
        <v>26997.600000000002</v>
      </c>
    </row>
    <row r="63" spans="1:6" s="13" customFormat="1" ht="12.75" outlineLevel="2">
      <c r="A63" s="381" t="s">
        <v>1162</v>
      </c>
      <c r="B63" s="387">
        <f>C57*B32</f>
        <v>0</v>
      </c>
      <c r="C63" s="387">
        <f>B63*'Conversion Factors and GWPs'!$C$14</f>
        <v>0</v>
      </c>
    </row>
    <row r="64" spans="1:6" s="13" customFormat="1" ht="12.75" outlineLevel="2">
      <c r="A64" s="382" t="s">
        <v>78</v>
      </c>
      <c r="B64" s="388">
        <f>SUM(B61:B63)</f>
        <v>964.2</v>
      </c>
      <c r="C64" s="388">
        <f>SUM(C61:C63)</f>
        <v>26997.600000000002</v>
      </c>
    </row>
    <row r="65" spans="1:6" s="13" customFormat="1" ht="12.75" outlineLevel="2"/>
    <row r="66" spans="1:6" s="13" customFormat="1" ht="15.75" outlineLevel="1">
      <c r="A66" s="978" t="s">
        <v>739</v>
      </c>
      <c r="B66" s="979"/>
      <c r="C66" s="979"/>
      <c r="D66" s="979"/>
      <c r="E66" s="979"/>
      <c r="F66" s="983"/>
    </row>
    <row r="67" spans="1:6" s="13" customFormat="1" ht="33" outlineLevel="2">
      <c r="A67" s="980" t="s">
        <v>41</v>
      </c>
      <c r="B67" s="981" t="s">
        <v>1154</v>
      </c>
      <c r="C67" s="982" t="s">
        <v>1155</v>
      </c>
    </row>
    <row r="68" spans="1:6" s="13" customFormat="1" ht="12.75" outlineLevel="2">
      <c r="A68" s="381" t="s">
        <v>1157</v>
      </c>
      <c r="B68" s="387">
        <f>($C$49/1000)*$B$36/'Conversion Factors and GWPs'!$A$7</f>
        <v>0</v>
      </c>
      <c r="C68" s="387">
        <f>B68*'Conversion Factors and GWPs'!$C$14</f>
        <v>0</v>
      </c>
    </row>
    <row r="69" spans="1:6" s="13" customFormat="1" ht="12.75" outlineLevel="2">
      <c r="A69" s="381" t="s">
        <v>1158</v>
      </c>
      <c r="B69" s="387">
        <f>($C$49/1000)*$B$37/'Conversion Factors and GWPs'!$A$7</f>
        <v>0</v>
      </c>
      <c r="C69" s="387">
        <f>B69*'Conversion Factors and GWPs'!$C$14</f>
        <v>0</v>
      </c>
    </row>
    <row r="70" spans="1:6" s="13" customFormat="1" ht="12.75" outlineLevel="2">
      <c r="A70" s="381" t="s">
        <v>1159</v>
      </c>
      <c r="B70" s="387">
        <f>(($C$49/1000)*$B$38/'Conversion Factors and GWPs'!$A$7)</f>
        <v>0</v>
      </c>
      <c r="C70" s="387">
        <f>B70*'Conversion Factors and GWPs'!$C$14</f>
        <v>0</v>
      </c>
    </row>
    <row r="71" spans="1:6" s="13" customFormat="1" ht="12.75" outlineLevel="2">
      <c r="A71" s="382" t="s">
        <v>78</v>
      </c>
      <c r="B71" s="388">
        <f>SUM(B68:B70)</f>
        <v>0</v>
      </c>
      <c r="C71" s="388">
        <f>SUM(C68:C70)</f>
        <v>0</v>
      </c>
    </row>
    <row r="72" spans="1:6" s="13" customFormat="1" ht="12.75" outlineLevel="1"/>
    <row r="73" spans="1:6" s="13" customFormat="1" ht="12.75"/>
    <row r="74" spans="1:6" s="13" customFormat="1" ht="12.75"/>
    <row r="75" spans="1:6" s="13" customFormat="1" ht="12.75"/>
    <row r="76" spans="1:6" s="13" customFormat="1" ht="12.75"/>
    <row r="77" spans="1:6" s="13" customFormat="1" ht="12.75"/>
    <row r="78" spans="1:6" s="13" customFormat="1" ht="12.75"/>
    <row r="79" spans="1:6" s="13" customFormat="1" ht="12.75"/>
    <row r="80" spans="1:6" s="13" customFormat="1" ht="12.75"/>
    <row r="81" s="13" customFormat="1" ht="12.75"/>
    <row r="82" s="13" customFormat="1" ht="12.75"/>
    <row r="83" s="13" customFormat="1" ht="12.75"/>
    <row r="84" s="13" customFormat="1" ht="12.75"/>
    <row r="85" s="13" customFormat="1" ht="12.75"/>
    <row r="86" s="13" customFormat="1" ht="12.75"/>
    <row r="87" s="13" customFormat="1" ht="12.75"/>
    <row r="88" s="13" customFormat="1" ht="12.75"/>
    <row r="89" s="13" customFormat="1" ht="12.75"/>
    <row r="90" s="13" customFormat="1" ht="12.75"/>
    <row r="91" s="13" customFormat="1" ht="12.75"/>
    <row r="92" s="13" customFormat="1" ht="12.75"/>
    <row r="93" s="13" customFormat="1" ht="12.75"/>
    <row r="94" s="13" customFormat="1" ht="12.75"/>
    <row r="95" s="13" customFormat="1" ht="12.75"/>
    <row r="96" s="13" customFormat="1" ht="12.75"/>
    <row r="97" s="13" customFormat="1" ht="12.75"/>
    <row r="98" s="13" customFormat="1" ht="12.75"/>
    <row r="99" s="13" customFormat="1" ht="12.75"/>
    <row r="100" s="13" customFormat="1" ht="12.75"/>
    <row r="101" s="13" customFormat="1" ht="12.75"/>
    <row r="102" s="13" customFormat="1" ht="12.75"/>
    <row r="103" s="13" customFormat="1" ht="12.75"/>
    <row r="104" s="13" customFormat="1" ht="12.75"/>
    <row r="105" s="13" customFormat="1" ht="12.75"/>
    <row r="106" s="13" customFormat="1" ht="12.75"/>
    <row r="107" s="13" customFormat="1" ht="12.75"/>
    <row r="108" s="13" customFormat="1" ht="12.75"/>
    <row r="109" s="13" customFormat="1" ht="12.75"/>
    <row r="110" s="13" customFormat="1" ht="12.75"/>
    <row r="111" s="13" customFormat="1" ht="12.75"/>
    <row r="112" s="13" customFormat="1" ht="12.75"/>
    <row r="113" s="13" customFormat="1" ht="12.75"/>
    <row r="114" s="13" customFormat="1" ht="12.75"/>
    <row r="115" s="13" customFormat="1" ht="12.75"/>
    <row r="116" s="13" customFormat="1" ht="12.75"/>
    <row r="117" s="13" customFormat="1" ht="12.75"/>
    <row r="118" s="13" customFormat="1" ht="12.75"/>
    <row r="119" s="13" customFormat="1" ht="12.75"/>
    <row r="120" s="13" customFormat="1" ht="12.75"/>
    <row r="121" s="13" customFormat="1" ht="12.75"/>
    <row r="122" s="13" customFormat="1" ht="12.75"/>
    <row r="123" s="13" customFormat="1" ht="12.75"/>
    <row r="124" s="13" customFormat="1" ht="12.75"/>
    <row r="125" s="13" customFormat="1" ht="12.75"/>
    <row r="126" s="13" customFormat="1" ht="12.75"/>
    <row r="127" s="13" customFormat="1" ht="12.75"/>
    <row r="128" s="13" customFormat="1" ht="12.75"/>
    <row r="129" s="13" customFormat="1" ht="12.75"/>
    <row r="130" s="13" customFormat="1" ht="12.75"/>
    <row r="131" s="13" customFormat="1" ht="12.75"/>
    <row r="132" s="13" customFormat="1" ht="12.75"/>
    <row r="133" s="13" customFormat="1" ht="12.75"/>
    <row r="134" s="13" customFormat="1" ht="12.75"/>
    <row r="135" s="13" customFormat="1" ht="12.75"/>
    <row r="136" s="13" customFormat="1" ht="12.75"/>
    <row r="137" s="13" customFormat="1" ht="12.75"/>
    <row r="138" s="13" customFormat="1" ht="12.75"/>
    <row r="139" s="13" customFormat="1" ht="12.75"/>
    <row r="140" s="13" customFormat="1" ht="12.75"/>
    <row r="141" s="13" customFormat="1" ht="12.75"/>
    <row r="142" s="13" customFormat="1" ht="12.75"/>
    <row r="143" s="13" customFormat="1" ht="12.75"/>
    <row r="144" s="13" customFormat="1" ht="12.75"/>
    <row r="145" s="13" customFormat="1" ht="12.75"/>
    <row r="146" s="13" customFormat="1" ht="12.75"/>
    <row r="147" s="13" customFormat="1" ht="12.75"/>
    <row r="148" s="13" customFormat="1" ht="12.75"/>
    <row r="149" s="13" customFormat="1" ht="12.75"/>
    <row r="150" s="13" customFormat="1" ht="12.75"/>
    <row r="151" s="13" customFormat="1" ht="12.75"/>
    <row r="152" s="13" customFormat="1" ht="12.75"/>
    <row r="153" s="13" customFormat="1" ht="12.75"/>
    <row r="154" s="13" customFormat="1" ht="12.75"/>
    <row r="155" s="13" customFormat="1" ht="12.75"/>
    <row r="156" s="13" customFormat="1" ht="12.75"/>
    <row r="157" s="13" customFormat="1" ht="12.75"/>
    <row r="158" s="13" customFormat="1" ht="12.75"/>
    <row r="159" s="13" customFormat="1" ht="12.75"/>
    <row r="160" s="13" customFormat="1" ht="12.75"/>
    <row r="161" s="13" customFormat="1" ht="12.75"/>
    <row r="162" s="13" customFormat="1" ht="12.75"/>
    <row r="163" s="13" customFormat="1" ht="12.75"/>
    <row r="164" s="13" customFormat="1" ht="12.75"/>
    <row r="165" s="13" customFormat="1" ht="12.75"/>
    <row r="166" s="13" customFormat="1" ht="12.75"/>
    <row r="167" s="13" customFormat="1" ht="12.75"/>
    <row r="168" s="13" customFormat="1" ht="12.75"/>
    <row r="169" s="13" customFormat="1" ht="12.75"/>
    <row r="170" s="13" customFormat="1" ht="12.75"/>
    <row r="171" s="13" customFormat="1" ht="12.75"/>
    <row r="172" s="13" customFormat="1" ht="12.75"/>
    <row r="173" s="13" customFormat="1" ht="12.75"/>
    <row r="174" s="13" customFormat="1" ht="12.75"/>
    <row r="175" s="13" customFormat="1" ht="12.75"/>
    <row r="176" s="13" customFormat="1" ht="12.75"/>
    <row r="177" s="13" customFormat="1" ht="12.75"/>
    <row r="178" s="13" customFormat="1" ht="12.75"/>
    <row r="179" s="13" customFormat="1" ht="12.75"/>
    <row r="180" s="13" customFormat="1" ht="12.75"/>
    <row r="181" s="13" customFormat="1" ht="12.75"/>
    <row r="182" s="13" customFormat="1" ht="12.75"/>
    <row r="183" s="13" customFormat="1" ht="12.75"/>
    <row r="184" s="13" customFormat="1" ht="12.75"/>
    <row r="185" s="13" customFormat="1" ht="12.75"/>
    <row r="186" s="13" customFormat="1" ht="12.75"/>
    <row r="187" s="13" customFormat="1" ht="12.75"/>
    <row r="188" s="13" customFormat="1" ht="12.75"/>
    <row r="189" s="13" customFormat="1" ht="12.75"/>
    <row r="190" s="13" customFormat="1" ht="12.75"/>
    <row r="191" s="13" customFormat="1" ht="12.75"/>
    <row r="192" s="13" customFormat="1" ht="12.75"/>
    <row r="193" s="13" customFormat="1" ht="12.75"/>
    <row r="194" s="13" customFormat="1" ht="12.75"/>
    <row r="195" s="13" customFormat="1" ht="12.75"/>
    <row r="196" s="13" customFormat="1" ht="12.75"/>
    <row r="197" s="13" customFormat="1" ht="12.75"/>
    <row r="198" s="13" customFormat="1" ht="12.75"/>
    <row r="199" s="13" customFormat="1" ht="12.75"/>
    <row r="200" s="13" customFormat="1" ht="12.75"/>
    <row r="201" s="13" customFormat="1" ht="12.75"/>
    <row r="202" s="13" customFormat="1" ht="12.75"/>
    <row r="203" s="13" customFormat="1" ht="12.75"/>
    <row r="204" s="13" customFormat="1" ht="12.75"/>
    <row r="205" s="13" customFormat="1" ht="12.75"/>
    <row r="206" s="13" customFormat="1" ht="12.75"/>
    <row r="207" s="13" customFormat="1" ht="12.75"/>
    <row r="208" s="13" customFormat="1" ht="12.75"/>
    <row r="209" s="13" customFormat="1" ht="12.75"/>
    <row r="210" s="13" customFormat="1" ht="12.75"/>
    <row r="211" s="13" customFormat="1" ht="12.75"/>
    <row r="212" s="13" customFormat="1" ht="12.75"/>
    <row r="213" s="13" customFormat="1" ht="12.75"/>
    <row r="214" s="13" customFormat="1" ht="12.75"/>
    <row r="215" s="13" customFormat="1" ht="12.75"/>
    <row r="216" s="13" customFormat="1" ht="12.75"/>
    <row r="217" s="13" customFormat="1" ht="12.75"/>
    <row r="218" s="13" customFormat="1" ht="12.75"/>
    <row r="219" s="13" customFormat="1" ht="12.75"/>
    <row r="220" s="13" customFormat="1" ht="12.75"/>
    <row r="221" s="13" customFormat="1" ht="12.75"/>
    <row r="222" s="13" customFormat="1" ht="12.75"/>
    <row r="223" s="13" customFormat="1" ht="12.75"/>
    <row r="224" s="13" customFormat="1" ht="12.75"/>
    <row r="225" s="13" customFormat="1" ht="12.75"/>
    <row r="226" s="13" customFormat="1" ht="12.75"/>
    <row r="227" s="13" customFormat="1" ht="12.75"/>
    <row r="228" s="13" customFormat="1" ht="12.75"/>
    <row r="229" s="13" customFormat="1" ht="12.75"/>
    <row r="230" s="13" customFormat="1" ht="12.75"/>
    <row r="231" s="13" customFormat="1" ht="12.75"/>
    <row r="232" s="13" customFormat="1" ht="12.75"/>
    <row r="233" s="13" customFormat="1" ht="12.75"/>
    <row r="234" s="13" customFormat="1" ht="12.75"/>
    <row r="235" s="13" customFormat="1" ht="12.75"/>
    <row r="236" s="13" customFormat="1" ht="12.75"/>
    <row r="237" s="13" customFormat="1" ht="12.75"/>
    <row r="238" s="13" customFormat="1" ht="12.75"/>
    <row r="239" s="13" customFormat="1" ht="12.75"/>
    <row r="240" s="13" customFormat="1" ht="12.75"/>
    <row r="241" s="13" customFormat="1" ht="12.75"/>
    <row r="242" s="13" customFormat="1" ht="12.75"/>
    <row r="243" s="13" customFormat="1" ht="12.75"/>
    <row r="244" s="13" customFormat="1" ht="12.75"/>
    <row r="245" s="13" customFormat="1" ht="12.75"/>
    <row r="246" s="13" customFormat="1" ht="12.75"/>
    <row r="247" s="13" customFormat="1" ht="12.75"/>
    <row r="248" s="13" customFormat="1" ht="12.75"/>
    <row r="249" s="13" customFormat="1" ht="12.75"/>
    <row r="250" s="13" customFormat="1" ht="12.75"/>
    <row r="251" s="13" customFormat="1" ht="12.75"/>
    <row r="252" s="13" customFormat="1" ht="12.75"/>
    <row r="253" s="13" customFormat="1" ht="12.75"/>
    <row r="254" s="13" customFormat="1" ht="12.75"/>
    <row r="255" s="13" customFormat="1" ht="12.75"/>
    <row r="256" s="13" customFormat="1" ht="12.75"/>
    <row r="257" s="13" customFormat="1" ht="12.75"/>
    <row r="258" s="13" customFormat="1" ht="12.75"/>
    <row r="259" s="13" customFormat="1" ht="12.75"/>
    <row r="260" s="13" customFormat="1" ht="12.75"/>
    <row r="261" s="13" customFormat="1" ht="12.75"/>
    <row r="262" s="13" customFormat="1" ht="12.75"/>
    <row r="263" s="13" customFormat="1" ht="12.75"/>
    <row r="264" s="13" customFormat="1" ht="12.75"/>
    <row r="265" s="13" customFormat="1" ht="12.75"/>
    <row r="266" s="13" customFormat="1" ht="12.75"/>
    <row r="267" s="13" customFormat="1" ht="12.75"/>
    <row r="268" s="13" customFormat="1" ht="12.75"/>
    <row r="269" s="13" customFormat="1" ht="12.75"/>
    <row r="270" s="13" customFormat="1"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row r="1001" ht="12.75"/>
    <row r="1002" ht="12.75"/>
    <row r="1003" ht="12.75"/>
    <row r="1004" ht="12.75"/>
    <row r="1005" ht="12.75"/>
    <row r="1006" ht="12.75"/>
    <row r="1007" ht="12.75"/>
    <row r="1008" ht="12.75"/>
    <row r="1009" ht="12.75"/>
    <row r="1010" ht="12.75"/>
    <row r="1011" ht="12.75"/>
    <row r="1012" ht="12.75"/>
    <row r="1013" ht="12.75"/>
    <row r="1014" ht="12.75"/>
    <row r="1015" ht="12.75"/>
    <row r="1016" ht="12.75"/>
    <row r="1017" ht="12.75"/>
    <row r="1018" ht="12.75"/>
  </sheetData>
  <mergeCells count="27">
    <mergeCell ref="D31:F31"/>
    <mergeCell ref="D35:F35"/>
    <mergeCell ref="D36:F38"/>
    <mergeCell ref="D23:F28"/>
    <mergeCell ref="D32:F32"/>
    <mergeCell ref="A14:F14"/>
    <mergeCell ref="A15:F15"/>
    <mergeCell ref="D19:F19"/>
    <mergeCell ref="D18:F18"/>
    <mergeCell ref="A57:B57"/>
    <mergeCell ref="A52:B52"/>
    <mergeCell ref="A53:B53"/>
    <mergeCell ref="A54:B54"/>
    <mergeCell ref="A55:B55"/>
    <mergeCell ref="A56:B56"/>
    <mergeCell ref="A48:B48"/>
    <mergeCell ref="A49:B49"/>
    <mergeCell ref="A50:B50"/>
    <mergeCell ref="A51:B51"/>
    <mergeCell ref="A47:F47"/>
    <mergeCell ref="D22:F22"/>
    <mergeCell ref="A13:F13"/>
    <mergeCell ref="A8:F8"/>
    <mergeCell ref="A9:F9"/>
    <mergeCell ref="A10:F10"/>
    <mergeCell ref="A11:F11"/>
    <mergeCell ref="A12:F1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tabColor theme="3" tint="0.39997558519241921"/>
  </sheetPr>
  <dimension ref="A1:BD573"/>
  <sheetViews>
    <sheetView tabSelected="1" workbookViewId="0">
      <selection activeCell="A15" sqref="A15"/>
    </sheetView>
  </sheetViews>
  <sheetFormatPr defaultColWidth="11.125" defaultRowHeight="15" customHeight="1" outlineLevelRow="2"/>
  <cols>
    <col min="1" max="1" width="30.625" style="1" customWidth="1"/>
    <col min="2" max="2" width="16.625" style="1" customWidth="1"/>
    <col min="3" max="3" width="14.75" style="1" customWidth="1"/>
    <col min="4" max="4" width="17.25" style="1" customWidth="1"/>
    <col min="5" max="5" width="15.125" style="1" customWidth="1"/>
    <col min="6" max="15" width="14.125" style="1" customWidth="1"/>
    <col min="16" max="18" width="14.125" style="2" customWidth="1"/>
    <col min="19" max="19" width="13.125" style="2" customWidth="1"/>
    <col min="20" max="28" width="14.125" style="2" customWidth="1"/>
    <col min="29" max="31" width="11.125" style="2"/>
    <col min="32" max="16384" width="11.125" style="1"/>
  </cols>
  <sheetData>
    <row r="1" spans="1:56" s="212" customFormat="1" ht="24" customHeight="1">
      <c r="A1" s="210" t="s">
        <v>185</v>
      </c>
      <c r="B1" s="210"/>
      <c r="C1" s="210"/>
      <c r="D1" s="210"/>
      <c r="E1" s="210"/>
      <c r="F1" s="210"/>
      <c r="G1" s="210"/>
      <c r="H1" s="210"/>
      <c r="I1" s="210"/>
      <c r="J1" s="210"/>
      <c r="K1" s="225"/>
      <c r="L1" s="225"/>
      <c r="M1" s="225"/>
      <c r="N1" s="225"/>
      <c r="O1" s="225"/>
      <c r="P1" s="225"/>
      <c r="Q1" s="225"/>
      <c r="R1" s="225"/>
      <c r="S1" s="225"/>
      <c r="T1" s="221"/>
      <c r="U1" s="605"/>
      <c r="V1" s="605"/>
      <c r="W1" s="605"/>
      <c r="X1" s="605"/>
      <c r="Y1" s="605"/>
      <c r="Z1" s="605"/>
      <c r="AA1" s="605"/>
      <c r="AB1" s="605"/>
      <c r="AC1" s="605"/>
      <c r="AD1" s="605"/>
      <c r="AE1" s="605"/>
    </row>
    <row r="2" spans="1:56" s="212" customFormat="1" ht="20.25">
      <c r="A2" s="1197" t="s">
        <v>414</v>
      </c>
      <c r="B2" s="1198"/>
      <c r="C2" s="1198"/>
      <c r="D2" s="1198"/>
      <c r="E2" s="1198"/>
      <c r="F2" s="1198"/>
      <c r="G2" s="1198"/>
      <c r="H2" s="1198"/>
      <c r="I2" s="1198"/>
      <c r="J2" s="1198"/>
      <c r="K2" s="572"/>
      <c r="L2" s="572"/>
      <c r="M2" s="572"/>
      <c r="N2" s="572"/>
      <c r="O2" s="572"/>
      <c r="P2" s="572"/>
      <c r="Q2" s="572"/>
      <c r="R2" s="572"/>
      <c r="S2" s="573"/>
      <c r="T2" s="606"/>
      <c r="U2" s="605"/>
      <c r="V2" s="605"/>
      <c r="W2" s="605"/>
      <c r="X2" s="605"/>
      <c r="Y2" s="605"/>
      <c r="Z2" s="605"/>
      <c r="AA2" s="605"/>
      <c r="AB2" s="605"/>
      <c r="AC2" s="605"/>
      <c r="AD2" s="605"/>
      <c r="AE2" s="605"/>
    </row>
    <row r="3" spans="1:56" s="2" customFormat="1" outlineLevel="1">
      <c r="A3" s="511" t="s">
        <v>64</v>
      </c>
      <c r="B3" s="518">
        <f>S54</f>
        <v>2665150.1214225525</v>
      </c>
      <c r="C3" s="37"/>
      <c r="D3" s="37"/>
      <c r="E3" s="37"/>
      <c r="F3" s="37"/>
      <c r="G3" s="37"/>
      <c r="H3" s="37"/>
      <c r="I3" s="37"/>
      <c r="J3" s="37"/>
      <c r="K3" s="37"/>
      <c r="L3" s="37"/>
      <c r="M3" s="37"/>
      <c r="N3" s="37"/>
      <c r="O3" s="52"/>
      <c r="P3" s="52"/>
      <c r="Q3" s="52"/>
      <c r="R3" s="52"/>
      <c r="S3" s="52"/>
      <c r="T3" s="52"/>
      <c r="U3" s="52"/>
      <c r="V3" s="52"/>
      <c r="W3" s="52"/>
      <c r="X3" s="52"/>
      <c r="Y3" s="52"/>
      <c r="Z3" s="52"/>
      <c r="AA3" s="52"/>
      <c r="AB3" s="73"/>
      <c r="AC3" s="73"/>
      <c r="AD3" s="73"/>
      <c r="AE3" s="73"/>
      <c r="AF3" s="73"/>
      <c r="AG3" s="73"/>
      <c r="AH3" s="73"/>
      <c r="AI3" s="73"/>
      <c r="AJ3" s="73"/>
      <c r="AK3" s="73"/>
      <c r="AL3" s="73"/>
      <c r="AM3" s="73"/>
      <c r="AN3" s="73"/>
      <c r="AO3" s="73"/>
      <c r="AP3" s="73"/>
      <c r="AQ3" s="73"/>
      <c r="AR3" s="73"/>
      <c r="AS3" s="73"/>
      <c r="AT3" s="73"/>
      <c r="AU3" s="73"/>
      <c r="AV3" s="73"/>
      <c r="AW3" s="73"/>
      <c r="AX3" s="73"/>
      <c r="AY3" s="73"/>
      <c r="AZ3" s="73"/>
      <c r="BA3" s="73"/>
      <c r="BB3" s="73"/>
      <c r="BC3" s="73"/>
      <c r="BD3" s="73"/>
    </row>
    <row r="4" spans="1:56" s="2" customFormat="1" outlineLevel="1">
      <c r="A4" s="290" t="s">
        <v>66</v>
      </c>
      <c r="B4" s="291">
        <f>E88</f>
        <v>4897.9450459217469</v>
      </c>
      <c r="C4" s="192"/>
      <c r="D4" s="192"/>
      <c r="E4" s="192"/>
      <c r="F4" s="192"/>
      <c r="G4" s="192"/>
      <c r="H4" s="192"/>
      <c r="I4" s="37"/>
      <c r="J4" s="37"/>
      <c r="K4" s="37"/>
      <c r="L4" s="37"/>
      <c r="M4" s="37"/>
      <c r="N4" s="37"/>
      <c r="O4" s="52"/>
      <c r="P4" s="52"/>
      <c r="Q4" s="52"/>
      <c r="R4" s="52"/>
      <c r="S4" s="52"/>
      <c r="T4" s="52"/>
      <c r="U4" s="52"/>
      <c r="V4" s="52"/>
      <c r="W4" s="52"/>
      <c r="X4" s="52"/>
      <c r="Y4" s="52"/>
      <c r="Z4" s="52"/>
      <c r="AA4" s="52"/>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row>
    <row r="5" spans="1:56" s="2" customFormat="1" outlineLevel="1">
      <c r="A5" s="288" t="s">
        <v>67</v>
      </c>
      <c r="B5" s="291" t="s">
        <v>63</v>
      </c>
      <c r="C5" s="39"/>
      <c r="D5" s="39"/>
      <c r="E5" s="39"/>
      <c r="F5" s="39"/>
      <c r="G5" s="39"/>
      <c r="H5" s="39"/>
      <c r="I5" s="39"/>
      <c r="J5" s="39"/>
      <c r="K5" s="39"/>
      <c r="L5" s="39"/>
      <c r="M5" s="39"/>
      <c r="N5" s="52"/>
      <c r="O5" s="52"/>
      <c r="P5" s="52"/>
      <c r="Q5" s="52"/>
      <c r="R5" s="52"/>
      <c r="S5" s="52"/>
      <c r="T5" s="52"/>
      <c r="U5" s="52"/>
      <c r="V5" s="52"/>
      <c r="W5" s="52"/>
      <c r="X5" s="52"/>
      <c r="Y5" s="52"/>
      <c r="Z5" s="52"/>
      <c r="AA5" s="52"/>
      <c r="AB5" s="73"/>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3"/>
      <c r="BD5" s="73"/>
    </row>
    <row r="6" spans="1:56" s="2" customFormat="1" outlineLevel="1">
      <c r="A6" s="292" t="s">
        <v>78</v>
      </c>
      <c r="B6" s="293">
        <f>SUM(B3:B5)</f>
        <v>2670048.0664684745</v>
      </c>
      <c r="C6" s="39"/>
      <c r="D6" s="39"/>
      <c r="E6" s="39"/>
      <c r="F6" s="39"/>
      <c r="G6" s="39"/>
      <c r="H6" s="39"/>
      <c r="I6" s="39"/>
      <c r="J6" s="39"/>
      <c r="K6" s="39"/>
      <c r="L6" s="39"/>
      <c r="M6" s="39"/>
      <c r="N6" s="52"/>
      <c r="O6" s="52"/>
      <c r="P6" s="52"/>
      <c r="Q6" s="52"/>
      <c r="R6" s="52"/>
      <c r="S6" s="52"/>
      <c r="T6" s="52"/>
      <c r="U6" s="52"/>
      <c r="V6" s="52"/>
      <c r="W6" s="52"/>
      <c r="X6" s="52"/>
      <c r="Y6" s="52"/>
      <c r="Z6" s="52"/>
      <c r="AA6" s="52"/>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row>
    <row r="7" spans="1:56" s="212" customFormat="1" ht="16.149999999999999" customHeight="1">
      <c r="A7" s="1101" t="s">
        <v>630</v>
      </c>
      <c r="B7" s="1102"/>
      <c r="C7" s="1102"/>
      <c r="D7" s="1102"/>
      <c r="E7" s="1102"/>
      <c r="F7" s="1102"/>
      <c r="G7" s="1102"/>
      <c r="H7" s="1102"/>
      <c r="I7" s="1102"/>
      <c r="J7" s="1102"/>
      <c r="K7" s="572"/>
      <c r="L7" s="572"/>
      <c r="M7" s="572"/>
      <c r="N7" s="572"/>
      <c r="O7" s="572"/>
      <c r="P7" s="572"/>
      <c r="Q7" s="572"/>
      <c r="R7" s="572"/>
      <c r="S7" s="573"/>
      <c r="T7" s="606"/>
      <c r="U7" s="605"/>
      <c r="V7" s="605"/>
      <c r="W7" s="605"/>
      <c r="X7" s="605"/>
      <c r="Y7" s="605"/>
      <c r="Z7" s="605"/>
      <c r="AA7" s="605"/>
      <c r="AB7" s="605"/>
      <c r="AC7" s="605"/>
      <c r="AD7" s="605"/>
      <c r="AE7" s="605"/>
    </row>
    <row r="8" spans="1:56" s="2" customFormat="1" ht="49.15" customHeight="1" outlineLevel="1">
      <c r="A8" s="1207" t="s">
        <v>1377</v>
      </c>
      <c r="B8" s="1207"/>
      <c r="C8" s="1207"/>
      <c r="D8" s="1207"/>
      <c r="E8" s="1207"/>
      <c r="F8" s="1207"/>
      <c r="G8" s="1207"/>
      <c r="H8" s="1207"/>
      <c r="I8" s="1207"/>
      <c r="J8" s="1207"/>
      <c r="K8" s="1207"/>
      <c r="L8" s="1207"/>
      <c r="M8" s="1207"/>
      <c r="N8" s="1207"/>
      <c r="O8" s="52"/>
      <c r="P8" s="52"/>
      <c r="Q8" s="52"/>
      <c r="R8" s="52"/>
      <c r="S8" s="52"/>
      <c r="T8" s="52"/>
      <c r="U8" s="52"/>
      <c r="V8" s="52"/>
      <c r="W8" s="52"/>
      <c r="X8" s="52"/>
      <c r="Y8" s="52"/>
      <c r="Z8" s="52"/>
      <c r="AA8" s="52"/>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row>
    <row r="9" spans="1:56" s="2" customFormat="1" ht="17.25" customHeight="1" outlineLevel="1">
      <c r="A9" s="1207" t="s">
        <v>765</v>
      </c>
      <c r="B9" s="1207"/>
      <c r="C9" s="1207"/>
      <c r="D9" s="1207"/>
      <c r="E9" s="1207"/>
      <c r="F9" s="1207"/>
      <c r="G9" s="1207"/>
      <c r="H9" s="1207"/>
      <c r="I9" s="455"/>
      <c r="J9" s="455"/>
      <c r="K9" s="455"/>
      <c r="L9" s="455"/>
      <c r="M9" s="455"/>
      <c r="N9" s="455"/>
      <c r="O9" s="52"/>
      <c r="P9" s="52"/>
      <c r="Q9" s="52"/>
      <c r="R9" s="52"/>
      <c r="S9" s="52"/>
      <c r="T9" s="52"/>
      <c r="U9" s="52"/>
      <c r="V9" s="52"/>
      <c r="W9" s="52"/>
      <c r="X9" s="52"/>
      <c r="Y9" s="52"/>
      <c r="Z9" s="52"/>
      <c r="AA9" s="52"/>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row>
    <row r="10" spans="1:56" s="2" customFormat="1" ht="17.25" customHeight="1" outlineLevel="1">
      <c r="A10" s="419" t="s">
        <v>766</v>
      </c>
      <c r="B10" s="407"/>
      <c r="C10" s="407"/>
      <c r="D10" s="407"/>
      <c r="E10" s="407"/>
      <c r="F10" s="407"/>
      <c r="G10" s="407"/>
      <c r="H10" s="407"/>
      <c r="I10" s="455"/>
      <c r="J10" s="455"/>
      <c r="K10" s="455"/>
      <c r="L10" s="455"/>
      <c r="M10" s="455"/>
      <c r="N10" s="455"/>
      <c r="O10" s="52"/>
      <c r="P10" s="52"/>
      <c r="Q10" s="52"/>
      <c r="R10" s="52"/>
      <c r="S10" s="52"/>
      <c r="T10" s="52"/>
      <c r="U10" s="52"/>
      <c r="V10" s="52"/>
      <c r="W10" s="52"/>
      <c r="X10" s="52"/>
      <c r="Y10" s="52"/>
      <c r="Z10" s="52"/>
      <c r="AA10" s="52"/>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row>
    <row r="11" spans="1:56" s="2" customFormat="1" ht="17.25" customHeight="1" outlineLevel="1">
      <c r="A11" s="419" t="s">
        <v>951</v>
      </c>
      <c r="B11" s="407"/>
      <c r="C11" s="407"/>
      <c r="D11" s="407"/>
      <c r="E11" s="407"/>
      <c r="F11" s="407"/>
      <c r="G11" s="407"/>
      <c r="H11" s="407"/>
      <c r="I11" s="455"/>
      <c r="J11" s="455"/>
      <c r="K11" s="455"/>
      <c r="L11" s="455"/>
      <c r="M11" s="455"/>
      <c r="N11" s="455"/>
      <c r="O11" s="52"/>
      <c r="P11" s="52"/>
      <c r="Q11" s="52"/>
      <c r="R11" s="52"/>
      <c r="S11" s="52"/>
      <c r="T11" s="52"/>
      <c r="U11" s="52"/>
      <c r="V11" s="52"/>
      <c r="W11" s="52"/>
      <c r="X11" s="52"/>
      <c r="Y11" s="52"/>
      <c r="Z11" s="52"/>
      <c r="AA11" s="52"/>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row>
    <row r="12" spans="1:56" s="2" customFormat="1" ht="17.25" customHeight="1" outlineLevel="1">
      <c r="A12" s="419" t="s">
        <v>1324</v>
      </c>
      <c r="B12" s="407"/>
      <c r="C12" s="407"/>
      <c r="D12" s="407"/>
      <c r="E12" s="407"/>
      <c r="F12" s="407"/>
      <c r="G12" s="407"/>
      <c r="H12" s="407"/>
      <c r="I12" s="455"/>
      <c r="J12" s="455"/>
      <c r="K12" s="455"/>
      <c r="L12" s="455"/>
      <c r="M12" s="455"/>
      <c r="N12" s="455"/>
      <c r="O12" s="52"/>
      <c r="P12" s="52"/>
      <c r="Q12" s="52"/>
      <c r="R12" s="52"/>
      <c r="S12" s="52"/>
      <c r="T12" s="52"/>
      <c r="U12" s="52"/>
      <c r="V12" s="52"/>
      <c r="W12" s="52"/>
      <c r="X12" s="52"/>
      <c r="Y12" s="52"/>
      <c r="Z12" s="52"/>
      <c r="AA12" s="52"/>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row>
    <row r="13" spans="1:56" s="457" customFormat="1" ht="27" customHeight="1" outlineLevel="1">
      <c r="A13" s="1207" t="s">
        <v>1163</v>
      </c>
      <c r="B13" s="1207"/>
      <c r="C13" s="1207"/>
      <c r="D13" s="1207"/>
      <c r="E13" s="1207"/>
      <c r="F13" s="1207"/>
      <c r="G13" s="1207"/>
      <c r="H13" s="1207"/>
      <c r="I13" s="1207"/>
      <c r="J13" s="1207"/>
      <c r="K13" s="1207"/>
      <c r="L13" s="1207"/>
      <c r="M13" s="1207"/>
      <c r="N13" s="1207"/>
      <c r="P13" s="458"/>
      <c r="Q13" s="458"/>
      <c r="R13" s="458"/>
      <c r="S13" s="458"/>
      <c r="T13" s="458"/>
      <c r="U13" s="458"/>
      <c r="V13" s="458"/>
      <c r="W13" s="458"/>
      <c r="X13" s="458"/>
      <c r="Y13" s="458"/>
      <c r="Z13" s="458"/>
      <c r="AA13" s="458"/>
      <c r="AB13" s="458"/>
      <c r="AC13" s="458"/>
      <c r="AD13" s="458"/>
      <c r="AE13" s="458"/>
    </row>
    <row r="14" spans="1:56" s="457" customFormat="1" ht="18.75" customHeight="1" outlineLevel="1">
      <c r="A14" s="1207" t="s">
        <v>1165</v>
      </c>
      <c r="B14" s="1207"/>
      <c r="C14" s="1207"/>
      <c r="D14" s="1207"/>
      <c r="E14" s="1207"/>
      <c r="F14" s="1207"/>
      <c r="G14" s="1207"/>
      <c r="H14" s="1207"/>
      <c r="I14" s="1207"/>
      <c r="J14" s="1207"/>
      <c r="K14" s="1207"/>
      <c r="L14" s="1207"/>
      <c r="M14" s="1207"/>
      <c r="N14" s="1207"/>
      <c r="O14" s="458"/>
      <c r="P14" s="458"/>
      <c r="Q14" s="458"/>
      <c r="R14" s="458"/>
      <c r="S14" s="458"/>
      <c r="T14" s="458"/>
      <c r="U14" s="458"/>
      <c r="V14" s="458"/>
      <c r="W14" s="458"/>
      <c r="X14" s="458"/>
      <c r="Y14" s="458"/>
      <c r="Z14" s="458"/>
      <c r="AA14" s="458"/>
      <c r="AB14" s="458"/>
      <c r="AC14" s="458"/>
      <c r="AD14" s="458"/>
      <c r="AE14" s="458"/>
    </row>
    <row r="15" spans="1:56" s="457" customFormat="1" ht="18.75" customHeight="1" outlineLevel="1">
      <c r="A15" s="456" t="s">
        <v>1164</v>
      </c>
      <c r="B15" s="456"/>
      <c r="C15" s="456"/>
      <c r="D15" s="456"/>
      <c r="E15" s="456"/>
      <c r="F15" s="456"/>
      <c r="G15" s="456"/>
      <c r="H15" s="456"/>
      <c r="I15" s="456"/>
      <c r="J15" s="456"/>
      <c r="K15" s="458"/>
      <c r="L15" s="458"/>
      <c r="M15" s="458"/>
      <c r="N15" s="458"/>
      <c r="O15" s="458"/>
      <c r="P15" s="458"/>
      <c r="Q15" s="458"/>
      <c r="R15" s="458"/>
      <c r="S15" s="458"/>
      <c r="T15" s="458"/>
      <c r="U15" s="458"/>
      <c r="V15" s="458"/>
      <c r="W15" s="458"/>
      <c r="X15" s="458"/>
      <c r="Y15" s="458"/>
      <c r="Z15" s="458"/>
      <c r="AA15" s="458"/>
      <c r="AB15" s="458"/>
      <c r="AC15" s="458"/>
      <c r="AD15" s="458"/>
      <c r="AE15" s="458"/>
    </row>
    <row r="16" spans="1:56" s="212" customFormat="1" ht="16.149999999999999" customHeight="1">
      <c r="A16" s="571" t="s">
        <v>0</v>
      </c>
      <c r="B16" s="572"/>
      <c r="C16" s="572"/>
      <c r="D16" s="572"/>
      <c r="E16" s="572"/>
      <c r="F16" s="572"/>
      <c r="G16" s="572"/>
      <c r="H16" s="572"/>
      <c r="I16" s="572"/>
      <c r="J16" s="572"/>
      <c r="K16" s="572"/>
      <c r="L16" s="572"/>
      <c r="M16" s="572"/>
      <c r="N16" s="572"/>
      <c r="O16" s="572"/>
      <c r="P16" s="572"/>
      <c r="Q16" s="572"/>
      <c r="R16" s="572"/>
      <c r="S16" s="573"/>
      <c r="T16" s="606"/>
      <c r="U16" s="605"/>
      <c r="V16" s="605"/>
      <c r="W16" s="605"/>
      <c r="X16" s="605"/>
      <c r="Y16" s="605"/>
      <c r="Z16" s="605"/>
      <c r="AA16" s="605"/>
      <c r="AB16" s="605"/>
      <c r="AC16" s="605"/>
      <c r="AD16" s="605"/>
      <c r="AE16" s="605"/>
    </row>
    <row r="17" spans="1:34" s="14" customFormat="1" ht="15.75" hidden="1" outlineLevel="1">
      <c r="A17" s="520" t="s">
        <v>81</v>
      </c>
      <c r="B17" s="521"/>
      <c r="C17" s="521"/>
      <c r="D17" s="521"/>
      <c r="E17" s="521"/>
      <c r="F17" s="521"/>
      <c r="G17" s="521"/>
      <c r="H17" s="521"/>
      <c r="I17" s="521"/>
      <c r="J17" s="522"/>
      <c r="K17" s="54"/>
      <c r="L17" s="54"/>
      <c r="M17" s="54"/>
      <c r="N17" s="54"/>
      <c r="O17" s="54"/>
      <c r="P17" s="54"/>
      <c r="Q17" s="52"/>
      <c r="R17" s="52"/>
      <c r="S17" s="52"/>
      <c r="T17" s="52"/>
      <c r="U17" s="52"/>
      <c r="V17" s="52"/>
      <c r="W17" s="52"/>
      <c r="X17" s="52"/>
      <c r="Y17" s="52"/>
      <c r="Z17" s="52"/>
      <c r="AA17" s="13"/>
      <c r="AB17" s="13"/>
      <c r="AC17" s="13"/>
      <c r="AD17" s="13"/>
      <c r="AE17" s="13"/>
      <c r="AF17" s="13"/>
      <c r="AG17" s="13"/>
      <c r="AH17" s="13"/>
    </row>
    <row r="18" spans="1:34" s="14" customFormat="1" ht="14.25" hidden="1" outlineLevel="2">
      <c r="A18" s="563" t="s">
        <v>55</v>
      </c>
      <c r="B18" s="564" t="s">
        <v>83</v>
      </c>
      <c r="C18" s="564" t="s">
        <v>56</v>
      </c>
      <c r="D18" s="564" t="s">
        <v>57</v>
      </c>
      <c r="E18" s="1203" t="s">
        <v>41</v>
      </c>
      <c r="F18" s="1203"/>
      <c r="G18" s="1203"/>
      <c r="H18" s="1203"/>
      <c r="I18" s="1203"/>
      <c r="J18" s="1196"/>
      <c r="K18" s="54"/>
      <c r="L18" s="54"/>
      <c r="M18" s="54"/>
      <c r="N18" s="54"/>
      <c r="O18" s="54"/>
      <c r="P18" s="54"/>
      <c r="Q18" s="52"/>
      <c r="R18" s="52"/>
      <c r="S18" s="52"/>
      <c r="T18" s="52"/>
      <c r="U18" s="52"/>
      <c r="V18" s="52"/>
      <c r="W18" s="52"/>
      <c r="X18" s="52"/>
      <c r="Y18" s="52"/>
      <c r="Z18" s="52"/>
      <c r="AA18" s="13"/>
      <c r="AB18" s="13"/>
      <c r="AC18" s="13"/>
      <c r="AD18" s="13"/>
      <c r="AE18" s="13"/>
      <c r="AF18" s="13"/>
      <c r="AG18" s="13"/>
      <c r="AH18" s="13"/>
    </row>
    <row r="19" spans="1:34" s="14" customFormat="1" ht="15.4" hidden="1" customHeight="1" outlineLevel="2">
      <c r="A19" s="294" t="s">
        <v>649</v>
      </c>
      <c r="B19" s="286" t="s">
        <v>90</v>
      </c>
      <c r="C19" s="886">
        <f>8.78/'Conversion Factors and GWPs'!$A$7</f>
        <v>8.7799999999999996E-3</v>
      </c>
      <c r="D19" s="295" t="s">
        <v>651</v>
      </c>
      <c r="E19" s="1202" t="s">
        <v>1359</v>
      </c>
      <c r="F19" s="1202"/>
      <c r="G19" s="1202"/>
      <c r="H19" s="1202"/>
      <c r="I19" s="1202"/>
      <c r="J19" s="1202"/>
      <c r="K19" s="40"/>
      <c r="L19" s="40"/>
      <c r="M19" s="40"/>
      <c r="N19" s="54"/>
      <c r="O19" s="54"/>
      <c r="P19" s="54"/>
      <c r="Q19" s="52"/>
      <c r="R19" s="52"/>
      <c r="S19" s="52"/>
      <c r="T19" s="52"/>
      <c r="U19" s="52"/>
      <c r="V19" s="52"/>
      <c r="W19" s="52"/>
      <c r="X19" s="52"/>
      <c r="Y19" s="52"/>
      <c r="Z19" s="52"/>
      <c r="AA19" s="13"/>
      <c r="AB19" s="13"/>
      <c r="AC19" s="13"/>
      <c r="AD19" s="13"/>
      <c r="AE19" s="13"/>
      <c r="AF19" s="13"/>
      <c r="AG19" s="13"/>
      <c r="AH19" s="13"/>
    </row>
    <row r="20" spans="1:34" s="14" customFormat="1" ht="18" hidden="1" outlineLevel="2">
      <c r="A20" s="296" t="s">
        <v>521</v>
      </c>
      <c r="B20" s="287" t="s">
        <v>101</v>
      </c>
      <c r="C20" s="886">
        <v>1.7299999999999999E-2</v>
      </c>
      <c r="D20" s="294" t="s">
        <v>652</v>
      </c>
      <c r="E20" s="1202"/>
      <c r="F20" s="1202"/>
      <c r="G20" s="1202"/>
      <c r="H20" s="1202"/>
      <c r="I20" s="1202"/>
      <c r="J20" s="1202"/>
      <c r="K20" s="38"/>
      <c r="L20" s="38"/>
      <c r="M20" s="38"/>
      <c r="N20" s="54"/>
      <c r="O20" s="54"/>
      <c r="P20" s="54"/>
      <c r="Q20" s="52"/>
      <c r="R20" s="52"/>
      <c r="S20" s="52"/>
      <c r="T20" s="52"/>
      <c r="U20" s="52"/>
      <c r="V20" s="52"/>
      <c r="W20" s="52"/>
      <c r="X20" s="52"/>
      <c r="Y20" s="52"/>
      <c r="Z20" s="52"/>
      <c r="AA20" s="13"/>
      <c r="AB20" s="13"/>
      <c r="AC20" s="13"/>
      <c r="AD20" s="13"/>
      <c r="AE20" s="13"/>
      <c r="AF20" s="13"/>
      <c r="AG20" s="13"/>
      <c r="AH20" s="13"/>
    </row>
    <row r="21" spans="1:34" s="14" customFormat="1" ht="18" hidden="1" outlineLevel="2">
      <c r="A21" s="296" t="s">
        <v>521</v>
      </c>
      <c r="B21" s="287" t="s">
        <v>102</v>
      </c>
      <c r="C21" s="886">
        <v>1.6299999999999999E-2</v>
      </c>
      <c r="D21" s="294" t="s">
        <v>652</v>
      </c>
      <c r="E21" s="1202"/>
      <c r="F21" s="1202"/>
      <c r="G21" s="1202"/>
      <c r="H21" s="1202"/>
      <c r="I21" s="1202"/>
      <c r="J21" s="1202"/>
      <c r="K21" s="68"/>
      <c r="L21" s="68"/>
      <c r="M21" s="69"/>
      <c r="N21" s="54"/>
      <c r="O21" s="54"/>
      <c r="P21" s="54"/>
      <c r="Q21" s="52"/>
      <c r="R21" s="52"/>
      <c r="S21" s="52"/>
      <c r="T21" s="52"/>
      <c r="U21" s="52"/>
      <c r="V21" s="52"/>
      <c r="W21" s="52"/>
      <c r="X21" s="52"/>
      <c r="Y21" s="52"/>
      <c r="Z21" s="52"/>
      <c r="AA21" s="13"/>
      <c r="AB21" s="13"/>
      <c r="AC21" s="13"/>
      <c r="AD21" s="13"/>
      <c r="AE21" s="13"/>
      <c r="AF21" s="13"/>
      <c r="AG21" s="13"/>
      <c r="AH21" s="13"/>
    </row>
    <row r="22" spans="1:34" s="14" customFormat="1" ht="18" hidden="1" outlineLevel="2">
      <c r="A22" s="296" t="s">
        <v>654</v>
      </c>
      <c r="B22" s="287" t="s">
        <v>496</v>
      </c>
      <c r="C22" s="886">
        <v>3.3300000000000003E-2</v>
      </c>
      <c r="D22" s="294" t="s">
        <v>652</v>
      </c>
      <c r="E22" s="1202"/>
      <c r="F22" s="1202"/>
      <c r="G22" s="1202"/>
      <c r="H22" s="1202"/>
      <c r="I22" s="1202"/>
      <c r="J22" s="1202"/>
      <c r="K22" s="38"/>
      <c r="L22" s="38"/>
      <c r="M22" s="38"/>
      <c r="N22" s="54"/>
      <c r="O22" s="54"/>
      <c r="P22" s="54"/>
      <c r="Q22" s="52"/>
      <c r="R22" s="52"/>
      <c r="S22" s="52"/>
      <c r="T22" s="52"/>
      <c r="U22" s="52"/>
      <c r="V22" s="52"/>
      <c r="W22" s="52"/>
      <c r="X22" s="52"/>
      <c r="Y22" s="52"/>
      <c r="Z22" s="52"/>
      <c r="AA22" s="13"/>
      <c r="AB22" s="13"/>
      <c r="AC22" s="13"/>
      <c r="AD22" s="13"/>
      <c r="AE22" s="13"/>
      <c r="AF22" s="13"/>
      <c r="AG22" s="13"/>
      <c r="AH22" s="13"/>
    </row>
    <row r="23" spans="1:34" s="14" customFormat="1" ht="18" hidden="1" outlineLevel="2">
      <c r="A23" s="296" t="s">
        <v>654</v>
      </c>
      <c r="B23" s="287" t="s">
        <v>104</v>
      </c>
      <c r="C23" s="886">
        <v>6.7199999999999996E-2</v>
      </c>
      <c r="D23" s="294" t="s">
        <v>652</v>
      </c>
      <c r="E23" s="1202"/>
      <c r="F23" s="1202"/>
      <c r="G23" s="1202"/>
      <c r="H23" s="1202"/>
      <c r="I23" s="1202"/>
      <c r="J23" s="1202"/>
      <c r="K23" s="70"/>
      <c r="L23" s="70"/>
      <c r="M23" s="71"/>
      <c r="N23" s="54"/>
      <c r="O23" s="54"/>
      <c r="P23" s="54"/>
      <c r="Q23" s="52"/>
      <c r="R23" s="52"/>
      <c r="S23" s="52"/>
      <c r="T23" s="52"/>
      <c r="U23" s="52"/>
      <c r="V23" s="52"/>
      <c r="W23" s="52"/>
      <c r="X23" s="52"/>
      <c r="Y23" s="52"/>
      <c r="Z23" s="52"/>
      <c r="AA23" s="13"/>
      <c r="AB23" s="13"/>
      <c r="AC23" s="13"/>
      <c r="AD23" s="13"/>
      <c r="AE23" s="13"/>
      <c r="AF23" s="13"/>
      <c r="AG23" s="13"/>
      <c r="AH23" s="13"/>
    </row>
    <row r="24" spans="1:34" s="14" customFormat="1" ht="18" hidden="1" outlineLevel="2">
      <c r="A24" s="296" t="s">
        <v>650</v>
      </c>
      <c r="B24" s="287" t="s">
        <v>101</v>
      </c>
      <c r="C24" s="886">
        <v>3.5999999999999999E-3</v>
      </c>
      <c r="D24" s="294" t="s">
        <v>653</v>
      </c>
      <c r="E24" s="1202"/>
      <c r="F24" s="1202"/>
      <c r="G24" s="1202"/>
      <c r="H24" s="1202"/>
      <c r="I24" s="1202"/>
      <c r="J24" s="1202"/>
      <c r="K24" s="38"/>
      <c r="L24" s="38"/>
      <c r="M24" s="38"/>
      <c r="N24" s="54"/>
      <c r="O24" s="54"/>
      <c r="P24" s="54"/>
      <c r="Q24" s="52"/>
      <c r="R24" s="52"/>
      <c r="S24" s="52"/>
      <c r="T24" s="52"/>
      <c r="U24" s="52"/>
      <c r="V24" s="52"/>
      <c r="W24" s="52"/>
      <c r="X24" s="52"/>
      <c r="Y24" s="52"/>
      <c r="Z24" s="52"/>
      <c r="AA24" s="13"/>
      <c r="AB24" s="13"/>
      <c r="AC24" s="13"/>
      <c r="AD24" s="13"/>
      <c r="AE24" s="13"/>
      <c r="AF24" s="13"/>
      <c r="AG24" s="13"/>
      <c r="AH24" s="13"/>
    </row>
    <row r="25" spans="1:34" s="14" customFormat="1" ht="18" hidden="1" outlineLevel="2">
      <c r="A25" s="296" t="s">
        <v>650</v>
      </c>
      <c r="B25" s="287" t="s">
        <v>102</v>
      </c>
      <c r="C25" s="886">
        <v>6.6E-3</v>
      </c>
      <c r="D25" s="294" t="s">
        <v>653</v>
      </c>
      <c r="E25" s="1202"/>
      <c r="F25" s="1202"/>
      <c r="G25" s="1202"/>
      <c r="H25" s="1202"/>
      <c r="I25" s="1202"/>
      <c r="J25" s="1202"/>
      <c r="K25" s="72"/>
      <c r="L25" s="72"/>
      <c r="M25" s="71"/>
      <c r="N25" s="54"/>
      <c r="O25" s="54"/>
      <c r="P25" s="54"/>
      <c r="Q25" s="52"/>
      <c r="R25" s="52"/>
      <c r="S25" s="52"/>
      <c r="T25" s="52"/>
      <c r="U25" s="52"/>
      <c r="V25" s="52"/>
      <c r="W25" s="52"/>
      <c r="X25" s="52"/>
      <c r="Y25" s="52"/>
      <c r="Z25" s="52"/>
      <c r="AA25" s="13"/>
      <c r="AB25" s="13"/>
      <c r="AC25" s="13"/>
      <c r="AD25" s="13"/>
      <c r="AE25" s="13"/>
      <c r="AF25" s="13"/>
      <c r="AG25" s="13"/>
      <c r="AH25" s="13"/>
    </row>
    <row r="26" spans="1:34" s="14" customFormat="1" ht="18" hidden="1" outlineLevel="2">
      <c r="A26" s="296" t="s">
        <v>650</v>
      </c>
      <c r="B26" s="287" t="s">
        <v>496</v>
      </c>
      <c r="C26" s="886">
        <v>1.34E-2</v>
      </c>
      <c r="D26" s="294" t="s">
        <v>653</v>
      </c>
      <c r="E26" s="1202"/>
      <c r="F26" s="1202"/>
      <c r="G26" s="1202"/>
      <c r="H26" s="1202"/>
      <c r="I26" s="1202"/>
      <c r="J26" s="1202"/>
      <c r="K26" s="54"/>
      <c r="L26" s="54"/>
      <c r="M26" s="54"/>
      <c r="N26" s="54"/>
      <c r="O26" s="54"/>
      <c r="P26" s="54"/>
      <c r="Q26" s="52"/>
      <c r="R26" s="52"/>
      <c r="S26" s="52"/>
      <c r="T26" s="52"/>
      <c r="U26" s="52"/>
      <c r="V26" s="52"/>
      <c r="W26" s="52"/>
      <c r="X26" s="52"/>
      <c r="Y26" s="52"/>
      <c r="Z26" s="52"/>
      <c r="AA26" s="13"/>
      <c r="AB26" s="13"/>
      <c r="AC26" s="13"/>
      <c r="AD26" s="13"/>
      <c r="AE26" s="13"/>
      <c r="AF26" s="13"/>
      <c r="AG26" s="13"/>
      <c r="AH26" s="13"/>
    </row>
    <row r="27" spans="1:34" s="14" customFormat="1" ht="18" hidden="1" outlineLevel="2">
      <c r="A27" s="296" t="s">
        <v>650</v>
      </c>
      <c r="B27" s="296" t="s">
        <v>104</v>
      </c>
      <c r="C27" s="886">
        <v>6.8999999999999999E-3</v>
      </c>
      <c r="D27" s="294" t="s">
        <v>653</v>
      </c>
      <c r="E27" s="1202"/>
      <c r="F27" s="1202"/>
      <c r="G27" s="1202"/>
      <c r="H27" s="1202"/>
      <c r="I27" s="1202"/>
      <c r="J27" s="1202"/>
      <c r="K27" s="54"/>
      <c r="L27" s="54"/>
      <c r="M27" s="54"/>
      <c r="N27" s="54"/>
      <c r="O27" s="54"/>
      <c r="P27" s="54"/>
      <c r="Q27" s="52"/>
      <c r="R27" s="52"/>
      <c r="S27" s="52"/>
      <c r="T27" s="52"/>
      <c r="U27" s="52"/>
      <c r="V27" s="52"/>
      <c r="W27" s="52"/>
      <c r="X27" s="52"/>
      <c r="Y27" s="52"/>
      <c r="Z27" s="52"/>
      <c r="AA27" s="13"/>
      <c r="AB27" s="13"/>
      <c r="AC27" s="13"/>
      <c r="AD27" s="13"/>
      <c r="AE27" s="13"/>
      <c r="AF27" s="13"/>
      <c r="AG27" s="13"/>
      <c r="AH27" s="13"/>
    </row>
    <row r="28" spans="1:34" s="209" customFormat="1" hidden="1" outlineLevel="2">
      <c r="A28" s="609"/>
      <c r="B28" s="609"/>
      <c r="C28" s="610"/>
      <c r="D28" s="611"/>
      <c r="E28" s="429"/>
      <c r="F28" s="429"/>
      <c r="G28" s="429"/>
      <c r="H28" s="429"/>
      <c r="I28" s="429"/>
      <c r="J28" s="429"/>
      <c r="K28" s="54"/>
      <c r="L28" s="54"/>
      <c r="M28" s="54"/>
      <c r="N28" s="54"/>
      <c r="O28" s="54"/>
      <c r="P28" s="54"/>
      <c r="Q28" s="52"/>
      <c r="R28" s="52"/>
      <c r="S28" s="52"/>
      <c r="T28" s="52"/>
      <c r="U28" s="52"/>
      <c r="V28" s="52"/>
      <c r="W28" s="52"/>
      <c r="X28" s="52"/>
      <c r="Y28" s="52"/>
      <c r="Z28" s="52"/>
      <c r="AA28" s="13"/>
      <c r="AB28" s="13"/>
      <c r="AC28" s="13"/>
      <c r="AD28" s="13"/>
      <c r="AE28" s="13"/>
      <c r="AF28" s="13"/>
      <c r="AG28" s="13"/>
      <c r="AH28" s="13"/>
    </row>
    <row r="29" spans="1:34" s="14" customFormat="1" ht="15.75" hidden="1" outlineLevel="1">
      <c r="A29" s="520" t="s">
        <v>71</v>
      </c>
      <c r="B29" s="521"/>
      <c r="C29" s="521"/>
      <c r="D29" s="521"/>
      <c r="E29" s="521"/>
      <c r="F29" s="521"/>
      <c r="G29" s="521"/>
      <c r="H29" s="521"/>
      <c r="I29" s="521"/>
      <c r="J29" s="522"/>
      <c r="K29" s="52"/>
      <c r="L29" s="54"/>
      <c r="M29" s="54"/>
      <c r="N29" s="54"/>
      <c r="O29" s="54"/>
      <c r="P29" s="54"/>
      <c r="Q29" s="52"/>
      <c r="R29" s="52"/>
      <c r="S29" s="52"/>
      <c r="T29" s="52"/>
      <c r="U29" s="52"/>
      <c r="V29" s="52"/>
      <c r="W29" s="52"/>
      <c r="X29" s="52"/>
      <c r="Y29" s="52"/>
      <c r="Z29" s="52"/>
      <c r="AA29" s="13"/>
      <c r="AB29" s="13"/>
      <c r="AC29" s="13"/>
      <c r="AD29" s="13"/>
      <c r="AE29" s="13"/>
      <c r="AF29" s="13"/>
      <c r="AG29" s="13"/>
      <c r="AH29" s="13"/>
    </row>
    <row r="30" spans="1:34" s="14" customFormat="1" ht="14.25" hidden="1" outlineLevel="2">
      <c r="A30" s="563" t="s">
        <v>55</v>
      </c>
      <c r="B30" s="564" t="s">
        <v>83</v>
      </c>
      <c r="C30" s="564" t="s">
        <v>56</v>
      </c>
      <c r="D30" s="564" t="s">
        <v>57</v>
      </c>
      <c r="E30" s="1203" t="s">
        <v>41</v>
      </c>
      <c r="F30" s="1203"/>
      <c r="G30" s="1203"/>
      <c r="H30" s="1203"/>
      <c r="I30" s="1203"/>
      <c r="J30" s="1196"/>
      <c r="K30" s="52"/>
      <c r="L30" s="54"/>
      <c r="M30" s="54"/>
      <c r="N30" s="54"/>
      <c r="O30" s="54"/>
      <c r="P30" s="54"/>
      <c r="Q30" s="52"/>
      <c r="R30" s="52"/>
      <c r="S30" s="52"/>
      <c r="T30" s="52"/>
      <c r="U30" s="52"/>
      <c r="V30" s="52"/>
      <c r="W30" s="52"/>
      <c r="X30" s="52"/>
      <c r="Y30" s="52"/>
      <c r="Z30" s="52"/>
      <c r="AA30" s="13"/>
      <c r="AB30" s="13"/>
      <c r="AC30" s="13"/>
      <c r="AD30" s="13"/>
      <c r="AE30" s="13"/>
      <c r="AF30" s="13"/>
      <c r="AG30" s="13"/>
      <c r="AH30" s="13"/>
    </row>
    <row r="31" spans="1:34" s="14" customFormat="1" ht="15.4" hidden="1" customHeight="1" outlineLevel="2">
      <c r="A31" s="294" t="s">
        <v>649</v>
      </c>
      <c r="B31" s="286" t="s">
        <v>90</v>
      </c>
      <c r="C31" s="822">
        <f>10.21/'Conversion Factors and GWPs'!A7</f>
        <v>1.021E-2</v>
      </c>
      <c r="D31" s="295" t="s">
        <v>651</v>
      </c>
      <c r="E31" s="1202" t="s">
        <v>1360</v>
      </c>
      <c r="F31" s="1202"/>
      <c r="G31" s="1202"/>
      <c r="H31" s="1202"/>
      <c r="I31" s="1202"/>
      <c r="J31" s="1202"/>
      <c r="K31" s="52"/>
      <c r="L31" s="54"/>
      <c r="M31" s="54"/>
      <c r="N31" s="54"/>
      <c r="O31" s="54"/>
      <c r="P31" s="54"/>
      <c r="Q31" s="52"/>
      <c r="R31" s="52"/>
      <c r="S31" s="52"/>
      <c r="T31" s="52"/>
      <c r="U31" s="52"/>
      <c r="V31" s="52"/>
      <c r="W31" s="52"/>
      <c r="X31" s="52"/>
      <c r="Y31" s="52"/>
      <c r="Z31" s="52"/>
      <c r="AA31" s="13"/>
      <c r="AB31" s="13"/>
      <c r="AC31" s="13"/>
      <c r="AD31" s="13"/>
      <c r="AE31" s="13"/>
      <c r="AF31" s="13"/>
      <c r="AG31" s="13"/>
      <c r="AH31" s="13"/>
    </row>
    <row r="32" spans="1:34" s="14" customFormat="1" ht="18" hidden="1" outlineLevel="2">
      <c r="A32" s="296" t="s">
        <v>521</v>
      </c>
      <c r="B32" s="287" t="s">
        <v>101</v>
      </c>
      <c r="C32" s="822">
        <v>5.0000000000000001E-4</v>
      </c>
      <c r="D32" s="294" t="s">
        <v>652</v>
      </c>
      <c r="E32" s="1202"/>
      <c r="F32" s="1202"/>
      <c r="G32" s="1202"/>
      <c r="H32" s="1202"/>
      <c r="I32" s="1202"/>
      <c r="J32" s="1202"/>
      <c r="K32" s="52"/>
      <c r="L32" s="54"/>
      <c r="M32" s="54"/>
      <c r="N32" s="54"/>
      <c r="O32" s="54"/>
      <c r="P32" s="54"/>
      <c r="Q32" s="52"/>
      <c r="R32" s="52"/>
      <c r="S32" s="52"/>
      <c r="T32" s="52"/>
      <c r="U32" s="52"/>
      <c r="V32" s="52"/>
      <c r="W32" s="52"/>
      <c r="X32" s="52"/>
      <c r="Y32" s="52"/>
      <c r="Z32" s="52"/>
      <c r="AA32" s="13"/>
      <c r="AB32" s="13"/>
      <c r="AC32" s="13"/>
      <c r="AD32" s="13"/>
      <c r="AE32" s="13"/>
      <c r="AF32" s="13"/>
      <c r="AG32" s="13"/>
      <c r="AH32" s="13"/>
    </row>
    <row r="33" spans="1:34" s="14" customFormat="1" ht="18" hidden="1" outlineLevel="2">
      <c r="A33" s="296" t="s">
        <v>521</v>
      </c>
      <c r="B33" s="287" t="s">
        <v>102</v>
      </c>
      <c r="C33" s="822">
        <v>1E-3</v>
      </c>
      <c r="D33" s="294" t="s">
        <v>652</v>
      </c>
      <c r="E33" s="1202"/>
      <c r="F33" s="1202"/>
      <c r="G33" s="1202"/>
      <c r="H33" s="1202"/>
      <c r="I33" s="1202"/>
      <c r="J33" s="1202"/>
      <c r="K33" s="52"/>
      <c r="L33" s="54"/>
      <c r="M33" s="54"/>
      <c r="N33" s="54"/>
      <c r="O33" s="54"/>
      <c r="P33" s="54"/>
      <c r="Q33" s="52"/>
      <c r="R33" s="52"/>
      <c r="S33" s="52"/>
      <c r="T33" s="52"/>
      <c r="U33" s="52"/>
      <c r="V33" s="52"/>
      <c r="W33" s="52"/>
      <c r="X33" s="52"/>
      <c r="Y33" s="52"/>
      <c r="Z33" s="52"/>
      <c r="AA33" s="13"/>
      <c r="AB33" s="13"/>
      <c r="AC33" s="13"/>
      <c r="AD33" s="13"/>
      <c r="AE33" s="13"/>
      <c r="AF33" s="13"/>
      <c r="AG33" s="13"/>
      <c r="AH33" s="13"/>
    </row>
    <row r="34" spans="1:34" s="14" customFormat="1" ht="18" hidden="1" outlineLevel="2">
      <c r="A34" s="296" t="s">
        <v>521</v>
      </c>
      <c r="B34" s="287" t="s">
        <v>103</v>
      </c>
      <c r="C34" s="822">
        <v>5.1000000000000004E-3</v>
      </c>
      <c r="D34" s="294" t="s">
        <v>652</v>
      </c>
      <c r="E34" s="1202"/>
      <c r="F34" s="1202"/>
      <c r="G34" s="1202"/>
      <c r="H34" s="1202"/>
      <c r="I34" s="1202"/>
      <c r="J34" s="1202"/>
      <c r="K34" s="52"/>
      <c r="L34" s="54"/>
      <c r="M34" s="54"/>
      <c r="N34" s="54"/>
      <c r="O34" s="54"/>
      <c r="P34" s="54"/>
      <c r="Q34" s="52"/>
      <c r="R34" s="52"/>
      <c r="S34" s="52"/>
      <c r="T34" s="52"/>
      <c r="U34" s="52"/>
      <c r="V34" s="52"/>
      <c r="W34" s="52"/>
      <c r="X34" s="52"/>
      <c r="Y34" s="52"/>
      <c r="Z34" s="52"/>
      <c r="AA34" s="13"/>
      <c r="AB34" s="13"/>
      <c r="AC34" s="13"/>
      <c r="AD34" s="13"/>
      <c r="AE34" s="13"/>
      <c r="AF34" s="13"/>
      <c r="AG34" s="13"/>
      <c r="AH34" s="13"/>
    </row>
    <row r="35" spans="1:34" s="14" customFormat="1" ht="18" hidden="1" outlineLevel="2">
      <c r="A35" s="296" t="s">
        <v>521</v>
      </c>
      <c r="B35" s="287" t="s">
        <v>443</v>
      </c>
      <c r="C35" s="822">
        <v>5.1000000000000004E-3</v>
      </c>
      <c r="D35" s="294" t="s">
        <v>652</v>
      </c>
      <c r="E35" s="1202"/>
      <c r="F35" s="1202"/>
      <c r="G35" s="1202"/>
      <c r="H35" s="1202"/>
      <c r="I35" s="1202"/>
      <c r="J35" s="1202"/>
      <c r="K35" s="52"/>
      <c r="L35" s="54"/>
      <c r="M35" s="54"/>
      <c r="N35" s="54"/>
      <c r="O35" s="54"/>
      <c r="P35" s="54"/>
      <c r="Q35" s="52"/>
      <c r="R35" s="52"/>
      <c r="S35" s="52"/>
      <c r="T35" s="52"/>
      <c r="U35" s="52"/>
      <c r="V35" s="52"/>
      <c r="W35" s="52"/>
      <c r="X35" s="52"/>
      <c r="Y35" s="52"/>
      <c r="Z35" s="52"/>
      <c r="AA35" s="13"/>
      <c r="AB35" s="13"/>
      <c r="AC35" s="13"/>
      <c r="AD35" s="13"/>
      <c r="AE35" s="13"/>
      <c r="AF35" s="13"/>
      <c r="AG35" s="13"/>
      <c r="AH35" s="13"/>
    </row>
    <row r="36" spans="1:34" s="14" customFormat="1" ht="18" hidden="1" outlineLevel="2">
      <c r="A36" s="296" t="s">
        <v>650</v>
      </c>
      <c r="B36" s="287" t="s">
        <v>101</v>
      </c>
      <c r="C36" s="822">
        <v>1E-3</v>
      </c>
      <c r="D36" s="294" t="s">
        <v>653</v>
      </c>
      <c r="E36" s="1202"/>
      <c r="F36" s="1202"/>
      <c r="G36" s="1202"/>
      <c r="H36" s="1202"/>
      <c r="I36" s="1202"/>
      <c r="J36" s="1202"/>
      <c r="K36" s="52"/>
      <c r="L36" s="54"/>
      <c r="M36" s="54"/>
      <c r="N36" s="54"/>
      <c r="O36" s="54"/>
      <c r="P36" s="54"/>
      <c r="Q36" s="52"/>
      <c r="R36" s="52"/>
      <c r="S36" s="52"/>
      <c r="T36" s="52"/>
      <c r="U36" s="52"/>
      <c r="V36" s="52"/>
      <c r="W36" s="52"/>
      <c r="X36" s="52"/>
      <c r="Y36" s="52"/>
      <c r="Z36" s="52"/>
      <c r="AA36" s="13"/>
      <c r="AB36" s="13"/>
      <c r="AC36" s="13"/>
      <c r="AD36" s="13"/>
      <c r="AE36" s="13"/>
      <c r="AF36" s="13"/>
      <c r="AG36" s="13"/>
      <c r="AH36" s="13"/>
    </row>
    <row r="37" spans="1:34" s="14" customFormat="1" ht="18" hidden="1" outlineLevel="2">
      <c r="A37" s="296" t="s">
        <v>650</v>
      </c>
      <c r="B37" s="287" t="s">
        <v>102</v>
      </c>
      <c r="C37" s="822">
        <v>1.5E-3</v>
      </c>
      <c r="D37" s="294" t="s">
        <v>653</v>
      </c>
      <c r="E37" s="1202"/>
      <c r="F37" s="1202"/>
      <c r="G37" s="1202"/>
      <c r="H37" s="1202"/>
      <c r="I37" s="1202"/>
      <c r="J37" s="1202"/>
      <c r="K37" s="52"/>
      <c r="L37" s="54"/>
      <c r="M37" s="54"/>
      <c r="N37" s="54"/>
      <c r="O37" s="54"/>
      <c r="P37" s="54"/>
      <c r="Q37" s="52"/>
      <c r="R37" s="52"/>
      <c r="S37" s="52"/>
      <c r="T37" s="52"/>
      <c r="U37" s="52"/>
      <c r="V37" s="52"/>
      <c r="W37" s="52"/>
      <c r="X37" s="52"/>
      <c r="Y37" s="52"/>
      <c r="Z37" s="52"/>
      <c r="AA37" s="13"/>
      <c r="AB37" s="13"/>
      <c r="AC37" s="13"/>
      <c r="AD37" s="13"/>
      <c r="AE37" s="13"/>
      <c r="AF37" s="13"/>
      <c r="AG37" s="13"/>
      <c r="AH37" s="13"/>
    </row>
    <row r="38" spans="1:34" s="14" customFormat="1" ht="18" hidden="1" outlineLevel="2">
      <c r="A38" s="296" t="s">
        <v>650</v>
      </c>
      <c r="B38" s="287" t="s">
        <v>103</v>
      </c>
      <c r="C38" s="822">
        <v>4.7999999999999996E-3</v>
      </c>
      <c r="D38" s="294" t="s">
        <v>653</v>
      </c>
      <c r="E38" s="1202"/>
      <c r="F38" s="1202"/>
      <c r="G38" s="1202"/>
      <c r="H38" s="1202"/>
      <c r="I38" s="1202"/>
      <c r="J38" s="1202"/>
      <c r="K38" s="52"/>
      <c r="L38" s="54"/>
      <c r="M38" s="54"/>
      <c r="N38" s="54"/>
      <c r="O38" s="54"/>
      <c r="P38" s="54"/>
      <c r="Q38" s="52"/>
      <c r="R38" s="52"/>
      <c r="S38" s="52"/>
      <c r="T38" s="52"/>
      <c r="U38" s="52"/>
      <c r="V38" s="52"/>
      <c r="W38" s="52"/>
      <c r="X38" s="52"/>
      <c r="Y38" s="52"/>
      <c r="Z38" s="52"/>
      <c r="AA38" s="13"/>
      <c r="AB38" s="13"/>
      <c r="AC38" s="13"/>
      <c r="AD38" s="13"/>
      <c r="AE38" s="13"/>
      <c r="AF38" s="13"/>
      <c r="AG38" s="13"/>
      <c r="AH38" s="13"/>
    </row>
    <row r="39" spans="1:34" s="14" customFormat="1" ht="18" hidden="1" outlineLevel="2">
      <c r="A39" s="296" t="s">
        <v>650</v>
      </c>
      <c r="B39" s="296" t="s">
        <v>443</v>
      </c>
      <c r="C39" s="822">
        <v>4.7999999999999996E-3</v>
      </c>
      <c r="D39" s="294" t="s">
        <v>653</v>
      </c>
      <c r="E39" s="1202"/>
      <c r="F39" s="1202"/>
      <c r="G39" s="1202"/>
      <c r="H39" s="1202"/>
      <c r="I39" s="1202"/>
      <c r="J39" s="1202"/>
      <c r="K39" s="52"/>
      <c r="L39" s="54"/>
      <c r="M39" s="54"/>
      <c r="N39" s="54"/>
      <c r="O39" s="54"/>
      <c r="P39" s="54"/>
      <c r="Q39" s="52"/>
      <c r="R39" s="52"/>
      <c r="S39" s="52"/>
      <c r="T39" s="52"/>
      <c r="U39" s="52"/>
      <c r="V39" s="52"/>
      <c r="W39" s="52"/>
      <c r="X39" s="52"/>
      <c r="Y39" s="52"/>
      <c r="Z39" s="52"/>
      <c r="AA39" s="13"/>
      <c r="AB39" s="13"/>
      <c r="AC39" s="13"/>
      <c r="AD39" s="13"/>
      <c r="AE39" s="13"/>
      <c r="AF39" s="13"/>
      <c r="AG39" s="13"/>
      <c r="AH39" s="13"/>
    </row>
    <row r="40" spans="1:34" s="209" customFormat="1" hidden="1" outlineLevel="2">
      <c r="A40" s="609"/>
      <c r="B40" s="609"/>
      <c r="C40" s="610"/>
      <c r="D40" s="611"/>
      <c r="E40" s="429"/>
      <c r="F40" s="429"/>
      <c r="G40" s="429"/>
      <c r="H40" s="429"/>
      <c r="I40" s="429"/>
      <c r="J40" s="429"/>
      <c r="K40" s="52"/>
      <c r="L40" s="54"/>
      <c r="M40" s="54"/>
      <c r="N40" s="54"/>
      <c r="O40" s="54"/>
      <c r="P40" s="54"/>
      <c r="Q40" s="52"/>
      <c r="R40" s="52"/>
      <c r="S40" s="52"/>
      <c r="T40" s="52"/>
      <c r="U40" s="52"/>
      <c r="V40" s="52"/>
      <c r="W40" s="52"/>
      <c r="X40" s="52"/>
      <c r="Y40" s="52"/>
      <c r="Z40" s="52"/>
      <c r="AA40" s="13"/>
      <c r="AB40" s="13"/>
      <c r="AC40" s="13"/>
      <c r="AD40" s="13"/>
      <c r="AE40" s="13"/>
      <c r="AF40" s="13"/>
      <c r="AG40" s="13"/>
      <c r="AH40" s="13"/>
    </row>
    <row r="41" spans="1:34" s="73" customFormat="1" ht="15.75" hidden="1" outlineLevel="1">
      <c r="A41" s="1204" t="s">
        <v>223</v>
      </c>
      <c r="B41" s="1205"/>
      <c r="C41" s="1205"/>
      <c r="D41" s="1205"/>
      <c r="E41" s="1205"/>
      <c r="F41" s="1205"/>
      <c r="G41" s="1205"/>
      <c r="H41" s="1205"/>
      <c r="I41" s="1205"/>
      <c r="J41" s="1206"/>
    </row>
    <row r="42" spans="1:34" s="73" customFormat="1" ht="14.25" hidden="1" outlineLevel="2">
      <c r="A42" s="563" t="s">
        <v>55</v>
      </c>
      <c r="B42" s="564" t="s">
        <v>83</v>
      </c>
      <c r="C42" s="564" t="s">
        <v>56</v>
      </c>
      <c r="D42" s="564" t="s">
        <v>57</v>
      </c>
      <c r="E42" s="1203" t="s">
        <v>41</v>
      </c>
      <c r="F42" s="1203"/>
      <c r="G42" s="1203"/>
      <c r="H42" s="1203"/>
      <c r="I42" s="1203"/>
      <c r="J42" s="1196"/>
    </row>
    <row r="43" spans="1:34" s="73" customFormat="1" ht="19.899999999999999" hidden="1" customHeight="1" outlineLevel="2">
      <c r="A43" s="298" t="s">
        <v>649</v>
      </c>
      <c r="B43" s="298" t="s">
        <v>90</v>
      </c>
      <c r="C43" s="812">
        <f>5.75/'Conversion Factors and GWPs'!$A$7</f>
        <v>5.7499999999999999E-3</v>
      </c>
      <c r="D43" s="299" t="s">
        <v>651</v>
      </c>
      <c r="E43" s="1200" t="s">
        <v>1362</v>
      </c>
      <c r="F43" s="1201"/>
      <c r="G43" s="1201"/>
      <c r="H43" s="1201"/>
      <c r="I43" s="1201"/>
      <c r="J43" s="1201"/>
    </row>
    <row r="44" spans="1:34" s="73" customFormat="1" ht="19.899999999999999" hidden="1" customHeight="1" outlineLevel="2">
      <c r="A44" s="300" t="s">
        <v>521</v>
      </c>
      <c r="B44" s="300" t="s">
        <v>390</v>
      </c>
      <c r="C44" s="812">
        <v>5.5E-2</v>
      </c>
      <c r="D44" s="298" t="s">
        <v>652</v>
      </c>
      <c r="E44" s="1201"/>
      <c r="F44" s="1201"/>
      <c r="G44" s="1201"/>
      <c r="H44" s="1201"/>
      <c r="I44" s="1201"/>
      <c r="J44" s="1201"/>
    </row>
    <row r="45" spans="1:34" s="73" customFormat="1" ht="19.899999999999999" hidden="1" customHeight="1" outlineLevel="2">
      <c r="A45" s="300" t="s">
        <v>654</v>
      </c>
      <c r="B45" s="929" t="s">
        <v>1361</v>
      </c>
      <c r="C45" s="812">
        <v>0.19700000000000001</v>
      </c>
      <c r="D45" s="298" t="s">
        <v>652</v>
      </c>
      <c r="E45" s="1201"/>
      <c r="F45" s="1201"/>
      <c r="G45" s="1201"/>
      <c r="H45" s="1201"/>
      <c r="I45" s="1201"/>
      <c r="J45" s="1201"/>
    </row>
    <row r="46" spans="1:34" s="73" customFormat="1" ht="19.899999999999999" hidden="1" customHeight="1" outlineLevel="2">
      <c r="A46" s="300" t="s">
        <v>650</v>
      </c>
      <c r="B46" s="300" t="s">
        <v>390</v>
      </c>
      <c r="C46" s="812">
        <v>6.7000000000000004E-2</v>
      </c>
      <c r="D46" s="298" t="s">
        <v>653</v>
      </c>
      <c r="E46" s="1201"/>
      <c r="F46" s="1201"/>
      <c r="G46" s="1201"/>
      <c r="H46" s="1201"/>
      <c r="I46" s="1201"/>
      <c r="J46" s="1201"/>
    </row>
    <row r="47" spans="1:34" s="73" customFormat="1" ht="19.899999999999999" hidden="1" customHeight="1" outlineLevel="2">
      <c r="A47" s="300" t="s">
        <v>650</v>
      </c>
      <c r="B47" s="929" t="s">
        <v>1361</v>
      </c>
      <c r="C47" s="812">
        <v>0.17499999999999999</v>
      </c>
      <c r="D47" s="298" t="s">
        <v>653</v>
      </c>
      <c r="E47" s="1201"/>
      <c r="F47" s="1201"/>
      <c r="G47" s="1201"/>
      <c r="H47" s="1201"/>
      <c r="I47" s="1201"/>
      <c r="J47" s="1201"/>
    </row>
    <row r="48" spans="1:34" s="212" customFormat="1" ht="16.149999999999999" hidden="1" customHeight="1" outlineLevel="1">
      <c r="T48" s="605"/>
      <c r="U48" s="605"/>
      <c r="V48" s="605"/>
      <c r="W48" s="605"/>
      <c r="X48" s="605"/>
      <c r="Y48" s="605"/>
      <c r="Z48" s="605"/>
      <c r="AA48" s="605"/>
      <c r="AB48" s="605"/>
      <c r="AC48" s="605"/>
      <c r="AD48" s="605"/>
      <c r="AE48" s="605"/>
    </row>
    <row r="49" spans="1:56" s="212" customFormat="1" ht="16.149999999999999" customHeight="1" collapsed="1">
      <c r="A49" s="1197" t="s">
        <v>631</v>
      </c>
      <c r="B49" s="1198"/>
      <c r="C49" s="1198"/>
      <c r="D49" s="1198"/>
      <c r="E49" s="1198"/>
      <c r="F49" s="1198"/>
      <c r="G49" s="1198"/>
      <c r="H49" s="1198"/>
      <c r="I49" s="1198"/>
      <c r="J49" s="1198"/>
      <c r="K49" s="1198"/>
      <c r="L49" s="1198"/>
      <c r="M49" s="1198"/>
      <c r="N49" s="1198"/>
      <c r="O49" s="1198"/>
      <c r="P49" s="1198"/>
      <c r="Q49" s="1198"/>
      <c r="R49" s="1198"/>
      <c r="S49" s="1199"/>
      <c r="T49" s="607"/>
      <c r="U49" s="607"/>
      <c r="V49" s="607"/>
      <c r="W49" s="606"/>
      <c r="X49" s="606"/>
      <c r="Y49" s="606"/>
      <c r="Z49" s="606"/>
      <c r="AA49" s="606"/>
      <c r="AB49" s="606"/>
      <c r="AC49" s="606"/>
      <c r="AD49" s="606"/>
      <c r="AE49" s="606"/>
    </row>
    <row r="50" spans="1:56" s="73" customFormat="1" ht="15.75" outlineLevel="1">
      <c r="A50" s="579" t="s">
        <v>767</v>
      </c>
      <c r="B50" s="580"/>
      <c r="C50" s="580"/>
      <c r="D50" s="580"/>
      <c r="E50" s="580"/>
      <c r="F50" s="580"/>
      <c r="G50" s="580"/>
      <c r="H50" s="580"/>
      <c r="I50" s="580"/>
      <c r="J50" s="580"/>
      <c r="K50" s="580"/>
      <c r="L50" s="580"/>
      <c r="M50" s="580"/>
      <c r="N50" s="580"/>
      <c r="O50" s="580"/>
      <c r="P50" s="580"/>
      <c r="Q50" s="580"/>
      <c r="R50" s="580"/>
      <c r="S50" s="581"/>
    </row>
    <row r="51" spans="1:56" s="156" customFormat="1" ht="47.25" outlineLevel="2">
      <c r="A51" s="563" t="s">
        <v>41</v>
      </c>
      <c r="B51" s="564" t="s">
        <v>1124</v>
      </c>
      <c r="C51" s="564" t="s">
        <v>1123</v>
      </c>
      <c r="D51" s="564" t="s">
        <v>1122</v>
      </c>
      <c r="E51" s="564" t="s">
        <v>1121</v>
      </c>
      <c r="F51" s="564" t="s">
        <v>1120</v>
      </c>
      <c r="G51" s="564" t="s">
        <v>1119</v>
      </c>
      <c r="H51" s="564" t="s">
        <v>1118</v>
      </c>
      <c r="I51" s="564" t="s">
        <v>1117</v>
      </c>
      <c r="J51" s="564" t="s">
        <v>1116</v>
      </c>
      <c r="K51" s="564" t="s">
        <v>1115</v>
      </c>
      <c r="L51" s="564" t="s">
        <v>1114</v>
      </c>
      <c r="M51" s="564" t="s">
        <v>1113</v>
      </c>
      <c r="N51" s="564" t="s">
        <v>1112</v>
      </c>
      <c r="O51" s="564" t="s">
        <v>768</v>
      </c>
      <c r="P51" s="564" t="s">
        <v>437</v>
      </c>
      <c r="Q51" s="564" t="s">
        <v>438</v>
      </c>
      <c r="R51" s="564" t="s">
        <v>439</v>
      </c>
      <c r="S51" s="565" t="s">
        <v>1111</v>
      </c>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row>
    <row r="52" spans="1:56" s="73" customFormat="1" outlineLevel="2">
      <c r="A52" s="612" t="s">
        <v>588</v>
      </c>
      <c r="B52" s="613">
        <f>F65*C19</f>
        <v>2235206.273798293</v>
      </c>
      <c r="C52" s="622">
        <f>($B$61*C20/'Conversion Factors and GWPs'!$A$8)+($C$61*C21/'Conversion Factors and GWPs'!$A$8)+($D$61*C22/'Conversion Factors and GWPs'!$A$8)+($E$61*C23/'Conversion Factors and GWPs'!$A$8)</f>
        <v>84.587162802907486</v>
      </c>
      <c r="D52" s="622">
        <f>($B$61*C24/'Conversion Factors and GWPs'!$A$8)+($C$61*C25/'Conversion Factors and GWPs'!$A$8)+($D$61*C26/'Conversion Factors and GWPs'!$A$8)+($E$61*C27/'Conversion Factors and GWPs'!$A$8)</f>
        <v>28.355435328434559</v>
      </c>
      <c r="E52" s="613">
        <f>B52+(C52*'Conversion Factors and GWPs'!C14)+('On-Road Data'!D52*'Conversion Factors and GWPs'!C15)</f>
        <v>2245088.9047188098</v>
      </c>
      <c r="F52" s="613">
        <f>G65*C31</f>
        <v>444970.58800067933</v>
      </c>
      <c r="G52" s="623">
        <f>(F61*C32/'Conversion Factors and GWPs'!A8)+('On-Road Data'!G61*'On-Road Data'!C33/'Conversion Factors and GWPs'!A8)+('On-Road Data'!H61*'On-Road Data'!C34/'Conversion Factors and GWPs'!A8)</f>
        <v>1.4571036179497088</v>
      </c>
      <c r="H52" s="623">
        <f>(F61*C36/'Conversion Factors and GWPs'!A8)+('On-Road Data'!G61*C37/'Conversion Factors and GWPs'!A8)+('On-Road Data'!H61*C38/'Conversion Factors and GWPs'!A8)</f>
        <v>1.379508139393022</v>
      </c>
      <c r="I52" s="614">
        <f>F52+(G52*'Conversion Factors and GWPs'!C14)+('On-Road Data'!H52*'Conversion Factors and GWPs'!C15)</f>
        <v>445376.95655892103</v>
      </c>
      <c r="J52" s="613">
        <v>0</v>
      </c>
      <c r="K52" s="615">
        <f>(I61*C44/'Conversion Factors and GWPs'!A8)+('On-Road Data'!J61*C44/'Conversion Factors and GWPs'!A8)+(K61*C45/'Conversion Factors and GWPs'!A8)+('On-Road Data'!L61*'On-Road Data'!C44/'Conversion Factors and GWPs'!A8)</f>
        <v>31.749657894538608</v>
      </c>
      <c r="L52" s="615">
        <f>(I61*C46/'Conversion Factors and GWPs'!A8)+('On-Road Data'!J61*C46/'Conversion Factors and GWPs'!A8)+(K61*C47/'Conversion Factors and GWPs'!A8)+('On-Road Data'!L61*C46/'Conversion Factors and GWPs'!A8)</f>
        <v>37.969114567133992</v>
      </c>
      <c r="M52" s="613">
        <f>(K52*'Conversion Factors and GWPs'!C14)+(L52*'Conversion Factors and GWPs'!C15)</f>
        <v>10950.805781337589</v>
      </c>
      <c r="N52" s="615">
        <f>J52</f>
        <v>0</v>
      </c>
      <c r="O52" s="613">
        <f>N52</f>
        <v>0</v>
      </c>
      <c r="P52" s="613">
        <f>F52+B52</f>
        <v>2680176.8617989724</v>
      </c>
      <c r="Q52" s="613">
        <f t="shared" ref="Q52:S53" si="0">C52+G52+K52</f>
        <v>117.7939243153958</v>
      </c>
      <c r="R52" s="613">
        <f t="shared" si="0"/>
        <v>67.704058034961577</v>
      </c>
      <c r="S52" s="613">
        <f t="shared" si="0"/>
        <v>2701416.6670590681</v>
      </c>
    </row>
    <row r="53" spans="1:56" s="73" customFormat="1" outlineLevel="2">
      <c r="A53" s="612" t="s">
        <v>587</v>
      </c>
      <c r="B53" s="615">
        <v>0</v>
      </c>
      <c r="C53" s="615">
        <v>0</v>
      </c>
      <c r="D53" s="615">
        <v>0</v>
      </c>
      <c r="E53" s="615">
        <v>0</v>
      </c>
      <c r="F53" s="615">
        <f>'Transit Data'!B22</f>
        <v>36263.485160753313</v>
      </c>
      <c r="G53" s="614">
        <f>'Transit Data'!C22</f>
        <v>7.1926574907685403E-3</v>
      </c>
      <c r="H53" s="614">
        <f>'Transit Data'!D22</f>
        <v>1.078898623615281E-2</v>
      </c>
      <c r="I53" s="614">
        <f>'Transit Data'!E22</f>
        <v>36266.545636515635</v>
      </c>
      <c r="J53" s="615">
        <v>0</v>
      </c>
      <c r="K53" s="615">
        <v>0</v>
      </c>
      <c r="L53" s="615">
        <v>0</v>
      </c>
      <c r="M53" s="615">
        <v>0</v>
      </c>
      <c r="N53" s="615">
        <v>0</v>
      </c>
      <c r="O53" s="613">
        <f>N53</f>
        <v>0</v>
      </c>
      <c r="P53" s="613">
        <f>F53+B53</f>
        <v>36263.485160753313</v>
      </c>
      <c r="Q53" s="613">
        <f t="shared" si="0"/>
        <v>7.1926574907685403E-3</v>
      </c>
      <c r="R53" s="613">
        <f t="shared" si="0"/>
        <v>1.078898623615281E-2</v>
      </c>
      <c r="S53" s="613">
        <f t="shared" si="0"/>
        <v>36266.545636515635</v>
      </c>
    </row>
    <row r="54" spans="1:56" s="73" customFormat="1" outlineLevel="2">
      <c r="A54" s="612" t="s">
        <v>589</v>
      </c>
      <c r="B54" s="613">
        <f>B52-B53</f>
        <v>2235206.273798293</v>
      </c>
      <c r="C54" s="613">
        <f t="shared" ref="C54:R54" si="1">C52-C53</f>
        <v>84.587162802907486</v>
      </c>
      <c r="D54" s="613">
        <f t="shared" si="1"/>
        <v>28.355435328434559</v>
      </c>
      <c r="E54" s="613">
        <f t="shared" si="1"/>
        <v>2245088.9047188098</v>
      </c>
      <c r="F54" s="613">
        <f t="shared" si="1"/>
        <v>408707.10283992602</v>
      </c>
      <c r="G54" s="614">
        <f t="shared" si="1"/>
        <v>1.4499109604589402</v>
      </c>
      <c r="H54" s="614">
        <f t="shared" si="1"/>
        <v>1.3687191531568692</v>
      </c>
      <c r="I54" s="614">
        <f>I52-I53</f>
        <v>409110.41092240537</v>
      </c>
      <c r="J54" s="613">
        <f t="shared" si="1"/>
        <v>0</v>
      </c>
      <c r="K54" s="613">
        <f t="shared" si="1"/>
        <v>31.749657894538608</v>
      </c>
      <c r="L54" s="613">
        <f t="shared" si="1"/>
        <v>37.969114567133992</v>
      </c>
      <c r="M54" s="613">
        <f t="shared" si="1"/>
        <v>10950.805781337589</v>
      </c>
      <c r="N54" s="613">
        <f t="shared" si="1"/>
        <v>0</v>
      </c>
      <c r="O54" s="613">
        <f t="shared" si="1"/>
        <v>0</v>
      </c>
      <c r="P54" s="613">
        <f t="shared" si="1"/>
        <v>2643913.3766382192</v>
      </c>
      <c r="Q54" s="613">
        <f t="shared" si="1"/>
        <v>117.78673165790504</v>
      </c>
      <c r="R54" s="613">
        <f t="shared" si="1"/>
        <v>67.693269048725426</v>
      </c>
      <c r="S54" s="613">
        <f>S52-S53</f>
        <v>2665150.1214225525</v>
      </c>
    </row>
    <row r="55" spans="1:56" s="73" customFormat="1" ht="12.75" outlineLevel="2">
      <c r="B55" s="410"/>
      <c r="C55" s="410"/>
      <c r="D55" s="410"/>
      <c r="E55" s="410"/>
      <c r="F55" s="410"/>
      <c r="G55" s="412"/>
      <c r="H55" s="412"/>
      <c r="I55" s="410"/>
      <c r="J55" s="410"/>
      <c r="K55" s="412"/>
      <c r="L55" s="411"/>
      <c r="M55" s="411"/>
      <c r="N55" s="411"/>
    </row>
    <row r="56" spans="1:56" ht="16.5" customHeight="1" outlineLevel="2">
      <c r="A56" s="1195" t="s">
        <v>189</v>
      </c>
      <c r="B56" s="1196"/>
      <c r="C56" s="391"/>
      <c r="D56" s="391"/>
      <c r="E56" s="391"/>
      <c r="F56" s="391"/>
      <c r="G56" s="391"/>
      <c r="H56" s="391"/>
      <c r="I56" s="391"/>
      <c r="J56" s="391"/>
      <c r="K56" s="391"/>
      <c r="L56" s="391"/>
      <c r="M56" s="391"/>
      <c r="N56" s="54"/>
      <c r="O56" s="54"/>
      <c r="P56" s="52"/>
      <c r="Q56" s="52"/>
      <c r="R56" s="52"/>
      <c r="S56" s="52"/>
      <c r="T56" s="52"/>
      <c r="U56" s="52"/>
      <c r="V56" s="52"/>
      <c r="W56" s="52"/>
      <c r="X56" s="52"/>
      <c r="Y56" s="52"/>
      <c r="Z56" s="52"/>
      <c r="AA56" s="52"/>
      <c r="AB56" s="73"/>
      <c r="AC56" s="73"/>
      <c r="AD56" s="73"/>
      <c r="AE56" s="73"/>
      <c r="AF56" s="73"/>
      <c r="AG56" s="73"/>
      <c r="AH56" s="73"/>
      <c r="AI56" s="73"/>
      <c r="AJ56" s="73"/>
      <c r="AK56" s="73"/>
      <c r="AL56" s="73"/>
      <c r="AM56" s="73"/>
      <c r="AN56" s="73"/>
      <c r="AO56" s="73"/>
      <c r="AP56" s="73"/>
      <c r="AQ56" s="73"/>
      <c r="AR56" s="73"/>
      <c r="AS56" s="73"/>
      <c r="AT56" s="73"/>
      <c r="AU56" s="73"/>
      <c r="AV56" s="73"/>
      <c r="AW56" s="73"/>
      <c r="AX56" s="73"/>
      <c r="AY56" s="73"/>
      <c r="AZ56" s="73"/>
      <c r="BA56" s="73"/>
      <c r="BB56" s="73"/>
      <c r="BC56" s="73"/>
      <c r="BD56" s="73"/>
    </row>
    <row r="57" spans="1:56" outlineLevel="2">
      <c r="A57" s="319" t="s">
        <v>192</v>
      </c>
      <c r="B57" s="816">
        <v>0.1</v>
      </c>
      <c r="C57" s="391"/>
      <c r="D57" s="391"/>
      <c r="E57" s="391"/>
      <c r="F57" s="391"/>
      <c r="G57" s="391"/>
      <c r="H57" s="391"/>
      <c r="I57" s="391"/>
      <c r="J57" s="391"/>
      <c r="K57" s="391"/>
      <c r="L57" s="391"/>
      <c r="M57" s="391"/>
      <c r="N57" s="413"/>
      <c r="O57" s="54"/>
      <c r="P57" s="52"/>
      <c r="Q57" s="52"/>
      <c r="R57" s="52"/>
      <c r="S57" s="52"/>
      <c r="T57" s="52"/>
      <c r="U57" s="52"/>
      <c r="V57" s="52"/>
      <c r="W57" s="52"/>
      <c r="X57" s="52"/>
      <c r="Y57" s="52"/>
      <c r="Z57" s="52"/>
      <c r="AA57" s="52"/>
      <c r="AB57" s="73"/>
      <c r="AC57" s="73"/>
      <c r="AD57" s="73"/>
      <c r="AE57" s="73"/>
      <c r="AF57" s="73"/>
      <c r="AG57" s="73"/>
      <c r="AH57" s="73"/>
      <c r="AI57" s="73"/>
      <c r="AJ57" s="73"/>
      <c r="AK57" s="73"/>
      <c r="AL57" s="73"/>
      <c r="AM57" s="73"/>
      <c r="AN57" s="73"/>
      <c r="AO57" s="73"/>
      <c r="AP57" s="73"/>
      <c r="AQ57" s="73"/>
      <c r="AR57" s="73"/>
      <c r="AS57" s="73"/>
      <c r="AT57" s="73"/>
      <c r="AU57" s="73"/>
      <c r="AV57" s="73"/>
      <c r="AW57" s="73"/>
      <c r="AX57" s="73"/>
      <c r="AY57" s="73"/>
      <c r="AZ57" s="73"/>
      <c r="BA57" s="73"/>
      <c r="BB57" s="73"/>
      <c r="BC57" s="73"/>
      <c r="BD57" s="73"/>
    </row>
    <row r="58" spans="1:56" outlineLevel="2">
      <c r="A58" s="329" t="s">
        <v>193</v>
      </c>
      <c r="B58" s="816">
        <v>0</v>
      </c>
      <c r="C58" s="391"/>
      <c r="D58" s="391"/>
      <c r="E58" s="391"/>
      <c r="F58" s="391"/>
      <c r="G58" s="391"/>
      <c r="H58" s="391"/>
      <c r="I58" s="391"/>
      <c r="J58" s="391"/>
      <c r="K58" s="391"/>
      <c r="L58" s="391"/>
      <c r="M58" s="391"/>
      <c r="N58" s="54"/>
      <c r="O58" s="54"/>
      <c r="P58" s="52"/>
      <c r="Q58" s="52"/>
      <c r="R58" s="52"/>
      <c r="S58" s="52"/>
      <c r="T58" s="52"/>
      <c r="U58" s="52"/>
      <c r="V58" s="52"/>
      <c r="W58" s="52"/>
      <c r="X58" s="52"/>
      <c r="Y58" s="52"/>
      <c r="Z58" s="52"/>
      <c r="AA58" s="52"/>
      <c r="AB58" s="73"/>
      <c r="AC58" s="73"/>
      <c r="AD58" s="73"/>
      <c r="AE58" s="73"/>
      <c r="AF58" s="73"/>
      <c r="AG58" s="73"/>
      <c r="AH58" s="73"/>
      <c r="AI58" s="73"/>
      <c r="AJ58" s="73"/>
      <c r="AK58" s="73"/>
      <c r="AL58" s="73"/>
      <c r="AM58" s="73"/>
      <c r="AN58" s="73"/>
      <c r="AO58" s="73"/>
      <c r="AP58" s="73"/>
      <c r="AQ58" s="73"/>
      <c r="AR58" s="73"/>
      <c r="AS58" s="73"/>
      <c r="AT58" s="73"/>
      <c r="AU58" s="73"/>
      <c r="AV58" s="73"/>
      <c r="AW58" s="73"/>
      <c r="AX58" s="73"/>
      <c r="AY58" s="73"/>
      <c r="AZ58" s="73"/>
      <c r="BA58" s="73"/>
      <c r="BB58" s="73"/>
      <c r="BC58" s="73"/>
      <c r="BD58" s="73"/>
    </row>
    <row r="59" spans="1:56" ht="16.5" customHeight="1" outlineLevel="2">
      <c r="A59" s="414"/>
      <c r="B59" s="391"/>
      <c r="C59" s="391"/>
      <c r="D59" s="391"/>
      <c r="E59" s="391"/>
      <c r="F59" s="391"/>
      <c r="G59" s="391"/>
      <c r="H59" s="391"/>
      <c r="I59" s="391"/>
      <c r="J59" s="391"/>
      <c r="K59" s="391"/>
      <c r="L59" s="391"/>
      <c r="M59" s="391"/>
      <c r="N59" s="54"/>
      <c r="O59" s="54"/>
      <c r="P59" s="52"/>
      <c r="Q59" s="52"/>
      <c r="R59" s="52"/>
      <c r="S59" s="52"/>
      <c r="T59" s="52"/>
      <c r="U59" s="52"/>
      <c r="V59" s="52"/>
      <c r="W59" s="52"/>
      <c r="X59" s="52"/>
      <c r="Y59" s="52"/>
      <c r="Z59" s="52"/>
      <c r="AA59" s="52"/>
      <c r="AB59" s="73"/>
      <c r="AC59" s="73"/>
      <c r="AD59" s="73"/>
      <c r="AE59" s="73"/>
      <c r="AF59" s="73"/>
      <c r="AG59" s="73"/>
      <c r="AH59" s="73"/>
      <c r="AI59" s="73"/>
      <c r="AJ59" s="73"/>
      <c r="AK59" s="73"/>
      <c r="AL59" s="73"/>
      <c r="AM59" s="73"/>
      <c r="AN59" s="73"/>
      <c r="AO59" s="73"/>
      <c r="AP59" s="73"/>
      <c r="AQ59" s="73"/>
      <c r="AR59" s="73"/>
      <c r="AS59" s="73"/>
      <c r="AT59" s="73"/>
      <c r="AU59" s="73"/>
      <c r="AV59" s="73"/>
      <c r="AW59" s="73"/>
      <c r="AX59" s="73"/>
      <c r="AY59" s="73"/>
      <c r="AZ59" s="73"/>
      <c r="BA59" s="73"/>
      <c r="BB59" s="73"/>
      <c r="BC59" s="73"/>
      <c r="BD59" s="73"/>
    </row>
    <row r="60" spans="1:56" s="73" customFormat="1" ht="28.5" outlineLevel="2">
      <c r="A60" s="563" t="s">
        <v>41</v>
      </c>
      <c r="B60" s="564" t="s">
        <v>769</v>
      </c>
      <c r="C60" s="564" t="s">
        <v>770</v>
      </c>
      <c r="D60" s="564" t="s">
        <v>771</v>
      </c>
      <c r="E60" s="564" t="s">
        <v>772</v>
      </c>
      <c r="F60" s="564" t="s">
        <v>198</v>
      </c>
      <c r="G60" s="564" t="s">
        <v>444</v>
      </c>
      <c r="H60" s="564" t="s">
        <v>773</v>
      </c>
      <c r="I60" s="564" t="s">
        <v>774</v>
      </c>
      <c r="J60" s="564" t="s">
        <v>775</v>
      </c>
      <c r="K60" s="564" t="s">
        <v>776</v>
      </c>
      <c r="L60" s="565" t="s">
        <v>637</v>
      </c>
    </row>
    <row r="61" spans="1:56" s="73" customFormat="1" ht="15" customHeight="1" outlineLevel="2">
      <c r="A61" s="612" t="s">
        <v>403</v>
      </c>
      <c r="B61" s="613">
        <f>$B$65*($B$80)*(1-$B$57)</f>
        <v>1644888744.9650147</v>
      </c>
      <c r="C61" s="613">
        <f>$B$65*($C$80+$D$80)*(1-$B$57)</f>
        <v>3185343972.2145047</v>
      </c>
      <c r="D61" s="613">
        <f>$B$65*$E$80*(1-$B$57)</f>
        <v>98022383.792796418</v>
      </c>
      <c r="E61" s="613">
        <f>$B$65*$I$80*(1-$B$57)</f>
        <v>14067490.887145802</v>
      </c>
      <c r="F61" s="613">
        <f>$B$65*$F$80</f>
        <v>1698563.3467214112</v>
      </c>
      <c r="G61" s="613">
        <f>B65*$G$80</f>
        <v>12915096.038478082</v>
      </c>
      <c r="H61" s="613">
        <f>$B$65*$H$80</f>
        <v>283007694.16428822</v>
      </c>
      <c r="I61" s="613">
        <f>$B$65*$B$80*$B$57</f>
        <v>182765416.10722387</v>
      </c>
      <c r="J61" s="615">
        <f>$B$65*($C$80+$D$80)*$B$57</f>
        <v>353927108.02383387</v>
      </c>
      <c r="K61" s="615">
        <f>$B$65*$E$80*$B$57</f>
        <v>10891375.97697738</v>
      </c>
      <c r="L61" s="615">
        <f>$B$65*$I$80*$B$57</f>
        <v>1563054.5430162002</v>
      </c>
    </row>
    <row r="62" spans="1:56" s="73" customFormat="1" ht="15" customHeight="1" outlineLevel="2">
      <c r="A62" s="1047" t="s">
        <v>1386</v>
      </c>
      <c r="B62" s="613">
        <f>($B$61/$B$70)</f>
        <v>68252645.019295216</v>
      </c>
      <c r="C62" s="613">
        <f>+($C$61/$B$71)</f>
        <v>172180755.25483808</v>
      </c>
      <c r="D62" s="613">
        <f>+($D$61/$B$74)</f>
        <v>13864552.163054656</v>
      </c>
      <c r="E62" s="613">
        <f>($E$61/$B$76)</f>
        <v>281349.81774291606</v>
      </c>
      <c r="F62" s="613">
        <f>($F$61/$B$72)</f>
        <v>52424.794651895412</v>
      </c>
      <c r="G62" s="613">
        <f>+($G$61/$B$73)</f>
        <v>584393.48590398557</v>
      </c>
      <c r="H62" s="613">
        <f>+($H$61/$B$75)</f>
        <v>42945021.876219764</v>
      </c>
      <c r="I62" s="613">
        <f>B62/(1-$B$57)*$B$57</f>
        <v>7583627.224366135</v>
      </c>
      <c r="J62" s="613">
        <f t="shared" ref="J62:L62" si="2">C62/(1-$B$57)*$B$57</f>
        <v>19131195.028315343</v>
      </c>
      <c r="K62" s="613">
        <f t="shared" si="2"/>
        <v>1540505.7958949618</v>
      </c>
      <c r="L62" s="613">
        <f t="shared" si="2"/>
        <v>31261.090860324006</v>
      </c>
    </row>
    <row r="63" spans="1:56" s="73" customFormat="1" ht="15" customHeight="1" outlineLevel="2">
      <c r="A63" s="415"/>
      <c r="B63" s="608"/>
      <c r="C63" s="608"/>
      <c r="D63" s="411"/>
      <c r="E63" s="411"/>
      <c r="F63" s="411"/>
      <c r="G63" s="411"/>
      <c r="H63" s="411"/>
      <c r="I63" s="411"/>
      <c r="J63" s="410"/>
      <c r="K63" s="410"/>
    </row>
    <row r="64" spans="1:56" ht="45.75" customHeight="1" outlineLevel="2">
      <c r="A64" s="563" t="s">
        <v>61</v>
      </c>
      <c r="B64" s="564" t="s">
        <v>194</v>
      </c>
      <c r="C64" s="564" t="s">
        <v>195</v>
      </c>
      <c r="D64" s="564" t="s">
        <v>196</v>
      </c>
      <c r="E64" s="564" t="s">
        <v>383</v>
      </c>
      <c r="F64" s="564" t="s">
        <v>384</v>
      </c>
      <c r="G64" s="564" t="s">
        <v>385</v>
      </c>
      <c r="H64" s="565" t="s">
        <v>386</v>
      </c>
      <c r="I64" s="54"/>
      <c r="J64" s="54"/>
      <c r="K64" s="54"/>
      <c r="L64" s="52"/>
      <c r="M64" s="52"/>
      <c r="N64" s="52"/>
      <c r="O64" s="52"/>
      <c r="P64" s="52"/>
      <c r="Q64" s="52"/>
      <c r="R64" s="52"/>
      <c r="S64" s="52"/>
      <c r="T64" s="52"/>
      <c r="U64" s="52"/>
      <c r="V64" s="52"/>
      <c r="W64" s="52"/>
      <c r="X64" s="73"/>
      <c r="Y64" s="73"/>
      <c r="Z64" s="73"/>
      <c r="AA64" s="73"/>
      <c r="AB64" s="73"/>
      <c r="AC64" s="73"/>
      <c r="AD64" s="73"/>
      <c r="AE64" s="73"/>
      <c r="AF64" s="73"/>
      <c r="AG64" s="73"/>
      <c r="AH64" s="73"/>
      <c r="AI64" s="73"/>
      <c r="AJ64" s="73"/>
      <c r="AK64" s="73"/>
      <c r="AL64" s="73"/>
      <c r="AM64" s="73"/>
      <c r="AN64" s="73"/>
      <c r="AO64" s="73"/>
      <c r="AP64" s="73"/>
      <c r="AQ64" s="73"/>
      <c r="AR64" s="73"/>
      <c r="AS64" s="73"/>
      <c r="AT64" s="73"/>
      <c r="AU64" s="73"/>
      <c r="AV64" s="73"/>
      <c r="AW64" s="73"/>
      <c r="AX64" s="73"/>
      <c r="AY64" s="73"/>
      <c r="AZ64" s="73"/>
    </row>
    <row r="65" spans="1:56" ht="15" customHeight="1" outlineLevel="2">
      <c r="A65" s="616">
        <v>2019</v>
      </c>
      <c r="B65" s="330">
        <f>17127487.87*338</f>
        <v>5789090900.0600004</v>
      </c>
      <c r="C65" s="331">
        <f>B61+C61+D61+E61</f>
        <v>4942322591.8594618</v>
      </c>
      <c r="D65" s="331">
        <f>F61+G61+H61</f>
        <v>297621353.54948771</v>
      </c>
      <c r="E65" s="331">
        <f>I61+J61+K61+L61</f>
        <v>549146954.65105128</v>
      </c>
      <c r="F65" s="615">
        <f>($B$61/$B$70)+($C$61/$B$71)+($D$61/$B$74)+($E$61/$B$76)</f>
        <v>254579302.25493085</v>
      </c>
      <c r="G65" s="615">
        <f>($F$61/$B$72)+($G$61/$B$73)+($H$61/$B$75)</f>
        <v>43581840.156775646</v>
      </c>
      <c r="H65" s="615">
        <f>F65/(1-B57)*B57</f>
        <v>28286589.139436767</v>
      </c>
      <c r="I65" s="413"/>
      <c r="J65" s="54"/>
      <c r="K65" s="54"/>
      <c r="L65" s="52"/>
      <c r="M65" s="52"/>
      <c r="N65" s="52"/>
      <c r="O65" s="52"/>
      <c r="P65" s="52"/>
      <c r="Q65" s="52"/>
      <c r="R65" s="52"/>
      <c r="S65" s="52"/>
      <c r="T65" s="52"/>
      <c r="U65" s="52"/>
      <c r="V65" s="52"/>
      <c r="W65" s="52"/>
      <c r="X65" s="73"/>
      <c r="Y65" s="73"/>
      <c r="Z65" s="73"/>
      <c r="AA65" s="73"/>
      <c r="AB65" s="73"/>
      <c r="AC65" s="73"/>
      <c r="AD65" s="73"/>
      <c r="AE65" s="73"/>
      <c r="AF65" s="73"/>
      <c r="AG65" s="73"/>
      <c r="AH65" s="73"/>
      <c r="AI65" s="73"/>
      <c r="AJ65" s="73"/>
      <c r="AK65" s="73"/>
      <c r="AL65" s="73"/>
      <c r="AM65" s="73"/>
      <c r="AN65" s="73"/>
      <c r="AO65" s="73"/>
      <c r="AP65" s="73"/>
      <c r="AQ65" s="73"/>
      <c r="AR65" s="73"/>
      <c r="AS65" s="73"/>
      <c r="AT65" s="73"/>
      <c r="AU65" s="73"/>
      <c r="AV65" s="73"/>
      <c r="AW65" s="73"/>
      <c r="AX65" s="73"/>
      <c r="AY65" s="73"/>
      <c r="AZ65" s="73"/>
    </row>
    <row r="66" spans="1:56" s="2" customFormat="1" ht="15" customHeight="1" outlineLevel="2">
      <c r="A66" s="617" t="s">
        <v>78</v>
      </c>
      <c r="B66" s="618">
        <f>SUM(B65)</f>
        <v>5789090900.0600004</v>
      </c>
      <c r="C66" s="618">
        <f>SUM(C65)</f>
        <v>4942322591.8594618</v>
      </c>
      <c r="D66" s="618">
        <f>SUM(D65)</f>
        <v>297621353.54948771</v>
      </c>
      <c r="E66" s="618">
        <f t="shared" ref="E66:H66" si="3">SUM(E65)</f>
        <v>549146954.65105128</v>
      </c>
      <c r="F66" s="618">
        <f t="shared" si="3"/>
        <v>254579302.25493085</v>
      </c>
      <c r="G66" s="618">
        <f t="shared" si="3"/>
        <v>43581840.156775646</v>
      </c>
      <c r="H66" s="618">
        <f t="shared" si="3"/>
        <v>28286589.139436767</v>
      </c>
      <c r="I66" s="52"/>
      <c r="J66" s="52"/>
      <c r="K66" s="52"/>
      <c r="L66" s="52"/>
      <c r="M66" s="52"/>
      <c r="N66" s="52"/>
      <c r="O66" s="52"/>
      <c r="P66" s="52"/>
      <c r="Q66" s="52"/>
      <c r="R66" s="52"/>
      <c r="S66" s="52"/>
      <c r="T66" s="52"/>
      <c r="U66" s="52"/>
      <c r="V66" s="52"/>
      <c r="W66" s="52"/>
      <c r="X66" s="73"/>
      <c r="Y66" s="73"/>
      <c r="Z66" s="73"/>
      <c r="AA66" s="73"/>
      <c r="AB66" s="73"/>
      <c r="AC66" s="73"/>
      <c r="AD66" s="73"/>
      <c r="AE66" s="73"/>
      <c r="AF66" s="73"/>
      <c r="AG66" s="73"/>
      <c r="AH66" s="73"/>
      <c r="AI66" s="73"/>
      <c r="AJ66" s="73"/>
      <c r="AK66" s="73"/>
      <c r="AL66" s="73"/>
      <c r="AM66" s="73"/>
      <c r="AN66" s="73"/>
      <c r="AO66" s="73"/>
      <c r="AP66" s="73"/>
      <c r="AQ66" s="73"/>
      <c r="AR66" s="73"/>
      <c r="AS66" s="73"/>
      <c r="AT66" s="73"/>
      <c r="AU66" s="73"/>
      <c r="AV66" s="73"/>
      <c r="AW66" s="73"/>
      <c r="AX66" s="73"/>
      <c r="AY66" s="73"/>
      <c r="AZ66" s="73"/>
    </row>
    <row r="67" spans="1:56" ht="15" customHeight="1" outlineLevel="2">
      <c r="A67" s="54"/>
      <c r="B67" s="54"/>
      <c r="C67" s="54"/>
      <c r="D67" s="54"/>
      <c r="E67" s="54"/>
      <c r="F67" s="54"/>
      <c r="G67" s="157"/>
      <c r="H67" s="158"/>
      <c r="I67" s="54"/>
      <c r="J67" s="54"/>
      <c r="K67" s="54"/>
      <c r="L67" s="54"/>
      <c r="M67" s="54"/>
      <c r="N67" s="54"/>
      <c r="O67" s="54"/>
      <c r="P67" s="52"/>
      <c r="Q67" s="52"/>
      <c r="R67" s="52"/>
      <c r="S67" s="52"/>
      <c r="T67" s="52"/>
      <c r="U67" s="52"/>
      <c r="V67" s="52"/>
      <c r="W67" s="52"/>
      <c r="X67" s="52"/>
      <c r="Y67" s="52"/>
      <c r="Z67" s="52"/>
      <c r="AA67" s="52"/>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row>
    <row r="68" spans="1:56" ht="15.75" outlineLevel="2">
      <c r="A68" s="1160" t="s">
        <v>777</v>
      </c>
      <c r="B68" s="1162"/>
      <c r="C68" s="54"/>
      <c r="D68" s="54"/>
      <c r="E68" s="54"/>
      <c r="F68" s="54"/>
      <c r="G68" s="157"/>
      <c r="H68" s="158"/>
      <c r="I68" s="54"/>
      <c r="J68" s="54"/>
      <c r="K68" s="54"/>
      <c r="L68" s="54"/>
      <c r="M68" s="54"/>
      <c r="N68" s="54"/>
      <c r="O68" s="54"/>
      <c r="P68" s="52"/>
      <c r="Q68" s="52"/>
      <c r="R68" s="52"/>
      <c r="S68" s="52"/>
      <c r="T68" s="52"/>
      <c r="U68" s="52"/>
      <c r="V68" s="52"/>
      <c r="W68" s="52"/>
      <c r="X68" s="52"/>
      <c r="Y68" s="52"/>
      <c r="Z68" s="52"/>
      <c r="AA68" s="52"/>
      <c r="AB68" s="73"/>
      <c r="AC68" s="73"/>
      <c r="AD68" s="73"/>
      <c r="AE68" s="73"/>
      <c r="AF68" s="73"/>
      <c r="AG68" s="73"/>
      <c r="AH68" s="73"/>
      <c r="AI68" s="73"/>
      <c r="AJ68" s="73"/>
      <c r="AK68" s="73"/>
      <c r="AL68" s="73"/>
      <c r="AM68" s="73"/>
      <c r="AN68" s="73"/>
      <c r="AO68" s="73"/>
      <c r="AP68" s="73"/>
      <c r="AQ68" s="73"/>
      <c r="AR68" s="73"/>
      <c r="AS68" s="73"/>
      <c r="AT68" s="73"/>
      <c r="AU68" s="73"/>
      <c r="AV68" s="73"/>
      <c r="AW68" s="73"/>
      <c r="AX68" s="73"/>
      <c r="AY68" s="73"/>
      <c r="AZ68" s="73"/>
      <c r="BA68" s="73"/>
      <c r="BB68" s="73"/>
      <c r="BC68" s="73"/>
      <c r="BD68" s="73"/>
    </row>
    <row r="69" spans="1:56" ht="14.25" outlineLevel="2">
      <c r="A69" s="563" t="s">
        <v>83</v>
      </c>
      <c r="B69" s="565" t="s">
        <v>197</v>
      </c>
      <c r="C69" s="54"/>
      <c r="D69" s="54"/>
      <c r="E69" s="54"/>
      <c r="F69" s="54"/>
      <c r="G69" s="157"/>
      <c r="H69" s="158"/>
      <c r="I69" s="54"/>
      <c r="J69" s="54"/>
      <c r="K69" s="54"/>
      <c r="L69" s="54"/>
      <c r="M69" s="54"/>
      <c r="N69" s="54"/>
      <c r="O69" s="54"/>
      <c r="P69" s="52"/>
      <c r="Q69" s="52"/>
      <c r="R69" s="52"/>
      <c r="S69" s="52"/>
      <c r="T69" s="52"/>
      <c r="U69" s="52"/>
      <c r="V69" s="52"/>
      <c r="W69" s="52"/>
      <c r="X69" s="52"/>
      <c r="Y69" s="52"/>
      <c r="Z69" s="52"/>
      <c r="AA69" s="52"/>
      <c r="AB69" s="73"/>
      <c r="AC69" s="73"/>
      <c r="AD69" s="73"/>
      <c r="AE69" s="73"/>
      <c r="AF69" s="73"/>
      <c r="AG69" s="73"/>
      <c r="AH69" s="73"/>
      <c r="AI69" s="73"/>
      <c r="AJ69" s="73"/>
      <c r="AK69" s="73"/>
      <c r="AL69" s="73"/>
      <c r="AM69" s="73"/>
      <c r="AN69" s="73"/>
      <c r="AO69" s="73"/>
      <c r="AP69" s="73"/>
      <c r="AQ69" s="73"/>
      <c r="AR69" s="73"/>
      <c r="AS69" s="73"/>
      <c r="AT69" s="73"/>
      <c r="AU69" s="73"/>
      <c r="AV69" s="73"/>
      <c r="AW69" s="73"/>
      <c r="AX69" s="73"/>
      <c r="AY69" s="73"/>
      <c r="AZ69" s="73"/>
      <c r="BA69" s="73"/>
      <c r="BB69" s="73"/>
      <c r="BC69" s="73"/>
      <c r="BD69" s="73"/>
    </row>
    <row r="70" spans="1:56" outlineLevel="2">
      <c r="A70" s="329" t="s">
        <v>769</v>
      </c>
      <c r="B70" s="837">
        <v>24.1</v>
      </c>
      <c r="C70" s="54"/>
      <c r="D70" s="54"/>
      <c r="E70" s="54"/>
      <c r="F70" s="54"/>
      <c r="G70" s="157"/>
      <c r="H70" s="158"/>
      <c r="I70" s="54"/>
      <c r="J70" s="54"/>
      <c r="K70" s="54"/>
      <c r="L70" s="54"/>
      <c r="M70" s="54"/>
      <c r="N70" s="54"/>
      <c r="O70" s="54"/>
      <c r="P70" s="52"/>
      <c r="Q70" s="52"/>
      <c r="R70" s="52"/>
      <c r="S70" s="52"/>
      <c r="T70" s="52"/>
      <c r="U70" s="52"/>
      <c r="V70" s="52"/>
      <c r="W70" s="52"/>
      <c r="X70" s="52"/>
      <c r="Y70" s="52"/>
      <c r="Z70" s="52"/>
      <c r="AA70" s="52"/>
      <c r="AB70" s="73"/>
      <c r="AC70" s="73"/>
      <c r="AD70" s="73"/>
      <c r="AE70" s="73"/>
      <c r="AF70" s="73"/>
      <c r="AG70" s="73"/>
      <c r="AH70" s="73"/>
      <c r="AI70" s="73"/>
      <c r="AJ70" s="73"/>
      <c r="AK70" s="73"/>
      <c r="AL70" s="73"/>
      <c r="AM70" s="73"/>
      <c r="AN70" s="73"/>
      <c r="AO70" s="73"/>
      <c r="AP70" s="73"/>
      <c r="AQ70" s="73"/>
      <c r="AR70" s="73"/>
      <c r="AS70" s="73"/>
      <c r="AT70" s="73"/>
      <c r="AU70" s="73"/>
      <c r="AV70" s="73"/>
      <c r="AW70" s="73"/>
      <c r="AX70" s="73"/>
      <c r="AY70" s="73"/>
      <c r="AZ70" s="73"/>
      <c r="BA70" s="73"/>
      <c r="BB70" s="73"/>
      <c r="BC70" s="73"/>
      <c r="BD70" s="73"/>
    </row>
    <row r="71" spans="1:56" outlineLevel="2">
      <c r="A71" s="329" t="s">
        <v>770</v>
      </c>
      <c r="B71" s="837">
        <v>18.5</v>
      </c>
      <c r="C71" s="54"/>
      <c r="D71" s="54"/>
      <c r="E71" s="54"/>
      <c r="F71" s="54"/>
      <c r="G71" s="157"/>
      <c r="H71" s="158"/>
      <c r="I71" s="54"/>
      <c r="J71" s="54"/>
      <c r="K71" s="54"/>
      <c r="L71" s="54"/>
      <c r="M71" s="54"/>
      <c r="N71" s="54"/>
      <c r="O71" s="54"/>
      <c r="P71" s="52"/>
      <c r="Q71" s="52"/>
      <c r="R71" s="52"/>
      <c r="S71" s="52"/>
      <c r="T71" s="52"/>
      <c r="U71" s="52"/>
      <c r="V71" s="52"/>
      <c r="W71" s="52"/>
      <c r="X71" s="52"/>
      <c r="Y71" s="52"/>
      <c r="Z71" s="52"/>
      <c r="AA71" s="52"/>
      <c r="AB71" s="73"/>
      <c r="AC71" s="73"/>
      <c r="AD71" s="73"/>
      <c r="AE71" s="73"/>
      <c r="AF71" s="73"/>
      <c r="AG71" s="73"/>
      <c r="AH71" s="73"/>
      <c r="AI71" s="73"/>
      <c r="AJ71" s="73"/>
      <c r="AK71" s="73"/>
      <c r="AL71" s="73"/>
      <c r="AM71" s="73"/>
      <c r="AN71" s="73"/>
      <c r="AO71" s="73"/>
      <c r="AP71" s="73"/>
      <c r="AQ71" s="73"/>
      <c r="AR71" s="73"/>
      <c r="AS71" s="73"/>
      <c r="AT71" s="73"/>
      <c r="AU71" s="73"/>
      <c r="AV71" s="73"/>
      <c r="AW71" s="73"/>
      <c r="AX71" s="73"/>
      <c r="AY71" s="73"/>
      <c r="AZ71" s="73"/>
      <c r="BA71" s="73"/>
      <c r="BB71" s="73"/>
      <c r="BC71" s="73"/>
      <c r="BD71" s="73"/>
    </row>
    <row r="72" spans="1:56" outlineLevel="2">
      <c r="A72" s="329" t="s">
        <v>198</v>
      </c>
      <c r="B72" s="837">
        <v>32.4</v>
      </c>
      <c r="C72" s="54"/>
      <c r="D72" s="54"/>
      <c r="E72" s="54"/>
      <c r="F72" s="54"/>
      <c r="G72" s="157"/>
      <c r="H72" s="158"/>
      <c r="I72" s="54"/>
      <c r="J72" s="54"/>
      <c r="K72" s="54"/>
      <c r="L72" s="54"/>
      <c r="M72" s="54"/>
      <c r="N72" s="54"/>
      <c r="O72" s="54"/>
      <c r="P72" s="52"/>
      <c r="Q72" s="52"/>
      <c r="R72" s="52"/>
      <c r="S72" s="52"/>
      <c r="T72" s="52"/>
      <c r="U72" s="52"/>
      <c r="V72" s="52"/>
      <c r="W72" s="52"/>
      <c r="X72" s="52"/>
      <c r="Y72" s="52"/>
      <c r="Z72" s="52"/>
      <c r="AA72" s="52"/>
      <c r="AB72" s="73"/>
      <c r="AC72" s="73"/>
      <c r="AD72" s="73"/>
      <c r="AE72" s="73"/>
      <c r="AF72" s="73"/>
      <c r="AG72" s="73"/>
      <c r="AH72" s="73"/>
      <c r="AI72" s="73"/>
      <c r="AJ72" s="73"/>
      <c r="AK72" s="73"/>
      <c r="AL72" s="73"/>
      <c r="AM72" s="73"/>
      <c r="AN72" s="73"/>
      <c r="AO72" s="73"/>
      <c r="AP72" s="73"/>
      <c r="AQ72" s="73"/>
      <c r="AR72" s="73"/>
      <c r="AS72" s="73"/>
      <c r="AT72" s="73"/>
      <c r="AU72" s="73"/>
      <c r="AV72" s="73"/>
      <c r="AW72" s="73"/>
      <c r="AX72" s="73"/>
      <c r="AY72" s="73"/>
      <c r="AZ72" s="73"/>
      <c r="BA72" s="73"/>
      <c r="BB72" s="73"/>
      <c r="BC72" s="73"/>
      <c r="BD72" s="73"/>
    </row>
    <row r="73" spans="1:56" outlineLevel="2">
      <c r="A73" s="329" t="s">
        <v>444</v>
      </c>
      <c r="B73" s="837">
        <v>22.1</v>
      </c>
      <c r="C73" s="54"/>
      <c r="D73" s="54"/>
      <c r="E73" s="54"/>
      <c r="F73" s="54"/>
      <c r="G73" s="54"/>
      <c r="H73" s="54"/>
      <c r="I73" s="54"/>
      <c r="J73" s="54"/>
      <c r="K73" s="54"/>
      <c r="L73" s="54"/>
      <c r="M73" s="54"/>
      <c r="N73" s="54"/>
      <c r="O73" s="54"/>
      <c r="P73" s="52"/>
      <c r="Q73" s="52"/>
      <c r="R73" s="52"/>
      <c r="S73" s="52"/>
      <c r="T73" s="52"/>
      <c r="U73" s="52"/>
      <c r="V73" s="52"/>
      <c r="W73" s="52"/>
      <c r="X73" s="52"/>
      <c r="Y73" s="52"/>
      <c r="Z73" s="52"/>
      <c r="AA73" s="52"/>
      <c r="AB73" s="73"/>
      <c r="AC73" s="73"/>
      <c r="AD73" s="73"/>
      <c r="AE73" s="73"/>
      <c r="AF73" s="73"/>
      <c r="AG73" s="73"/>
      <c r="AH73" s="73"/>
      <c r="AI73" s="73"/>
      <c r="AJ73" s="73"/>
      <c r="AK73" s="73"/>
      <c r="AL73" s="73"/>
      <c r="AM73" s="73"/>
      <c r="AN73" s="73"/>
      <c r="AO73" s="73"/>
      <c r="AP73" s="73"/>
      <c r="AQ73" s="73"/>
      <c r="AR73" s="73"/>
      <c r="AS73" s="73"/>
      <c r="AT73" s="73"/>
      <c r="AU73" s="73"/>
      <c r="AV73" s="73"/>
      <c r="AW73" s="73"/>
      <c r="AX73" s="73"/>
      <c r="AY73" s="73"/>
      <c r="AZ73" s="73"/>
      <c r="BA73" s="73"/>
      <c r="BB73" s="73"/>
      <c r="BC73" s="73"/>
      <c r="BD73" s="73"/>
    </row>
    <row r="74" spans="1:56" outlineLevel="2">
      <c r="A74" s="329" t="s">
        <v>771</v>
      </c>
      <c r="B74" s="838">
        <v>7.07</v>
      </c>
      <c r="C74" s="54"/>
      <c r="D74" s="54"/>
      <c r="E74" s="54"/>
      <c r="F74" s="54"/>
      <c r="G74" s="54"/>
      <c r="H74" s="54"/>
      <c r="I74" s="54"/>
      <c r="J74" s="54"/>
      <c r="K74" s="54"/>
      <c r="L74" s="54"/>
      <c r="M74" s="54"/>
      <c r="N74" s="54"/>
      <c r="O74" s="54"/>
      <c r="P74" s="52"/>
      <c r="Q74" s="52"/>
      <c r="R74" s="52"/>
      <c r="S74" s="52"/>
      <c r="T74" s="52"/>
      <c r="U74" s="52"/>
      <c r="V74" s="52"/>
      <c r="W74" s="52"/>
      <c r="X74" s="52"/>
      <c r="Y74" s="52"/>
      <c r="Z74" s="52"/>
      <c r="AA74" s="52"/>
      <c r="AB74" s="73"/>
      <c r="AC74" s="73"/>
      <c r="AD74" s="73"/>
      <c r="AE74" s="73"/>
      <c r="AF74" s="73"/>
      <c r="AG74" s="73"/>
      <c r="AH74" s="73"/>
      <c r="AI74" s="73"/>
      <c r="AJ74" s="73"/>
      <c r="AK74" s="73"/>
      <c r="AL74" s="73"/>
      <c r="AM74" s="73"/>
      <c r="AN74" s="73"/>
      <c r="AO74" s="73"/>
      <c r="AP74" s="73"/>
      <c r="AQ74" s="73"/>
      <c r="AR74" s="73"/>
      <c r="AS74" s="73"/>
      <c r="AT74" s="73"/>
      <c r="AU74" s="73"/>
      <c r="AV74" s="73"/>
      <c r="AW74" s="73"/>
      <c r="AX74" s="73"/>
      <c r="AY74" s="73"/>
      <c r="AZ74" s="73"/>
      <c r="BA74" s="73"/>
      <c r="BB74" s="73"/>
      <c r="BC74" s="73"/>
      <c r="BD74" s="73"/>
    </row>
    <row r="75" spans="1:56" outlineLevel="2">
      <c r="A75" s="329" t="s">
        <v>773</v>
      </c>
      <c r="B75" s="838">
        <v>6.59</v>
      </c>
      <c r="C75" s="54"/>
      <c r="D75" s="54"/>
      <c r="E75" s="54"/>
      <c r="F75" s="54"/>
      <c r="G75" s="54"/>
      <c r="H75" s="54"/>
      <c r="I75" s="54"/>
      <c r="J75" s="54"/>
      <c r="K75" s="54"/>
      <c r="L75" s="54"/>
      <c r="M75" s="54"/>
      <c r="N75" s="54"/>
      <c r="O75" s="54"/>
      <c r="P75" s="52"/>
      <c r="Q75" s="52"/>
      <c r="R75" s="52"/>
      <c r="S75" s="52"/>
      <c r="T75" s="52"/>
      <c r="U75" s="52"/>
      <c r="V75" s="52"/>
      <c r="W75" s="52"/>
      <c r="X75" s="52"/>
      <c r="Y75" s="52"/>
      <c r="Z75" s="52"/>
      <c r="AA75" s="52"/>
      <c r="AB75" s="73"/>
      <c r="AC75" s="73"/>
      <c r="AD75" s="73"/>
      <c r="AE75" s="73"/>
      <c r="AF75" s="73"/>
      <c r="AG75" s="73"/>
      <c r="AH75" s="73"/>
      <c r="AI75" s="73"/>
      <c r="AJ75" s="73"/>
      <c r="AK75" s="73"/>
      <c r="AL75" s="73"/>
      <c r="AM75" s="73"/>
      <c r="AN75" s="73"/>
      <c r="AO75" s="73"/>
      <c r="AP75" s="73"/>
      <c r="AQ75" s="73"/>
      <c r="AR75" s="73"/>
      <c r="AS75" s="73"/>
      <c r="AT75" s="73"/>
      <c r="AU75" s="73"/>
      <c r="AV75" s="73"/>
      <c r="AW75" s="73"/>
      <c r="AX75" s="73"/>
      <c r="AY75" s="73"/>
      <c r="AZ75" s="73"/>
      <c r="BA75" s="73"/>
      <c r="BB75" s="73"/>
      <c r="BC75" s="73"/>
      <c r="BD75" s="73"/>
    </row>
    <row r="76" spans="1:56" outlineLevel="2">
      <c r="A76" s="329" t="s">
        <v>772</v>
      </c>
      <c r="B76" s="837">
        <v>50</v>
      </c>
      <c r="C76" s="54"/>
      <c r="D76" s="54"/>
      <c r="E76" s="54"/>
      <c r="F76" s="54"/>
      <c r="G76" s="54"/>
      <c r="H76" s="54"/>
      <c r="I76" s="54"/>
      <c r="J76" s="54"/>
      <c r="K76" s="54"/>
      <c r="L76" s="54"/>
      <c r="M76" s="54"/>
      <c r="N76" s="54"/>
      <c r="O76" s="54"/>
      <c r="P76" s="52"/>
      <c r="Q76" s="52"/>
      <c r="R76" s="52"/>
      <c r="S76" s="52"/>
      <c r="T76" s="52"/>
      <c r="U76" s="52"/>
      <c r="V76" s="52"/>
      <c r="W76" s="52"/>
      <c r="X76" s="52"/>
      <c r="Y76" s="52"/>
      <c r="Z76" s="52"/>
      <c r="AA76" s="52"/>
      <c r="AB76" s="73"/>
      <c r="AC76" s="73"/>
      <c r="AD76" s="73"/>
      <c r="AE76" s="73"/>
      <c r="AF76" s="73"/>
      <c r="AG76" s="73"/>
      <c r="AH76" s="73"/>
      <c r="AI76" s="73"/>
      <c r="AJ76" s="73"/>
      <c r="AK76" s="73"/>
      <c r="AL76" s="73"/>
      <c r="AM76" s="73"/>
      <c r="AN76" s="73"/>
      <c r="AO76" s="73"/>
      <c r="AP76" s="73"/>
      <c r="AQ76" s="73"/>
      <c r="AR76" s="73"/>
      <c r="AS76" s="73"/>
      <c r="AT76" s="73"/>
      <c r="AU76" s="73"/>
      <c r="AV76" s="73"/>
      <c r="AW76" s="73"/>
      <c r="AX76" s="73"/>
      <c r="AY76" s="73"/>
      <c r="AZ76" s="73"/>
      <c r="BA76" s="73"/>
      <c r="BB76" s="73"/>
      <c r="BC76" s="73"/>
      <c r="BD76" s="73"/>
    </row>
    <row r="77" spans="1:56" ht="12.75" outlineLevel="2">
      <c r="A77" s="54"/>
      <c r="B77" s="54"/>
      <c r="C77" s="54"/>
      <c r="D77" s="54"/>
      <c r="E77" s="54"/>
      <c r="F77" s="54"/>
      <c r="G77" s="54"/>
      <c r="H77" s="54"/>
      <c r="I77" s="54"/>
      <c r="J77" s="54"/>
      <c r="K77" s="54"/>
      <c r="L77" s="54"/>
      <c r="M77" s="54"/>
      <c r="N77" s="54"/>
      <c r="O77" s="54"/>
      <c r="P77" s="52"/>
      <c r="Q77" s="52"/>
      <c r="R77" s="52"/>
      <c r="S77" s="52"/>
      <c r="T77" s="52"/>
      <c r="U77" s="52"/>
      <c r="V77" s="52"/>
      <c r="W77" s="52"/>
      <c r="X77" s="52"/>
      <c r="Y77" s="52"/>
      <c r="Z77" s="52"/>
      <c r="AA77" s="52"/>
      <c r="AB77" s="73"/>
      <c r="AC77" s="73"/>
      <c r="AD77" s="73"/>
      <c r="AE77" s="73"/>
      <c r="AF77" s="73"/>
      <c r="AG77" s="73"/>
      <c r="AH77" s="73"/>
      <c r="AI77" s="73"/>
      <c r="AJ77" s="73"/>
      <c r="AK77" s="73"/>
      <c r="AL77" s="73"/>
      <c r="AM77" s="73"/>
      <c r="AN77" s="73"/>
      <c r="AO77" s="73"/>
      <c r="AP77" s="73"/>
      <c r="AQ77" s="73"/>
      <c r="AR77" s="73"/>
      <c r="AS77" s="73"/>
      <c r="AT77" s="73"/>
      <c r="AU77" s="73"/>
      <c r="AV77" s="73"/>
      <c r="AW77" s="73"/>
      <c r="AX77" s="73"/>
      <c r="AY77" s="73"/>
      <c r="AZ77" s="73"/>
      <c r="BA77" s="73"/>
      <c r="BB77" s="73"/>
      <c r="BC77" s="73"/>
      <c r="BD77" s="73"/>
    </row>
    <row r="78" spans="1:56" ht="16.149999999999999" customHeight="1" outlineLevel="2">
      <c r="A78" s="1160" t="s">
        <v>486</v>
      </c>
      <c r="B78" s="1161"/>
      <c r="C78" s="1161"/>
      <c r="D78" s="1161"/>
      <c r="E78" s="1161"/>
      <c r="F78" s="1161"/>
      <c r="G78" s="1161"/>
      <c r="H78" s="1161"/>
      <c r="I78" s="1161"/>
      <c r="J78" s="1162"/>
      <c r="K78" s="54"/>
      <c r="L78" s="54"/>
      <c r="M78" s="54"/>
      <c r="N78" s="54"/>
      <c r="O78" s="54"/>
      <c r="P78" s="52"/>
      <c r="Q78" s="52"/>
      <c r="R78" s="52"/>
      <c r="S78" s="52"/>
      <c r="T78" s="52"/>
      <c r="U78" s="52"/>
      <c r="V78" s="52"/>
      <c r="W78" s="52"/>
      <c r="X78" s="52"/>
      <c r="Y78" s="52"/>
      <c r="Z78" s="52"/>
      <c r="AA78" s="52"/>
      <c r="AB78" s="73"/>
      <c r="AC78" s="73"/>
      <c r="AD78" s="73"/>
      <c r="AE78" s="73"/>
      <c r="AF78" s="73"/>
      <c r="AG78" s="73"/>
      <c r="AH78" s="73"/>
      <c r="AI78" s="73"/>
      <c r="AJ78" s="73"/>
      <c r="AK78" s="73"/>
      <c r="AL78" s="73"/>
      <c r="AM78" s="73"/>
      <c r="AN78" s="73"/>
      <c r="AO78" s="73"/>
      <c r="AP78" s="73"/>
      <c r="AQ78" s="73"/>
      <c r="AR78" s="73"/>
      <c r="AS78" s="73"/>
      <c r="AT78" s="73"/>
      <c r="AU78" s="73"/>
      <c r="AV78" s="73"/>
      <c r="AW78" s="73"/>
      <c r="AX78" s="73"/>
      <c r="AY78" s="73"/>
      <c r="AZ78" s="73"/>
      <c r="BA78" s="73"/>
      <c r="BB78" s="73"/>
      <c r="BC78" s="73"/>
      <c r="BD78" s="73"/>
    </row>
    <row r="79" spans="1:56" s="156" customFormat="1" ht="42.75" outlineLevel="2">
      <c r="A79" s="563"/>
      <c r="B79" s="563" t="s">
        <v>778</v>
      </c>
      <c r="C79" s="563" t="s">
        <v>779</v>
      </c>
      <c r="D79" s="563" t="s">
        <v>780</v>
      </c>
      <c r="E79" s="563" t="s">
        <v>781</v>
      </c>
      <c r="F79" s="563" t="s">
        <v>487</v>
      </c>
      <c r="G79" s="563" t="s">
        <v>387</v>
      </c>
      <c r="H79" s="563" t="s">
        <v>782</v>
      </c>
      <c r="I79" s="563" t="s">
        <v>783</v>
      </c>
      <c r="J79" s="563" t="s">
        <v>78</v>
      </c>
    </row>
    <row r="80" spans="1:56" s="73" customFormat="1" outlineLevel="2">
      <c r="A80" s="619" t="s">
        <v>199</v>
      </c>
      <c r="B80" s="1040">
        <v>0.31570659238625809</v>
      </c>
      <c r="C80" s="1040">
        <v>0.45590000000000003</v>
      </c>
      <c r="D80" s="1040">
        <v>0.15546906318082787</v>
      </c>
      <c r="E80" s="1040">
        <v>1.8813620592595112E-2</v>
      </c>
      <c r="F80" s="1040">
        <v>2.9340761374187555E-4</v>
      </c>
      <c r="G80" s="1040">
        <v>2.2309368191721132E-3</v>
      </c>
      <c r="H80" s="1040">
        <v>4.8886379407404888E-2</v>
      </c>
      <c r="I80" s="1040">
        <v>2.7000000000000001E-3</v>
      </c>
      <c r="J80" s="781">
        <v>0.99999999999999989</v>
      </c>
    </row>
    <row r="81" spans="1:56" s="73" customFormat="1" outlineLevel="2">
      <c r="A81" s="619" t="s">
        <v>200</v>
      </c>
      <c r="B81" s="1040">
        <v>0.3328169528379884</v>
      </c>
      <c r="C81" s="1040">
        <v>0.48060842712210461</v>
      </c>
      <c r="D81" s="1040">
        <v>0.16389502505260975</v>
      </c>
      <c r="E81" s="1040">
        <v>1.9833262999515627E-2</v>
      </c>
      <c r="F81" s="1040"/>
      <c r="G81" s="1040"/>
      <c r="H81" s="1040"/>
      <c r="I81" s="1040">
        <v>2.846331987781712E-3</v>
      </c>
      <c r="J81" s="781">
        <v>1</v>
      </c>
    </row>
    <row r="82" spans="1:56" s="73" customFormat="1" outlineLevel="2">
      <c r="A82" s="619" t="s">
        <v>201</v>
      </c>
      <c r="B82" s="1040"/>
      <c r="C82" s="1040"/>
      <c r="D82" s="1040"/>
      <c r="E82" s="1040"/>
      <c r="F82" s="1040">
        <v>5.7071286265720795E-3</v>
      </c>
      <c r="G82" s="1040">
        <v>4.3394386472779059E-2</v>
      </c>
      <c r="H82" s="1040">
        <v>0.95089848490064888</v>
      </c>
      <c r="I82" s="1040"/>
      <c r="J82" s="781">
        <v>1</v>
      </c>
    </row>
    <row r="83" spans="1:56" s="2" customFormat="1" ht="15" customHeight="1" outlineLevel="2">
      <c r="AB83" s="73"/>
      <c r="AC83" s="73"/>
      <c r="AD83" s="73"/>
      <c r="AE83" s="73"/>
      <c r="AF83" s="73"/>
      <c r="AG83" s="73"/>
      <c r="AH83" s="73"/>
      <c r="AI83" s="73"/>
      <c r="AJ83" s="73"/>
      <c r="AK83" s="73"/>
      <c r="AL83" s="73"/>
      <c r="AM83" s="73"/>
      <c r="AN83" s="73"/>
      <c r="AO83" s="73"/>
      <c r="AP83" s="73"/>
      <c r="AQ83" s="73"/>
      <c r="AR83" s="73"/>
      <c r="AS83" s="73"/>
      <c r="AT83" s="73"/>
      <c r="AU83" s="73"/>
      <c r="AV83" s="73"/>
      <c r="AW83" s="73"/>
      <c r="AX83" s="73"/>
      <c r="AY83" s="73"/>
      <c r="AZ83" s="73"/>
      <c r="BA83" s="73"/>
      <c r="BB83" s="73"/>
      <c r="BC83" s="73"/>
      <c r="BD83" s="73"/>
    </row>
    <row r="84" spans="1:56" s="2" customFormat="1" ht="15" customHeight="1" outlineLevel="1">
      <c r="A84" s="579" t="s">
        <v>784</v>
      </c>
      <c r="B84" s="580"/>
      <c r="C84" s="580"/>
      <c r="D84" s="580"/>
      <c r="E84" s="580"/>
      <c r="F84" s="581"/>
      <c r="G84" s="416"/>
      <c r="H84" s="416"/>
      <c r="I84" s="416"/>
      <c r="J84" s="416"/>
      <c r="AB84" s="73"/>
      <c r="AC84" s="73"/>
      <c r="AD84" s="73"/>
      <c r="AE84" s="73"/>
      <c r="AF84" s="73"/>
      <c r="AG84" s="73"/>
      <c r="AH84" s="73"/>
      <c r="AI84" s="73"/>
      <c r="AJ84" s="73"/>
      <c r="AK84" s="73"/>
      <c r="AL84" s="73"/>
      <c r="AM84" s="73"/>
      <c r="AN84" s="73"/>
      <c r="AO84" s="73"/>
      <c r="AP84" s="73"/>
      <c r="AQ84" s="73"/>
      <c r="AR84" s="73"/>
      <c r="AS84" s="73"/>
      <c r="AT84" s="73"/>
      <c r="AU84" s="73"/>
      <c r="AV84" s="73"/>
      <c r="AW84" s="73"/>
      <c r="AX84" s="73"/>
      <c r="AY84" s="73"/>
      <c r="AZ84" s="73"/>
      <c r="BA84" s="73"/>
      <c r="BB84" s="73"/>
      <c r="BC84" s="73"/>
      <c r="BD84" s="73"/>
    </row>
    <row r="85" spans="1:56" ht="30" outlineLevel="2">
      <c r="A85" s="620" t="s">
        <v>388</v>
      </c>
      <c r="B85" s="838">
        <v>0.34</v>
      </c>
      <c r="C85" s="416"/>
      <c r="D85" s="416"/>
      <c r="E85" s="416"/>
      <c r="F85" s="416"/>
      <c r="G85" s="416"/>
      <c r="H85" s="416"/>
      <c r="I85" s="416"/>
      <c r="J85" s="416"/>
      <c r="K85" s="2"/>
      <c r="L85" s="2"/>
      <c r="M85" s="2"/>
      <c r="N85" s="2"/>
      <c r="O85" s="2"/>
      <c r="AF85" s="2"/>
    </row>
    <row r="86" spans="1:56" ht="15" customHeight="1" outlineLevel="2">
      <c r="A86" s="417"/>
      <c r="B86" s="418"/>
      <c r="C86" s="73"/>
      <c r="D86" s="73"/>
      <c r="E86" s="73"/>
      <c r="F86" s="73"/>
      <c r="G86" s="73"/>
      <c r="H86" s="73"/>
      <c r="I86" s="73"/>
      <c r="J86" s="73"/>
      <c r="K86" s="2"/>
      <c r="L86" s="2"/>
      <c r="M86" s="2"/>
      <c r="N86" s="2"/>
      <c r="O86" s="2"/>
      <c r="AF86" s="2"/>
      <c r="AG86" s="2"/>
      <c r="AH86" s="2"/>
      <c r="AI86" s="2"/>
      <c r="AJ86" s="2"/>
      <c r="AK86" s="2"/>
      <c r="AL86" s="2"/>
      <c r="AM86" s="2"/>
      <c r="AN86" s="2"/>
      <c r="AO86" s="2"/>
      <c r="AP86" s="2"/>
      <c r="AQ86" s="2"/>
      <c r="AR86" s="2"/>
      <c r="AS86" s="2"/>
      <c r="AT86" s="2"/>
      <c r="AU86" s="2"/>
      <c r="AV86" s="2"/>
      <c r="AW86" s="2"/>
      <c r="AX86" s="2"/>
      <c r="AY86" s="2"/>
      <c r="AZ86" s="2"/>
      <c r="BA86" s="2"/>
      <c r="BB86" s="2"/>
    </row>
    <row r="87" spans="1:56" ht="33" outlineLevel="2">
      <c r="A87" s="390" t="s">
        <v>41</v>
      </c>
      <c r="B87" s="390" t="s">
        <v>1105</v>
      </c>
      <c r="C87" s="390" t="s">
        <v>1106</v>
      </c>
      <c r="D87" s="390" t="s">
        <v>1110</v>
      </c>
      <c r="E87" s="390" t="s">
        <v>1109</v>
      </c>
      <c r="F87" s="73"/>
      <c r="G87" s="73"/>
      <c r="H87" s="73"/>
      <c r="I87" s="73"/>
      <c r="J87" s="73"/>
      <c r="K87" s="2"/>
      <c r="L87" s="2"/>
      <c r="M87" s="2"/>
      <c r="N87" s="2"/>
      <c r="O87" s="2"/>
      <c r="AF87" s="2"/>
      <c r="AG87" s="2"/>
      <c r="AH87" s="2"/>
      <c r="AI87" s="2"/>
      <c r="AJ87" s="2"/>
      <c r="AK87" s="2"/>
      <c r="AL87" s="2"/>
      <c r="AM87" s="2"/>
      <c r="AN87" s="2"/>
      <c r="AO87" s="2"/>
      <c r="AP87" s="2"/>
      <c r="AQ87" s="2"/>
      <c r="AR87" s="2"/>
      <c r="AS87" s="2"/>
      <c r="AT87" s="2"/>
      <c r="AU87" s="2"/>
      <c r="AV87" s="2"/>
      <c r="AW87" s="2"/>
      <c r="AX87" s="2"/>
      <c r="AY87" s="2"/>
      <c r="AZ87" s="2"/>
      <c r="BA87" s="2"/>
      <c r="BB87" s="2"/>
    </row>
    <row r="88" spans="1:56" ht="15" customHeight="1" outlineLevel="2">
      <c r="A88" s="612" t="s">
        <v>785</v>
      </c>
      <c r="B88" s="1039">
        <f>($D$91/'Conversion Factors and GWPs'!$A$6)*'Stationary Energy Data'!C19</f>
        <v>4862.6970000000001</v>
      </c>
      <c r="C88" s="1039">
        <f>($D$91/'Conversion Factors and GWPs'!$A$6)*'Stationary Energy Data'!C20</f>
        <v>0.52781953352505195</v>
      </c>
      <c r="D88" s="1039">
        <f>($D$91/'Conversion Factors and GWPs'!$A$6)*'Stationary Energy Data'!C21</f>
        <v>7.7241882954885641E-2</v>
      </c>
      <c r="E88" s="1038">
        <f>B88+(C88*'Conversion Factors and GWPs'!C14)+(D88*'Conversion Factors and GWPs'!C15)</f>
        <v>4897.9450459217469</v>
      </c>
      <c r="F88" s="73"/>
      <c r="G88" s="73"/>
      <c r="H88" s="73"/>
      <c r="I88" s="73"/>
      <c r="J88" s="73"/>
      <c r="K88" s="2"/>
      <c r="L88" s="2"/>
      <c r="M88" s="2"/>
      <c r="N88" s="2"/>
      <c r="O88" s="2"/>
      <c r="AF88" s="2"/>
      <c r="AG88" s="2"/>
      <c r="AH88" s="2"/>
      <c r="AI88" s="2"/>
      <c r="AJ88" s="2"/>
      <c r="AK88" s="2"/>
      <c r="AL88" s="2"/>
      <c r="AM88" s="2"/>
      <c r="AN88" s="2"/>
      <c r="AO88" s="2"/>
      <c r="AP88" s="2"/>
      <c r="AQ88" s="2"/>
      <c r="AR88" s="2"/>
      <c r="AS88" s="2"/>
      <c r="AT88" s="2"/>
      <c r="AU88" s="2"/>
      <c r="AV88" s="2"/>
      <c r="AW88" s="2"/>
      <c r="AX88" s="2"/>
      <c r="AY88" s="2"/>
      <c r="AZ88" s="2"/>
      <c r="BA88" s="2"/>
      <c r="BB88" s="2"/>
    </row>
    <row r="89" spans="1:56" ht="15" customHeight="1" outlineLevel="2">
      <c r="A89" s="417"/>
      <c r="B89" s="418"/>
      <c r="C89" s="73"/>
      <c r="D89" s="73"/>
      <c r="E89" s="73"/>
      <c r="F89" s="73"/>
      <c r="G89" s="73"/>
      <c r="H89" s="73"/>
      <c r="J89" s="2"/>
      <c r="K89" s="2"/>
      <c r="L89" s="2"/>
      <c r="M89" s="2"/>
      <c r="N89" s="2"/>
      <c r="O89" s="2"/>
      <c r="AF89" s="2"/>
      <c r="AG89" s="2"/>
      <c r="AH89" s="2"/>
      <c r="AI89" s="2"/>
      <c r="AJ89" s="2"/>
      <c r="AK89" s="2"/>
      <c r="AL89" s="2"/>
      <c r="AM89" s="2"/>
      <c r="AN89" s="2"/>
      <c r="AO89" s="2"/>
      <c r="AP89" s="2"/>
      <c r="AQ89" s="2"/>
      <c r="AR89" s="2"/>
      <c r="AS89" s="2"/>
      <c r="AT89" s="2"/>
      <c r="AU89" s="2"/>
      <c r="AV89" s="2"/>
      <c r="AW89" s="2"/>
      <c r="AX89" s="2"/>
      <c r="AY89" s="2"/>
      <c r="AZ89" s="2"/>
      <c r="BA89" s="2"/>
      <c r="BB89" s="2"/>
    </row>
    <row r="90" spans="1:56" ht="71.25" outlineLevel="2">
      <c r="A90" s="390" t="s">
        <v>41</v>
      </c>
      <c r="B90" s="390" t="s">
        <v>786</v>
      </c>
      <c r="C90" s="390" t="s">
        <v>787</v>
      </c>
      <c r="D90" s="390" t="s">
        <v>389</v>
      </c>
      <c r="E90" s="390" t="s">
        <v>399</v>
      </c>
      <c r="F90" s="390" t="s">
        <v>400</v>
      </c>
      <c r="G90" s="73"/>
      <c r="H90" s="73"/>
      <c r="I90" s="73"/>
      <c r="J90" s="73"/>
      <c r="K90" s="2"/>
      <c r="L90" s="2"/>
      <c r="M90" s="2"/>
      <c r="N90" s="2"/>
      <c r="O90" s="2"/>
      <c r="AF90" s="2"/>
      <c r="AG90" s="2"/>
      <c r="AH90" s="2"/>
      <c r="AI90" s="2"/>
      <c r="AJ90" s="2"/>
      <c r="AK90" s="2"/>
      <c r="AL90" s="2"/>
      <c r="AM90" s="2"/>
      <c r="AN90" s="2"/>
      <c r="AO90" s="2"/>
      <c r="AP90" s="2"/>
      <c r="AQ90" s="2"/>
      <c r="AR90" s="2"/>
      <c r="AS90" s="2"/>
      <c r="AT90" s="2"/>
      <c r="AU90" s="2"/>
      <c r="AV90" s="2"/>
      <c r="AW90" s="2"/>
      <c r="AX90" s="2"/>
      <c r="AY90" s="2"/>
      <c r="AZ90" s="2"/>
      <c r="BA90" s="2"/>
      <c r="BB90" s="2"/>
    </row>
    <row r="91" spans="1:56" ht="15" customHeight="1" outlineLevel="2">
      <c r="A91" s="612" t="s">
        <v>785</v>
      </c>
      <c r="B91" s="621">
        <v>3975</v>
      </c>
      <c r="C91" s="839">
        <v>7000</v>
      </c>
      <c r="D91" s="613">
        <f>B85*B91*C91</f>
        <v>9460500</v>
      </c>
      <c r="E91" s="613">
        <f>0.85*D91</f>
        <v>8041425</v>
      </c>
      <c r="F91" s="613">
        <f>D91*0.15</f>
        <v>1419075</v>
      </c>
      <c r="G91" s="73"/>
      <c r="H91" s="73"/>
      <c r="I91" s="73"/>
      <c r="J91" s="73"/>
      <c r="K91" s="2"/>
      <c r="L91" s="2"/>
      <c r="M91" s="2"/>
      <c r="N91" s="2"/>
      <c r="O91" s="2"/>
      <c r="AF91" s="2"/>
      <c r="AG91" s="2"/>
      <c r="AH91" s="2"/>
      <c r="AI91" s="2"/>
      <c r="AJ91" s="2"/>
      <c r="AK91" s="2"/>
      <c r="AL91" s="2"/>
      <c r="AM91" s="2"/>
      <c r="AN91" s="2"/>
      <c r="AO91" s="2"/>
      <c r="AP91" s="2"/>
      <c r="AQ91" s="2"/>
      <c r="AR91" s="2"/>
      <c r="AS91" s="2"/>
      <c r="AT91" s="2"/>
      <c r="AU91" s="2"/>
      <c r="AV91" s="2"/>
      <c r="AW91" s="2"/>
      <c r="AX91" s="2"/>
      <c r="AY91" s="2"/>
      <c r="AZ91" s="2"/>
      <c r="BA91" s="2"/>
      <c r="BB91" s="2"/>
    </row>
    <row r="92" spans="1:56" ht="15" customHeight="1" outlineLevel="1">
      <c r="A92" s="2"/>
      <c r="B92" s="2"/>
      <c r="D92" s="2"/>
      <c r="E92" s="2"/>
      <c r="F92" s="2"/>
      <c r="G92" s="2"/>
      <c r="H92" s="2"/>
      <c r="I92" s="2"/>
      <c r="J92" s="2"/>
      <c r="K92" s="2"/>
      <c r="L92" s="2"/>
      <c r="M92" s="2"/>
      <c r="N92" s="2"/>
      <c r="O92" s="2"/>
      <c r="AF92" s="2"/>
      <c r="AG92" s="2"/>
      <c r="AH92" s="2"/>
      <c r="AI92" s="2"/>
      <c r="AJ92" s="2"/>
      <c r="AK92" s="2"/>
      <c r="AL92" s="2"/>
      <c r="AM92" s="2"/>
      <c r="AN92" s="2"/>
      <c r="AO92" s="2"/>
      <c r="AP92" s="2"/>
      <c r="AQ92" s="2"/>
      <c r="AR92" s="2"/>
      <c r="AS92" s="2"/>
      <c r="AT92" s="2"/>
      <c r="AU92" s="2"/>
      <c r="AV92" s="2"/>
      <c r="AW92" s="2"/>
      <c r="AX92" s="2"/>
      <c r="AY92" s="2"/>
      <c r="AZ92" s="2"/>
      <c r="BA92" s="2"/>
      <c r="BB92" s="2"/>
    </row>
    <row r="93" spans="1:56" s="2" customFormat="1" ht="15" customHeight="1"/>
    <row r="94" spans="1:56" s="2" customFormat="1" ht="15" customHeight="1">
      <c r="B94" s="784"/>
      <c r="C94" s="97"/>
    </row>
    <row r="95" spans="1:56" s="2" customFormat="1" ht="15" customHeight="1"/>
    <row r="96" spans="1:56" s="2" customFormat="1" ht="15" customHeight="1"/>
    <row r="97" s="2" customFormat="1" ht="15" customHeight="1"/>
    <row r="98" s="2" customFormat="1" ht="15" customHeight="1"/>
    <row r="99" s="2" customFormat="1" ht="15" customHeight="1"/>
    <row r="100" s="2" customFormat="1" ht="15" customHeight="1"/>
    <row r="101" s="2" customFormat="1" ht="15" customHeight="1"/>
    <row r="102" s="2" customFormat="1" ht="15" customHeight="1"/>
    <row r="103" s="2" customFormat="1" ht="15" customHeight="1"/>
    <row r="104" s="2" customFormat="1" ht="15" customHeight="1"/>
    <row r="105" s="2" customFormat="1" ht="15" customHeight="1"/>
    <row r="106" s="2" customFormat="1" ht="15" customHeight="1"/>
    <row r="107" s="2" customFormat="1" ht="15" customHeight="1"/>
    <row r="108" s="2" customFormat="1" ht="15" customHeight="1"/>
    <row r="109" s="2" customFormat="1" ht="15" customHeight="1"/>
    <row r="110" s="2" customFormat="1" ht="15" customHeight="1"/>
    <row r="111" s="2" customFormat="1" ht="15" customHeight="1"/>
    <row r="112" s="2" customFormat="1" ht="15" customHeight="1"/>
    <row r="113" s="2" customFormat="1" ht="15" customHeight="1"/>
    <row r="114" s="2" customFormat="1" ht="15" customHeight="1"/>
    <row r="115" s="2" customFormat="1" ht="15" customHeight="1"/>
    <row r="116" s="2" customFormat="1" ht="15" customHeight="1"/>
    <row r="117" s="2" customFormat="1" ht="15" customHeight="1"/>
    <row r="118" s="2" customFormat="1" ht="15" customHeight="1"/>
    <row r="119" s="2" customFormat="1" ht="15" customHeight="1"/>
    <row r="120" s="2" customFormat="1" ht="15" customHeight="1"/>
    <row r="121" s="2" customFormat="1" ht="15" customHeight="1"/>
    <row r="122" s="2" customFormat="1" ht="15" customHeight="1"/>
    <row r="123" s="2" customFormat="1" ht="15" customHeight="1"/>
    <row r="124" s="2" customFormat="1" ht="15" customHeight="1"/>
    <row r="125" s="2" customFormat="1" ht="15" customHeight="1"/>
    <row r="126" s="2" customFormat="1" ht="15" customHeight="1"/>
    <row r="127" s="2" customFormat="1" ht="15" customHeight="1"/>
    <row r="128" s="2" customFormat="1" ht="15" customHeight="1"/>
    <row r="129" s="2" customFormat="1" ht="15" customHeight="1"/>
    <row r="130" s="2" customFormat="1" ht="15" customHeight="1"/>
    <row r="131" s="2" customFormat="1" ht="15" customHeight="1"/>
    <row r="132" s="2" customFormat="1" ht="15" customHeight="1"/>
    <row r="133" s="2" customFormat="1" ht="15" customHeight="1"/>
    <row r="134" s="2" customFormat="1" ht="15" customHeight="1"/>
    <row r="135" s="2" customFormat="1" ht="15" customHeight="1"/>
    <row r="136" s="2" customFormat="1" ht="15" customHeight="1"/>
    <row r="137" s="2" customFormat="1" ht="15" customHeight="1"/>
    <row r="138" s="2" customFormat="1" ht="15" customHeight="1"/>
    <row r="139" s="2" customFormat="1" ht="15" customHeight="1"/>
    <row r="140" s="2" customFormat="1" ht="15" customHeight="1"/>
    <row r="141" s="2" customFormat="1" ht="15" customHeight="1"/>
    <row r="142" s="2" customFormat="1" ht="15" customHeight="1"/>
    <row r="143" s="2" customFormat="1" ht="15" customHeight="1"/>
    <row r="144" s="2" customFormat="1" ht="15" customHeight="1"/>
    <row r="145" s="2" customFormat="1" ht="15" customHeight="1"/>
    <row r="146" s="2" customFormat="1" ht="15" customHeight="1"/>
    <row r="147" s="2" customFormat="1" ht="15" customHeight="1"/>
    <row r="148" s="2" customFormat="1" ht="15" customHeight="1"/>
    <row r="149" s="2" customFormat="1" ht="15" customHeight="1"/>
    <row r="150" s="2" customFormat="1" ht="15" customHeight="1"/>
    <row r="151" s="2" customFormat="1" ht="15" customHeight="1"/>
    <row r="152" s="2" customFormat="1" ht="15" customHeight="1"/>
    <row r="153" s="2" customFormat="1" ht="15" customHeight="1"/>
    <row r="154" s="2" customFormat="1" ht="15" customHeight="1"/>
    <row r="155" s="2" customFormat="1" ht="15" customHeight="1"/>
    <row r="156" s="2" customFormat="1" ht="15" customHeight="1"/>
    <row r="157" s="2" customFormat="1" ht="15" customHeight="1"/>
    <row r="158" s="2" customFormat="1" ht="15" customHeight="1"/>
    <row r="159" s="2" customFormat="1" ht="15" customHeight="1"/>
    <row r="160" s="2" customFormat="1" ht="15" customHeight="1"/>
    <row r="161" s="2" customFormat="1" ht="15" customHeight="1"/>
    <row r="162" s="2" customFormat="1" ht="15" customHeight="1"/>
    <row r="163" s="2" customFormat="1" ht="15" customHeight="1"/>
    <row r="164" s="2" customFormat="1" ht="15" customHeight="1"/>
    <row r="165" s="2" customFormat="1" ht="15" customHeight="1"/>
    <row r="166" s="2" customFormat="1" ht="15" customHeight="1"/>
    <row r="167" s="2" customFormat="1" ht="15" customHeight="1"/>
    <row r="168" s="2" customFormat="1" ht="15" customHeight="1"/>
    <row r="169" s="2" customFormat="1" ht="15" customHeight="1"/>
    <row r="170" s="2" customFormat="1" ht="15" customHeight="1"/>
    <row r="171" s="2" customFormat="1" ht="15" customHeight="1"/>
    <row r="172" s="2" customFormat="1" ht="15" customHeight="1"/>
    <row r="173" s="2" customFormat="1" ht="15" customHeight="1"/>
    <row r="174" s="2" customFormat="1" ht="15" customHeight="1"/>
    <row r="175" s="2" customFormat="1" ht="15" customHeight="1"/>
    <row r="176" s="2" customFormat="1" ht="15" customHeight="1"/>
    <row r="177" s="2" customFormat="1" ht="15" customHeight="1"/>
    <row r="178" s="2" customFormat="1" ht="15" customHeight="1"/>
    <row r="179" s="2" customFormat="1" ht="15" customHeight="1"/>
    <row r="180" s="2" customFormat="1" ht="15" customHeight="1"/>
    <row r="181" s="2" customFormat="1" ht="15" customHeight="1"/>
    <row r="182" s="2" customFormat="1" ht="15" customHeight="1"/>
    <row r="183" s="2" customFormat="1" ht="15" customHeight="1"/>
    <row r="184" s="2" customFormat="1" ht="15" customHeight="1"/>
    <row r="185" s="2" customFormat="1" ht="15" customHeight="1"/>
    <row r="186" s="2" customFormat="1" ht="15" customHeight="1"/>
    <row r="187" s="2" customFormat="1" ht="15" customHeight="1"/>
    <row r="188" s="2" customFormat="1" ht="15" customHeight="1"/>
    <row r="189" s="2" customFormat="1" ht="15" customHeight="1"/>
    <row r="190" s="2" customFormat="1" ht="15" customHeight="1"/>
    <row r="191" s="2" customFormat="1" ht="15" customHeight="1"/>
    <row r="192" s="2" customFormat="1" ht="15" customHeight="1"/>
    <row r="193" s="2" customFormat="1" ht="15" customHeight="1"/>
    <row r="194" s="2" customFormat="1" ht="15" customHeight="1"/>
    <row r="195" s="2" customFormat="1" ht="15" customHeight="1"/>
    <row r="196" s="2" customFormat="1" ht="15" customHeight="1"/>
    <row r="197" s="2" customFormat="1" ht="15" customHeight="1"/>
    <row r="198" s="2" customFormat="1" ht="15" customHeight="1"/>
    <row r="199" s="2" customFormat="1" ht="15" customHeight="1"/>
    <row r="200" s="2" customFormat="1" ht="15" customHeight="1"/>
    <row r="201" s="2" customFormat="1" ht="15" customHeight="1"/>
    <row r="202" s="2" customFormat="1" ht="15" customHeight="1"/>
    <row r="203" s="2" customFormat="1" ht="15" customHeight="1"/>
    <row r="204" s="2" customFormat="1" ht="15" customHeight="1"/>
    <row r="205" s="2" customFormat="1" ht="15" customHeight="1"/>
    <row r="206" s="2" customFormat="1" ht="15" customHeight="1"/>
    <row r="207" s="2" customFormat="1" ht="15" customHeight="1"/>
    <row r="208" s="2" customFormat="1" ht="15" customHeight="1"/>
    <row r="209" s="2" customFormat="1" ht="15" customHeight="1"/>
    <row r="210" s="2" customFormat="1" ht="15" customHeight="1"/>
    <row r="211" s="2" customFormat="1" ht="15" customHeight="1"/>
    <row r="212" s="2" customFormat="1" ht="15" customHeight="1"/>
    <row r="213" s="2" customFormat="1" ht="15" customHeight="1"/>
    <row r="214" s="2" customFormat="1" ht="15" customHeight="1"/>
    <row r="215" s="2" customFormat="1" ht="15" customHeight="1"/>
    <row r="216" s="2" customFormat="1" ht="15" customHeight="1"/>
    <row r="217" s="2" customFormat="1" ht="15" customHeight="1"/>
    <row r="218" s="2" customFormat="1" ht="15" customHeight="1"/>
    <row r="219" s="2" customFormat="1" ht="15" customHeight="1"/>
    <row r="220" s="2" customFormat="1" ht="15" customHeight="1"/>
    <row r="221" s="2" customFormat="1" ht="15" customHeight="1"/>
    <row r="222" s="2" customFormat="1" ht="15" customHeight="1"/>
    <row r="223" s="2" customFormat="1" ht="15" customHeight="1"/>
    <row r="224" s="2" customFormat="1" ht="15" customHeight="1"/>
    <row r="225" s="2" customFormat="1" ht="15" customHeight="1"/>
    <row r="226" s="2" customFormat="1" ht="15" customHeight="1"/>
    <row r="227" s="2" customFormat="1" ht="15" customHeight="1"/>
    <row r="228" s="2" customFormat="1" ht="15" customHeight="1"/>
    <row r="229" s="2" customFormat="1" ht="15" customHeight="1"/>
    <row r="230" s="2" customFormat="1" ht="15" customHeight="1"/>
    <row r="231" s="2" customFormat="1" ht="15" customHeight="1"/>
    <row r="232" s="2" customFormat="1" ht="15" customHeight="1"/>
    <row r="233" s="2" customFormat="1" ht="15" customHeight="1"/>
    <row r="234" s="2" customFormat="1" ht="15" customHeight="1"/>
    <row r="235" s="2" customFormat="1" ht="15" customHeight="1"/>
    <row r="236" s="2" customFormat="1" ht="15" customHeight="1"/>
    <row r="237" s="2" customFormat="1" ht="15" customHeight="1"/>
    <row r="238" s="2" customFormat="1" ht="15" customHeight="1"/>
    <row r="239" s="2" customFormat="1" ht="15" customHeight="1"/>
    <row r="240" s="2" customFormat="1" ht="15" customHeight="1"/>
    <row r="241" s="2" customFormat="1" ht="15" customHeight="1"/>
    <row r="242" s="2" customFormat="1" ht="15" customHeight="1"/>
    <row r="243" s="2" customFormat="1" ht="15" customHeight="1"/>
    <row r="244" s="2" customFormat="1" ht="15" customHeight="1"/>
    <row r="245" s="2" customFormat="1" ht="15" customHeight="1"/>
    <row r="246" s="2" customFormat="1" ht="15" customHeight="1"/>
    <row r="247" s="2" customFormat="1" ht="15" customHeight="1"/>
    <row r="248" s="2" customFormat="1" ht="15" customHeight="1"/>
    <row r="249" s="2" customFormat="1" ht="15" customHeight="1"/>
    <row r="250" s="2" customFormat="1" ht="15" customHeight="1"/>
    <row r="251" s="2" customFormat="1" ht="15" customHeight="1"/>
    <row r="252" s="2" customFormat="1" ht="15" customHeight="1"/>
    <row r="253" s="2" customFormat="1" ht="15" customHeight="1"/>
    <row r="254" s="2" customFormat="1" ht="15" customHeight="1"/>
    <row r="255" s="2" customFormat="1" ht="15" customHeight="1"/>
    <row r="256" s="2" customFormat="1" ht="15" customHeight="1"/>
    <row r="257" s="2" customFormat="1" ht="15" customHeight="1"/>
    <row r="258" s="2" customFormat="1" ht="15" customHeight="1"/>
    <row r="259" s="2" customFormat="1" ht="15" customHeight="1"/>
    <row r="260" s="2" customFormat="1" ht="15" customHeight="1"/>
    <row r="261" s="2" customFormat="1" ht="15" customHeight="1"/>
    <row r="262" s="2" customFormat="1" ht="15" customHeight="1"/>
    <row r="263" s="2" customFormat="1" ht="15" customHeight="1"/>
    <row r="264" s="2" customFormat="1" ht="15" customHeight="1"/>
    <row r="265" s="2" customFormat="1" ht="15" customHeight="1"/>
    <row r="266" s="2" customFormat="1" ht="15" customHeight="1"/>
    <row r="267" s="2" customFormat="1" ht="15" customHeight="1"/>
    <row r="268" s="2" customFormat="1" ht="15" customHeight="1"/>
    <row r="269" s="2" customFormat="1" ht="15" customHeight="1"/>
    <row r="270" s="2" customFormat="1" ht="15" customHeight="1"/>
    <row r="271" s="2" customFormat="1" ht="15" customHeight="1"/>
    <row r="272" s="2" customFormat="1" ht="15" customHeight="1"/>
    <row r="273" s="2" customFormat="1" ht="15" customHeight="1"/>
    <row r="274" s="2" customFormat="1" ht="15" customHeight="1"/>
    <row r="275" s="2" customFormat="1" ht="15" customHeight="1"/>
    <row r="276" s="2" customFormat="1" ht="15" customHeight="1"/>
    <row r="277" s="2" customFormat="1" ht="15" customHeight="1"/>
    <row r="278" s="2" customFormat="1" ht="15" customHeight="1"/>
    <row r="279" s="2" customFormat="1" ht="15" customHeight="1"/>
    <row r="280" s="2" customFormat="1" ht="15" customHeight="1"/>
    <row r="281" s="2" customFormat="1" ht="15" customHeight="1"/>
    <row r="282" s="2" customFormat="1" ht="15" customHeight="1"/>
    <row r="283" s="2" customFormat="1" ht="15" customHeight="1"/>
    <row r="284" s="2" customFormat="1" ht="15" customHeight="1"/>
    <row r="285" s="2" customFormat="1" ht="15" customHeight="1"/>
    <row r="286" s="2" customFormat="1" ht="15" customHeight="1"/>
    <row r="287" s="2" customFormat="1" ht="15" customHeight="1"/>
    <row r="288" s="2" customFormat="1" ht="15" customHeight="1"/>
    <row r="289" s="2" customFormat="1" ht="15" customHeight="1"/>
    <row r="290" s="2" customFormat="1" ht="15" customHeight="1"/>
    <row r="291" s="2" customFormat="1" ht="15" customHeight="1"/>
    <row r="292" s="2" customFormat="1" ht="15" customHeight="1"/>
    <row r="293" s="2" customFormat="1" ht="15" customHeight="1"/>
    <row r="294" s="2" customFormat="1" ht="15" customHeight="1"/>
    <row r="295" s="2" customFormat="1" ht="15" customHeight="1"/>
    <row r="296" s="2" customFormat="1" ht="15" customHeight="1"/>
    <row r="297" s="2" customFormat="1" ht="15" customHeight="1"/>
    <row r="298" s="2" customFormat="1" ht="15" customHeight="1"/>
    <row r="299" s="2" customFormat="1" ht="15" customHeight="1"/>
    <row r="300" s="2" customFormat="1" ht="15" customHeight="1"/>
    <row r="301" s="2" customFormat="1" ht="15" customHeight="1"/>
    <row r="302" s="2" customFormat="1" ht="15" customHeight="1"/>
    <row r="303" s="2" customFormat="1" ht="15" customHeight="1"/>
    <row r="304" s="2" customFormat="1" ht="15" customHeight="1"/>
    <row r="305" s="2" customFormat="1" ht="15" customHeight="1"/>
    <row r="306" s="2" customFormat="1" ht="15" customHeight="1"/>
    <row r="307" s="2" customFormat="1" ht="15" customHeight="1"/>
    <row r="308" s="2" customFormat="1" ht="15" customHeight="1"/>
    <row r="309" s="2" customFormat="1" ht="15" customHeight="1"/>
    <row r="310" s="2" customFormat="1" ht="15" customHeight="1"/>
    <row r="311" s="2" customFormat="1" ht="15" customHeight="1"/>
    <row r="312" s="2" customFormat="1" ht="15" customHeight="1"/>
    <row r="313" s="2" customFormat="1" ht="15" customHeight="1"/>
    <row r="314" s="2" customFormat="1" ht="15" customHeight="1"/>
    <row r="315" s="2" customFormat="1" ht="15" customHeight="1"/>
    <row r="316" s="2" customFormat="1" ht="15" customHeight="1"/>
    <row r="317" s="2" customFormat="1" ht="15" customHeight="1"/>
    <row r="318" s="2" customFormat="1" ht="15" customHeight="1"/>
    <row r="319" s="2" customFormat="1" ht="15" customHeight="1"/>
    <row r="320" s="2" customFormat="1" ht="15" customHeight="1"/>
    <row r="321" s="2" customFormat="1" ht="15" customHeight="1"/>
    <row r="322" s="2" customFormat="1" ht="15" customHeight="1"/>
    <row r="323" s="2" customFormat="1" ht="15" customHeight="1"/>
    <row r="324" s="2" customFormat="1" ht="15" customHeight="1"/>
    <row r="325" s="2" customFormat="1" ht="15" customHeight="1"/>
    <row r="326" s="2" customFormat="1" ht="15" customHeight="1"/>
    <row r="327" s="2" customFormat="1" ht="15" customHeight="1"/>
    <row r="328" s="2" customFormat="1" ht="15" customHeight="1"/>
    <row r="329" s="2" customFormat="1" ht="15" customHeight="1"/>
    <row r="330" s="2" customFormat="1" ht="15" customHeight="1"/>
    <row r="331" s="2" customFormat="1" ht="15" customHeight="1"/>
    <row r="332" s="2" customFormat="1" ht="15" customHeight="1"/>
    <row r="333" s="2" customFormat="1" ht="15" customHeight="1"/>
    <row r="334" s="2" customFormat="1" ht="15" customHeight="1"/>
    <row r="335" s="2" customFormat="1" ht="15" customHeight="1"/>
    <row r="336" s="2" customFormat="1" ht="15" customHeight="1"/>
    <row r="337" s="2" customFormat="1" ht="15" customHeight="1"/>
    <row r="338" s="2" customFormat="1" ht="15" customHeight="1"/>
    <row r="339" s="2" customFormat="1" ht="15" customHeight="1"/>
    <row r="340" s="2" customFormat="1" ht="15" customHeight="1"/>
    <row r="341" s="2" customFormat="1" ht="15" customHeight="1"/>
    <row r="342" s="2" customFormat="1" ht="15" customHeight="1"/>
    <row r="343" s="2" customFormat="1" ht="15" customHeight="1"/>
    <row r="344" s="2" customFormat="1" ht="15" customHeight="1"/>
    <row r="345" s="2" customFormat="1" ht="15" customHeight="1"/>
    <row r="346" s="2" customFormat="1" ht="15" customHeight="1"/>
    <row r="347" s="2" customFormat="1" ht="15" customHeight="1"/>
    <row r="348" s="2" customFormat="1" ht="15" customHeight="1"/>
    <row r="349" s="2" customFormat="1" ht="15" customHeight="1"/>
    <row r="350" s="2" customFormat="1" ht="15" customHeight="1"/>
    <row r="351" s="2" customFormat="1" ht="15" customHeight="1"/>
    <row r="352" s="2" customFormat="1" ht="15" customHeight="1"/>
    <row r="353" s="2" customFormat="1" ht="15" customHeight="1"/>
    <row r="354" s="2" customFormat="1" ht="15" customHeight="1"/>
    <row r="355" s="2" customFormat="1" ht="15" customHeight="1"/>
    <row r="356" s="2" customFormat="1" ht="15" customHeight="1"/>
    <row r="357" s="2" customFormat="1" ht="15" customHeight="1"/>
    <row r="358" s="2" customFormat="1" ht="15" customHeight="1"/>
    <row r="359" s="2" customFormat="1" ht="15" customHeight="1"/>
    <row r="360" s="2" customFormat="1" ht="15" customHeight="1"/>
    <row r="361" s="2" customFormat="1" ht="15" customHeight="1"/>
    <row r="362" s="2" customFormat="1" ht="15" customHeight="1"/>
    <row r="363" s="2" customFormat="1" ht="15" customHeight="1"/>
    <row r="364" s="2" customFormat="1" ht="15" customHeight="1"/>
    <row r="365" s="2" customFormat="1" ht="15" customHeight="1"/>
    <row r="366" s="2" customFormat="1" ht="15" customHeight="1"/>
    <row r="367" s="2" customFormat="1" ht="15" customHeight="1"/>
    <row r="368" s="2" customFormat="1" ht="15" customHeight="1"/>
    <row r="369" s="2" customFormat="1" ht="15" customHeight="1"/>
    <row r="370" s="2" customFormat="1" ht="15" customHeight="1"/>
    <row r="371" s="2" customFormat="1" ht="15" customHeight="1"/>
    <row r="372" s="2" customFormat="1" ht="15" customHeight="1"/>
    <row r="373" s="2" customFormat="1" ht="15" customHeight="1"/>
    <row r="374" s="2" customFormat="1" ht="15" customHeight="1"/>
    <row r="375" s="2" customFormat="1" ht="15" customHeight="1"/>
    <row r="376" s="2" customFormat="1" ht="15" customHeight="1"/>
    <row r="377" s="2" customFormat="1" ht="15" customHeight="1"/>
    <row r="378" s="2" customFormat="1" ht="15" customHeight="1"/>
    <row r="379" s="2" customFormat="1" ht="15" customHeight="1"/>
    <row r="380" s="2" customFormat="1" ht="15" customHeight="1"/>
    <row r="381" s="2" customFormat="1" ht="15" customHeight="1"/>
    <row r="382" s="2" customFormat="1" ht="15" customHeight="1"/>
    <row r="383" s="2" customFormat="1" ht="15" customHeight="1"/>
    <row r="384" s="2" customFormat="1" ht="15" customHeight="1"/>
    <row r="385" s="2" customFormat="1" ht="15" customHeight="1"/>
    <row r="386" s="2" customFormat="1" ht="15" customHeight="1"/>
    <row r="387" s="2" customFormat="1" ht="15" customHeight="1"/>
    <row r="388" s="2" customFormat="1" ht="15" customHeight="1"/>
    <row r="389" s="2" customFormat="1" ht="15" customHeight="1"/>
    <row r="390" s="2" customFormat="1" ht="15" customHeight="1"/>
    <row r="391" s="2" customFormat="1" ht="15" customHeight="1"/>
    <row r="392" s="2" customFormat="1" ht="15" customHeight="1"/>
    <row r="393" s="2" customFormat="1" ht="15" customHeight="1"/>
    <row r="394" s="2" customFormat="1" ht="15" customHeight="1"/>
    <row r="395" s="2" customFormat="1" ht="15" customHeight="1"/>
    <row r="396" s="2" customFormat="1" ht="15" customHeight="1"/>
    <row r="397" s="2" customFormat="1" ht="15" customHeight="1"/>
    <row r="398" s="2" customFormat="1" ht="15" customHeight="1"/>
    <row r="399" s="2" customFormat="1" ht="15" customHeight="1"/>
    <row r="400" s="2" customFormat="1" ht="15" customHeight="1"/>
    <row r="401" s="2" customFormat="1" ht="15" customHeight="1"/>
    <row r="402" s="2" customFormat="1" ht="15" customHeight="1"/>
    <row r="403" s="2" customFormat="1" ht="15" customHeight="1"/>
    <row r="404" s="2" customFormat="1" ht="15" customHeight="1"/>
    <row r="405" s="2" customFormat="1" ht="15" customHeight="1"/>
    <row r="406" s="2" customFormat="1" ht="15" customHeight="1"/>
    <row r="407" s="2" customFormat="1" ht="15" customHeight="1"/>
    <row r="408" s="2" customFormat="1" ht="15" customHeight="1"/>
    <row r="409" s="2" customFormat="1" ht="15" customHeight="1"/>
    <row r="410" s="2" customFormat="1" ht="15" customHeight="1"/>
    <row r="411" s="2" customFormat="1" ht="15" customHeight="1"/>
    <row r="412" s="2" customFormat="1" ht="15" customHeight="1"/>
    <row r="413" s="2" customFormat="1" ht="15" customHeight="1"/>
    <row r="414" s="2" customFormat="1" ht="15" customHeight="1"/>
    <row r="415" s="2" customFormat="1" ht="15" customHeight="1"/>
    <row r="416" s="2" customFormat="1" ht="15" customHeight="1"/>
    <row r="417" s="2" customFormat="1" ht="15" customHeight="1"/>
    <row r="418" s="2" customFormat="1" ht="15" customHeight="1"/>
    <row r="419" s="2" customFormat="1" ht="15" customHeight="1"/>
    <row r="420" s="2" customFormat="1" ht="15" customHeight="1"/>
    <row r="421" s="2" customFormat="1" ht="15" customHeight="1"/>
    <row r="422" s="2" customFormat="1" ht="15" customHeight="1"/>
    <row r="423" s="2" customFormat="1" ht="15" customHeight="1"/>
    <row r="424" s="2" customFormat="1" ht="15" customHeight="1"/>
    <row r="425" s="2" customFormat="1" ht="15" customHeight="1"/>
    <row r="426" s="2" customFormat="1" ht="15" customHeight="1"/>
    <row r="427" s="2" customFormat="1" ht="15" customHeight="1"/>
    <row r="428" s="2" customFormat="1" ht="15" customHeight="1"/>
    <row r="429" s="2" customFormat="1" ht="15" customHeight="1"/>
    <row r="430" s="2" customFormat="1" ht="15" customHeight="1"/>
    <row r="431" s="2" customFormat="1" ht="15" customHeight="1"/>
    <row r="432" s="2" customFormat="1" ht="15" customHeight="1"/>
    <row r="433" s="2" customFormat="1" ht="15" customHeight="1"/>
    <row r="434" s="2" customFormat="1" ht="15" customHeight="1"/>
    <row r="435" s="2" customFormat="1" ht="15" customHeight="1"/>
    <row r="436" s="2" customFormat="1" ht="15" customHeight="1"/>
    <row r="437" s="2" customFormat="1" ht="15" customHeight="1"/>
    <row r="438" s="2" customFormat="1" ht="15" customHeight="1"/>
    <row r="439" s="2" customFormat="1" ht="15" customHeight="1"/>
    <row r="440" s="2" customFormat="1" ht="15" customHeight="1"/>
    <row r="441" s="2" customFormat="1" ht="15" customHeight="1"/>
    <row r="442" s="2" customFormat="1" ht="15" customHeight="1"/>
    <row r="443" s="2" customFormat="1" ht="15" customHeight="1"/>
    <row r="444" s="2" customFormat="1" ht="15" customHeight="1"/>
    <row r="445" s="2" customFormat="1" ht="15" customHeight="1"/>
    <row r="446" s="2" customFormat="1" ht="15" customHeight="1"/>
    <row r="447" s="2" customFormat="1" ht="15" customHeight="1"/>
    <row r="448" s="2" customFormat="1" ht="15" customHeight="1"/>
    <row r="449" s="2" customFormat="1" ht="15" customHeight="1"/>
    <row r="450" s="2" customFormat="1" ht="15" customHeight="1"/>
    <row r="451" s="2" customFormat="1" ht="15" customHeight="1"/>
    <row r="452" s="2" customFormat="1" ht="15" customHeight="1"/>
    <row r="453" s="2" customFormat="1" ht="15" customHeight="1"/>
    <row r="454" s="2" customFormat="1" ht="15" customHeight="1"/>
    <row r="455" s="2" customFormat="1" ht="15" customHeight="1"/>
    <row r="456" s="2" customFormat="1" ht="15" customHeight="1"/>
    <row r="457" s="2" customFormat="1" ht="15" customHeight="1"/>
    <row r="458" s="2" customFormat="1" ht="15" customHeight="1"/>
    <row r="459" s="2" customFormat="1" ht="15" customHeight="1"/>
    <row r="460" s="2" customFormat="1" ht="15" customHeight="1"/>
    <row r="461" s="2" customFormat="1" ht="15" customHeight="1"/>
    <row r="462" s="2" customFormat="1" ht="15" customHeight="1"/>
    <row r="463" s="2" customFormat="1" ht="15" customHeight="1"/>
    <row r="464" s="2" customFormat="1" ht="15" customHeight="1"/>
    <row r="465" s="2" customFormat="1" ht="15" customHeight="1"/>
    <row r="466" s="2" customFormat="1" ht="15" customHeight="1"/>
    <row r="467" s="2" customFormat="1" ht="15" customHeight="1"/>
    <row r="468" s="2" customFormat="1" ht="15" customHeight="1"/>
    <row r="469" s="2" customFormat="1" ht="15" customHeight="1"/>
    <row r="470" s="2" customFormat="1" ht="15" customHeight="1"/>
    <row r="471" s="2" customFormat="1" ht="15" customHeight="1"/>
    <row r="472" s="2" customFormat="1" ht="15" customHeight="1"/>
    <row r="473" s="2" customFormat="1" ht="15" customHeight="1"/>
    <row r="474" s="2" customFormat="1" ht="15" customHeight="1"/>
    <row r="475" s="2" customFormat="1" ht="15" customHeight="1"/>
    <row r="476" s="2" customFormat="1" ht="15" customHeight="1"/>
    <row r="477" s="2" customFormat="1" ht="15" customHeight="1"/>
    <row r="478" s="2" customFormat="1" ht="15" customHeight="1"/>
    <row r="479" s="2" customFormat="1" ht="15" customHeight="1"/>
    <row r="480" s="2" customFormat="1" ht="15" customHeight="1"/>
    <row r="481" s="2" customFormat="1" ht="15" customHeight="1"/>
    <row r="482" s="2" customFormat="1" ht="15" customHeight="1"/>
    <row r="483" s="2" customFormat="1" ht="15" customHeight="1"/>
    <row r="484" s="2" customFormat="1" ht="15" customHeight="1"/>
    <row r="485" s="2" customFormat="1" ht="15" customHeight="1"/>
    <row r="486" s="2" customFormat="1" ht="15" customHeight="1"/>
    <row r="487" s="2" customFormat="1" ht="15" customHeight="1"/>
    <row r="488" s="2" customFormat="1" ht="15" customHeight="1"/>
    <row r="489" s="2" customFormat="1" ht="15" customHeight="1"/>
    <row r="490" s="2" customFormat="1" ht="15" customHeight="1"/>
    <row r="491" s="2" customFormat="1" ht="15" customHeight="1"/>
    <row r="492" s="2" customFormat="1" ht="15" customHeight="1"/>
    <row r="493" s="2" customFormat="1" ht="15" customHeight="1"/>
    <row r="494" s="2" customFormat="1" ht="15" customHeight="1"/>
    <row r="495" s="2" customFormat="1" ht="15" customHeight="1"/>
    <row r="496" s="2" customFormat="1" ht="15" customHeight="1"/>
    <row r="497" s="2" customFormat="1" ht="15" customHeight="1"/>
    <row r="498" s="2" customFormat="1" ht="15" customHeight="1"/>
    <row r="499" s="2" customFormat="1" ht="15" customHeight="1"/>
    <row r="500" s="2" customFormat="1" ht="15" customHeight="1"/>
    <row r="501" s="2" customFormat="1" ht="15" customHeight="1"/>
    <row r="502" s="2" customFormat="1" ht="15" customHeight="1"/>
    <row r="503" s="2" customFormat="1" ht="15" customHeight="1"/>
    <row r="504" s="2" customFormat="1" ht="15" customHeight="1"/>
    <row r="505" s="2" customFormat="1" ht="15" customHeight="1"/>
    <row r="506" s="2" customFormat="1" ht="15" customHeight="1"/>
    <row r="507" s="2" customFormat="1" ht="15" customHeight="1"/>
    <row r="508" s="2" customFormat="1" ht="15" customHeight="1"/>
    <row r="509" s="2" customFormat="1" ht="15" customHeight="1"/>
    <row r="510" s="2" customFormat="1" ht="15" customHeight="1"/>
    <row r="511" s="2" customFormat="1" ht="15" customHeight="1"/>
    <row r="512" s="2" customFormat="1" ht="15" customHeight="1"/>
    <row r="513" s="2" customFormat="1" ht="15" customHeight="1"/>
    <row r="514" s="2" customFormat="1" ht="15" customHeight="1"/>
    <row r="515" s="2" customFormat="1" ht="15" customHeight="1"/>
    <row r="516" s="2" customFormat="1" ht="15" customHeight="1"/>
    <row r="517" s="2" customFormat="1" ht="15" customHeight="1"/>
    <row r="518" s="2" customFormat="1" ht="15" customHeight="1"/>
    <row r="519" s="2" customFormat="1" ht="15" customHeight="1"/>
    <row r="520" s="2" customFormat="1" ht="15" customHeight="1"/>
    <row r="521" s="2" customFormat="1" ht="15" customHeight="1"/>
    <row r="522" s="2" customFormat="1" ht="15" customHeight="1"/>
    <row r="523" s="2" customFormat="1" ht="15" customHeight="1"/>
    <row r="524" s="2" customFormat="1" ht="15" customHeight="1"/>
    <row r="525" s="2" customFormat="1" ht="15" customHeight="1"/>
    <row r="526" s="2" customFormat="1" ht="15" customHeight="1"/>
    <row r="527" s="2" customFormat="1" ht="15" customHeight="1"/>
    <row r="528" s="2" customFormat="1" ht="15" customHeight="1"/>
    <row r="529" s="2" customFormat="1" ht="15" customHeight="1"/>
    <row r="530" s="2" customFormat="1" ht="15" customHeight="1"/>
    <row r="531" s="2" customFormat="1" ht="15" customHeight="1"/>
    <row r="532" s="2" customFormat="1" ht="15" customHeight="1"/>
    <row r="533" s="2" customFormat="1" ht="15" customHeight="1"/>
    <row r="534" s="2" customFormat="1" ht="15" customHeight="1"/>
    <row r="535" s="2" customFormat="1" ht="15" customHeight="1"/>
    <row r="536" s="2" customFormat="1" ht="15" customHeight="1"/>
    <row r="537" s="2" customFormat="1" ht="15" customHeight="1"/>
    <row r="538" s="2" customFormat="1" ht="15" customHeight="1"/>
    <row r="539" s="2" customFormat="1" ht="15" customHeight="1"/>
    <row r="540" s="2" customFormat="1" ht="15" customHeight="1"/>
    <row r="541" s="2" customFormat="1" ht="15" customHeight="1"/>
    <row r="542" s="2" customFormat="1" ht="15" customHeight="1"/>
    <row r="543" s="2" customFormat="1" ht="15" customHeight="1"/>
    <row r="544" s="2" customFormat="1" ht="15" customHeight="1"/>
    <row r="545" s="2" customFormat="1" ht="15" customHeight="1"/>
    <row r="546" s="2" customFormat="1" ht="15" customHeight="1"/>
    <row r="547" s="2" customFormat="1" ht="15" customHeight="1"/>
    <row r="548" s="2" customFormat="1" ht="15" customHeight="1"/>
    <row r="549" s="2" customFormat="1" ht="15" customHeight="1"/>
    <row r="550" s="2" customFormat="1" ht="15" customHeight="1"/>
    <row r="551" s="2" customFormat="1" ht="15" customHeight="1"/>
    <row r="552" s="2" customFormat="1" ht="15" customHeight="1"/>
    <row r="553" s="2" customFormat="1" ht="15" customHeight="1"/>
    <row r="554" s="2" customFormat="1" ht="15" customHeight="1"/>
    <row r="555" s="2" customFormat="1" ht="15" customHeight="1"/>
    <row r="556" s="2" customFormat="1" ht="15" customHeight="1"/>
    <row r="557" s="2" customFormat="1" ht="15" customHeight="1"/>
    <row r="558" s="2" customFormat="1" ht="15" customHeight="1"/>
    <row r="559" s="2" customFormat="1" ht="15" customHeight="1"/>
    <row r="560" s="2" customFormat="1" ht="15" customHeight="1"/>
    <row r="561" s="2" customFormat="1" ht="15" customHeight="1"/>
    <row r="562" s="2" customFormat="1" ht="15" customHeight="1"/>
    <row r="563" s="2" customFormat="1" ht="15" customHeight="1"/>
    <row r="564" s="2" customFormat="1" ht="15" customHeight="1"/>
    <row r="565" s="2" customFormat="1" ht="15" customHeight="1"/>
    <row r="566" s="2" customFormat="1" ht="15" customHeight="1"/>
    <row r="567" s="2" customFormat="1" ht="15" customHeight="1"/>
    <row r="568" s="2" customFormat="1" ht="15" customHeight="1"/>
    <row r="569" s="2" customFormat="1" ht="15" customHeight="1"/>
    <row r="570" s="2" customFormat="1" ht="15" customHeight="1"/>
    <row r="571" s="2" customFormat="1" ht="15" customHeight="1"/>
    <row r="572" s="2" customFormat="1" ht="15" customHeight="1"/>
    <row r="573" s="2" customFormat="1" ht="15" customHeight="1"/>
  </sheetData>
  <mergeCells count="21">
    <mergeCell ref="A7:J7"/>
    <mergeCell ref="A2:J2"/>
    <mergeCell ref="E43:J47"/>
    <mergeCell ref="E31:J39"/>
    <mergeCell ref="E30:J30"/>
    <mergeCell ref="E42:J42"/>
    <mergeCell ref="A41:J41"/>
    <mergeCell ref="E19:J27"/>
    <mergeCell ref="E18:J18"/>
    <mergeCell ref="A8:N8"/>
    <mergeCell ref="A9:H9"/>
    <mergeCell ref="A13:N13"/>
    <mergeCell ref="A14:N14"/>
    <mergeCell ref="A56:B56"/>
    <mergeCell ref="A68:B68"/>
    <mergeCell ref="A49:S49"/>
    <mergeCell ref="A78:B78"/>
    <mergeCell ref="C78:D78"/>
    <mergeCell ref="E78:F78"/>
    <mergeCell ref="G78:H78"/>
    <mergeCell ref="I78:J78"/>
  </mergeCells>
  <pageMargins left="0.7" right="0.7" top="0.75" bottom="0.75" header="0.3" footer="0.3"/>
  <pageSetup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24B3E-FE58-47A4-9091-61DF1A8E83AB}">
  <sheetPr>
    <tabColor theme="3" tint="0.39997558519241921"/>
  </sheetPr>
  <dimension ref="A1:AF27"/>
  <sheetViews>
    <sheetView topLeftCell="A5" workbookViewId="0">
      <selection activeCell="I5" sqref="I5:K5"/>
    </sheetView>
  </sheetViews>
  <sheetFormatPr defaultColWidth="8.75" defaultRowHeight="15.75" outlineLevelRow="1"/>
  <cols>
    <col min="1" max="1" width="27.75" style="175" customWidth="1"/>
    <col min="2" max="5" width="13.5" style="175" customWidth="1"/>
    <col min="6" max="6" width="85.125" style="175" customWidth="1"/>
    <col min="7" max="16384" width="8.75" style="175"/>
  </cols>
  <sheetData>
    <row r="1" spans="1:32" ht="25.5">
      <c r="A1" s="210" t="s">
        <v>488</v>
      </c>
      <c r="B1" s="210"/>
      <c r="C1" s="210"/>
      <c r="D1" s="210"/>
      <c r="E1" s="210"/>
      <c r="F1" s="210"/>
      <c r="G1" s="92"/>
      <c r="H1" s="92"/>
    </row>
    <row r="2" spans="1:32" ht="20.25">
      <c r="A2" s="512" t="s">
        <v>414</v>
      </c>
      <c r="B2" s="513"/>
      <c r="C2" s="513"/>
      <c r="D2" s="513"/>
      <c r="E2" s="513"/>
      <c r="F2" s="514"/>
      <c r="G2" s="177"/>
    </row>
    <row r="3" spans="1:32" outlineLevel="1">
      <c r="A3" s="511" t="s">
        <v>64</v>
      </c>
      <c r="B3" s="518">
        <f>$E$22</f>
        <v>36266.545636515635</v>
      </c>
      <c r="C3" s="191"/>
      <c r="D3" s="191"/>
      <c r="E3" s="191"/>
      <c r="F3" s="177"/>
      <c r="G3" s="177"/>
    </row>
    <row r="4" spans="1:32" outlineLevel="1">
      <c r="A4" s="290" t="s">
        <v>66</v>
      </c>
      <c r="B4" s="302" t="s">
        <v>63</v>
      </c>
      <c r="C4" s="191"/>
      <c r="D4" s="191"/>
      <c r="E4" s="191"/>
      <c r="F4" s="177"/>
      <c r="G4" s="177"/>
    </row>
    <row r="5" spans="1:32" outlineLevel="1">
      <c r="A5" s="288" t="s">
        <v>67</v>
      </c>
      <c r="B5" s="301" t="s">
        <v>63</v>
      </c>
      <c r="C5" s="191"/>
      <c r="D5" s="191"/>
      <c r="E5" s="191"/>
      <c r="F5" s="177"/>
      <c r="G5" s="177"/>
    </row>
    <row r="6" spans="1:32" ht="15.75" customHeight="1" outlineLevel="1">
      <c r="A6" s="292" t="s">
        <v>78</v>
      </c>
      <c r="B6" s="293">
        <f>SUM(B3:B5)</f>
        <v>36266.545636515635</v>
      </c>
      <c r="C6" s="178"/>
      <c r="D6" s="178"/>
      <c r="E6" s="178"/>
      <c r="F6" s="177"/>
      <c r="G6" s="177"/>
    </row>
    <row r="7" spans="1:32" ht="20.25">
      <c r="A7" s="517" t="s">
        <v>630</v>
      </c>
      <c r="B7" s="513"/>
      <c r="C7" s="515"/>
      <c r="D7" s="515"/>
      <c r="E7" s="515"/>
      <c r="F7" s="516"/>
      <c r="G7" s="177"/>
    </row>
    <row r="8" spans="1:32" hidden="1" outlineLevel="1">
      <c r="A8" s="1169" t="s">
        <v>1174</v>
      </c>
      <c r="B8" s="1169"/>
      <c r="C8" s="1169"/>
      <c r="D8" s="1169"/>
      <c r="E8" s="1169"/>
      <c r="F8" s="1169"/>
      <c r="G8" s="420"/>
    </row>
    <row r="9" spans="1:32" ht="79.900000000000006" hidden="1" customHeight="1" outlineLevel="1">
      <c r="A9" s="1169" t="s">
        <v>1364</v>
      </c>
      <c r="B9" s="1169"/>
      <c r="C9" s="1169"/>
      <c r="D9" s="1169"/>
      <c r="E9" s="1169"/>
      <c r="F9" s="1169"/>
      <c r="G9" s="420"/>
    </row>
    <row r="10" spans="1:32" ht="19.149999999999999" hidden="1" customHeight="1" outlineLevel="1">
      <c r="A10" s="1169" t="s">
        <v>1337</v>
      </c>
      <c r="B10" s="1169"/>
      <c r="C10" s="1169"/>
      <c r="D10" s="1169"/>
      <c r="E10" s="1169"/>
      <c r="F10" s="1169"/>
      <c r="G10" s="420"/>
    </row>
    <row r="11" spans="1:32" hidden="1" outlineLevel="1">
      <c r="A11" s="1209" t="s">
        <v>1338</v>
      </c>
      <c r="B11" s="1209"/>
      <c r="C11" s="1209"/>
      <c r="D11" s="1209"/>
      <c r="E11" s="1209"/>
      <c r="F11" s="1209"/>
      <c r="G11" s="177"/>
    </row>
    <row r="12" spans="1:32" ht="20.25" collapsed="1">
      <c r="A12" s="512" t="s">
        <v>0</v>
      </c>
      <c r="B12" s="513"/>
      <c r="C12" s="515"/>
      <c r="D12" s="515"/>
      <c r="E12" s="515"/>
      <c r="F12" s="503"/>
      <c r="G12" s="177"/>
    </row>
    <row r="13" spans="1:32" s="14" customFormat="1" hidden="1" outlineLevel="1">
      <c r="A13" s="506" t="s">
        <v>71</v>
      </c>
      <c r="B13" s="507"/>
      <c r="C13" s="507"/>
      <c r="D13" s="507"/>
      <c r="E13" s="507"/>
      <c r="F13" s="508"/>
      <c r="G13" s="54"/>
      <c r="H13" s="54"/>
      <c r="I13" s="54"/>
      <c r="J13" s="54"/>
      <c r="K13" s="54"/>
      <c r="L13" s="54"/>
      <c r="M13" s="54"/>
      <c r="N13" s="54"/>
      <c r="O13" s="52"/>
      <c r="P13" s="52"/>
      <c r="Q13" s="52"/>
      <c r="R13" s="52"/>
      <c r="S13" s="52"/>
      <c r="T13" s="52"/>
      <c r="U13" s="52"/>
      <c r="V13" s="52"/>
      <c r="W13" s="52"/>
      <c r="X13" s="52"/>
      <c r="Y13" s="13"/>
      <c r="Z13" s="13"/>
      <c r="AA13" s="13"/>
      <c r="AB13" s="13"/>
      <c r="AC13" s="13"/>
      <c r="AD13" s="13"/>
      <c r="AE13" s="13"/>
      <c r="AF13" s="13"/>
    </row>
    <row r="14" spans="1:32" s="14" customFormat="1" ht="14.25" hidden="1" outlineLevel="1">
      <c r="A14" s="314" t="s">
        <v>55</v>
      </c>
      <c r="B14" s="315" t="s">
        <v>83</v>
      </c>
      <c r="C14" s="315" t="s">
        <v>56</v>
      </c>
      <c r="D14" s="315" t="s">
        <v>57</v>
      </c>
      <c r="E14" s="1153" t="s">
        <v>517</v>
      </c>
      <c r="F14" s="1208"/>
      <c r="G14" s="54"/>
      <c r="H14" s="54"/>
      <c r="I14" s="54"/>
      <c r="J14" s="54"/>
      <c r="K14" s="54"/>
      <c r="L14" s="54"/>
      <c r="M14" s="54"/>
      <c r="N14" s="54"/>
      <c r="O14" s="52"/>
      <c r="P14" s="52"/>
      <c r="Q14" s="52"/>
      <c r="R14" s="52"/>
      <c r="S14" s="52"/>
      <c r="T14" s="52"/>
      <c r="U14" s="52"/>
      <c r="V14" s="52"/>
      <c r="W14" s="52"/>
      <c r="X14" s="52"/>
      <c r="Y14" s="13"/>
      <c r="Z14" s="13"/>
      <c r="AA14" s="13"/>
      <c r="AB14" s="13"/>
      <c r="AC14" s="13"/>
      <c r="AD14" s="13"/>
      <c r="AE14" s="13"/>
      <c r="AF14" s="13"/>
    </row>
    <row r="15" spans="1:32" s="14" customFormat="1" ht="18" hidden="1" outlineLevel="1">
      <c r="A15" s="298" t="s">
        <v>649</v>
      </c>
      <c r="B15" s="338" t="s">
        <v>90</v>
      </c>
      <c r="C15" s="930">
        <f>'On-Road Data'!C31</f>
        <v>1.021E-2</v>
      </c>
      <c r="D15" s="339" t="s">
        <v>651</v>
      </c>
      <c r="E15" s="1166" t="s">
        <v>1363</v>
      </c>
      <c r="F15" s="1166"/>
      <c r="G15" s="54"/>
      <c r="H15" s="54"/>
      <c r="I15" s="54"/>
      <c r="J15" s="54"/>
      <c r="K15" s="54"/>
      <c r="L15" s="54"/>
      <c r="M15" s="54"/>
      <c r="N15" s="54"/>
      <c r="O15" s="52"/>
      <c r="P15" s="52"/>
      <c r="Q15" s="52"/>
      <c r="R15" s="52"/>
      <c r="S15" s="52"/>
      <c r="T15" s="52"/>
      <c r="U15" s="52"/>
      <c r="V15" s="52"/>
      <c r="W15" s="52"/>
      <c r="X15" s="52"/>
      <c r="Y15" s="13"/>
      <c r="Z15" s="13"/>
      <c r="AA15" s="13"/>
      <c r="AB15" s="13"/>
      <c r="AC15" s="13"/>
      <c r="AD15" s="13"/>
      <c r="AE15" s="13"/>
      <c r="AF15" s="13"/>
    </row>
    <row r="16" spans="1:32" s="14" customFormat="1" ht="18" hidden="1" outlineLevel="1">
      <c r="A16" s="300" t="s">
        <v>521</v>
      </c>
      <c r="B16" s="931" t="s">
        <v>1365</v>
      </c>
      <c r="C16" s="930">
        <f>'On-Road Data'!C33</f>
        <v>1E-3</v>
      </c>
      <c r="D16" s="298" t="s">
        <v>652</v>
      </c>
      <c r="E16" s="1166"/>
      <c r="F16" s="1166"/>
      <c r="G16" s="54"/>
      <c r="H16" s="54"/>
      <c r="I16" s="54"/>
      <c r="J16" s="54"/>
      <c r="K16" s="54"/>
      <c r="L16" s="54"/>
      <c r="M16" s="54"/>
      <c r="N16" s="54"/>
      <c r="O16" s="52"/>
      <c r="P16" s="52"/>
      <c r="Q16" s="52"/>
      <c r="R16" s="52"/>
      <c r="S16" s="52"/>
      <c r="T16" s="52"/>
      <c r="U16" s="52"/>
      <c r="V16" s="52"/>
      <c r="W16" s="52"/>
      <c r="X16" s="52"/>
      <c r="Y16" s="13"/>
      <c r="Z16" s="13"/>
      <c r="AA16" s="13"/>
      <c r="AB16" s="13"/>
      <c r="AC16" s="13"/>
      <c r="AD16" s="13"/>
      <c r="AE16" s="13"/>
      <c r="AF16" s="13"/>
    </row>
    <row r="17" spans="1:32" s="14" customFormat="1" ht="18" hidden="1" outlineLevel="1">
      <c r="A17" s="300" t="s">
        <v>650</v>
      </c>
      <c r="B17" s="931" t="s">
        <v>1365</v>
      </c>
      <c r="C17" s="930">
        <f>'On-Road Data'!C37</f>
        <v>1.5E-3</v>
      </c>
      <c r="D17" s="885" t="s">
        <v>1335</v>
      </c>
      <c r="E17" s="1166"/>
      <c r="F17" s="1166"/>
      <c r="G17" s="54"/>
      <c r="H17" s="54"/>
      <c r="I17" s="54"/>
      <c r="J17" s="54"/>
      <c r="K17" s="54"/>
      <c r="L17" s="54"/>
      <c r="M17" s="54"/>
      <c r="N17" s="54"/>
      <c r="O17" s="52"/>
      <c r="P17" s="52"/>
      <c r="Q17" s="52"/>
      <c r="R17" s="52"/>
      <c r="S17" s="52"/>
      <c r="T17" s="52"/>
      <c r="U17" s="52"/>
      <c r="V17" s="52"/>
      <c r="W17" s="52"/>
      <c r="X17" s="52"/>
      <c r="Y17" s="13"/>
      <c r="Z17" s="13"/>
      <c r="AA17" s="13"/>
      <c r="AB17" s="13"/>
      <c r="AC17" s="13"/>
      <c r="AD17" s="13"/>
      <c r="AE17" s="13"/>
      <c r="AF17" s="13"/>
    </row>
    <row r="18" spans="1:32" ht="20.25" collapsed="1">
      <c r="A18" s="512" t="s">
        <v>631</v>
      </c>
      <c r="B18" s="513"/>
      <c r="C18" s="515"/>
      <c r="D18" s="515"/>
      <c r="E18" s="515"/>
      <c r="F18" s="516"/>
      <c r="G18" s="177"/>
    </row>
    <row r="19" spans="1:32" s="73" customFormat="1" ht="15.75" customHeight="1" outlineLevel="1">
      <c r="A19" s="493" t="s">
        <v>497</v>
      </c>
      <c r="B19" s="494"/>
      <c r="C19" s="494"/>
      <c r="D19" s="494"/>
      <c r="E19" s="495"/>
      <c r="F19" s="156"/>
    </row>
    <row r="20" spans="1:32" s="156" customFormat="1" ht="33" outlineLevel="1">
      <c r="A20" s="314" t="s">
        <v>41</v>
      </c>
      <c r="B20" s="496" t="s">
        <v>1105</v>
      </c>
      <c r="C20" s="496" t="s">
        <v>1106</v>
      </c>
      <c r="D20" s="496" t="s">
        <v>1107</v>
      </c>
      <c r="E20" s="498" t="s">
        <v>1108</v>
      </c>
    </row>
    <row r="21" spans="1:32" s="73" customFormat="1" ht="12.75" outlineLevel="1">
      <c r="A21" s="408" t="s">
        <v>497</v>
      </c>
      <c r="B21" s="409">
        <f>D26*C15</f>
        <v>36263.485160753313</v>
      </c>
      <c r="C21" s="626">
        <f>D27*C16/'Conversion Factors and GWPs'!$A$8</f>
        <v>7.1926574907685403E-3</v>
      </c>
      <c r="D21" s="626">
        <f>D27*C17/'Conversion Factors and GWPs'!$A$8</f>
        <v>1.078898623615281E-2</v>
      </c>
      <c r="E21" s="409">
        <f>B21+(C21*'Conversion Factors and GWPs'!$C$14)+('Transit Data'!D21*'Conversion Factors and GWPs'!$C$15)</f>
        <v>36266.545636515635</v>
      </c>
    </row>
    <row r="22" spans="1:32" s="73" customFormat="1" ht="12.75" outlineLevel="1">
      <c r="A22" s="382" t="s">
        <v>529</v>
      </c>
      <c r="B22" s="421">
        <f>SUM(B21:B21)</f>
        <v>36263.485160753313</v>
      </c>
      <c r="C22" s="625">
        <f>SUM(C21:C21)</f>
        <v>7.1926574907685403E-3</v>
      </c>
      <c r="D22" s="625">
        <f>SUM(D21:D21)</f>
        <v>1.078898623615281E-2</v>
      </c>
      <c r="E22" s="421">
        <f>SUM(E21:E21)</f>
        <v>36266.545636515635</v>
      </c>
    </row>
    <row r="23" spans="1:32" s="73" customFormat="1" ht="12.75" outlineLevel="1"/>
    <row r="24" spans="1:32" outlineLevel="1">
      <c r="A24" s="558" t="s">
        <v>1166</v>
      </c>
      <c r="B24" s="559"/>
      <c r="C24" s="559"/>
      <c r="D24" s="559"/>
      <c r="E24" s="560"/>
      <c r="F24" s="177"/>
      <c r="G24" s="177"/>
    </row>
    <row r="25" spans="1:32" ht="57" customHeight="1" outlineLevel="1">
      <c r="A25" s="314" t="s">
        <v>56</v>
      </c>
      <c r="B25" s="561" t="s">
        <v>57</v>
      </c>
      <c r="C25" s="561" t="s">
        <v>788</v>
      </c>
      <c r="D25" s="562" t="s">
        <v>1168</v>
      </c>
      <c r="E25" s="562" t="s">
        <v>57</v>
      </c>
    </row>
    <row r="26" spans="1:32" ht="24" customHeight="1" outlineLevel="1">
      <c r="A26" s="624">
        <v>8892589</v>
      </c>
      <c r="B26" s="785" t="s">
        <v>1167</v>
      </c>
      <c r="C26" s="787">
        <v>0.39940691333759654</v>
      </c>
      <c r="D26" s="613">
        <f>A26*C26</f>
        <v>3551761.5240698643</v>
      </c>
      <c r="E26" s="306" t="s">
        <v>1167</v>
      </c>
    </row>
    <row r="27" spans="1:32" ht="30" outlineLevel="1">
      <c r="A27" s="624">
        <v>18008345</v>
      </c>
      <c r="B27" s="786" t="s">
        <v>1288</v>
      </c>
      <c r="C27" s="787">
        <v>0.39940691333759654</v>
      </c>
      <c r="D27" s="613">
        <f>A27*C27</f>
        <v>7192657.4907685397</v>
      </c>
      <c r="E27" s="318" t="s">
        <v>1288</v>
      </c>
    </row>
  </sheetData>
  <mergeCells count="6">
    <mergeCell ref="E14:F14"/>
    <mergeCell ref="E15:F17"/>
    <mergeCell ref="A8:F8"/>
    <mergeCell ref="A11:F11"/>
    <mergeCell ref="A9:F9"/>
    <mergeCell ref="A10:F10"/>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D4FE8-29A3-4D8C-B08D-68A939213637}">
  <sheetPr>
    <tabColor theme="3" tint="0.39997558519241921"/>
  </sheetPr>
  <dimension ref="A1:AE51"/>
  <sheetViews>
    <sheetView topLeftCell="B31" workbookViewId="0">
      <selection activeCell="B46" sqref="B46"/>
    </sheetView>
  </sheetViews>
  <sheetFormatPr defaultColWidth="8.75" defaultRowHeight="15.75" outlineLevelRow="2"/>
  <cols>
    <col min="1" max="4" width="25.5" style="175" customWidth="1"/>
    <col min="5" max="5" width="55.75" style="175" customWidth="1"/>
    <col min="6" max="16384" width="8.75" style="175"/>
  </cols>
  <sheetData>
    <row r="1" spans="1:31" ht="25.5">
      <c r="A1" s="307" t="s">
        <v>678</v>
      </c>
      <c r="B1" s="307"/>
      <c r="C1" s="307"/>
      <c r="D1" s="307"/>
      <c r="E1" s="307"/>
      <c r="F1" s="92"/>
      <c r="G1" s="92"/>
    </row>
    <row r="2" spans="1:31" ht="20.25">
      <c r="A2" s="512" t="s">
        <v>414</v>
      </c>
      <c r="B2" s="513"/>
      <c r="C2" s="513"/>
      <c r="D2" s="513"/>
      <c r="E2" s="922"/>
      <c r="F2" s="177"/>
    </row>
    <row r="3" spans="1:31" outlineLevel="1">
      <c r="A3" s="511" t="s">
        <v>64</v>
      </c>
      <c r="B3" s="518">
        <f>E42</f>
        <v>31200.309867461583</v>
      </c>
      <c r="C3" s="191"/>
      <c r="D3" s="191"/>
      <c r="E3" s="191"/>
      <c r="F3" s="177"/>
    </row>
    <row r="4" spans="1:31" outlineLevel="1">
      <c r="A4" s="290" t="s">
        <v>66</v>
      </c>
      <c r="B4" s="291">
        <f>$E$29</f>
        <v>42971.560765650996</v>
      </c>
      <c r="C4" s="191"/>
      <c r="D4" s="191"/>
      <c r="E4" s="191"/>
      <c r="F4" s="177"/>
    </row>
    <row r="5" spans="1:31" outlineLevel="1">
      <c r="A5" s="288" t="s">
        <v>67</v>
      </c>
      <c r="B5" s="301" t="s">
        <v>63</v>
      </c>
      <c r="C5" s="191"/>
      <c r="D5" s="191"/>
      <c r="E5" s="191"/>
      <c r="F5" s="177"/>
    </row>
    <row r="6" spans="1:31" ht="15.75" customHeight="1" outlineLevel="1">
      <c r="A6" s="292" t="s">
        <v>78</v>
      </c>
      <c r="B6" s="293">
        <f>SUM(B3:B5)</f>
        <v>74171.870633112587</v>
      </c>
      <c r="C6" s="178"/>
      <c r="D6" s="178"/>
      <c r="E6" s="178"/>
      <c r="F6" s="177"/>
    </row>
    <row r="7" spans="1:31" ht="15.75" customHeight="1">
      <c r="A7" s="517" t="s">
        <v>630</v>
      </c>
      <c r="B7" s="513"/>
      <c r="C7" s="515"/>
      <c r="D7" s="515"/>
      <c r="E7" s="922"/>
      <c r="F7" s="177"/>
    </row>
    <row r="8" spans="1:31" s="423" customFormat="1" ht="30.75" hidden="1" customHeight="1" outlineLevel="1">
      <c r="A8" s="1218" t="s">
        <v>789</v>
      </c>
      <c r="B8" s="1218"/>
      <c r="C8" s="1218"/>
      <c r="D8" s="1218"/>
      <c r="E8" s="1218"/>
      <c r="F8" s="430"/>
      <c r="G8" s="430"/>
      <c r="H8" s="430"/>
      <c r="I8" s="1210"/>
      <c r="J8" s="1210"/>
      <c r="K8" s="1210"/>
    </row>
    <row r="9" spans="1:31" s="423" customFormat="1" ht="15" hidden="1" customHeight="1" outlineLevel="1">
      <c r="A9" s="1219" t="s">
        <v>1352</v>
      </c>
      <c r="B9" s="1219"/>
      <c r="C9" s="1219"/>
      <c r="D9" s="1219"/>
      <c r="E9" s="1219"/>
      <c r="F9" s="1210"/>
      <c r="G9" s="1210"/>
      <c r="H9" s="1210"/>
    </row>
    <row r="10" spans="1:31" s="423" customFormat="1" ht="34.5" hidden="1" customHeight="1" outlineLevel="1">
      <c r="A10" s="1219" t="s">
        <v>1351</v>
      </c>
      <c r="B10" s="1219"/>
      <c r="C10" s="1219"/>
      <c r="D10" s="1219"/>
      <c r="E10" s="1219"/>
      <c r="F10" s="541"/>
      <c r="G10" s="541"/>
      <c r="H10" s="541"/>
    </row>
    <row r="11" spans="1:31" s="423" customFormat="1" ht="38.25" hidden="1" customHeight="1" outlineLevel="1">
      <c r="A11" s="1219" t="s">
        <v>1353</v>
      </c>
      <c r="B11" s="1219"/>
      <c r="C11" s="1219"/>
      <c r="D11" s="1219"/>
      <c r="E11" s="1219"/>
      <c r="F11" s="599"/>
      <c r="G11" s="599"/>
      <c r="H11" s="599"/>
    </row>
    <row r="12" spans="1:31" ht="15.75" customHeight="1" collapsed="1">
      <c r="A12" s="512" t="s">
        <v>0</v>
      </c>
      <c r="B12" s="513"/>
      <c r="C12" s="515"/>
      <c r="D12" s="515"/>
      <c r="E12" s="922"/>
      <c r="F12" s="177"/>
    </row>
    <row r="13" spans="1:31" s="209" customFormat="1" hidden="1" outlineLevel="1">
      <c r="A13" s="1087" t="s">
        <v>53</v>
      </c>
      <c r="B13" s="1165"/>
      <c r="C13" s="1165"/>
      <c r="D13" s="1165"/>
      <c r="E13" s="1088"/>
      <c r="F13" s="54"/>
      <c r="G13" s="54"/>
      <c r="H13" s="54"/>
      <c r="I13" s="54"/>
      <c r="J13" s="54"/>
      <c r="K13" s="54"/>
      <c r="L13" s="54"/>
      <c r="M13" s="54"/>
      <c r="N13" s="52"/>
      <c r="O13" s="52"/>
      <c r="P13" s="52"/>
      <c r="Q13" s="52"/>
      <c r="R13" s="52"/>
      <c r="S13" s="52"/>
      <c r="T13" s="52"/>
      <c r="U13" s="52"/>
      <c r="V13" s="52"/>
      <c r="W13" s="52"/>
      <c r="X13" s="13"/>
      <c r="Y13" s="13"/>
      <c r="Z13" s="13"/>
      <c r="AA13" s="13"/>
      <c r="AB13" s="13"/>
      <c r="AC13" s="13"/>
      <c r="AD13" s="13"/>
      <c r="AE13" s="13"/>
    </row>
    <row r="14" spans="1:31" s="209" customFormat="1" ht="14.25" hidden="1" outlineLevel="1">
      <c r="A14" s="314" t="s">
        <v>54</v>
      </c>
      <c r="B14" s="315" t="s">
        <v>55</v>
      </c>
      <c r="C14" s="315" t="s">
        <v>56</v>
      </c>
      <c r="D14" s="315" t="s">
        <v>57</v>
      </c>
      <c r="E14" s="316" t="s">
        <v>41</v>
      </c>
      <c r="F14" s="54"/>
      <c r="G14" s="54"/>
      <c r="H14" s="54"/>
      <c r="I14" s="54"/>
      <c r="J14" s="54"/>
      <c r="K14" s="54"/>
      <c r="L14" s="54"/>
      <c r="M14" s="54"/>
      <c r="N14" s="52"/>
      <c r="O14" s="52"/>
      <c r="P14" s="52"/>
      <c r="Q14" s="52"/>
      <c r="R14" s="52"/>
      <c r="S14" s="52"/>
      <c r="T14" s="52"/>
      <c r="U14" s="52"/>
      <c r="V14" s="52"/>
      <c r="W14" s="52"/>
      <c r="X14" s="13"/>
      <c r="Y14" s="13"/>
      <c r="Z14" s="13"/>
      <c r="AA14" s="13"/>
      <c r="AB14" s="13"/>
      <c r="AC14" s="13"/>
      <c r="AD14" s="13"/>
      <c r="AE14" s="13"/>
    </row>
    <row r="15" spans="1:31" s="209" customFormat="1" ht="18" hidden="1" outlineLevel="1">
      <c r="A15" s="317" t="s">
        <v>473</v>
      </c>
      <c r="B15" s="306" t="s">
        <v>643</v>
      </c>
      <c r="C15" s="817">
        <f>'Stationary Energy Data'!C19</f>
        <v>0.51400000000000001</v>
      </c>
      <c r="D15" s="306" t="s">
        <v>655</v>
      </c>
      <c r="E15" s="311" t="s">
        <v>1287</v>
      </c>
      <c r="F15" s="54"/>
      <c r="G15" s="54"/>
      <c r="H15" s="54"/>
      <c r="I15" s="54"/>
      <c r="J15" s="54"/>
      <c r="K15" s="54"/>
      <c r="L15" s="54"/>
      <c r="M15" s="54"/>
      <c r="N15" s="52"/>
      <c r="O15" s="52"/>
      <c r="P15" s="52"/>
      <c r="Q15" s="52"/>
      <c r="R15" s="52"/>
      <c r="S15" s="52"/>
      <c r="T15" s="52"/>
      <c r="U15" s="52"/>
      <c r="V15" s="52"/>
      <c r="W15" s="52"/>
      <c r="X15" s="13"/>
      <c r="Y15" s="13"/>
      <c r="Z15" s="13"/>
      <c r="AA15" s="13"/>
      <c r="AB15" s="13"/>
      <c r="AC15" s="13"/>
      <c r="AD15" s="13"/>
      <c r="AE15" s="13"/>
    </row>
    <row r="16" spans="1:31" s="209" customFormat="1" ht="18" hidden="1" outlineLevel="1">
      <c r="A16" s="317" t="s">
        <v>72</v>
      </c>
      <c r="B16" s="306" t="s">
        <v>644</v>
      </c>
      <c r="C16" s="817">
        <f>'Stationary Energy Data'!C20</f>
        <v>5.5791927860583683E-5</v>
      </c>
      <c r="D16" s="306" t="s">
        <v>656</v>
      </c>
      <c r="E16" s="1214" t="s">
        <v>1354</v>
      </c>
      <c r="F16" s="54"/>
      <c r="G16" s="54"/>
      <c r="H16" s="54"/>
      <c r="I16" s="54"/>
      <c r="J16" s="54"/>
      <c r="K16" s="54"/>
      <c r="L16" s="54"/>
      <c r="M16" s="54"/>
      <c r="N16" s="52"/>
      <c r="O16" s="52"/>
      <c r="P16" s="52"/>
      <c r="Q16" s="52"/>
      <c r="R16" s="52"/>
      <c r="S16" s="52"/>
      <c r="T16" s="52"/>
      <c r="U16" s="52"/>
      <c r="V16" s="52"/>
      <c r="W16" s="52"/>
      <c r="X16" s="13"/>
      <c r="Y16" s="13"/>
      <c r="Z16" s="13"/>
      <c r="AA16" s="13"/>
      <c r="AB16" s="13"/>
      <c r="AC16" s="13"/>
      <c r="AD16" s="13"/>
      <c r="AE16" s="13"/>
    </row>
    <row r="17" spans="1:31" s="209" customFormat="1" ht="18" hidden="1" outlineLevel="1">
      <c r="A17" s="336" t="s">
        <v>72</v>
      </c>
      <c r="B17" s="306" t="s">
        <v>645</v>
      </c>
      <c r="C17" s="817">
        <f>'Stationary Energy Data'!C21</f>
        <v>8.1646723698415137E-6</v>
      </c>
      <c r="D17" s="299" t="s">
        <v>657</v>
      </c>
      <c r="E17" s="1215"/>
      <c r="F17" s="54"/>
      <c r="G17" s="54"/>
      <c r="H17" s="54"/>
      <c r="I17" s="54"/>
      <c r="J17" s="54"/>
      <c r="K17" s="54"/>
      <c r="L17" s="54"/>
      <c r="M17" s="54"/>
      <c r="N17" s="52"/>
      <c r="O17" s="52"/>
      <c r="P17" s="52"/>
      <c r="Q17" s="52"/>
      <c r="R17" s="52"/>
      <c r="S17" s="52"/>
      <c r="T17" s="52"/>
      <c r="U17" s="52"/>
      <c r="V17" s="52"/>
      <c r="W17" s="52"/>
      <c r="X17" s="13"/>
      <c r="Y17" s="13"/>
      <c r="Z17" s="13"/>
      <c r="AA17" s="13"/>
      <c r="AB17" s="13"/>
      <c r="AC17" s="13"/>
      <c r="AD17" s="13"/>
      <c r="AE17" s="13"/>
    </row>
    <row r="18" spans="1:31" s="209" customFormat="1" ht="15" hidden="1" outlineLevel="1">
      <c r="A18" s="425"/>
      <c r="B18" s="426"/>
      <c r="C18" s="427"/>
      <c r="D18" s="428"/>
      <c r="E18" s="429"/>
      <c r="F18" s="54"/>
      <c r="G18" s="54"/>
      <c r="H18" s="54"/>
      <c r="I18" s="54"/>
      <c r="J18" s="54"/>
      <c r="K18" s="54"/>
      <c r="L18" s="54"/>
      <c r="M18" s="54"/>
      <c r="N18" s="52"/>
      <c r="O18" s="52"/>
      <c r="P18" s="52"/>
      <c r="Q18" s="52"/>
      <c r="R18" s="52"/>
      <c r="S18" s="52"/>
      <c r="T18" s="52"/>
      <c r="U18" s="52"/>
      <c r="V18" s="52"/>
      <c r="W18" s="52"/>
      <c r="X18" s="13"/>
      <c r="Y18" s="13"/>
      <c r="Z18" s="13"/>
      <c r="AA18" s="13"/>
      <c r="AB18" s="13"/>
      <c r="AC18" s="13"/>
      <c r="AD18" s="13"/>
      <c r="AE18" s="13"/>
    </row>
    <row r="19" spans="1:31" s="209" customFormat="1" hidden="1" outlineLevel="1">
      <c r="A19" s="594" t="s">
        <v>124</v>
      </c>
      <c r="B19" s="595"/>
      <c r="C19" s="595"/>
      <c r="D19" s="595"/>
      <c r="E19" s="596"/>
      <c r="F19" s="54"/>
      <c r="G19" s="54"/>
      <c r="H19" s="54"/>
      <c r="I19" s="54"/>
      <c r="J19" s="54"/>
      <c r="K19" s="54"/>
      <c r="L19" s="54"/>
      <c r="M19" s="54"/>
      <c r="N19" s="52"/>
      <c r="O19" s="52"/>
      <c r="P19" s="52"/>
      <c r="Q19" s="52"/>
      <c r="R19" s="52"/>
      <c r="S19" s="52"/>
      <c r="T19" s="52"/>
      <c r="U19" s="52"/>
      <c r="V19" s="52"/>
      <c r="W19" s="52"/>
      <c r="X19" s="13"/>
      <c r="Y19" s="13"/>
      <c r="Z19" s="13"/>
      <c r="AA19" s="13"/>
      <c r="AB19" s="13"/>
      <c r="AC19" s="13"/>
      <c r="AD19" s="13"/>
      <c r="AE19" s="13"/>
    </row>
    <row r="20" spans="1:31" s="209" customFormat="1" ht="14.25" hidden="1" outlineLevel="1">
      <c r="A20" s="523" t="s">
        <v>55</v>
      </c>
      <c r="B20" s="524" t="s">
        <v>56</v>
      </c>
      <c r="C20" s="524" t="s">
        <v>57</v>
      </c>
      <c r="D20" s="1216" t="s">
        <v>41</v>
      </c>
      <c r="E20" s="1217"/>
      <c r="F20" s="54"/>
      <c r="G20" s="54"/>
      <c r="H20" s="54"/>
      <c r="I20" s="54"/>
      <c r="J20" s="54"/>
      <c r="K20" s="54"/>
      <c r="L20" s="54"/>
      <c r="M20" s="54"/>
      <c r="N20" s="52"/>
      <c r="O20" s="52"/>
      <c r="P20" s="52"/>
      <c r="Q20" s="52"/>
      <c r="R20" s="52"/>
      <c r="S20" s="52"/>
      <c r="T20" s="52"/>
      <c r="U20" s="52"/>
      <c r="V20" s="52"/>
      <c r="W20" s="52"/>
      <c r="X20" s="13"/>
      <c r="Y20" s="13"/>
      <c r="Z20" s="13"/>
      <c r="AA20" s="13"/>
      <c r="AB20" s="13"/>
      <c r="AC20" s="13"/>
      <c r="AD20" s="13"/>
      <c r="AE20" s="13"/>
    </row>
    <row r="21" spans="1:31" s="209" customFormat="1" ht="18" hidden="1" outlineLevel="1">
      <c r="A21" s="630" t="s">
        <v>649</v>
      </c>
      <c r="B21" s="818">
        <f>10.21/'Conversion Factors and GWPs'!$A$7</f>
        <v>1.021E-2</v>
      </c>
      <c r="C21" s="631" t="s">
        <v>651</v>
      </c>
      <c r="D21" s="1220" t="s">
        <v>1278</v>
      </c>
      <c r="E21" s="1221"/>
      <c r="F21" s="54"/>
      <c r="G21" s="54"/>
      <c r="H21" s="54"/>
      <c r="I21" s="54"/>
      <c r="J21" s="54"/>
      <c r="K21" s="54"/>
      <c r="L21" s="54"/>
      <c r="M21" s="54"/>
      <c r="N21" s="52"/>
      <c r="O21" s="52"/>
      <c r="P21" s="52"/>
      <c r="Q21" s="52"/>
      <c r="R21" s="52"/>
      <c r="S21" s="52"/>
      <c r="T21" s="52"/>
      <c r="U21" s="52"/>
      <c r="V21" s="52"/>
      <c r="W21" s="52"/>
      <c r="X21" s="13"/>
      <c r="Y21" s="13"/>
      <c r="Z21" s="13"/>
      <c r="AA21" s="13"/>
      <c r="AB21" s="13"/>
      <c r="AC21" s="13"/>
      <c r="AD21" s="13"/>
      <c r="AE21" s="13"/>
    </row>
    <row r="22" spans="1:31" s="209" customFormat="1" ht="18" hidden="1" outlineLevel="1">
      <c r="A22" s="551" t="s">
        <v>521</v>
      </c>
      <c r="B22" s="1017">
        <v>0.79800000000000004</v>
      </c>
      <c r="C22" s="552" t="s">
        <v>1093</v>
      </c>
      <c r="D22" s="1220"/>
      <c r="E22" s="1221"/>
      <c r="F22" s="54"/>
      <c r="G22" s="54"/>
      <c r="H22" s="54"/>
      <c r="I22" s="54"/>
      <c r="J22" s="54"/>
      <c r="K22" s="54"/>
      <c r="L22" s="54"/>
      <c r="M22" s="54"/>
      <c r="N22" s="52"/>
      <c r="O22" s="52"/>
      <c r="P22" s="52"/>
      <c r="Q22" s="52"/>
      <c r="R22" s="52"/>
      <c r="S22" s="52"/>
      <c r="T22" s="52"/>
      <c r="U22" s="52"/>
      <c r="V22" s="52"/>
      <c r="W22" s="52"/>
      <c r="X22" s="13"/>
      <c r="Y22" s="13"/>
      <c r="Z22" s="13"/>
      <c r="AA22" s="13"/>
      <c r="AB22" s="13"/>
      <c r="AC22" s="13"/>
      <c r="AD22" s="13"/>
      <c r="AE22" s="13"/>
    </row>
    <row r="23" spans="1:31" s="209" customFormat="1" ht="18" hidden="1" outlineLevel="1">
      <c r="A23" s="551" t="s">
        <v>650</v>
      </c>
      <c r="B23" s="1017">
        <v>0.255</v>
      </c>
      <c r="C23" s="552" t="s">
        <v>1094</v>
      </c>
      <c r="D23" s="1222"/>
      <c r="E23" s="1223"/>
      <c r="F23" s="54"/>
      <c r="G23" s="54"/>
      <c r="H23" s="54"/>
      <c r="I23" s="54"/>
      <c r="J23" s="54"/>
      <c r="K23" s="54"/>
      <c r="L23" s="54"/>
      <c r="M23" s="54"/>
      <c r="N23" s="52"/>
      <c r="O23" s="52"/>
      <c r="P23" s="52"/>
      <c r="Q23" s="52"/>
      <c r="R23" s="52"/>
      <c r="S23" s="52"/>
      <c r="T23" s="52"/>
      <c r="U23" s="52"/>
      <c r="V23" s="52"/>
      <c r="W23" s="52"/>
      <c r="X23" s="13"/>
      <c r="Y23" s="13"/>
      <c r="Z23" s="13"/>
      <c r="AA23" s="13"/>
      <c r="AB23" s="13"/>
      <c r="AC23" s="13"/>
      <c r="AD23" s="13"/>
      <c r="AE23" s="13"/>
    </row>
    <row r="24" spans="1:31" ht="15.75" hidden="1" customHeight="1" outlineLevel="1">
      <c r="A24" s="191"/>
      <c r="B24" s="191"/>
      <c r="C24" s="178"/>
      <c r="D24" s="178"/>
      <c r="E24" s="178"/>
      <c r="F24" s="177"/>
    </row>
    <row r="25" spans="1:31" ht="19.149999999999999" customHeight="1" collapsed="1">
      <c r="A25" s="512" t="s">
        <v>631</v>
      </c>
      <c r="B25" s="513"/>
      <c r="C25" s="515"/>
      <c r="D25" s="515"/>
      <c r="E25" s="922"/>
      <c r="F25" s="177"/>
    </row>
    <row r="26" spans="1:31" s="422" customFormat="1" outlineLevel="1">
      <c r="A26" s="594" t="s">
        <v>790</v>
      </c>
      <c r="B26" s="595"/>
      <c r="C26" s="595"/>
      <c r="D26" s="595"/>
      <c r="E26" s="596"/>
    </row>
    <row r="27" spans="1:31" s="422" customFormat="1" ht="18.75" outlineLevel="2">
      <c r="A27" s="601"/>
      <c r="B27" s="602" t="s">
        <v>1105</v>
      </c>
      <c r="C27" s="602" t="s">
        <v>1106</v>
      </c>
      <c r="D27" s="602" t="s">
        <v>1107</v>
      </c>
      <c r="E27" s="604" t="s">
        <v>1108</v>
      </c>
    </row>
    <row r="28" spans="1:31" s="422" customFormat="1" ht="15" outlineLevel="2">
      <c r="A28" s="773" t="s">
        <v>124</v>
      </c>
      <c r="B28" s="774">
        <f>B37*B21</f>
        <v>42596.416089999999</v>
      </c>
      <c r="C28" s="780">
        <f>B37*B22/'Conversion Factors and GWPs'!$A$8</f>
        <v>3.3292791419999999</v>
      </c>
      <c r="D28" s="780">
        <f>B37*B23/'Conversion Factors and GWPs'!$A$8</f>
        <v>1.0638673949999999</v>
      </c>
      <c r="E28" s="774">
        <f>B28+(C28*'Conversion Factors and GWPs'!C14)+('Railways Data'!D28*'Conversion Factors and GWPs'!C15)</f>
        <v>42971.560765650996</v>
      </c>
    </row>
    <row r="29" spans="1:31" s="422" customFormat="1" ht="15" outlineLevel="2">
      <c r="A29" s="1211" t="s">
        <v>69</v>
      </c>
      <c r="B29" s="1212"/>
      <c r="C29" s="1212"/>
      <c r="D29" s="1213"/>
      <c r="E29" s="342">
        <f>E28</f>
        <v>42971.560765650996</v>
      </c>
    </row>
    <row r="30" spans="1:31" s="422" customFormat="1" ht="12.75" outlineLevel="2">
      <c r="A30" s="73"/>
      <c r="B30" s="424"/>
      <c r="C30" s="767"/>
      <c r="D30" s="767"/>
      <c r="E30" s="768"/>
    </row>
    <row r="31" spans="1:31" s="422" customFormat="1" outlineLevel="2">
      <c r="A31" s="594" t="s">
        <v>792</v>
      </c>
      <c r="B31" s="595"/>
      <c r="C31" s="596"/>
      <c r="D31" s="767"/>
      <c r="E31" s="768"/>
    </row>
    <row r="32" spans="1:31" s="422" customFormat="1" ht="14.25" outlineLevel="2">
      <c r="A32" s="628" t="s">
        <v>1091</v>
      </c>
      <c r="B32" s="629" t="s">
        <v>1092</v>
      </c>
      <c r="C32" s="629" t="s">
        <v>1095</v>
      </c>
      <c r="D32" s="767"/>
      <c r="E32" s="768"/>
    </row>
    <row r="33" spans="1:30" s="422" customFormat="1" ht="15" outlineLevel="2">
      <c r="A33" s="775" t="s">
        <v>1088</v>
      </c>
      <c r="B33" s="776">
        <v>11232</v>
      </c>
      <c r="C33" s="777">
        <v>3.8</v>
      </c>
      <c r="D33" s="767"/>
      <c r="E33" s="768"/>
    </row>
    <row r="34" spans="1:30" s="422" customFormat="1" ht="15" outlineLevel="2">
      <c r="A34" s="778" t="s">
        <v>1089</v>
      </c>
      <c r="B34" s="776">
        <v>19696</v>
      </c>
      <c r="C34" s="777">
        <v>7.5</v>
      </c>
      <c r="D34" s="767"/>
      <c r="E34" s="768"/>
    </row>
    <row r="35" spans="1:30" s="422" customFormat="1" ht="15" outlineLevel="2">
      <c r="A35" s="778" t="s">
        <v>1090</v>
      </c>
      <c r="B35" s="776">
        <v>2242757</v>
      </c>
      <c r="C35" s="777">
        <v>22.3</v>
      </c>
      <c r="D35" s="767"/>
      <c r="E35" s="768"/>
    </row>
    <row r="36" spans="1:30" s="422" customFormat="1" ht="15" outlineLevel="2">
      <c r="A36" s="779" t="s">
        <v>1066</v>
      </c>
      <c r="B36" s="776">
        <v>1898344</v>
      </c>
      <c r="C36" s="777">
        <v>17.2</v>
      </c>
      <c r="D36" s="767"/>
      <c r="E36" s="768"/>
    </row>
    <row r="37" spans="1:30" s="422" customFormat="1" ht="15" outlineLevel="2">
      <c r="A37" s="633" t="s">
        <v>157</v>
      </c>
      <c r="B37" s="641">
        <f>SUM(B33:B36)</f>
        <v>4172029</v>
      </c>
      <c r="C37" s="641">
        <f>SUM(C33:C36)</f>
        <v>50.8</v>
      </c>
      <c r="D37" s="767"/>
      <c r="E37" s="768"/>
    </row>
    <row r="38" spans="1:30" s="422" customFormat="1" ht="12.75" outlineLevel="2">
      <c r="A38" s="73"/>
      <c r="B38" s="768"/>
      <c r="C38" s="767"/>
      <c r="D38" s="767"/>
      <c r="E38" s="768"/>
    </row>
    <row r="39" spans="1:30" customFormat="1" outlineLevel="1">
      <c r="A39" s="594" t="s">
        <v>1169</v>
      </c>
      <c r="B39" s="595"/>
      <c r="C39" s="595"/>
      <c r="D39" s="595"/>
      <c r="E39" s="596"/>
      <c r="F39" s="175"/>
      <c r="G39" s="175"/>
      <c r="H39" s="175"/>
      <c r="I39" s="175"/>
      <c r="J39" s="175"/>
      <c r="K39" s="175"/>
      <c r="L39" s="175"/>
      <c r="M39" s="175"/>
      <c r="N39" s="175"/>
      <c r="O39" s="175"/>
      <c r="P39" s="175"/>
      <c r="Q39" s="175"/>
      <c r="R39" s="175"/>
      <c r="S39" s="175"/>
      <c r="T39" s="175"/>
      <c r="U39" s="175"/>
      <c r="V39" s="175"/>
      <c r="W39" s="175"/>
      <c r="X39" s="175"/>
      <c r="Y39" s="175"/>
      <c r="Z39" s="175"/>
      <c r="AA39" s="175"/>
      <c r="AB39" s="175"/>
      <c r="AC39" s="175"/>
      <c r="AD39" s="175"/>
    </row>
    <row r="40" spans="1:30" customFormat="1" ht="18.75" outlineLevel="2">
      <c r="A40" s="601"/>
      <c r="B40" s="602" t="s">
        <v>1105</v>
      </c>
      <c r="C40" s="602" t="s">
        <v>1106</v>
      </c>
      <c r="D40" s="602" t="s">
        <v>1107</v>
      </c>
      <c r="E40" s="604" t="s">
        <v>1108</v>
      </c>
      <c r="F40" s="175"/>
      <c r="G40" s="175"/>
      <c r="H40" s="175"/>
      <c r="I40" s="175"/>
      <c r="J40" s="175"/>
      <c r="K40" s="175"/>
      <c r="L40" s="175"/>
      <c r="M40" s="175"/>
      <c r="N40" s="175"/>
      <c r="O40" s="175"/>
      <c r="P40" s="175"/>
      <c r="Q40" s="175"/>
      <c r="R40" s="175"/>
      <c r="S40" s="175"/>
      <c r="T40" s="175"/>
      <c r="U40" s="175"/>
      <c r="V40" s="175"/>
      <c r="W40" s="175"/>
      <c r="X40" s="175"/>
      <c r="Y40" s="175"/>
      <c r="Z40" s="175"/>
      <c r="AA40" s="175"/>
      <c r="AB40" s="175"/>
      <c r="AC40" s="175"/>
      <c r="AD40" s="175"/>
    </row>
    <row r="41" spans="1:30" customFormat="1" outlineLevel="2">
      <c r="A41" s="773" t="s">
        <v>791</v>
      </c>
      <c r="B41" s="332">
        <f>(B48/'Conversion Factors and GWPs'!A6)*C15</f>
        <v>30975.776936881502</v>
      </c>
      <c r="C41" s="354">
        <f>(B48/'Conversion Factors and GWPs'!A7)*C16</f>
        <v>3.362253525852188</v>
      </c>
      <c r="D41" s="332">
        <f>(B48/'Conversion Factors and GWPs'!A7)*C17</f>
        <v>0.49203710134422257</v>
      </c>
      <c r="E41" s="774">
        <f>B41+(C41*'Conversion Factors and GWPs'!C14)+('Railways Data'!D41*'Conversion Factors and GWPs'!C15)</f>
        <v>31200.309867461583</v>
      </c>
      <c r="F41" s="175"/>
      <c r="G41" s="175"/>
      <c r="H41" s="175"/>
      <c r="I41" s="175"/>
      <c r="J41" s="175"/>
      <c r="K41" s="175"/>
      <c r="L41" s="175"/>
      <c r="M41" s="175"/>
      <c r="N41" s="175"/>
      <c r="O41" s="175"/>
      <c r="P41" s="175"/>
      <c r="Q41" s="175"/>
      <c r="R41" s="175"/>
      <c r="S41" s="175"/>
      <c r="T41" s="175"/>
      <c r="U41" s="175"/>
      <c r="V41" s="175"/>
      <c r="W41" s="175"/>
      <c r="X41" s="175"/>
      <c r="Y41" s="175"/>
      <c r="Z41" s="175"/>
      <c r="AA41" s="175"/>
      <c r="AB41" s="175"/>
      <c r="AC41" s="175"/>
      <c r="AD41" s="175"/>
    </row>
    <row r="42" spans="1:30" customFormat="1" outlineLevel="2">
      <c r="A42" s="1211" t="s">
        <v>69</v>
      </c>
      <c r="B42" s="1212"/>
      <c r="C42" s="1212"/>
      <c r="D42" s="1213"/>
      <c r="E42" s="342">
        <f>E41</f>
        <v>31200.309867461583</v>
      </c>
      <c r="F42" s="175"/>
      <c r="G42" s="175"/>
      <c r="H42" s="175"/>
      <c r="I42" s="175"/>
      <c r="J42" s="175"/>
      <c r="K42" s="175"/>
      <c r="L42" s="175"/>
      <c r="M42" s="175"/>
      <c r="N42" s="175"/>
      <c r="O42" s="175"/>
      <c r="P42" s="175"/>
      <c r="Q42" s="175"/>
      <c r="R42" s="175"/>
      <c r="S42" s="175"/>
      <c r="T42" s="175"/>
      <c r="U42" s="175"/>
      <c r="V42" s="175"/>
      <c r="W42" s="175"/>
      <c r="X42" s="175"/>
      <c r="Y42" s="175"/>
      <c r="Z42" s="175"/>
      <c r="AA42" s="175"/>
      <c r="AB42" s="175"/>
      <c r="AC42" s="175"/>
      <c r="AD42" s="175"/>
    </row>
    <row r="43" spans="1:30" outlineLevel="2"/>
    <row r="44" spans="1:30" outlineLevel="2">
      <c r="A44" s="594" t="s">
        <v>793</v>
      </c>
      <c r="B44" s="596"/>
    </row>
    <row r="45" spans="1:30" s="550" customFormat="1" outlineLevel="2">
      <c r="A45" s="627"/>
      <c r="B45" s="530" t="s">
        <v>1170</v>
      </c>
    </row>
    <row r="46" spans="1:30" outlineLevel="2">
      <c r="A46" s="319" t="s">
        <v>1171</v>
      </c>
      <c r="B46" s="624">
        <f>40059292+68261293</f>
        <v>108320585</v>
      </c>
    </row>
    <row r="47" spans="1:30" outlineLevel="2">
      <c r="A47" s="771" t="s">
        <v>1172</v>
      </c>
      <c r="B47" s="788">
        <v>0.55635000000000001</v>
      </c>
    </row>
    <row r="48" spans="1:30" outlineLevel="2">
      <c r="A48" s="771" t="s">
        <v>1173</v>
      </c>
      <c r="B48" s="772">
        <f>B46*B47</f>
        <v>60264157.464749999</v>
      </c>
    </row>
    <row r="49" outlineLevel="2"/>
    <row r="50" outlineLevel="2"/>
    <row r="51" outlineLevel="1"/>
  </sheetData>
  <mergeCells count="12">
    <mergeCell ref="A42:D42"/>
    <mergeCell ref="F9:H9"/>
    <mergeCell ref="A10:E10"/>
    <mergeCell ref="A11:E11"/>
    <mergeCell ref="D21:E23"/>
    <mergeCell ref="I8:K8"/>
    <mergeCell ref="A29:D29"/>
    <mergeCell ref="A13:E13"/>
    <mergeCell ref="E16:E17"/>
    <mergeCell ref="D20:E20"/>
    <mergeCell ref="A8:E8"/>
    <mergeCell ref="A9:E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3" tint="0.39997558519241921"/>
  </sheetPr>
  <dimension ref="A1:AN96"/>
  <sheetViews>
    <sheetView topLeftCell="A28" workbookViewId="0">
      <selection activeCell="B33" sqref="B33:E33"/>
    </sheetView>
  </sheetViews>
  <sheetFormatPr defaultColWidth="11.125" defaultRowHeight="15" customHeight="1" outlineLevelRow="2"/>
  <cols>
    <col min="1" max="1" width="43.25" style="14" customWidth="1"/>
    <col min="2" max="2" width="12.25" style="14" customWidth="1"/>
    <col min="3" max="3" width="12.625" style="14" customWidth="1"/>
    <col min="4" max="4" width="14.75" style="14" customWidth="1"/>
    <col min="5" max="5" width="16.75" style="14" bestFit="1" customWidth="1"/>
    <col min="6" max="6" width="11.25" style="14" bestFit="1" customWidth="1"/>
    <col min="7" max="7" width="12" style="14" bestFit="1" customWidth="1"/>
    <col min="8" max="8" width="11.125" style="14"/>
    <col min="9" max="32" width="11.125" style="13"/>
    <col min="33" max="16384" width="11.125" style="14"/>
  </cols>
  <sheetData>
    <row r="1" spans="1:32" s="86" customFormat="1" ht="24" customHeight="1">
      <c r="A1" s="210" t="s">
        <v>203</v>
      </c>
      <c r="B1" s="210"/>
      <c r="C1" s="210"/>
      <c r="D1" s="210"/>
      <c r="E1" s="210"/>
      <c r="F1" s="210"/>
      <c r="G1" s="210"/>
      <c r="H1" s="90"/>
      <c r="I1" s="90"/>
      <c r="J1" s="90"/>
      <c r="K1" s="90"/>
      <c r="L1" s="90"/>
      <c r="M1" s="90"/>
      <c r="N1" s="90"/>
      <c r="O1" s="90"/>
      <c r="P1" s="90"/>
      <c r="Q1" s="90"/>
      <c r="R1" s="90"/>
      <c r="S1" s="90"/>
      <c r="T1" s="90"/>
      <c r="U1" s="90"/>
      <c r="V1" s="90"/>
      <c r="W1" s="91"/>
      <c r="X1" s="90"/>
      <c r="Y1" s="90"/>
      <c r="Z1" s="90"/>
      <c r="AA1" s="85"/>
      <c r="AB1" s="85"/>
      <c r="AC1" s="85"/>
      <c r="AD1" s="85"/>
      <c r="AE1" s="85"/>
      <c r="AF1" s="85"/>
    </row>
    <row r="2" spans="1:32" ht="20.25">
      <c r="A2" s="1101" t="s">
        <v>414</v>
      </c>
      <c r="B2" s="1102"/>
      <c r="C2" s="502"/>
      <c r="D2" s="502"/>
      <c r="E2" s="502"/>
      <c r="F2" s="502"/>
      <c r="G2" s="503"/>
      <c r="H2" s="7"/>
      <c r="I2" s="7"/>
      <c r="J2" s="7"/>
      <c r="K2" s="7"/>
      <c r="L2" s="7"/>
      <c r="M2" s="7"/>
      <c r="N2" s="44"/>
      <c r="O2" s="44"/>
      <c r="P2" s="44"/>
      <c r="Q2" s="44"/>
      <c r="R2" s="44"/>
      <c r="S2" s="44"/>
      <c r="T2" s="44"/>
      <c r="U2" s="44"/>
      <c r="V2" s="9"/>
      <c r="W2" s="9"/>
      <c r="X2" s="9"/>
      <c r="Y2" s="9"/>
      <c r="Z2" s="9"/>
    </row>
    <row r="3" spans="1:32" s="190" customFormat="1" outlineLevel="1">
      <c r="A3" s="511" t="s">
        <v>64</v>
      </c>
      <c r="B3" s="518">
        <f>E34</f>
        <v>82.521669299579969</v>
      </c>
      <c r="C3" s="206"/>
      <c r="D3" s="206"/>
      <c r="E3" s="206"/>
      <c r="F3" s="206"/>
      <c r="G3" s="206"/>
      <c r="H3" s="206"/>
      <c r="I3" s="206"/>
      <c r="J3" s="206"/>
      <c r="K3" s="206"/>
      <c r="L3" s="206"/>
      <c r="M3" s="206"/>
      <c r="N3" s="206"/>
      <c r="O3" s="206"/>
      <c r="P3" s="206"/>
      <c r="Q3" s="206"/>
    </row>
    <row r="4" spans="1:32" s="190" customFormat="1" outlineLevel="1">
      <c r="A4" s="290" t="s">
        <v>66</v>
      </c>
      <c r="B4" s="291" t="s">
        <v>63</v>
      </c>
    </row>
    <row r="5" spans="1:32" s="190" customFormat="1" outlineLevel="1">
      <c r="A5" s="288" t="s">
        <v>590</v>
      </c>
      <c r="B5" s="289">
        <f>E32</f>
        <v>1413398.8479781065</v>
      </c>
    </row>
    <row r="6" spans="1:32" s="190" customFormat="1" outlineLevel="1">
      <c r="A6" s="288" t="s">
        <v>591</v>
      </c>
      <c r="B6" s="291">
        <f>$E$33</f>
        <v>644264.09600000002</v>
      </c>
    </row>
    <row r="7" spans="1:32" s="190" customFormat="1" outlineLevel="1">
      <c r="A7" s="292" t="s">
        <v>592</v>
      </c>
      <c r="B7" s="293">
        <f>SUM(B3:B5)</f>
        <v>1413481.369647406</v>
      </c>
    </row>
    <row r="8" spans="1:32" s="190" customFormat="1" outlineLevel="1">
      <c r="A8" s="292" t="s">
        <v>593</v>
      </c>
      <c r="B8" s="293">
        <f>$B$3+$B$6</f>
        <v>644346.61766929959</v>
      </c>
    </row>
    <row r="9" spans="1:32" s="209" customFormat="1" ht="20.25">
      <c r="A9" s="519" t="s">
        <v>630</v>
      </c>
      <c r="B9" s="515"/>
      <c r="C9" s="515"/>
      <c r="D9" s="515"/>
      <c r="E9" s="515"/>
      <c r="F9" s="515"/>
      <c r="G9" s="516"/>
      <c r="H9" s="226"/>
      <c r="I9" s="42"/>
      <c r="J9" s="42"/>
      <c r="K9" s="42"/>
      <c r="L9" s="42"/>
      <c r="M9" s="42"/>
      <c r="N9" s="44"/>
      <c r="O9" s="44"/>
      <c r="P9" s="44"/>
      <c r="Q9" s="44"/>
      <c r="R9" s="44"/>
      <c r="S9" s="44"/>
      <c r="T9" s="44"/>
      <c r="U9" s="44"/>
      <c r="V9" s="9"/>
      <c r="W9" s="9"/>
      <c r="X9" s="9"/>
      <c r="Y9" s="9"/>
      <c r="Z9" s="9"/>
      <c r="AA9" s="13"/>
      <c r="AB9" s="13"/>
      <c r="AC9" s="13"/>
      <c r="AD9" s="13"/>
      <c r="AE9" s="13"/>
      <c r="AF9" s="13"/>
    </row>
    <row r="10" spans="1:32" s="13" customFormat="1" ht="37.5" customHeight="1" outlineLevel="1">
      <c r="A10" s="1224" t="s">
        <v>1379</v>
      </c>
      <c r="B10" s="1224"/>
      <c r="C10" s="1224"/>
      <c r="D10" s="1224"/>
      <c r="E10" s="1224"/>
      <c r="F10" s="1224"/>
      <c r="G10" s="1224"/>
      <c r="H10" s="380"/>
      <c r="I10" s="226"/>
      <c r="J10" s="226"/>
      <c r="K10" s="42"/>
      <c r="L10" s="42"/>
      <c r="M10" s="42"/>
      <c r="N10" s="44"/>
      <c r="O10" s="44"/>
      <c r="P10" s="44"/>
      <c r="Q10" s="44"/>
      <c r="R10" s="44"/>
      <c r="S10" s="44"/>
      <c r="T10" s="44"/>
      <c r="U10" s="44"/>
      <c r="V10" s="9"/>
      <c r="W10" s="9"/>
      <c r="X10" s="9"/>
      <c r="Y10" s="9"/>
      <c r="Z10" s="9"/>
    </row>
    <row r="11" spans="1:32" s="13" customFormat="1" ht="39.75" customHeight="1" outlineLevel="1">
      <c r="A11" s="1224" t="s">
        <v>1052</v>
      </c>
      <c r="B11" s="1224"/>
      <c r="C11" s="1224"/>
      <c r="D11" s="1224"/>
      <c r="E11" s="1224"/>
      <c r="F11" s="1224"/>
      <c r="G11" s="1224"/>
      <c r="H11" s="380"/>
      <c r="I11" s="226"/>
      <c r="J11" s="226"/>
      <c r="K11" s="226"/>
      <c r="L11" s="226"/>
      <c r="M11" s="226"/>
      <c r="N11" s="44"/>
      <c r="O11" s="44"/>
      <c r="P11" s="44"/>
      <c r="Q11" s="44"/>
      <c r="R11" s="44"/>
      <c r="S11" s="44"/>
      <c r="T11" s="44"/>
      <c r="U11" s="44"/>
      <c r="V11" s="9"/>
      <c r="W11" s="9"/>
      <c r="X11" s="9"/>
      <c r="Y11" s="9"/>
      <c r="Z11" s="9"/>
    </row>
    <row r="12" spans="1:32" s="13" customFormat="1" ht="15.75" customHeight="1" outlineLevel="1">
      <c r="A12" s="1224" t="s">
        <v>1380</v>
      </c>
      <c r="B12" s="1224"/>
      <c r="C12" s="1224"/>
      <c r="D12" s="1224"/>
      <c r="E12" s="1224"/>
      <c r="F12" s="1224"/>
      <c r="G12" s="1224"/>
      <c r="H12" s="380"/>
      <c r="I12" s="379"/>
      <c r="J12" s="379"/>
      <c r="K12" s="226"/>
      <c r="L12" s="226"/>
      <c r="M12" s="226"/>
      <c r="N12" s="44"/>
      <c r="O12" s="44"/>
      <c r="P12" s="44"/>
      <c r="Q12" s="44"/>
      <c r="R12" s="44"/>
      <c r="S12" s="44"/>
      <c r="T12" s="44"/>
      <c r="U12" s="44"/>
      <c r="V12" s="9"/>
      <c r="W12" s="9"/>
      <c r="X12" s="9"/>
      <c r="Y12" s="9"/>
      <c r="Z12" s="9"/>
    </row>
    <row r="13" spans="1:32" s="13" customFormat="1" ht="51.6" customHeight="1" outlineLevel="1">
      <c r="A13" s="1224" t="s">
        <v>1290</v>
      </c>
      <c r="B13" s="1224"/>
      <c r="C13" s="1224"/>
      <c r="D13" s="1224"/>
      <c r="E13" s="1224"/>
      <c r="F13" s="1224"/>
      <c r="G13" s="1224"/>
      <c r="H13" s="380"/>
      <c r="I13" s="226"/>
      <c r="J13" s="226"/>
      <c r="K13" s="42"/>
      <c r="L13" s="42"/>
      <c r="M13" s="42"/>
      <c r="N13" s="44"/>
      <c r="O13" s="44"/>
      <c r="P13" s="44"/>
      <c r="Q13" s="44"/>
      <c r="R13" s="44"/>
      <c r="S13" s="44"/>
      <c r="T13" s="44"/>
      <c r="U13" s="44"/>
      <c r="V13" s="9"/>
      <c r="W13" s="9"/>
      <c r="X13" s="9"/>
      <c r="Y13" s="9"/>
      <c r="Z13" s="9"/>
    </row>
    <row r="14" spans="1:32" s="13" customFormat="1" ht="39" customHeight="1" outlineLevel="1">
      <c r="A14" s="1224" t="s">
        <v>1272</v>
      </c>
      <c r="B14" s="1224"/>
      <c r="C14" s="1224"/>
      <c r="D14" s="1224"/>
      <c r="E14" s="1224"/>
      <c r="F14" s="1224"/>
      <c r="G14" s="1224"/>
      <c r="H14" s="380"/>
      <c r="I14" s="226"/>
      <c r="J14" s="226"/>
      <c r="K14" s="42"/>
      <c r="L14" s="42"/>
      <c r="M14" s="42"/>
      <c r="N14" s="44"/>
      <c r="O14" s="44"/>
      <c r="P14" s="44"/>
      <c r="Q14" s="44"/>
      <c r="R14" s="44"/>
      <c r="S14" s="44"/>
      <c r="T14" s="44"/>
      <c r="U14" s="44"/>
      <c r="V14" s="9"/>
      <c r="W14" s="9"/>
      <c r="X14" s="9"/>
      <c r="Y14" s="9"/>
      <c r="Z14" s="9"/>
    </row>
    <row r="15" spans="1:32" s="209" customFormat="1" outlineLevel="1">
      <c r="A15" s="1224" t="s">
        <v>1378</v>
      </c>
      <c r="B15" s="1224"/>
      <c r="C15" s="1224"/>
      <c r="D15" s="1224"/>
      <c r="E15" s="1224"/>
      <c r="F15" s="1224"/>
      <c r="G15" s="1224"/>
      <c r="H15" s="380"/>
      <c r="I15" s="226"/>
      <c r="J15" s="226"/>
      <c r="K15" s="42"/>
      <c r="L15" s="42"/>
      <c r="M15" s="42"/>
      <c r="N15" s="44"/>
      <c r="O15" s="44"/>
      <c r="P15" s="44"/>
      <c r="Q15" s="44"/>
      <c r="R15" s="44"/>
      <c r="S15" s="44"/>
      <c r="T15" s="44"/>
      <c r="U15" s="44"/>
      <c r="V15" s="9"/>
      <c r="W15" s="9"/>
      <c r="X15" s="9"/>
      <c r="Y15" s="9"/>
      <c r="Z15" s="9"/>
      <c r="AA15" s="13"/>
      <c r="AB15" s="13"/>
      <c r="AC15" s="13"/>
      <c r="AD15" s="13"/>
      <c r="AE15" s="13"/>
      <c r="AF15" s="13"/>
    </row>
    <row r="16" spans="1:32" s="209" customFormat="1" ht="43.9" customHeight="1" outlineLevel="1">
      <c r="A16" s="1224" t="s">
        <v>1058</v>
      </c>
      <c r="B16" s="1224"/>
      <c r="C16" s="1224"/>
      <c r="D16" s="1224"/>
      <c r="E16" s="1224"/>
      <c r="F16" s="1224"/>
      <c r="G16" s="1224"/>
      <c r="H16" s="378"/>
      <c r="I16" s="226"/>
      <c r="J16" s="226"/>
      <c r="K16" s="42"/>
      <c r="L16" s="42"/>
      <c r="M16" s="42"/>
      <c r="N16" s="44"/>
      <c r="O16" s="44"/>
      <c r="P16" s="44"/>
      <c r="Q16" s="44"/>
      <c r="R16" s="44"/>
      <c r="S16" s="44"/>
      <c r="T16" s="44"/>
      <c r="U16" s="44"/>
      <c r="V16" s="9"/>
      <c r="W16" s="9"/>
      <c r="X16" s="9"/>
      <c r="Y16" s="9"/>
      <c r="Z16" s="9"/>
      <c r="AA16" s="13"/>
      <c r="AB16" s="13"/>
      <c r="AC16" s="13"/>
      <c r="AD16" s="13"/>
      <c r="AE16" s="13"/>
      <c r="AF16" s="13"/>
    </row>
    <row r="17" spans="1:34" s="209" customFormat="1" ht="20.25">
      <c r="A17" s="519" t="s">
        <v>0</v>
      </c>
      <c r="B17" s="515"/>
      <c r="C17" s="515"/>
      <c r="D17" s="515"/>
      <c r="E17" s="515"/>
      <c r="F17" s="515"/>
      <c r="G17" s="516"/>
      <c r="H17" s="226"/>
      <c r="I17" s="42"/>
      <c r="J17" s="42"/>
      <c r="K17" s="42"/>
      <c r="L17" s="42"/>
      <c r="M17" s="42"/>
      <c r="N17" s="44"/>
      <c r="O17" s="44"/>
      <c r="P17" s="44"/>
      <c r="Q17" s="44"/>
      <c r="R17" s="44"/>
      <c r="S17" s="44"/>
      <c r="T17" s="44"/>
      <c r="U17" s="44"/>
      <c r="V17" s="9"/>
      <c r="W17" s="9"/>
      <c r="X17" s="9"/>
      <c r="Y17" s="9"/>
      <c r="Z17" s="9"/>
      <c r="AA17" s="13"/>
      <c r="AB17" s="13"/>
      <c r="AC17" s="13"/>
      <c r="AD17" s="13"/>
      <c r="AE17" s="13"/>
      <c r="AF17" s="13"/>
    </row>
    <row r="18" spans="1:34" ht="15.75" outlineLevel="1">
      <c r="A18" s="520" t="s">
        <v>127</v>
      </c>
      <c r="B18" s="521"/>
      <c r="C18" s="521"/>
      <c r="D18" s="521"/>
      <c r="E18" s="521"/>
      <c r="F18" s="521"/>
      <c r="G18" s="522"/>
      <c r="H18" s="5"/>
      <c r="I18" s="5"/>
      <c r="J18" s="5"/>
      <c r="K18" s="5"/>
      <c r="L18" s="5"/>
      <c r="M18" s="5"/>
      <c r="N18" s="74"/>
      <c r="O18" s="74"/>
      <c r="P18" s="74"/>
      <c r="Q18" s="5"/>
      <c r="R18" s="5"/>
      <c r="S18" s="5"/>
      <c r="T18" s="5"/>
      <c r="U18" s="5"/>
      <c r="V18" s="5"/>
      <c r="W18" s="5"/>
      <c r="X18" s="5"/>
      <c r="Y18" s="5"/>
      <c r="Z18" s="5"/>
      <c r="AG18" s="13"/>
      <c r="AH18" s="13"/>
    </row>
    <row r="19" spans="1:34" ht="14.25" outlineLevel="2">
      <c r="A19" s="523" t="s">
        <v>55</v>
      </c>
      <c r="B19" s="524" t="s">
        <v>56</v>
      </c>
      <c r="C19" s="524" t="s">
        <v>57</v>
      </c>
      <c r="D19" s="1216" t="s">
        <v>41</v>
      </c>
      <c r="E19" s="1216"/>
      <c r="F19" s="1216"/>
      <c r="G19" s="1217"/>
      <c r="H19" s="5"/>
      <c r="I19" s="5"/>
      <c r="J19" s="5"/>
      <c r="K19" s="5"/>
      <c r="L19" s="5"/>
      <c r="M19" s="5"/>
      <c r="N19" s="74"/>
      <c r="O19" s="74"/>
      <c r="P19" s="74"/>
      <c r="Q19" s="5"/>
      <c r="R19" s="5"/>
      <c r="S19" s="5"/>
      <c r="T19" s="5"/>
      <c r="U19" s="5"/>
      <c r="V19" s="5"/>
      <c r="W19" s="5"/>
      <c r="X19" s="5"/>
      <c r="Y19" s="5"/>
      <c r="Z19" s="5"/>
      <c r="AG19" s="13"/>
      <c r="AH19" s="13"/>
    </row>
    <row r="20" spans="1:34" ht="19.899999999999999" customHeight="1" outlineLevel="2">
      <c r="A20" s="294" t="s">
        <v>649</v>
      </c>
      <c r="B20" s="819">
        <v>9.75E-3</v>
      </c>
      <c r="C20" s="286" t="s">
        <v>1280</v>
      </c>
      <c r="D20" s="1226" t="s">
        <v>1283</v>
      </c>
      <c r="E20" s="1227"/>
      <c r="F20" s="1227"/>
      <c r="G20" s="1228"/>
      <c r="H20" s="5"/>
      <c r="I20" s="5"/>
      <c r="J20" s="5"/>
      <c r="K20" s="5"/>
      <c r="L20" s="5"/>
      <c r="M20" s="5"/>
      <c r="N20" s="74"/>
      <c r="O20" s="74"/>
      <c r="P20" s="74"/>
      <c r="Q20" s="5"/>
      <c r="R20" s="5"/>
      <c r="S20" s="5"/>
      <c r="T20" s="5"/>
      <c r="U20" s="5"/>
      <c r="V20" s="5"/>
      <c r="W20" s="5"/>
      <c r="X20" s="5"/>
      <c r="Y20" s="5"/>
      <c r="Z20" s="5"/>
      <c r="AG20" s="13"/>
      <c r="AH20" s="13"/>
    </row>
    <row r="21" spans="1:34" ht="19.899999999999999" customHeight="1" outlineLevel="2">
      <c r="A21" s="294" t="s">
        <v>521</v>
      </c>
      <c r="B21" s="820">
        <v>0</v>
      </c>
      <c r="C21" s="294" t="s">
        <v>1281</v>
      </c>
      <c r="D21" s="1229"/>
      <c r="E21" s="1230"/>
      <c r="F21" s="1230"/>
      <c r="G21" s="1231"/>
      <c r="H21" s="74"/>
      <c r="I21" s="74"/>
      <c r="J21" s="74"/>
      <c r="K21" s="74"/>
      <c r="L21" s="74"/>
      <c r="M21" s="74"/>
      <c r="N21" s="74"/>
      <c r="O21" s="74"/>
      <c r="P21" s="74"/>
      <c r="Q21" s="5"/>
      <c r="R21" s="5"/>
      <c r="S21" s="5"/>
      <c r="T21" s="5"/>
      <c r="U21" s="5"/>
      <c r="V21" s="5"/>
      <c r="W21" s="5"/>
      <c r="X21" s="5"/>
      <c r="Y21" s="5"/>
      <c r="Z21" s="5"/>
      <c r="AG21" s="13"/>
      <c r="AH21" s="13"/>
    </row>
    <row r="22" spans="1:34" ht="19.899999999999999" customHeight="1" outlineLevel="2">
      <c r="A22" s="296" t="s">
        <v>650</v>
      </c>
      <c r="B22" s="821">
        <v>2.9999999999999999E-7</v>
      </c>
      <c r="C22" s="294" t="s">
        <v>1282</v>
      </c>
      <c r="D22" s="1232"/>
      <c r="E22" s="1233"/>
      <c r="F22" s="1233"/>
      <c r="G22" s="1234"/>
      <c r="H22" s="74"/>
      <c r="I22" s="74"/>
      <c r="J22" s="74"/>
      <c r="K22" s="74"/>
      <c r="L22" s="74"/>
      <c r="M22" s="74"/>
      <c r="N22" s="74"/>
      <c r="O22" s="74"/>
      <c r="P22" s="74"/>
      <c r="Q22" s="5"/>
      <c r="R22" s="5"/>
      <c r="S22" s="5"/>
      <c r="T22" s="5"/>
      <c r="U22" s="5"/>
      <c r="V22" s="5"/>
      <c r="W22" s="5"/>
      <c r="X22" s="5"/>
      <c r="Y22" s="5"/>
      <c r="Z22" s="5"/>
      <c r="AG22" s="13"/>
      <c r="AH22" s="13"/>
    </row>
    <row r="23" spans="1:34" ht="16.899999999999999" customHeight="1" outlineLevel="1">
      <c r="A23" s="520" t="s">
        <v>381</v>
      </c>
      <c r="B23" s="521"/>
      <c r="C23" s="521"/>
      <c r="D23" s="521"/>
      <c r="E23" s="521"/>
      <c r="F23" s="521"/>
      <c r="G23" s="522"/>
      <c r="H23" s="74"/>
      <c r="I23" s="74"/>
      <c r="J23" s="74"/>
      <c r="K23" s="74"/>
      <c r="L23" s="74"/>
      <c r="M23" s="74"/>
      <c r="N23" s="74"/>
      <c r="O23" s="74"/>
      <c r="P23" s="74"/>
      <c r="Q23" s="5"/>
      <c r="R23" s="5"/>
      <c r="S23" s="5"/>
      <c r="T23" s="5"/>
      <c r="U23" s="5"/>
      <c r="V23" s="5"/>
      <c r="W23" s="5"/>
      <c r="X23" s="5"/>
      <c r="Y23" s="5"/>
      <c r="Z23" s="5"/>
      <c r="AG23" s="13"/>
      <c r="AH23" s="13"/>
    </row>
    <row r="24" spans="1:34" ht="14.25" outlineLevel="2">
      <c r="A24" s="523" t="s">
        <v>55</v>
      </c>
      <c r="B24" s="524" t="s">
        <v>56</v>
      </c>
      <c r="C24" s="524" t="s">
        <v>57</v>
      </c>
      <c r="D24" s="1216" t="s">
        <v>41</v>
      </c>
      <c r="E24" s="1216"/>
      <c r="F24" s="1216"/>
      <c r="G24" s="1217"/>
      <c r="H24" s="74"/>
      <c r="I24" s="74"/>
      <c r="J24" s="74"/>
      <c r="K24" s="74"/>
      <c r="L24" s="74"/>
      <c r="M24" s="74"/>
      <c r="N24" s="74"/>
      <c r="O24" s="74"/>
      <c r="P24" s="74"/>
      <c r="Q24" s="5"/>
      <c r="R24" s="5"/>
      <c r="S24" s="5"/>
      <c r="T24" s="5"/>
      <c r="U24" s="5"/>
      <c r="V24" s="5"/>
      <c r="W24" s="5"/>
      <c r="X24" s="5"/>
      <c r="Y24" s="5"/>
      <c r="Z24" s="5"/>
      <c r="AG24" s="13"/>
      <c r="AH24" s="13"/>
    </row>
    <row r="25" spans="1:34" ht="24" customHeight="1" outlineLevel="2">
      <c r="A25" s="294" t="s">
        <v>649</v>
      </c>
      <c r="B25" s="819">
        <v>8.3099999999999997E-3</v>
      </c>
      <c r="C25" s="287" t="s">
        <v>1280</v>
      </c>
      <c r="D25" s="1226" t="s">
        <v>1283</v>
      </c>
      <c r="E25" s="1227"/>
      <c r="F25" s="1227"/>
      <c r="G25" s="1228"/>
      <c r="H25" s="74"/>
      <c r="I25" s="74"/>
      <c r="J25" s="74"/>
      <c r="K25" s="74"/>
      <c r="L25" s="74"/>
      <c r="M25" s="74"/>
      <c r="N25" s="74"/>
      <c r="O25" s="74"/>
      <c r="P25" s="74"/>
      <c r="Q25" s="5"/>
      <c r="R25" s="5"/>
      <c r="S25" s="5"/>
      <c r="T25" s="5"/>
      <c r="U25" s="5"/>
      <c r="V25" s="5"/>
      <c r="W25" s="5"/>
      <c r="X25" s="5"/>
      <c r="Y25" s="5"/>
      <c r="Z25" s="5"/>
      <c r="AG25" s="13"/>
      <c r="AH25" s="13"/>
    </row>
    <row r="26" spans="1:34" ht="24" customHeight="1" outlineLevel="2">
      <c r="A26" s="296" t="s">
        <v>521</v>
      </c>
      <c r="B26" s="822">
        <v>7.063E-6</v>
      </c>
      <c r="C26" s="287" t="s">
        <v>1281</v>
      </c>
      <c r="D26" s="1229"/>
      <c r="E26" s="1230"/>
      <c r="F26" s="1230"/>
      <c r="G26" s="1231"/>
      <c r="H26" s="74"/>
      <c r="I26" s="74"/>
      <c r="J26" s="74"/>
      <c r="K26" s="74"/>
      <c r="L26" s="74"/>
      <c r="M26" s="74"/>
      <c r="N26" s="74"/>
      <c r="O26" s="74"/>
      <c r="P26" s="74"/>
      <c r="Q26" s="5"/>
      <c r="R26" s="5"/>
      <c r="S26" s="5"/>
      <c r="T26" s="5"/>
      <c r="U26" s="5"/>
      <c r="V26" s="5"/>
      <c r="W26" s="5"/>
      <c r="X26" s="5"/>
      <c r="Y26" s="5"/>
      <c r="Z26" s="5"/>
      <c r="AG26" s="13"/>
      <c r="AH26" s="13"/>
    </row>
    <row r="27" spans="1:34" ht="24" customHeight="1" outlineLevel="2">
      <c r="A27" s="296" t="s">
        <v>650</v>
      </c>
      <c r="B27" s="821">
        <v>1.0699999999999999E-7</v>
      </c>
      <c r="C27" s="287" t="s">
        <v>1282</v>
      </c>
      <c r="D27" s="1232"/>
      <c r="E27" s="1233"/>
      <c r="F27" s="1233"/>
      <c r="G27" s="1234"/>
      <c r="H27" s="5"/>
      <c r="I27" s="5"/>
      <c r="J27" s="5"/>
      <c r="K27" s="5"/>
      <c r="L27" s="5"/>
      <c r="M27" s="5"/>
      <c r="N27" s="5"/>
      <c r="O27" s="5"/>
      <c r="P27" s="5"/>
      <c r="Q27" s="5"/>
      <c r="R27" s="5"/>
      <c r="S27" s="5"/>
      <c r="T27" s="5"/>
      <c r="U27" s="5"/>
      <c r="V27" s="5"/>
      <c r="W27" s="5"/>
      <c r="X27" s="5"/>
      <c r="Y27" s="5"/>
      <c r="Z27" s="5"/>
      <c r="AG27" s="13"/>
      <c r="AH27" s="13"/>
    </row>
    <row r="28" spans="1:34" s="206" customFormat="1" ht="12.75" outlineLevel="1">
      <c r="A28" s="1032"/>
      <c r="B28" s="1033"/>
      <c r="C28" s="204"/>
    </row>
    <row r="29" spans="1:34" ht="20.25">
      <c r="A29" s="519" t="s">
        <v>631</v>
      </c>
      <c r="B29" s="515"/>
      <c r="C29" s="515"/>
      <c r="D29" s="515"/>
      <c r="E29" s="515"/>
      <c r="F29" s="515"/>
      <c r="G29" s="516"/>
      <c r="H29" s="226"/>
      <c r="I29" s="42"/>
      <c r="J29" s="42"/>
      <c r="K29" s="42"/>
      <c r="L29" s="42"/>
      <c r="M29" s="42"/>
      <c r="N29" s="44"/>
      <c r="O29" s="44"/>
      <c r="P29" s="44"/>
      <c r="Q29" s="44"/>
      <c r="R29" s="44"/>
      <c r="S29" s="44"/>
      <c r="T29" s="44"/>
      <c r="U29" s="44"/>
      <c r="V29" s="9"/>
      <c r="W29" s="9"/>
      <c r="X29" s="9"/>
      <c r="Y29" s="9"/>
      <c r="Z29" s="9"/>
    </row>
    <row r="30" spans="1:34" s="46" customFormat="1" ht="15.75" outlineLevel="1">
      <c r="A30" s="506" t="s">
        <v>794</v>
      </c>
      <c r="B30" s="507"/>
      <c r="C30" s="507"/>
      <c r="D30" s="507"/>
      <c r="E30" s="508"/>
      <c r="F30" s="393"/>
      <c r="G30" s="393"/>
      <c r="H30" s="393"/>
      <c r="I30" s="393"/>
      <c r="J30" s="393"/>
      <c r="K30" s="393"/>
      <c r="L30" s="393"/>
      <c r="M30" s="393"/>
      <c r="N30" s="45"/>
      <c r="O30" s="45"/>
      <c r="P30" s="45"/>
      <c r="Q30" s="45"/>
      <c r="R30" s="45"/>
      <c r="S30" s="45"/>
      <c r="T30" s="45"/>
      <c r="U30" s="45"/>
    </row>
    <row r="31" spans="1:34" s="46" customFormat="1" ht="37.5" customHeight="1" outlineLevel="1">
      <c r="A31" s="525" t="s">
        <v>41</v>
      </c>
      <c r="B31" s="526" t="s">
        <v>1048</v>
      </c>
      <c r="C31" s="526" t="s">
        <v>1049</v>
      </c>
      <c r="D31" s="526" t="s">
        <v>1050</v>
      </c>
      <c r="E31" s="527" t="s">
        <v>1051</v>
      </c>
      <c r="F31" s="393"/>
      <c r="G31" s="393"/>
      <c r="H31" s="47"/>
      <c r="I31" s="393"/>
      <c r="J31" s="393"/>
      <c r="K31" s="393"/>
      <c r="L31" s="393"/>
      <c r="M31" s="393"/>
      <c r="N31" s="45"/>
      <c r="O31" s="45"/>
      <c r="P31" s="45"/>
      <c r="Q31" s="45"/>
      <c r="R31" s="45"/>
      <c r="S31" s="45"/>
      <c r="T31" s="45"/>
      <c r="U31" s="45"/>
    </row>
    <row r="32" spans="1:34" s="46" customFormat="1" outlineLevel="1">
      <c r="A32" s="431" t="s">
        <v>795</v>
      </c>
      <c r="B32" s="432">
        <f>((G42*B20)+(G41*B25))</f>
        <v>1401967.2525744599</v>
      </c>
      <c r="C32" s="1067">
        <f>(G42*B21)+('Aviation Data'!G41*'Aviation Data'!B26)</f>
        <v>7.5871876079999989E-3</v>
      </c>
      <c r="D32" s="1067">
        <f>(G42*B22)+('Aviation Data'!G41*'Aviation Data'!B27)</f>
        <v>43.137294197711995</v>
      </c>
      <c r="E32" s="432">
        <f>B32+(C32*'Conversion Factors and GWPs'!$C$14)+(D32*'Conversion Factors and GWPs'!$C$15)</f>
        <v>1413398.8479781065</v>
      </c>
      <c r="F32" s="393"/>
      <c r="G32" s="393"/>
      <c r="H32" s="393"/>
      <c r="I32" s="393"/>
      <c r="J32" s="393"/>
      <c r="K32" s="393"/>
      <c r="L32" s="393"/>
      <c r="M32" s="393"/>
      <c r="N32" s="45"/>
      <c r="O32" s="45"/>
      <c r="P32" s="45"/>
      <c r="Q32" s="45"/>
      <c r="R32" s="45"/>
      <c r="S32" s="45"/>
      <c r="T32" s="45"/>
      <c r="U32" s="45"/>
    </row>
    <row r="33" spans="1:40" s="46" customFormat="1" outlineLevel="1">
      <c r="A33" s="431" t="s">
        <v>796</v>
      </c>
      <c r="B33" s="330">
        <v>643688.5</v>
      </c>
      <c r="C33" s="330">
        <v>20.556999999999999</v>
      </c>
      <c r="D33" s="330">
        <v>0</v>
      </c>
      <c r="E33" s="330">
        <f>B33+(C33*'Conversion Factors and GWPs'!$C$14)+(D33*'Conversion Factors and GWPs'!$C$15)</f>
        <v>644264.09600000002</v>
      </c>
      <c r="F33" s="393"/>
      <c r="G33" s="393"/>
      <c r="H33" s="393"/>
      <c r="I33" s="393"/>
      <c r="J33" s="393"/>
      <c r="K33" s="393"/>
      <c r="L33" s="393"/>
      <c r="M33" s="393"/>
      <c r="N33" s="45"/>
      <c r="O33" s="45"/>
      <c r="P33" s="45"/>
      <c r="Q33" s="45"/>
      <c r="R33" s="45"/>
      <c r="S33" s="45"/>
      <c r="T33" s="45"/>
      <c r="U33" s="45"/>
    </row>
    <row r="34" spans="1:40" s="46" customFormat="1" outlineLevel="1">
      <c r="A34" s="431" t="s">
        <v>797</v>
      </c>
      <c r="B34" s="432">
        <f>B48*B25</f>
        <v>80.335697274078484</v>
      </c>
      <c r="C34" s="1067">
        <f>B48*B26</f>
        <v>6.8280509006837103E-2</v>
      </c>
      <c r="D34" s="1067">
        <f>B48*B27</f>
        <v>1.0344066917360286E-3</v>
      </c>
      <c r="E34" s="432">
        <f>B34+(C34*'Conversion Factors and GWPs'!$C$14)+(D34*'Conversion Factors and GWPs'!$C$15)</f>
        <v>82.521669299579969</v>
      </c>
      <c r="F34" s="393"/>
      <c r="G34" s="393"/>
      <c r="H34" s="393"/>
      <c r="I34" s="393"/>
      <c r="J34" s="393"/>
      <c r="K34" s="393"/>
      <c r="L34" s="393"/>
      <c r="M34" s="393"/>
      <c r="N34" s="45"/>
      <c r="O34" s="45"/>
      <c r="P34" s="45"/>
      <c r="Q34" s="45"/>
      <c r="R34" s="45"/>
      <c r="S34" s="45"/>
      <c r="T34" s="45"/>
      <c r="U34" s="45"/>
    </row>
    <row r="35" spans="1:40" s="46" customFormat="1" outlineLevel="1">
      <c r="A35" s="1065" t="s">
        <v>1390</v>
      </c>
      <c r="B35" s="1066">
        <f>($G$41+$B$48)*B25</f>
        <v>89.262432234078474</v>
      </c>
      <c r="C35" s="1068">
        <f>($G$41+$B$48)*B26</f>
        <v>7.586769661483711E-2</v>
      </c>
      <c r="D35" s="1068">
        <f>($G$41+$B$48)*B27</f>
        <v>1.1493478037360285E-3</v>
      </c>
      <c r="E35" s="1066">
        <f>B35+(C35*'Conversion Factors and GWPs'!C14)+('Conversion Factors and GWPs'!C15*'Aviation Data'!D35)</f>
        <v>91.691304907283964</v>
      </c>
      <c r="F35" s="393"/>
      <c r="G35" s="393"/>
      <c r="H35" s="393"/>
      <c r="I35" s="393"/>
      <c r="J35" s="393"/>
      <c r="K35" s="393"/>
      <c r="L35" s="393"/>
      <c r="M35" s="393"/>
      <c r="N35" s="45"/>
      <c r="O35" s="45"/>
      <c r="P35" s="45"/>
      <c r="Q35" s="45"/>
      <c r="R35" s="45"/>
      <c r="S35" s="45"/>
      <c r="T35" s="45"/>
      <c r="U35" s="45"/>
    </row>
    <row r="36" spans="1:40" s="46" customFormat="1" outlineLevel="1">
      <c r="A36" s="1065" t="s">
        <v>1391</v>
      </c>
      <c r="B36" s="1066">
        <f>$G$42*B20</f>
        <v>1401958.3258394999</v>
      </c>
      <c r="C36" s="1068">
        <f>$G$42*B21</f>
        <v>0</v>
      </c>
      <c r="D36" s="1068">
        <f>$G$42*B22</f>
        <v>43.137179256599993</v>
      </c>
      <c r="E36" s="1066">
        <f>B36+(C36*'Conversion Factors and GWPs'!C14)+('Conversion Factors and GWPs'!C15*'Aviation Data'!D36)</f>
        <v>1413389.6783424988</v>
      </c>
      <c r="F36" s="393"/>
      <c r="G36" s="393"/>
      <c r="H36" s="393"/>
      <c r="I36" s="393"/>
      <c r="J36" s="393"/>
      <c r="K36" s="393"/>
      <c r="L36" s="393"/>
      <c r="M36" s="393"/>
      <c r="N36" s="45"/>
      <c r="O36" s="45"/>
      <c r="P36" s="45"/>
      <c r="Q36" s="45"/>
      <c r="R36" s="45"/>
      <c r="S36" s="45"/>
      <c r="T36" s="45"/>
      <c r="U36" s="45"/>
    </row>
    <row r="37" spans="1:40" s="209" customFormat="1" ht="16.5" customHeight="1" outlineLevel="1">
      <c r="A37" s="394"/>
      <c r="B37" s="394"/>
      <c r="C37" s="394"/>
      <c r="D37" s="394"/>
      <c r="E37" s="394"/>
      <c r="F37" s="394"/>
      <c r="G37" s="394"/>
      <c r="H37" s="394"/>
      <c r="I37" s="226"/>
      <c r="J37" s="226"/>
      <c r="K37" s="226"/>
      <c r="L37" s="226"/>
      <c r="M37" s="226"/>
      <c r="N37" s="44"/>
      <c r="O37" s="44"/>
      <c r="P37" s="44"/>
      <c r="Q37" s="44"/>
      <c r="R37" s="44"/>
      <c r="S37" s="44"/>
      <c r="T37" s="44"/>
      <c r="U37" s="44"/>
      <c r="V37" s="9"/>
      <c r="W37" s="9"/>
      <c r="X37" s="9"/>
      <c r="Y37" s="9"/>
      <c r="Z37" s="9"/>
      <c r="AA37" s="13"/>
      <c r="AB37" s="13"/>
      <c r="AC37" s="13"/>
      <c r="AD37" s="13"/>
      <c r="AE37" s="13"/>
      <c r="AF37" s="13"/>
    </row>
    <row r="38" spans="1:40" s="209" customFormat="1" ht="65.25" customHeight="1" outlineLevel="1">
      <c r="A38" s="525" t="s">
        <v>576</v>
      </c>
      <c r="B38" s="526" t="s">
        <v>423</v>
      </c>
      <c r="C38" s="526" t="s">
        <v>60</v>
      </c>
      <c r="D38" s="526" t="s">
        <v>204</v>
      </c>
      <c r="E38" s="526" t="s">
        <v>205</v>
      </c>
      <c r="F38" s="526" t="s">
        <v>798</v>
      </c>
      <c r="G38" s="527" t="s">
        <v>531</v>
      </c>
      <c r="H38" s="9"/>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row>
    <row r="39" spans="1:40" s="1" customFormat="1" outlineLevel="1">
      <c r="A39" s="329" t="s">
        <v>206</v>
      </c>
      <c r="B39" s="337" t="s">
        <v>207</v>
      </c>
      <c r="C39" s="337">
        <v>3</v>
      </c>
      <c r="D39" s="330">
        <v>502764327</v>
      </c>
      <c r="E39" s="337" t="s">
        <v>208</v>
      </c>
      <c r="F39" s="953">
        <v>0.28599999999999998</v>
      </c>
      <c r="G39" s="340">
        <f>F39*D39</f>
        <v>143790597.52199998</v>
      </c>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row>
    <row r="40" spans="1:40" s="1" customFormat="1" outlineLevel="1">
      <c r="A40" s="329" t="s">
        <v>206</v>
      </c>
      <c r="B40" s="337" t="s">
        <v>207</v>
      </c>
      <c r="C40" s="337">
        <v>3</v>
      </c>
      <c r="D40" s="330">
        <v>3756</v>
      </c>
      <c r="E40" s="337" t="s">
        <v>209</v>
      </c>
      <c r="F40" s="953">
        <v>0.28599999999999998</v>
      </c>
      <c r="G40" s="340">
        <f>F40*D40</f>
        <v>1074.2159999999999</v>
      </c>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row>
    <row r="41" spans="1:40" s="209" customFormat="1" outlineLevel="1">
      <c r="A41" s="1225" t="s">
        <v>171</v>
      </c>
      <c r="B41" s="1225"/>
      <c r="C41" s="1225"/>
      <c r="D41" s="1225"/>
      <c r="E41" s="1225"/>
      <c r="F41" s="1225"/>
      <c r="G41" s="434">
        <f>G40</f>
        <v>1074.2159999999999</v>
      </c>
      <c r="H41" s="435"/>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row>
    <row r="42" spans="1:40" s="209" customFormat="1" outlineLevel="1">
      <c r="A42" s="1225" t="s">
        <v>172</v>
      </c>
      <c r="B42" s="1225"/>
      <c r="C42" s="1225"/>
      <c r="D42" s="1225"/>
      <c r="E42" s="1225"/>
      <c r="F42" s="1225"/>
      <c r="G42" s="434">
        <f>G39</f>
        <v>143790597.52199998</v>
      </c>
      <c r="H42" s="435"/>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row>
    <row r="43" spans="1:40" s="13" customFormat="1" ht="15" customHeight="1" outlineLevel="1">
      <c r="A43" s="435"/>
      <c r="B43" s="435"/>
      <c r="C43" s="435"/>
      <c r="D43" s="435"/>
      <c r="E43" s="435"/>
      <c r="F43" s="435"/>
      <c r="G43" s="435"/>
      <c r="H43" s="435"/>
    </row>
    <row r="44" spans="1:40" s="13" customFormat="1" ht="15" customHeight="1" outlineLevel="1">
      <c r="A44" s="529" t="s">
        <v>577</v>
      </c>
      <c r="B44" s="530" t="s">
        <v>56</v>
      </c>
      <c r="C44" s="435"/>
      <c r="D44" s="435"/>
      <c r="E44" s="435"/>
      <c r="F44" s="435"/>
      <c r="G44" s="435"/>
      <c r="H44" s="435"/>
    </row>
    <row r="45" spans="1:40" s="13" customFormat="1" outlineLevel="1">
      <c r="A45" s="436" t="s">
        <v>578</v>
      </c>
      <c r="B45" s="433">
        <v>6728</v>
      </c>
      <c r="C45" s="435"/>
      <c r="D45" s="435"/>
      <c r="E45" s="435"/>
      <c r="F45" s="435"/>
      <c r="G45" s="435"/>
      <c r="H45" s="435"/>
    </row>
    <row r="46" spans="1:40" s="13" customFormat="1" outlineLevel="1">
      <c r="A46" s="436" t="s">
        <v>799</v>
      </c>
      <c r="B46" s="433">
        <v>562</v>
      </c>
      <c r="C46" s="435"/>
      <c r="D46" s="435"/>
      <c r="E46" s="435"/>
      <c r="F46" s="435"/>
      <c r="G46" s="435"/>
      <c r="H46" s="435"/>
    </row>
    <row r="47" spans="1:40" s="13" customFormat="1" outlineLevel="1">
      <c r="A47" s="436" t="s">
        <v>579</v>
      </c>
      <c r="B47" s="783">
        <f>7330+8350+16434+8500+16000+7420+25302+7504+3999+14894</f>
        <v>115733</v>
      </c>
      <c r="C47" s="435"/>
      <c r="D47" s="435"/>
      <c r="E47" s="435"/>
      <c r="F47" s="435"/>
      <c r="G47" s="435"/>
      <c r="H47" s="435"/>
    </row>
    <row r="48" spans="1:40" s="13" customFormat="1" outlineLevel="1">
      <c r="A48" s="436" t="s">
        <v>800</v>
      </c>
      <c r="B48" s="437">
        <f>B47*(B46/B45)</f>
        <v>9667.3522592152203</v>
      </c>
      <c r="C48" s="435"/>
      <c r="D48" s="435"/>
      <c r="E48" s="435"/>
      <c r="F48" s="435"/>
      <c r="G48" s="435"/>
      <c r="H48" s="435"/>
    </row>
    <row r="49" s="13" customFormat="1" ht="15" customHeight="1" outlineLevel="1"/>
    <row r="50" s="13" customFormat="1" ht="15" customHeight="1"/>
    <row r="51" s="13" customFormat="1" ht="15" customHeight="1"/>
    <row r="52" s="13" customFormat="1" ht="15" customHeight="1"/>
    <row r="53" s="13" customFormat="1" ht="15" customHeight="1"/>
    <row r="54" s="13" customFormat="1" ht="15" customHeight="1"/>
    <row r="55" s="13" customFormat="1" ht="15" customHeight="1"/>
    <row r="56" s="13" customFormat="1" ht="15" customHeight="1"/>
    <row r="57" s="13" customFormat="1" ht="15" customHeight="1"/>
    <row r="58" s="13" customFormat="1" ht="15" customHeight="1"/>
    <row r="59" s="13" customFormat="1" ht="15" customHeight="1"/>
    <row r="60" s="13" customFormat="1" ht="15" customHeight="1"/>
    <row r="61" s="13" customFormat="1" ht="15" customHeight="1"/>
    <row r="62" s="13" customFormat="1" ht="15" customHeight="1"/>
    <row r="63" s="13" customFormat="1" ht="15" customHeight="1"/>
    <row r="64" s="13" customFormat="1" ht="15" customHeight="1"/>
    <row r="65" s="13" customFormat="1" ht="15" customHeight="1"/>
    <row r="66" s="13" customFormat="1" ht="15" customHeight="1"/>
    <row r="67" s="13" customFormat="1" ht="15" customHeight="1"/>
    <row r="68" s="13" customFormat="1" ht="15" customHeight="1"/>
    <row r="69" s="13" customFormat="1" ht="15" customHeight="1"/>
    <row r="70" s="13" customFormat="1" ht="15" customHeight="1"/>
    <row r="71" s="13" customFormat="1" ht="15" customHeight="1"/>
    <row r="72" s="13" customFormat="1" ht="15" customHeight="1"/>
    <row r="73" s="13" customFormat="1" ht="15" customHeight="1"/>
    <row r="74" s="13" customFormat="1" ht="15" customHeight="1"/>
    <row r="75" s="13" customFormat="1" ht="15" customHeight="1"/>
    <row r="76" s="13" customFormat="1" ht="15" customHeight="1"/>
    <row r="77" s="13" customFormat="1" ht="15" customHeight="1"/>
    <row r="78" s="13" customFormat="1" ht="15" customHeight="1"/>
    <row r="79" s="13" customFormat="1" ht="15" customHeight="1"/>
    <row r="80" s="13" customFormat="1" ht="15" customHeight="1"/>
    <row r="81" s="13" customFormat="1" ht="15" customHeight="1"/>
    <row r="82" s="13" customFormat="1" ht="15" customHeight="1"/>
    <row r="83" s="13" customFormat="1" ht="15" customHeight="1"/>
    <row r="84" s="13" customFormat="1" ht="15" customHeight="1"/>
    <row r="85" s="13" customFormat="1" ht="15" customHeight="1"/>
    <row r="86" s="13" customFormat="1" ht="15" customHeight="1"/>
    <row r="87" s="13" customFormat="1" ht="15" customHeight="1"/>
    <row r="88" s="13" customFormat="1" ht="15" customHeight="1"/>
    <row r="89" s="13" customFormat="1" ht="15" customHeight="1"/>
    <row r="90" s="13" customFormat="1" ht="15" customHeight="1"/>
    <row r="91" s="13" customFormat="1" ht="15" customHeight="1"/>
    <row r="92" s="13" customFormat="1" ht="15" customHeight="1"/>
    <row r="93" s="13" customFormat="1" ht="15" customHeight="1"/>
    <row r="94" s="13" customFormat="1" ht="15" customHeight="1"/>
    <row r="95" s="13" customFormat="1" ht="15" customHeight="1"/>
    <row r="96" s="13" customFormat="1" ht="15" customHeight="1"/>
  </sheetData>
  <mergeCells count="14">
    <mergeCell ref="A2:B2"/>
    <mergeCell ref="A10:G10"/>
    <mergeCell ref="A13:G13"/>
    <mergeCell ref="A14:G14"/>
    <mergeCell ref="A15:G15"/>
    <mergeCell ref="D19:G19"/>
    <mergeCell ref="A11:G11"/>
    <mergeCell ref="A41:F41"/>
    <mergeCell ref="A42:F42"/>
    <mergeCell ref="A12:G12"/>
    <mergeCell ref="A16:G16"/>
    <mergeCell ref="D20:G22"/>
    <mergeCell ref="D25:G27"/>
    <mergeCell ref="D24:G2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220C3-E881-4EAF-9FFA-4EEC981B884C}">
  <sheetPr>
    <tabColor theme="3" tint="0.39997558519241921"/>
  </sheetPr>
  <dimension ref="A1:AG265"/>
  <sheetViews>
    <sheetView workbookViewId="0">
      <selection activeCell="E2" sqref="E2"/>
    </sheetView>
  </sheetViews>
  <sheetFormatPr defaultColWidth="11.125" defaultRowHeight="12.75" outlineLevelRow="1"/>
  <cols>
    <col min="1" max="1" width="35.75" style="209" customWidth="1"/>
    <col min="2" max="2" width="17.25" style="209" customWidth="1"/>
    <col min="3" max="3" width="17.75" style="209" customWidth="1"/>
    <col min="4" max="4" width="18" style="209" customWidth="1"/>
    <col min="5" max="5" width="14.75" style="209" bestFit="1" customWidth="1"/>
    <col min="6" max="8" width="26.25" style="209" customWidth="1"/>
    <col min="9" max="32" width="11.125" style="13"/>
    <col min="33" max="16384" width="11.125" style="209"/>
  </cols>
  <sheetData>
    <row r="1" spans="1:33" s="86" customFormat="1" ht="24" customHeight="1">
      <c r="A1" s="392" t="s">
        <v>801</v>
      </c>
      <c r="B1" s="392"/>
      <c r="C1" s="392"/>
      <c r="D1" s="392"/>
      <c r="E1" s="392"/>
      <c r="F1" s="392"/>
      <c r="G1" s="392"/>
      <c r="H1" s="392"/>
      <c r="I1" s="90"/>
      <c r="J1" s="90"/>
      <c r="K1" s="90"/>
      <c r="L1" s="90"/>
      <c r="M1" s="90"/>
      <c r="N1" s="90"/>
      <c r="O1" s="90"/>
      <c r="P1" s="90"/>
      <c r="Q1" s="90"/>
      <c r="R1" s="90"/>
      <c r="S1" s="90"/>
      <c r="T1" s="90"/>
      <c r="U1" s="90"/>
      <c r="V1" s="90"/>
      <c r="W1" s="91"/>
      <c r="X1" s="90"/>
      <c r="Y1" s="90"/>
      <c r="Z1" s="90"/>
      <c r="AA1" s="85"/>
      <c r="AB1" s="85"/>
      <c r="AC1" s="85"/>
      <c r="AD1" s="85"/>
      <c r="AE1" s="85"/>
      <c r="AF1" s="85"/>
    </row>
    <row r="2" spans="1:33" ht="20.25">
      <c r="A2" s="501" t="s">
        <v>414</v>
      </c>
      <c r="B2" s="502"/>
      <c r="C2" s="502"/>
      <c r="D2" s="502"/>
      <c r="E2" s="502"/>
      <c r="F2" s="502"/>
      <c r="G2" s="502"/>
      <c r="H2" s="503"/>
      <c r="I2" s="7"/>
      <c r="J2" s="7"/>
      <c r="K2" s="7"/>
      <c r="L2" s="7"/>
      <c r="M2" s="7"/>
      <c r="N2" s="44"/>
      <c r="O2" s="44"/>
      <c r="P2" s="44"/>
      <c r="Q2" s="44"/>
      <c r="R2" s="44"/>
      <c r="S2" s="44"/>
      <c r="T2" s="44"/>
      <c r="U2" s="44"/>
      <c r="V2" s="9"/>
      <c r="W2" s="9"/>
      <c r="X2" s="9"/>
      <c r="Y2" s="9"/>
      <c r="Z2" s="9"/>
    </row>
    <row r="3" spans="1:33" s="190" customFormat="1" ht="15" outlineLevel="1">
      <c r="A3" s="511" t="s">
        <v>64</v>
      </c>
      <c r="B3" s="518">
        <f>E27+E33</f>
        <v>32966.095631874356</v>
      </c>
      <c r="C3" s="206"/>
      <c r="D3" s="206"/>
      <c r="E3" s="206"/>
      <c r="F3" s="206"/>
      <c r="G3" s="206"/>
      <c r="H3" s="206"/>
      <c r="I3" s="206"/>
      <c r="J3" s="206"/>
      <c r="K3" s="206"/>
      <c r="L3" s="206"/>
      <c r="M3" s="206"/>
      <c r="N3" s="206"/>
      <c r="O3" s="206"/>
    </row>
    <row r="4" spans="1:33" s="190" customFormat="1" ht="15" outlineLevel="1">
      <c r="A4" s="446" t="s">
        <v>66</v>
      </c>
      <c r="B4" s="447">
        <v>0</v>
      </c>
    </row>
    <row r="5" spans="1:33" s="190" customFormat="1" ht="15" outlineLevel="1">
      <c r="A5" s="446" t="s">
        <v>67</v>
      </c>
      <c r="B5" s="447">
        <v>0</v>
      </c>
    </row>
    <row r="6" spans="1:33" s="190" customFormat="1" ht="15" outlineLevel="1">
      <c r="A6" s="341" t="s">
        <v>78</v>
      </c>
      <c r="B6" s="342">
        <f>SUM(B3:B5)</f>
        <v>32966.095631874356</v>
      </c>
    </row>
    <row r="7" spans="1:33" ht="20.25">
      <c r="A7" s="512" t="s">
        <v>630</v>
      </c>
      <c r="B7" s="502"/>
      <c r="C7" s="502"/>
      <c r="D7" s="502"/>
      <c r="E7" s="502"/>
      <c r="F7" s="502"/>
      <c r="G7" s="502"/>
      <c r="H7" s="503"/>
      <c r="I7" s="439"/>
      <c r="J7" s="439"/>
      <c r="K7" s="439"/>
      <c r="L7" s="439"/>
      <c r="M7" s="439"/>
      <c r="N7" s="44"/>
      <c r="O7" s="44"/>
      <c r="P7" s="44"/>
      <c r="Q7" s="44"/>
      <c r="R7" s="44"/>
      <c r="S7" s="44"/>
      <c r="T7" s="44"/>
      <c r="U7" s="44"/>
      <c r="V7" s="9"/>
      <c r="W7" s="9"/>
      <c r="X7" s="9"/>
      <c r="Y7" s="9"/>
      <c r="Z7" s="9"/>
    </row>
    <row r="8" spans="1:33" s="1" customFormat="1" ht="36.75" hidden="1" customHeight="1" outlineLevel="1">
      <c r="A8" s="1224" t="s">
        <v>1175</v>
      </c>
      <c r="B8" s="1224"/>
      <c r="C8" s="1224"/>
      <c r="D8" s="1224"/>
      <c r="E8" s="1224"/>
      <c r="F8" s="1224"/>
      <c r="G8" s="1224"/>
      <c r="H8" s="1224"/>
      <c r="I8" s="39"/>
      <c r="J8" s="39"/>
      <c r="K8" s="39"/>
      <c r="L8" s="39"/>
      <c r="M8" s="39"/>
      <c r="N8" s="44"/>
      <c r="O8" s="44"/>
      <c r="P8" s="44"/>
      <c r="Q8" s="44"/>
      <c r="R8" s="44"/>
      <c r="S8" s="44"/>
      <c r="T8" s="44"/>
      <c r="U8" s="44"/>
      <c r="V8" s="52"/>
      <c r="W8" s="52"/>
      <c r="X8" s="52"/>
      <c r="Y8" s="52"/>
      <c r="Z8" s="52"/>
      <c r="AA8" s="2"/>
      <c r="AB8" s="2"/>
      <c r="AC8" s="2"/>
      <c r="AD8" s="2"/>
      <c r="AE8" s="2"/>
      <c r="AF8" s="2"/>
    </row>
    <row r="9" spans="1:33" s="1" customFormat="1" ht="51.75" hidden="1" customHeight="1" outlineLevel="1">
      <c r="A9" s="1224" t="s">
        <v>1055</v>
      </c>
      <c r="B9" s="1224"/>
      <c r="C9" s="1224"/>
      <c r="D9" s="1224"/>
      <c r="E9" s="1224"/>
      <c r="F9" s="1224"/>
      <c r="G9" s="1224"/>
      <c r="H9" s="1224"/>
      <c r="I9" s="39"/>
      <c r="J9" s="39"/>
      <c r="K9" s="39"/>
      <c r="L9" s="39"/>
      <c r="M9" s="39"/>
      <c r="N9" s="44"/>
      <c r="O9" s="44"/>
      <c r="P9" s="44"/>
      <c r="Q9" s="44"/>
      <c r="R9" s="44"/>
      <c r="S9" s="44"/>
      <c r="T9" s="44"/>
      <c r="U9" s="44"/>
      <c r="V9" s="52"/>
      <c r="W9" s="52"/>
      <c r="X9" s="52"/>
      <c r="Y9" s="52"/>
      <c r="Z9" s="52"/>
      <c r="AA9" s="2"/>
      <c r="AB9" s="2"/>
      <c r="AC9" s="2"/>
      <c r="AD9" s="2"/>
      <c r="AE9" s="2"/>
      <c r="AF9" s="2"/>
    </row>
    <row r="10" spans="1:33" s="1" customFormat="1" ht="15" hidden="1" outlineLevel="1">
      <c r="A10" s="1224" t="s">
        <v>1056</v>
      </c>
      <c r="B10" s="1224"/>
      <c r="C10" s="1224"/>
      <c r="D10" s="1224"/>
      <c r="E10" s="1224"/>
      <c r="F10" s="1224"/>
      <c r="G10" s="1224"/>
      <c r="H10" s="1224"/>
      <c r="I10" s="39"/>
      <c r="J10" s="39"/>
      <c r="K10" s="39"/>
      <c r="L10" s="39"/>
      <c r="M10" s="39"/>
      <c r="N10" s="44"/>
      <c r="O10" s="44"/>
      <c r="P10" s="44"/>
      <c r="Q10" s="44"/>
      <c r="R10" s="44"/>
      <c r="S10" s="44"/>
      <c r="T10" s="44"/>
      <c r="U10" s="44"/>
      <c r="V10" s="52"/>
      <c r="W10" s="52"/>
      <c r="X10" s="52"/>
      <c r="Y10" s="52"/>
      <c r="Z10" s="52"/>
      <c r="AA10" s="2"/>
      <c r="AB10" s="2"/>
      <c r="AC10" s="2"/>
      <c r="AD10" s="2"/>
      <c r="AE10" s="2"/>
      <c r="AF10" s="2"/>
    </row>
    <row r="11" spans="1:33" s="1" customFormat="1" ht="14.25" hidden="1" customHeight="1" outlineLevel="1">
      <c r="A11" s="1224" t="s">
        <v>1099</v>
      </c>
      <c r="B11" s="1224"/>
      <c r="C11" s="1224"/>
      <c r="D11" s="1224"/>
      <c r="E11" s="1224"/>
      <c r="F11" s="1224"/>
      <c r="G11" s="1224"/>
      <c r="H11" s="1224"/>
      <c r="I11" s="438"/>
      <c r="J11" s="39"/>
      <c r="K11" s="39"/>
      <c r="L11" s="39"/>
      <c r="M11" s="39"/>
      <c r="N11" s="44"/>
      <c r="O11" s="44"/>
      <c r="P11" s="44"/>
      <c r="Q11" s="44"/>
      <c r="R11" s="44"/>
      <c r="S11" s="44"/>
      <c r="T11" s="44"/>
      <c r="U11" s="44"/>
      <c r="V11" s="52"/>
      <c r="W11" s="52"/>
      <c r="X11" s="52"/>
      <c r="Y11" s="52"/>
      <c r="Z11" s="52"/>
      <c r="AA11" s="2"/>
      <c r="AB11" s="2"/>
      <c r="AC11" s="2"/>
      <c r="AD11" s="2"/>
      <c r="AE11" s="2"/>
      <c r="AF11" s="2"/>
    </row>
    <row r="12" spans="1:33" s="1" customFormat="1" ht="15" hidden="1" outlineLevel="1">
      <c r="A12" s="1224" t="s">
        <v>1098</v>
      </c>
      <c r="B12" s="1224"/>
      <c r="C12" s="1224"/>
      <c r="D12" s="1224"/>
      <c r="E12" s="1224"/>
      <c r="F12" s="1224"/>
      <c r="G12" s="1224"/>
      <c r="H12" s="1224"/>
      <c r="I12" s="438"/>
      <c r="J12" s="39"/>
      <c r="K12" s="39"/>
      <c r="L12" s="39"/>
      <c r="M12" s="39"/>
      <c r="N12" s="44"/>
      <c r="O12" s="44"/>
      <c r="P12" s="44"/>
      <c r="Q12" s="44"/>
      <c r="R12" s="44"/>
      <c r="S12" s="44"/>
      <c r="T12" s="44"/>
      <c r="U12" s="44"/>
      <c r="V12" s="52"/>
      <c r="W12" s="52"/>
      <c r="X12" s="52"/>
      <c r="Y12" s="52"/>
      <c r="Z12" s="52"/>
      <c r="AA12" s="2"/>
      <c r="AB12" s="2"/>
      <c r="AC12" s="2"/>
      <c r="AD12" s="2"/>
      <c r="AE12" s="2"/>
      <c r="AF12" s="2"/>
    </row>
    <row r="13" spans="1:33" s="1" customFormat="1" ht="28.15" hidden="1" customHeight="1" outlineLevel="1">
      <c r="A13" s="1224" t="s">
        <v>1176</v>
      </c>
      <c r="B13" s="1224"/>
      <c r="C13" s="1224"/>
      <c r="D13" s="1224"/>
      <c r="E13" s="1224"/>
      <c r="F13" s="1224"/>
      <c r="G13" s="1224"/>
      <c r="H13" s="1224"/>
      <c r="I13" s="39"/>
      <c r="J13" s="39"/>
      <c r="K13" s="39"/>
      <c r="L13" s="39"/>
      <c r="M13" s="39"/>
      <c r="N13" s="44"/>
      <c r="O13" s="44"/>
      <c r="P13" s="44"/>
      <c r="Q13" s="44"/>
      <c r="R13" s="44"/>
      <c r="S13" s="44"/>
      <c r="T13" s="44"/>
      <c r="U13" s="44"/>
      <c r="V13" s="52"/>
      <c r="W13" s="52"/>
      <c r="X13" s="52"/>
      <c r="Y13" s="52"/>
      <c r="Z13" s="52"/>
      <c r="AA13" s="2"/>
      <c r="AB13" s="2"/>
      <c r="AC13" s="2"/>
      <c r="AD13" s="2"/>
      <c r="AE13" s="2"/>
      <c r="AF13" s="2"/>
    </row>
    <row r="14" spans="1:33" ht="20.25" collapsed="1">
      <c r="A14" s="519" t="s">
        <v>0</v>
      </c>
      <c r="B14" s="502"/>
      <c r="C14" s="502"/>
      <c r="D14" s="502"/>
      <c r="E14" s="502"/>
      <c r="F14" s="502"/>
      <c r="G14" s="502"/>
      <c r="H14" s="503"/>
      <c r="I14" s="7"/>
      <c r="J14" s="7"/>
      <c r="K14" s="7"/>
      <c r="L14" s="7"/>
      <c r="M14" s="7"/>
      <c r="N14" s="44"/>
      <c r="O14" s="44"/>
      <c r="P14" s="44"/>
      <c r="Q14" s="44"/>
      <c r="R14" s="44"/>
      <c r="S14" s="44"/>
      <c r="T14" s="44"/>
      <c r="U14" s="44"/>
      <c r="V14" s="9"/>
      <c r="W14" s="9"/>
      <c r="X14" s="9"/>
      <c r="Y14" s="9"/>
      <c r="Z14" s="9"/>
    </row>
    <row r="15" spans="1:33" ht="14.25" hidden="1" outlineLevel="1">
      <c r="A15" s="497" t="s">
        <v>811</v>
      </c>
      <c r="B15" s="497" t="s">
        <v>55</v>
      </c>
      <c r="C15" s="497" t="s">
        <v>83</v>
      </c>
      <c r="D15" s="497" t="s">
        <v>56</v>
      </c>
      <c r="E15" s="497" t="s">
        <v>57</v>
      </c>
      <c r="F15" s="1216" t="s">
        <v>41</v>
      </c>
      <c r="G15" s="1216"/>
      <c r="H15" s="1216"/>
      <c r="I15" s="7"/>
      <c r="J15" s="7"/>
      <c r="K15" s="7"/>
      <c r="L15" s="7"/>
      <c r="M15" s="7"/>
      <c r="N15" s="7"/>
      <c r="O15" s="44"/>
      <c r="P15" s="44"/>
      <c r="Q15" s="44"/>
      <c r="R15" s="44"/>
      <c r="S15" s="44"/>
      <c r="T15" s="44"/>
      <c r="U15" s="44"/>
      <c r="V15" s="44"/>
      <c r="W15" s="9"/>
      <c r="X15" s="9"/>
      <c r="Y15" s="9"/>
      <c r="Z15" s="9"/>
      <c r="AA15" s="9"/>
      <c r="AG15" s="13"/>
    </row>
    <row r="16" spans="1:33" ht="26.25" hidden="1" customHeight="1" outlineLevel="1">
      <c r="A16" s="436" t="s">
        <v>802</v>
      </c>
      <c r="B16" s="441" t="s">
        <v>649</v>
      </c>
      <c r="C16" s="318" t="s">
        <v>90</v>
      </c>
      <c r="D16" s="955">
        <f>8.78/'Conversion Factors and GWPs'!A7</f>
        <v>8.7799999999999996E-3</v>
      </c>
      <c r="E16" s="442" t="s">
        <v>651</v>
      </c>
      <c r="F16" s="1236" t="s">
        <v>123</v>
      </c>
      <c r="G16" s="1236"/>
      <c r="H16" s="1236"/>
      <c r="I16" s="7"/>
      <c r="J16" s="7"/>
      <c r="K16" s="7"/>
      <c r="L16" s="7"/>
      <c r="M16" s="7"/>
      <c r="N16" s="7"/>
      <c r="O16" s="44"/>
      <c r="P16" s="44"/>
      <c r="Q16" s="44"/>
      <c r="R16" s="44"/>
      <c r="S16" s="44"/>
      <c r="T16" s="44"/>
      <c r="U16" s="44"/>
      <c r="V16" s="44"/>
      <c r="W16" s="9"/>
      <c r="X16" s="9"/>
      <c r="Y16" s="9"/>
      <c r="Z16" s="9"/>
      <c r="AA16" s="9"/>
      <c r="AG16" s="13"/>
    </row>
    <row r="17" spans="1:26" ht="26.25" hidden="1" customHeight="1" outlineLevel="1">
      <c r="A17" s="443" t="s">
        <v>71</v>
      </c>
      <c r="B17" s="441" t="s">
        <v>649</v>
      </c>
      <c r="C17" s="318" t="s">
        <v>90</v>
      </c>
      <c r="D17" s="955">
        <f>10.21/'Conversion Factors and GWPs'!A7</f>
        <v>1.021E-2</v>
      </c>
      <c r="E17" s="442" t="s">
        <v>651</v>
      </c>
      <c r="F17" s="1236"/>
      <c r="G17" s="1236"/>
      <c r="H17" s="1236"/>
      <c r="I17" s="7"/>
      <c r="J17" s="7"/>
      <c r="K17" s="7"/>
      <c r="L17" s="7"/>
      <c r="M17" s="7"/>
      <c r="N17" s="44"/>
      <c r="O17" s="44"/>
      <c r="P17" s="44"/>
      <c r="Q17" s="44"/>
      <c r="R17" s="44"/>
      <c r="S17" s="44"/>
      <c r="T17" s="44"/>
      <c r="U17" s="44"/>
      <c r="V17" s="9"/>
      <c r="W17" s="9"/>
      <c r="X17" s="9"/>
      <c r="Y17" s="9"/>
      <c r="Z17" s="9"/>
    </row>
    <row r="18" spans="1:26" ht="43.5" hidden="1" customHeight="1" outlineLevel="1">
      <c r="A18" s="443" t="s">
        <v>809</v>
      </c>
      <c r="B18" s="441" t="s">
        <v>649</v>
      </c>
      <c r="C18" s="441" t="s">
        <v>810</v>
      </c>
      <c r="D18" s="956">
        <f>0.05444/'Conversion Factors and GWPs'!A7</f>
        <v>5.4440000000000001E-5</v>
      </c>
      <c r="E18" s="442" t="s">
        <v>812</v>
      </c>
      <c r="F18" s="1166" t="s">
        <v>1125</v>
      </c>
      <c r="G18" s="1166"/>
      <c r="H18" s="1166"/>
      <c r="I18" s="7"/>
      <c r="J18" s="7"/>
      <c r="K18" s="7"/>
      <c r="L18" s="7"/>
      <c r="M18" s="7"/>
      <c r="N18" s="44"/>
      <c r="O18" s="44"/>
      <c r="P18" s="44"/>
      <c r="Q18" s="44"/>
      <c r="R18" s="44"/>
      <c r="S18" s="44"/>
      <c r="T18" s="44"/>
      <c r="U18" s="44"/>
      <c r="V18" s="9"/>
      <c r="W18" s="9"/>
      <c r="X18" s="9"/>
      <c r="Y18" s="9"/>
      <c r="Z18" s="9"/>
    </row>
    <row r="19" spans="1:26" ht="64.5" hidden="1" customHeight="1" outlineLevel="1">
      <c r="A19" s="443" t="s">
        <v>432</v>
      </c>
      <c r="B19" s="444" t="s">
        <v>649</v>
      </c>
      <c r="C19" s="444" t="s">
        <v>90</v>
      </c>
      <c r="D19" s="823">
        <f>5.72/'Conversion Factors and GWPs'!A7</f>
        <v>5.7199999999999994E-3</v>
      </c>
      <c r="E19" s="445" t="s">
        <v>651</v>
      </c>
      <c r="F19" s="1235" t="s">
        <v>1126</v>
      </c>
      <c r="G19" s="1235"/>
      <c r="H19" s="1235"/>
      <c r="I19" s="7"/>
      <c r="J19" s="7"/>
      <c r="K19" s="7"/>
      <c r="L19" s="7"/>
      <c r="M19" s="7"/>
      <c r="N19" s="44"/>
      <c r="O19" s="44"/>
      <c r="P19" s="44"/>
      <c r="Q19" s="44"/>
      <c r="R19" s="44"/>
      <c r="S19" s="44"/>
      <c r="T19" s="44"/>
      <c r="U19" s="44"/>
      <c r="V19" s="9"/>
      <c r="W19" s="9"/>
      <c r="X19" s="9"/>
      <c r="Y19" s="9"/>
      <c r="Z19" s="9"/>
    </row>
    <row r="20" spans="1:26" hidden="1" outlineLevel="1">
      <c r="A20" s="440"/>
      <c r="B20" s="7"/>
      <c r="C20" s="7"/>
      <c r="D20" s="7"/>
      <c r="E20" s="7"/>
      <c r="F20" s="7"/>
      <c r="G20" s="7"/>
      <c r="H20" s="7"/>
      <c r="I20" s="7"/>
      <c r="J20" s="7"/>
      <c r="K20" s="7"/>
      <c r="L20" s="7"/>
      <c r="M20" s="7"/>
      <c r="N20" s="44"/>
      <c r="O20" s="44"/>
      <c r="P20" s="44"/>
      <c r="Q20" s="44"/>
      <c r="R20" s="44"/>
      <c r="S20" s="44"/>
      <c r="T20" s="44"/>
      <c r="U20" s="44"/>
      <c r="V20" s="9"/>
      <c r="W20" s="9"/>
      <c r="X20" s="9"/>
      <c r="Y20" s="9"/>
      <c r="Z20" s="9"/>
    </row>
    <row r="21" spans="1:26" ht="16.5" customHeight="1" collapsed="1">
      <c r="A21" s="519" t="s">
        <v>631</v>
      </c>
      <c r="B21" s="515"/>
      <c r="C21" s="515"/>
      <c r="D21" s="515"/>
      <c r="E21" s="515"/>
      <c r="F21" s="515"/>
      <c r="G21" s="515"/>
      <c r="H21" s="516"/>
      <c r="I21" s="226"/>
      <c r="J21" s="226"/>
      <c r="K21" s="226"/>
      <c r="L21" s="226"/>
      <c r="M21" s="226"/>
      <c r="N21" s="44"/>
      <c r="O21" s="44"/>
      <c r="P21" s="44"/>
      <c r="Q21" s="44"/>
      <c r="R21" s="44"/>
      <c r="S21" s="44"/>
      <c r="T21" s="44"/>
      <c r="U21" s="44"/>
      <c r="V21" s="9"/>
      <c r="W21" s="9"/>
      <c r="X21" s="9"/>
      <c r="Y21" s="9"/>
      <c r="Z21" s="9"/>
    </row>
    <row r="22" spans="1:26" s="13" customFormat="1" ht="33" hidden="1" outlineLevel="1">
      <c r="A22" s="597" t="str">
        <f>B36</f>
        <v>Fuel Used (Airport Owned Vehicles)</v>
      </c>
      <c r="B22" s="597" t="s">
        <v>1105</v>
      </c>
      <c r="C22" s="597" t="s">
        <v>1106</v>
      </c>
      <c r="D22" s="603" t="s">
        <v>1107</v>
      </c>
      <c r="E22" s="603" t="s">
        <v>1108</v>
      </c>
    </row>
    <row r="23" spans="1:26" s="13" customFormat="1" hidden="1" outlineLevel="1">
      <c r="A23" s="381" t="s">
        <v>802</v>
      </c>
      <c r="B23" s="1042">
        <f>B37*$D$16</f>
        <v>1839.38366</v>
      </c>
      <c r="C23" s="1042">
        <v>0</v>
      </c>
      <c r="D23" s="1042">
        <v>0</v>
      </c>
      <c r="E23" s="409">
        <f>B23</f>
        <v>1839.38366</v>
      </c>
      <c r="F23" s="1046"/>
      <c r="G23" s="1046"/>
      <c r="H23" s="1046"/>
    </row>
    <row r="24" spans="1:26" s="13" customFormat="1" hidden="1" outlineLevel="1">
      <c r="A24" s="381" t="s">
        <v>803</v>
      </c>
      <c r="B24" s="1042">
        <f>B38*$D$17</f>
        <v>3621.1194399999999</v>
      </c>
      <c r="C24" s="1042">
        <v>0</v>
      </c>
      <c r="D24" s="1042">
        <v>0</v>
      </c>
      <c r="E24" s="409">
        <f t="shared" ref="E24:E26" si="0">B24</f>
        <v>3621.1194399999999</v>
      </c>
      <c r="F24" s="1046"/>
      <c r="G24" s="1046"/>
      <c r="H24" s="1046"/>
    </row>
    <row r="25" spans="1:26" s="13" customFormat="1" hidden="1" outlineLevel="1">
      <c r="A25" s="381" t="s">
        <v>804</v>
      </c>
      <c r="B25" s="1042">
        <f>(B39/0.877)*100*$D$18</f>
        <v>344.72872976054731</v>
      </c>
      <c r="C25" s="1042">
        <v>0</v>
      </c>
      <c r="D25" s="1042">
        <v>0</v>
      </c>
      <c r="E25" s="409">
        <f t="shared" si="0"/>
        <v>344.72872976054731</v>
      </c>
      <c r="F25" s="1046"/>
      <c r="G25" s="1046"/>
      <c r="H25" s="1046"/>
    </row>
    <row r="26" spans="1:26" s="13" customFormat="1" hidden="1" outlineLevel="1">
      <c r="A26" s="381" t="s">
        <v>805</v>
      </c>
      <c r="B26" s="1042">
        <f>(B40/4.2)*$D$19</f>
        <v>5.216095238095237</v>
      </c>
      <c r="C26" s="1042">
        <v>0</v>
      </c>
      <c r="D26" s="1042">
        <v>0</v>
      </c>
      <c r="E26" s="409">
        <f t="shared" si="0"/>
        <v>5.216095238095237</v>
      </c>
      <c r="F26" s="1046"/>
      <c r="G26" s="1046"/>
      <c r="H26" s="1046"/>
    </row>
    <row r="27" spans="1:26" s="13" customFormat="1" hidden="1" outlineLevel="1">
      <c r="A27" s="382" t="s">
        <v>78</v>
      </c>
      <c r="B27" s="1043">
        <f>SUM(B23:B26)</f>
        <v>5810.4479249986425</v>
      </c>
      <c r="C27" s="1043">
        <f t="shared" ref="C27:E27" si="1">SUM(C23:C26)</f>
        <v>0</v>
      </c>
      <c r="D27" s="1043">
        <f t="shared" si="1"/>
        <v>0</v>
      </c>
      <c r="E27" s="421">
        <f t="shared" si="1"/>
        <v>5810.4479249986425</v>
      </c>
    </row>
    <row r="28" spans="1:26" s="13" customFormat="1" ht="33" hidden="1" outlineLevel="1">
      <c r="A28" s="597" t="str">
        <f>C36</f>
        <v xml:space="preserve">Fuel Used (Non-Airport, Tenant, or Airline Vehicles) </v>
      </c>
      <c r="B28" s="1044" t="s">
        <v>1105</v>
      </c>
      <c r="C28" s="1044" t="s">
        <v>1106</v>
      </c>
      <c r="D28" s="1045" t="s">
        <v>1107</v>
      </c>
      <c r="E28" s="603" t="s">
        <v>1108</v>
      </c>
    </row>
    <row r="29" spans="1:26" s="13" customFormat="1" hidden="1" outlineLevel="1">
      <c r="A29" s="381" t="s">
        <v>802</v>
      </c>
      <c r="B29" s="1042">
        <f>C37*$D$16</f>
        <v>5303.0321999999996</v>
      </c>
      <c r="C29" s="1042">
        <v>0</v>
      </c>
      <c r="D29" s="1042">
        <v>0</v>
      </c>
      <c r="E29" s="409">
        <f>B29</f>
        <v>5303.0321999999996</v>
      </c>
    </row>
    <row r="30" spans="1:26" s="13" customFormat="1" hidden="1" outlineLevel="1">
      <c r="A30" s="381" t="s">
        <v>803</v>
      </c>
      <c r="B30" s="1042">
        <f>C38*$D$17</f>
        <v>11137.159890000001</v>
      </c>
      <c r="C30" s="1042">
        <v>0</v>
      </c>
      <c r="D30" s="1042">
        <v>0</v>
      </c>
      <c r="E30" s="409">
        <f t="shared" ref="E30:E32" si="2">B30</f>
        <v>11137.159890000001</v>
      </c>
    </row>
    <row r="31" spans="1:26" s="13" customFormat="1" hidden="1" outlineLevel="1">
      <c r="A31" s="381" t="s">
        <v>804</v>
      </c>
      <c r="B31" s="1042">
        <f>(C39/0.877)*100*$D$18</f>
        <v>10715.455616875714</v>
      </c>
      <c r="C31" s="1042">
        <v>0</v>
      </c>
      <c r="D31" s="1042">
        <v>0</v>
      </c>
      <c r="E31" s="409">
        <f t="shared" si="2"/>
        <v>10715.455616875714</v>
      </c>
    </row>
    <row r="32" spans="1:26" s="13" customFormat="1" hidden="1" outlineLevel="1">
      <c r="A32" s="381" t="s">
        <v>805</v>
      </c>
      <c r="B32" s="1042">
        <f>(C40/4.2)*$D$19</f>
        <v>0</v>
      </c>
      <c r="C32" s="1042">
        <v>0</v>
      </c>
      <c r="D32" s="1042">
        <v>0</v>
      </c>
      <c r="E32" s="409">
        <f t="shared" si="2"/>
        <v>0</v>
      </c>
    </row>
    <row r="33" spans="1:5" s="13" customFormat="1" hidden="1" outlineLevel="1">
      <c r="A33" s="382" t="s">
        <v>78</v>
      </c>
      <c r="B33" s="1043">
        <f>SUM(B29:B32)</f>
        <v>27155.647706875716</v>
      </c>
      <c r="C33" s="1043">
        <f t="shared" ref="C33:E33" si="3">SUM(C29:C32)</f>
        <v>0</v>
      </c>
      <c r="D33" s="1043">
        <f t="shared" si="3"/>
        <v>0</v>
      </c>
      <c r="E33" s="421">
        <f t="shared" si="3"/>
        <v>27155.647706875716</v>
      </c>
    </row>
    <row r="34" spans="1:5" s="13" customFormat="1" ht="15" hidden="1" customHeight="1" outlineLevel="1"/>
    <row r="35" spans="1:5" s="13" customFormat="1" ht="15" hidden="1" customHeight="1" outlineLevel="1">
      <c r="A35" s="1160" t="s">
        <v>806</v>
      </c>
      <c r="B35" s="1161"/>
      <c r="C35" s="595"/>
      <c r="D35" s="596"/>
    </row>
    <row r="36" spans="1:5" s="13" customFormat="1" ht="57.6" hidden="1" customHeight="1" outlineLevel="1">
      <c r="A36" s="489" t="s">
        <v>205</v>
      </c>
      <c r="B36" s="361" t="s">
        <v>1385</v>
      </c>
      <c r="C36" s="361" t="s">
        <v>1384</v>
      </c>
      <c r="D36" s="361" t="s">
        <v>1057</v>
      </c>
    </row>
    <row r="37" spans="1:5" s="13" customFormat="1" hidden="1" outlineLevel="1">
      <c r="A37" s="381" t="s">
        <v>807</v>
      </c>
      <c r="B37" s="954">
        <v>209497</v>
      </c>
      <c r="C37" s="954">
        <v>603990</v>
      </c>
      <c r="D37" s="490">
        <f>SUM(B37:C37)</f>
        <v>813487</v>
      </c>
      <c r="E37" s="1041"/>
    </row>
    <row r="38" spans="1:5" s="13" customFormat="1" hidden="1" outlineLevel="1">
      <c r="A38" s="381" t="s">
        <v>808</v>
      </c>
      <c r="B38" s="954">
        <v>354664</v>
      </c>
      <c r="C38" s="954">
        <v>1090809</v>
      </c>
      <c r="D38" s="490">
        <f>SUM(B38:C38)</f>
        <v>1445473</v>
      </c>
      <c r="E38" s="1041"/>
    </row>
    <row r="39" spans="1:5" s="13" customFormat="1" hidden="1" outlineLevel="1">
      <c r="A39" s="381" t="s">
        <v>1096</v>
      </c>
      <c r="B39" s="954">
        <v>55534</v>
      </c>
      <c r="C39" s="954">
        <v>1726204</v>
      </c>
      <c r="D39" s="490">
        <f>SUM(B39:C39)</f>
        <v>1781738</v>
      </c>
    </row>
    <row r="40" spans="1:5" s="13" customFormat="1" hidden="1" outlineLevel="1">
      <c r="A40" s="381" t="s">
        <v>1097</v>
      </c>
      <c r="B40" s="954">
        <v>3830</v>
      </c>
      <c r="C40" s="954">
        <v>0</v>
      </c>
      <c r="D40" s="490">
        <f>SUM(B40:C40)</f>
        <v>3830</v>
      </c>
    </row>
    <row r="41" spans="1:5" s="13" customFormat="1" ht="15" hidden="1" customHeight="1" outlineLevel="1"/>
    <row r="42" spans="1:5" s="13" customFormat="1" ht="15" customHeight="1" collapsed="1"/>
    <row r="43" spans="1:5" s="13" customFormat="1" ht="15" customHeight="1"/>
    <row r="44" spans="1:5" s="13" customFormat="1" ht="15" customHeight="1"/>
    <row r="45" spans="1:5" s="13" customFormat="1" ht="15" customHeight="1"/>
    <row r="46" spans="1:5" s="13" customFormat="1" ht="15" customHeight="1"/>
    <row r="47" spans="1:5" s="13" customFormat="1" ht="15" customHeight="1"/>
    <row r="48" spans="1:5" s="13" customFormat="1" ht="15" customHeight="1"/>
    <row r="49" s="13" customFormat="1" ht="15" customHeight="1"/>
    <row r="50" s="13" customFormat="1" ht="15" customHeight="1"/>
    <row r="51" s="13" customFormat="1" ht="15" customHeight="1"/>
    <row r="52" s="13" customFormat="1" ht="15" customHeight="1"/>
    <row r="53" s="13" customFormat="1" ht="15" customHeight="1"/>
    <row r="54" s="13" customFormat="1" ht="15" customHeight="1"/>
    <row r="55" s="13" customFormat="1" ht="15" customHeight="1"/>
    <row r="56" s="13" customFormat="1" ht="15" customHeight="1"/>
    <row r="57" s="13" customFormat="1" ht="15" customHeight="1"/>
    <row r="58" s="13" customFormat="1" ht="15" customHeight="1"/>
    <row r="59" s="13" customFormat="1" ht="15" customHeight="1"/>
    <row r="60" s="13" customFormat="1" ht="15" customHeight="1"/>
    <row r="61" s="13" customFormat="1" ht="15" customHeight="1"/>
    <row r="62" s="13" customFormat="1" ht="15" customHeight="1"/>
    <row r="63" s="13" customFormat="1" ht="15" customHeight="1"/>
    <row r="64" s="13" customFormat="1" ht="15" customHeight="1"/>
    <row r="65" spans="1:8" s="13" customFormat="1" ht="15" customHeight="1"/>
    <row r="66" spans="1:8" s="13" customFormat="1" ht="15" customHeight="1"/>
    <row r="67" spans="1:8" s="13" customFormat="1" ht="15" customHeight="1"/>
    <row r="68" spans="1:8" s="13" customFormat="1" ht="15" customHeight="1"/>
    <row r="69" spans="1:8" s="13" customFormat="1" ht="15" customHeight="1"/>
    <row r="70" spans="1:8" s="13" customFormat="1" ht="15" customHeight="1"/>
    <row r="71" spans="1:8" s="13" customFormat="1" ht="15" customHeight="1"/>
    <row r="72" spans="1:8" s="13" customFormat="1" ht="15" customHeight="1"/>
    <row r="73" spans="1:8" s="13" customFormat="1" ht="15" customHeight="1"/>
    <row r="74" spans="1:8" s="13" customFormat="1" ht="15" customHeight="1"/>
    <row r="75" spans="1:8" s="13" customFormat="1" ht="15" customHeight="1"/>
    <row r="76" spans="1:8" s="13" customFormat="1" ht="15" customHeight="1"/>
    <row r="77" spans="1:8" s="13" customFormat="1" ht="15" customHeight="1"/>
    <row r="78" spans="1:8" s="13" customFormat="1" ht="15" customHeight="1"/>
    <row r="79" spans="1:8">
      <c r="A79" s="13"/>
      <c r="B79" s="13"/>
      <c r="C79" s="13"/>
      <c r="D79" s="13"/>
      <c r="E79" s="13"/>
      <c r="F79" s="13"/>
      <c r="G79" s="13"/>
      <c r="H79" s="13"/>
    </row>
    <row r="80" spans="1:8">
      <c r="A80" s="13"/>
      <c r="B80" s="13"/>
      <c r="C80" s="13"/>
      <c r="D80" s="13"/>
      <c r="E80" s="13"/>
      <c r="F80" s="13"/>
      <c r="G80" s="13"/>
      <c r="H80" s="13"/>
    </row>
    <row r="81" spans="1:8">
      <c r="A81" s="13"/>
      <c r="B81" s="13"/>
      <c r="C81" s="13"/>
      <c r="D81" s="13"/>
      <c r="E81" s="13"/>
      <c r="F81" s="13"/>
      <c r="G81" s="13"/>
      <c r="H81" s="13"/>
    </row>
    <row r="82" spans="1:8">
      <c r="A82" s="13"/>
      <c r="B82" s="13"/>
      <c r="C82" s="13"/>
      <c r="D82" s="13"/>
      <c r="E82" s="13"/>
      <c r="F82" s="13"/>
      <c r="G82" s="13"/>
      <c r="H82" s="13"/>
    </row>
    <row r="83" spans="1:8">
      <c r="A83" s="13"/>
      <c r="B83" s="13"/>
      <c r="C83" s="13"/>
      <c r="D83" s="13"/>
      <c r="E83" s="13"/>
      <c r="F83" s="13"/>
      <c r="G83" s="13"/>
      <c r="H83" s="13"/>
    </row>
    <row r="84" spans="1:8">
      <c r="A84" s="13"/>
      <c r="B84" s="13"/>
      <c r="C84" s="13"/>
      <c r="D84" s="13"/>
      <c r="E84" s="13"/>
      <c r="F84" s="13"/>
      <c r="G84" s="13"/>
      <c r="H84" s="13"/>
    </row>
    <row r="85" spans="1:8">
      <c r="A85" s="13"/>
      <c r="B85" s="13"/>
      <c r="C85" s="13"/>
      <c r="D85" s="13"/>
      <c r="E85" s="13"/>
      <c r="F85" s="13"/>
      <c r="G85" s="13"/>
      <c r="H85" s="13"/>
    </row>
    <row r="86" spans="1:8">
      <c r="A86" s="13"/>
      <c r="B86" s="13"/>
      <c r="C86" s="13"/>
      <c r="D86" s="13"/>
      <c r="E86" s="13"/>
      <c r="F86" s="13"/>
      <c r="G86" s="13"/>
      <c r="H86" s="13"/>
    </row>
    <row r="87" spans="1:8">
      <c r="A87" s="13"/>
      <c r="B87" s="13"/>
      <c r="C87" s="13"/>
      <c r="D87" s="13"/>
      <c r="E87" s="13"/>
      <c r="F87" s="13"/>
      <c r="G87" s="13"/>
      <c r="H87" s="13"/>
    </row>
    <row r="88" spans="1:8">
      <c r="A88" s="13"/>
      <c r="B88" s="13"/>
      <c r="C88" s="13"/>
      <c r="D88" s="13"/>
      <c r="E88" s="13"/>
      <c r="F88" s="13"/>
      <c r="G88" s="13"/>
      <c r="H88" s="13"/>
    </row>
    <row r="89" spans="1:8">
      <c r="A89" s="13"/>
      <c r="B89" s="13"/>
      <c r="C89" s="13"/>
      <c r="D89" s="13"/>
      <c r="E89" s="13"/>
      <c r="F89" s="13"/>
      <c r="G89" s="13"/>
      <c r="H89" s="13"/>
    </row>
    <row r="90" spans="1:8">
      <c r="A90" s="13"/>
      <c r="B90" s="13"/>
      <c r="C90" s="13"/>
      <c r="D90" s="13"/>
      <c r="E90" s="13"/>
      <c r="F90" s="13"/>
      <c r="G90" s="13"/>
      <c r="H90" s="13"/>
    </row>
    <row r="91" spans="1:8">
      <c r="A91" s="13"/>
      <c r="B91" s="13"/>
      <c r="C91" s="13"/>
      <c r="D91" s="13"/>
      <c r="E91" s="13"/>
      <c r="F91" s="13"/>
      <c r="G91" s="13"/>
      <c r="H91" s="13"/>
    </row>
    <row r="92" spans="1:8">
      <c r="A92" s="13"/>
      <c r="B92" s="13"/>
      <c r="C92" s="13"/>
      <c r="D92" s="13"/>
      <c r="E92" s="13"/>
      <c r="F92" s="13"/>
      <c r="G92" s="13"/>
      <c r="H92" s="13"/>
    </row>
    <row r="93" spans="1:8">
      <c r="A93" s="13"/>
      <c r="B93" s="13"/>
      <c r="C93" s="13"/>
      <c r="D93" s="13"/>
      <c r="E93" s="13"/>
      <c r="F93" s="13"/>
      <c r="G93" s="13"/>
      <c r="H93" s="13"/>
    </row>
    <row r="94" spans="1:8">
      <c r="A94" s="13"/>
      <c r="B94" s="13"/>
      <c r="C94" s="13"/>
      <c r="D94" s="13"/>
      <c r="E94" s="13"/>
      <c r="F94" s="13"/>
      <c r="G94" s="13"/>
      <c r="H94" s="13"/>
    </row>
    <row r="95" spans="1:8">
      <c r="A95" s="13"/>
      <c r="B95" s="13"/>
      <c r="C95" s="13"/>
      <c r="D95" s="13"/>
      <c r="E95" s="13"/>
      <c r="F95" s="13"/>
      <c r="G95" s="13"/>
      <c r="H95" s="13"/>
    </row>
    <row r="96" spans="1:8">
      <c r="A96" s="13"/>
      <c r="B96" s="13"/>
      <c r="C96" s="13"/>
      <c r="D96" s="13"/>
      <c r="E96" s="13"/>
      <c r="F96" s="13"/>
      <c r="G96" s="13"/>
      <c r="H96" s="13"/>
    </row>
    <row r="97" spans="1:8">
      <c r="A97" s="13"/>
      <c r="B97" s="13"/>
      <c r="C97" s="13"/>
      <c r="D97" s="13"/>
      <c r="E97" s="13"/>
      <c r="F97" s="13"/>
      <c r="G97" s="13"/>
      <c r="H97" s="13"/>
    </row>
    <row r="98" spans="1:8">
      <c r="A98" s="13"/>
      <c r="B98" s="13"/>
      <c r="C98" s="13"/>
      <c r="D98" s="13"/>
      <c r="E98" s="13"/>
      <c r="F98" s="13"/>
      <c r="G98" s="13"/>
      <c r="H98" s="13"/>
    </row>
    <row r="99" spans="1:8">
      <c r="A99" s="13"/>
      <c r="B99" s="13"/>
      <c r="C99" s="13"/>
      <c r="D99" s="13"/>
      <c r="E99" s="13"/>
      <c r="F99" s="13"/>
      <c r="G99" s="13"/>
      <c r="H99" s="13"/>
    </row>
    <row r="100" spans="1:8">
      <c r="A100" s="13"/>
      <c r="B100" s="13"/>
      <c r="C100" s="13"/>
      <c r="D100" s="13"/>
      <c r="E100" s="13"/>
      <c r="F100" s="13"/>
      <c r="G100" s="13"/>
      <c r="H100" s="13"/>
    </row>
    <row r="101" spans="1:8">
      <c r="A101" s="13"/>
      <c r="B101" s="13"/>
      <c r="C101" s="13"/>
      <c r="D101" s="13"/>
      <c r="E101" s="13"/>
      <c r="F101" s="13"/>
      <c r="G101" s="13"/>
      <c r="H101" s="13"/>
    </row>
    <row r="102" spans="1:8">
      <c r="A102" s="13"/>
      <c r="B102" s="13"/>
      <c r="C102" s="13"/>
      <c r="D102" s="13"/>
      <c r="E102" s="13"/>
      <c r="F102" s="13"/>
      <c r="G102" s="13"/>
      <c r="H102" s="13"/>
    </row>
    <row r="103" spans="1:8">
      <c r="A103" s="13"/>
      <c r="B103" s="13"/>
      <c r="C103" s="13"/>
      <c r="D103" s="13"/>
      <c r="E103" s="13"/>
      <c r="F103" s="13"/>
      <c r="G103" s="13"/>
      <c r="H103" s="13"/>
    </row>
    <row r="104" spans="1:8">
      <c r="A104" s="13"/>
      <c r="B104" s="13"/>
      <c r="C104" s="13"/>
      <c r="D104" s="13"/>
      <c r="E104" s="13"/>
      <c r="F104" s="13"/>
      <c r="G104" s="13"/>
      <c r="H104" s="13"/>
    </row>
    <row r="105" spans="1:8">
      <c r="A105" s="13"/>
      <c r="B105" s="13"/>
      <c r="C105" s="13"/>
      <c r="D105" s="13"/>
      <c r="E105" s="13"/>
      <c r="F105" s="13"/>
      <c r="G105" s="13"/>
      <c r="H105" s="13"/>
    </row>
    <row r="106" spans="1:8">
      <c r="A106" s="13"/>
      <c r="B106" s="13"/>
      <c r="C106" s="13"/>
      <c r="D106" s="13"/>
      <c r="E106" s="13"/>
      <c r="F106" s="13"/>
      <c r="G106" s="13"/>
      <c r="H106" s="13"/>
    </row>
    <row r="107" spans="1:8">
      <c r="A107" s="13"/>
      <c r="B107" s="13"/>
      <c r="C107" s="13"/>
      <c r="D107" s="13"/>
      <c r="E107" s="13"/>
      <c r="F107" s="13"/>
      <c r="G107" s="13"/>
      <c r="H107" s="13"/>
    </row>
    <row r="108" spans="1:8">
      <c r="A108" s="13"/>
      <c r="B108" s="13"/>
      <c r="C108" s="13"/>
      <c r="D108" s="13"/>
      <c r="E108" s="13"/>
      <c r="F108" s="13"/>
      <c r="G108" s="13"/>
      <c r="H108" s="13"/>
    </row>
    <row r="109" spans="1:8">
      <c r="A109" s="13"/>
      <c r="B109" s="13"/>
      <c r="C109" s="13"/>
      <c r="D109" s="13"/>
      <c r="E109" s="13"/>
      <c r="F109" s="13"/>
      <c r="G109" s="13"/>
      <c r="H109" s="13"/>
    </row>
    <row r="110" spans="1:8">
      <c r="A110" s="13"/>
      <c r="B110" s="13"/>
      <c r="C110" s="13"/>
      <c r="D110" s="13"/>
      <c r="E110" s="13"/>
      <c r="F110" s="13"/>
      <c r="G110" s="13"/>
      <c r="H110" s="13"/>
    </row>
    <row r="111" spans="1:8">
      <c r="A111" s="13"/>
      <c r="B111" s="13"/>
      <c r="C111" s="13"/>
      <c r="D111" s="13"/>
      <c r="E111" s="13"/>
      <c r="F111" s="13"/>
      <c r="G111" s="13"/>
      <c r="H111" s="13"/>
    </row>
    <row r="112" spans="1:8">
      <c r="A112" s="13"/>
      <c r="B112" s="13"/>
      <c r="C112" s="13"/>
      <c r="D112" s="13"/>
      <c r="E112" s="13"/>
      <c r="F112" s="13"/>
      <c r="G112" s="13"/>
      <c r="H112" s="13"/>
    </row>
    <row r="113" spans="1:8">
      <c r="A113" s="13"/>
      <c r="B113" s="13"/>
      <c r="C113" s="13"/>
      <c r="D113" s="13"/>
      <c r="E113" s="13"/>
      <c r="F113" s="13"/>
      <c r="G113" s="13"/>
      <c r="H113" s="13"/>
    </row>
    <row r="114" spans="1:8">
      <c r="A114" s="13"/>
      <c r="B114" s="13"/>
      <c r="C114" s="13"/>
      <c r="D114" s="13"/>
      <c r="E114" s="13"/>
      <c r="F114" s="13"/>
      <c r="G114" s="13"/>
      <c r="H114" s="13"/>
    </row>
    <row r="115" spans="1:8">
      <c r="A115" s="13"/>
      <c r="B115" s="13"/>
      <c r="C115" s="13"/>
      <c r="D115" s="13"/>
      <c r="E115" s="13"/>
      <c r="F115" s="13"/>
      <c r="G115" s="13"/>
      <c r="H115" s="13"/>
    </row>
    <row r="116" spans="1:8">
      <c r="A116" s="13"/>
      <c r="B116" s="13"/>
      <c r="C116" s="13"/>
      <c r="D116" s="13"/>
      <c r="E116" s="13"/>
      <c r="F116" s="13"/>
      <c r="G116" s="13"/>
      <c r="H116" s="13"/>
    </row>
    <row r="117" spans="1:8">
      <c r="A117" s="13"/>
      <c r="B117" s="13"/>
      <c r="C117" s="13"/>
      <c r="D117" s="13"/>
      <c r="E117" s="13"/>
      <c r="F117" s="13"/>
      <c r="G117" s="13"/>
      <c r="H117" s="13"/>
    </row>
    <row r="118" spans="1:8">
      <c r="A118" s="13"/>
      <c r="B118" s="13"/>
      <c r="C118" s="13"/>
      <c r="D118" s="13"/>
      <c r="E118" s="13"/>
      <c r="F118" s="13"/>
      <c r="G118" s="13"/>
      <c r="H118" s="13"/>
    </row>
    <row r="119" spans="1:8">
      <c r="A119" s="13"/>
      <c r="B119" s="13"/>
      <c r="C119" s="13"/>
      <c r="D119" s="13"/>
      <c r="E119" s="13"/>
      <c r="F119" s="13"/>
      <c r="G119" s="13"/>
      <c r="H119" s="13"/>
    </row>
    <row r="120" spans="1:8">
      <c r="A120" s="13"/>
      <c r="B120" s="13"/>
      <c r="C120" s="13"/>
      <c r="D120" s="13"/>
      <c r="E120" s="13"/>
      <c r="F120" s="13"/>
      <c r="G120" s="13"/>
      <c r="H120" s="13"/>
    </row>
    <row r="121" spans="1:8">
      <c r="A121" s="13"/>
      <c r="B121" s="13"/>
      <c r="C121" s="13"/>
      <c r="D121" s="13"/>
      <c r="E121" s="13"/>
      <c r="F121" s="13"/>
      <c r="G121" s="13"/>
      <c r="H121" s="13"/>
    </row>
    <row r="122" spans="1:8">
      <c r="A122" s="13"/>
      <c r="B122" s="13"/>
      <c r="C122" s="13"/>
      <c r="D122" s="13"/>
      <c r="E122" s="13"/>
      <c r="F122" s="13"/>
      <c r="G122" s="13"/>
      <c r="H122" s="13"/>
    </row>
    <row r="123" spans="1:8">
      <c r="A123" s="13"/>
      <c r="B123" s="13"/>
      <c r="C123" s="13"/>
      <c r="D123" s="13"/>
      <c r="E123" s="13"/>
      <c r="F123" s="13"/>
      <c r="G123" s="13"/>
      <c r="H123" s="13"/>
    </row>
    <row r="124" spans="1:8">
      <c r="A124" s="13"/>
      <c r="B124" s="13"/>
      <c r="C124" s="13"/>
      <c r="D124" s="13"/>
      <c r="E124" s="13"/>
      <c r="F124" s="13"/>
      <c r="G124" s="13"/>
      <c r="H124" s="13"/>
    </row>
    <row r="125" spans="1:8">
      <c r="A125" s="13"/>
      <c r="B125" s="13"/>
      <c r="C125" s="13"/>
      <c r="D125" s="13"/>
      <c r="E125" s="13"/>
      <c r="F125" s="13"/>
      <c r="G125" s="13"/>
      <c r="H125" s="13"/>
    </row>
    <row r="126" spans="1:8">
      <c r="A126" s="13"/>
      <c r="B126" s="13"/>
      <c r="C126" s="13"/>
      <c r="D126" s="13"/>
      <c r="E126" s="13"/>
      <c r="F126" s="13"/>
      <c r="G126" s="13"/>
      <c r="H126" s="13"/>
    </row>
    <row r="127" spans="1:8">
      <c r="A127" s="13"/>
      <c r="B127" s="13"/>
      <c r="C127" s="13"/>
      <c r="D127" s="13"/>
      <c r="E127" s="13"/>
      <c r="F127" s="13"/>
      <c r="G127" s="13"/>
      <c r="H127" s="13"/>
    </row>
    <row r="128" spans="1:8">
      <c r="A128" s="13"/>
      <c r="B128" s="13"/>
      <c r="C128" s="13"/>
      <c r="D128" s="13"/>
      <c r="E128" s="13"/>
      <c r="F128" s="13"/>
      <c r="G128" s="13"/>
      <c r="H128" s="13"/>
    </row>
    <row r="129" spans="1:8">
      <c r="A129" s="13"/>
      <c r="B129" s="13"/>
      <c r="C129" s="13"/>
      <c r="D129" s="13"/>
      <c r="E129" s="13"/>
      <c r="F129" s="13"/>
      <c r="G129" s="13"/>
      <c r="H129" s="13"/>
    </row>
    <row r="130" spans="1:8">
      <c r="A130" s="13"/>
      <c r="B130" s="13"/>
      <c r="C130" s="13"/>
      <c r="D130" s="13"/>
      <c r="E130" s="13"/>
      <c r="F130" s="13"/>
      <c r="G130" s="13"/>
      <c r="H130" s="13"/>
    </row>
    <row r="131" spans="1:8">
      <c r="A131" s="13"/>
      <c r="B131" s="13"/>
      <c r="C131" s="13"/>
      <c r="D131" s="13"/>
      <c r="E131" s="13"/>
      <c r="F131" s="13"/>
      <c r="G131" s="13"/>
      <c r="H131" s="13"/>
    </row>
    <row r="132" spans="1:8">
      <c r="A132" s="13"/>
      <c r="B132" s="13"/>
      <c r="C132" s="13"/>
      <c r="D132" s="13"/>
      <c r="E132" s="13"/>
      <c r="F132" s="13"/>
      <c r="G132" s="13"/>
      <c r="H132" s="13"/>
    </row>
    <row r="133" spans="1:8">
      <c r="A133" s="13"/>
      <c r="B133" s="13"/>
      <c r="C133" s="13"/>
      <c r="D133" s="13"/>
      <c r="E133" s="13"/>
      <c r="F133" s="13"/>
      <c r="G133" s="13"/>
      <c r="H133" s="13"/>
    </row>
    <row r="134" spans="1:8">
      <c r="A134" s="13"/>
      <c r="B134" s="13"/>
      <c r="C134" s="13"/>
      <c r="D134" s="13"/>
      <c r="E134" s="13"/>
      <c r="F134" s="13"/>
      <c r="G134" s="13"/>
      <c r="H134" s="13"/>
    </row>
    <row r="135" spans="1:8">
      <c r="A135" s="13"/>
      <c r="B135" s="13"/>
      <c r="C135" s="13"/>
      <c r="D135" s="13"/>
      <c r="E135" s="13"/>
      <c r="F135" s="13"/>
      <c r="G135" s="13"/>
      <c r="H135" s="13"/>
    </row>
    <row r="136" spans="1:8">
      <c r="A136" s="13"/>
      <c r="B136" s="13"/>
      <c r="C136" s="13"/>
      <c r="D136" s="13"/>
      <c r="E136" s="13"/>
      <c r="F136" s="13"/>
      <c r="G136" s="13"/>
      <c r="H136" s="13"/>
    </row>
    <row r="137" spans="1:8">
      <c r="A137" s="13"/>
      <c r="B137" s="13"/>
      <c r="C137" s="13"/>
      <c r="D137" s="13"/>
      <c r="E137" s="13"/>
      <c r="F137" s="13"/>
      <c r="G137" s="13"/>
      <c r="H137" s="13"/>
    </row>
    <row r="138" spans="1:8">
      <c r="A138" s="13"/>
      <c r="B138" s="13"/>
      <c r="C138" s="13"/>
      <c r="D138" s="13"/>
      <c r="E138" s="13"/>
      <c r="F138" s="13"/>
      <c r="G138" s="13"/>
      <c r="H138" s="13"/>
    </row>
    <row r="139" spans="1:8">
      <c r="A139" s="13"/>
      <c r="B139" s="13"/>
      <c r="C139" s="13"/>
      <c r="D139" s="13"/>
      <c r="E139" s="13"/>
      <c r="F139" s="13"/>
      <c r="G139" s="13"/>
      <c r="H139" s="13"/>
    </row>
    <row r="140" spans="1:8">
      <c r="A140" s="13"/>
      <c r="B140" s="13"/>
      <c r="C140" s="13"/>
      <c r="D140" s="13"/>
      <c r="E140" s="13"/>
      <c r="F140" s="13"/>
      <c r="G140" s="13"/>
      <c r="H140" s="13"/>
    </row>
    <row r="141" spans="1:8">
      <c r="A141" s="13"/>
      <c r="B141" s="13"/>
      <c r="C141" s="13"/>
      <c r="D141" s="13"/>
      <c r="E141" s="13"/>
      <c r="F141" s="13"/>
      <c r="G141" s="13"/>
      <c r="H141" s="13"/>
    </row>
    <row r="142" spans="1:8">
      <c r="A142" s="13"/>
      <c r="B142" s="13"/>
      <c r="C142" s="13"/>
      <c r="D142" s="13"/>
      <c r="E142" s="13"/>
      <c r="F142" s="13"/>
      <c r="G142" s="13"/>
      <c r="H142" s="13"/>
    </row>
    <row r="143" spans="1:8">
      <c r="A143" s="13"/>
      <c r="B143" s="13"/>
      <c r="C143" s="13"/>
      <c r="D143" s="13"/>
      <c r="E143" s="13"/>
      <c r="F143" s="13"/>
      <c r="G143" s="13"/>
      <c r="H143" s="13"/>
    </row>
    <row r="144" spans="1:8">
      <c r="A144" s="13"/>
      <c r="B144" s="13"/>
      <c r="C144" s="13"/>
      <c r="D144" s="13"/>
      <c r="E144" s="13"/>
      <c r="F144" s="13"/>
      <c r="G144" s="13"/>
      <c r="H144" s="13"/>
    </row>
    <row r="145" spans="1:8">
      <c r="A145" s="13"/>
      <c r="B145" s="13"/>
      <c r="C145" s="13"/>
      <c r="D145" s="13"/>
      <c r="E145" s="13"/>
      <c r="F145" s="13"/>
      <c r="G145" s="13"/>
      <c r="H145" s="13"/>
    </row>
    <row r="146" spans="1:8">
      <c r="A146" s="13"/>
      <c r="B146" s="13"/>
      <c r="C146" s="13"/>
      <c r="D146" s="13"/>
      <c r="E146" s="13"/>
      <c r="F146" s="13"/>
      <c r="G146" s="13"/>
      <c r="H146" s="13"/>
    </row>
    <row r="147" spans="1:8">
      <c r="A147" s="13"/>
      <c r="B147" s="13"/>
      <c r="C147" s="13"/>
      <c r="D147" s="13"/>
      <c r="E147" s="13"/>
      <c r="F147" s="13"/>
      <c r="G147" s="13"/>
      <c r="H147" s="13"/>
    </row>
    <row r="148" spans="1:8">
      <c r="A148" s="13"/>
      <c r="B148" s="13"/>
      <c r="C148" s="13"/>
      <c r="D148" s="13"/>
      <c r="E148" s="13"/>
      <c r="F148" s="13"/>
      <c r="G148" s="13"/>
      <c r="H148" s="13"/>
    </row>
    <row r="149" spans="1:8">
      <c r="A149" s="13"/>
      <c r="B149" s="13"/>
      <c r="C149" s="13"/>
      <c r="D149" s="13"/>
      <c r="E149" s="13"/>
      <c r="F149" s="13"/>
      <c r="G149" s="13"/>
      <c r="H149" s="13"/>
    </row>
    <row r="150" spans="1:8">
      <c r="A150" s="13"/>
      <c r="B150" s="13"/>
      <c r="C150" s="13"/>
      <c r="D150" s="13"/>
      <c r="E150" s="13"/>
      <c r="F150" s="13"/>
      <c r="G150" s="13"/>
      <c r="H150" s="13"/>
    </row>
    <row r="151" spans="1:8">
      <c r="A151" s="13"/>
      <c r="B151" s="13"/>
      <c r="C151" s="13"/>
      <c r="D151" s="13"/>
      <c r="E151" s="13"/>
      <c r="F151" s="13"/>
      <c r="G151" s="13"/>
      <c r="H151" s="13"/>
    </row>
    <row r="152" spans="1:8">
      <c r="A152" s="13"/>
      <c r="B152" s="13"/>
      <c r="C152" s="13"/>
      <c r="D152" s="13"/>
      <c r="E152" s="13"/>
      <c r="F152" s="13"/>
      <c r="G152" s="13"/>
      <c r="H152" s="13"/>
    </row>
    <row r="153" spans="1:8">
      <c r="A153" s="13"/>
      <c r="B153" s="13"/>
      <c r="C153" s="13"/>
      <c r="D153" s="13"/>
      <c r="E153" s="13"/>
      <c r="F153" s="13"/>
      <c r="G153" s="13"/>
      <c r="H153" s="13"/>
    </row>
    <row r="154" spans="1:8">
      <c r="A154" s="13"/>
      <c r="B154" s="13"/>
      <c r="C154" s="13"/>
      <c r="D154" s="13"/>
      <c r="E154" s="13"/>
      <c r="F154" s="13"/>
      <c r="G154" s="13"/>
      <c r="H154" s="13"/>
    </row>
    <row r="155" spans="1:8">
      <c r="A155" s="13"/>
      <c r="B155" s="13"/>
      <c r="C155" s="13"/>
      <c r="D155" s="13"/>
      <c r="E155" s="13"/>
      <c r="F155" s="13"/>
      <c r="G155" s="13"/>
      <c r="H155" s="13"/>
    </row>
    <row r="156" spans="1:8">
      <c r="A156" s="13"/>
      <c r="B156" s="13"/>
      <c r="C156" s="13"/>
      <c r="D156" s="13"/>
      <c r="E156" s="13"/>
      <c r="F156" s="13"/>
      <c r="G156" s="13"/>
      <c r="H156" s="13"/>
    </row>
    <row r="157" spans="1:8">
      <c r="A157" s="13"/>
      <c r="B157" s="13"/>
      <c r="C157" s="13"/>
      <c r="D157" s="13"/>
      <c r="E157" s="13"/>
      <c r="F157" s="13"/>
      <c r="G157" s="13"/>
      <c r="H157" s="13"/>
    </row>
    <row r="158" spans="1:8">
      <c r="A158" s="13"/>
      <c r="B158" s="13"/>
      <c r="C158" s="13"/>
      <c r="D158" s="13"/>
      <c r="E158" s="13"/>
      <c r="F158" s="13"/>
      <c r="G158" s="13"/>
      <c r="H158" s="13"/>
    </row>
    <row r="159" spans="1:8">
      <c r="A159" s="13"/>
      <c r="B159" s="13"/>
      <c r="C159" s="13"/>
      <c r="D159" s="13"/>
      <c r="E159" s="13"/>
      <c r="F159" s="13"/>
      <c r="G159" s="13"/>
      <c r="H159" s="13"/>
    </row>
    <row r="160" spans="1:8">
      <c r="A160" s="13"/>
      <c r="B160" s="13"/>
      <c r="C160" s="13"/>
      <c r="D160" s="13"/>
      <c r="E160" s="13"/>
      <c r="F160" s="13"/>
      <c r="G160" s="13"/>
      <c r="H160" s="13"/>
    </row>
    <row r="161" spans="1:8">
      <c r="A161" s="13"/>
      <c r="B161" s="13"/>
      <c r="C161" s="13"/>
      <c r="D161" s="13"/>
      <c r="E161" s="13"/>
      <c r="F161" s="13"/>
      <c r="G161" s="13"/>
      <c r="H161" s="13"/>
    </row>
    <row r="162" spans="1:8">
      <c r="A162" s="13"/>
      <c r="B162" s="13"/>
      <c r="C162" s="13"/>
      <c r="D162" s="13"/>
      <c r="E162" s="13"/>
      <c r="F162" s="13"/>
      <c r="G162" s="13"/>
      <c r="H162" s="13"/>
    </row>
    <row r="163" spans="1:8">
      <c r="A163" s="13"/>
      <c r="B163" s="13"/>
      <c r="C163" s="13"/>
      <c r="D163" s="13"/>
      <c r="E163" s="13"/>
      <c r="F163" s="13"/>
      <c r="G163" s="13"/>
      <c r="H163" s="13"/>
    </row>
    <row r="164" spans="1:8">
      <c r="A164" s="13"/>
      <c r="B164" s="13"/>
      <c r="C164" s="13"/>
      <c r="D164" s="13"/>
      <c r="E164" s="13"/>
      <c r="F164" s="13"/>
      <c r="G164" s="13"/>
      <c r="H164" s="13"/>
    </row>
    <row r="165" spans="1:8">
      <c r="A165" s="13"/>
      <c r="B165" s="13"/>
      <c r="C165" s="13"/>
      <c r="D165" s="13"/>
      <c r="E165" s="13"/>
      <c r="F165" s="13"/>
      <c r="G165" s="13"/>
      <c r="H165" s="13"/>
    </row>
    <row r="166" spans="1:8">
      <c r="A166" s="13"/>
      <c r="B166" s="13"/>
      <c r="C166" s="13"/>
      <c r="D166" s="13"/>
      <c r="E166" s="13"/>
      <c r="F166" s="13"/>
      <c r="G166" s="13"/>
      <c r="H166" s="13"/>
    </row>
    <row r="167" spans="1:8">
      <c r="A167" s="13"/>
      <c r="B167" s="13"/>
      <c r="C167" s="13"/>
      <c r="D167" s="13"/>
      <c r="E167" s="13"/>
      <c r="F167" s="13"/>
      <c r="G167" s="13"/>
      <c r="H167" s="13"/>
    </row>
    <row r="168" spans="1:8">
      <c r="A168" s="13"/>
      <c r="B168" s="13"/>
      <c r="C168" s="13"/>
      <c r="D168" s="13"/>
      <c r="E168" s="13"/>
      <c r="F168" s="13"/>
      <c r="G168" s="13"/>
      <c r="H168" s="13"/>
    </row>
    <row r="169" spans="1:8">
      <c r="A169" s="13"/>
      <c r="B169" s="13"/>
      <c r="C169" s="13"/>
      <c r="D169" s="13"/>
      <c r="E169" s="13"/>
      <c r="F169" s="13"/>
      <c r="G169" s="13"/>
      <c r="H169" s="13"/>
    </row>
    <row r="170" spans="1:8">
      <c r="A170" s="13"/>
      <c r="B170" s="13"/>
      <c r="C170" s="13"/>
      <c r="D170" s="13"/>
      <c r="E170" s="13"/>
      <c r="F170" s="13"/>
      <c r="G170" s="13"/>
      <c r="H170" s="13"/>
    </row>
    <row r="171" spans="1:8">
      <c r="A171" s="13"/>
      <c r="B171" s="13"/>
      <c r="C171" s="13"/>
      <c r="D171" s="13"/>
      <c r="E171" s="13"/>
      <c r="F171" s="13"/>
      <c r="G171" s="13"/>
      <c r="H171" s="13"/>
    </row>
    <row r="172" spans="1:8">
      <c r="A172" s="13"/>
      <c r="B172" s="13"/>
      <c r="C172" s="13"/>
      <c r="D172" s="13"/>
      <c r="E172" s="13"/>
      <c r="F172" s="13"/>
      <c r="G172" s="13"/>
      <c r="H172" s="13"/>
    </row>
    <row r="173" spans="1:8">
      <c r="A173" s="13"/>
      <c r="B173" s="13"/>
      <c r="C173" s="13"/>
      <c r="D173" s="13"/>
      <c r="E173" s="13"/>
      <c r="F173" s="13"/>
      <c r="G173" s="13"/>
      <c r="H173" s="13"/>
    </row>
    <row r="174" spans="1:8">
      <c r="A174" s="13"/>
      <c r="B174" s="13"/>
      <c r="C174" s="13"/>
      <c r="D174" s="13"/>
      <c r="E174" s="13"/>
      <c r="F174" s="13"/>
      <c r="G174" s="13"/>
      <c r="H174" s="13"/>
    </row>
    <row r="175" spans="1:8">
      <c r="A175" s="13"/>
      <c r="B175" s="13"/>
      <c r="C175" s="13"/>
      <c r="D175" s="13"/>
      <c r="E175" s="13"/>
      <c r="F175" s="13"/>
      <c r="G175" s="13"/>
      <c r="H175" s="13"/>
    </row>
    <row r="176" spans="1:8">
      <c r="A176" s="13"/>
      <c r="B176" s="13"/>
      <c r="C176" s="13"/>
      <c r="D176" s="13"/>
      <c r="E176" s="13"/>
      <c r="F176" s="13"/>
      <c r="G176" s="13"/>
      <c r="H176" s="13"/>
    </row>
    <row r="177" spans="1:8">
      <c r="A177" s="13"/>
      <c r="B177" s="13"/>
      <c r="C177" s="13"/>
      <c r="D177" s="13"/>
      <c r="E177" s="13"/>
      <c r="F177" s="13"/>
      <c r="G177" s="13"/>
      <c r="H177" s="13"/>
    </row>
    <row r="178" spans="1:8">
      <c r="A178" s="13"/>
      <c r="B178" s="13"/>
      <c r="C178" s="13"/>
      <c r="D178" s="13"/>
      <c r="E178" s="13"/>
      <c r="F178" s="13"/>
      <c r="G178" s="13"/>
      <c r="H178" s="13"/>
    </row>
    <row r="179" spans="1:8">
      <c r="A179" s="13"/>
      <c r="B179" s="13"/>
      <c r="C179" s="13"/>
      <c r="D179" s="13"/>
      <c r="E179" s="13"/>
      <c r="F179" s="13"/>
      <c r="G179" s="13"/>
      <c r="H179" s="13"/>
    </row>
    <row r="180" spans="1:8">
      <c r="A180" s="13"/>
      <c r="B180" s="13"/>
      <c r="C180" s="13"/>
      <c r="D180" s="13"/>
      <c r="E180" s="13"/>
      <c r="F180" s="13"/>
      <c r="G180" s="13"/>
      <c r="H180" s="13"/>
    </row>
    <row r="181" spans="1:8">
      <c r="A181" s="13"/>
      <c r="B181" s="13"/>
      <c r="C181" s="13"/>
      <c r="D181" s="13"/>
      <c r="E181" s="13"/>
      <c r="F181" s="13"/>
      <c r="G181" s="13"/>
      <c r="H181" s="13"/>
    </row>
    <row r="182" spans="1:8">
      <c r="A182" s="13"/>
      <c r="B182" s="13"/>
      <c r="C182" s="13"/>
      <c r="D182" s="13"/>
      <c r="E182" s="13"/>
      <c r="F182" s="13"/>
      <c r="G182" s="13"/>
      <c r="H182" s="13"/>
    </row>
    <row r="183" spans="1:8">
      <c r="A183" s="13"/>
      <c r="B183" s="13"/>
      <c r="C183" s="13"/>
      <c r="D183" s="13"/>
      <c r="E183" s="13"/>
      <c r="F183" s="13"/>
      <c r="G183" s="13"/>
      <c r="H183" s="13"/>
    </row>
    <row r="184" spans="1:8">
      <c r="A184" s="13"/>
      <c r="B184" s="13"/>
      <c r="C184" s="13"/>
      <c r="D184" s="13"/>
      <c r="E184" s="13"/>
      <c r="F184" s="13"/>
      <c r="G184" s="13"/>
      <c r="H184" s="13"/>
    </row>
    <row r="185" spans="1:8">
      <c r="A185" s="13"/>
      <c r="B185" s="13"/>
      <c r="C185" s="13"/>
      <c r="D185" s="13"/>
      <c r="E185" s="13"/>
      <c r="F185" s="13"/>
      <c r="G185" s="13"/>
      <c r="H185" s="13"/>
    </row>
    <row r="186" spans="1:8">
      <c r="A186" s="13"/>
      <c r="B186" s="13"/>
      <c r="C186" s="13"/>
      <c r="D186" s="13"/>
      <c r="E186" s="13"/>
      <c r="F186" s="13"/>
      <c r="G186" s="13"/>
      <c r="H186" s="13"/>
    </row>
    <row r="187" spans="1:8">
      <c r="A187" s="13"/>
      <c r="B187" s="13"/>
      <c r="C187" s="13"/>
      <c r="D187" s="13"/>
      <c r="E187" s="13"/>
      <c r="F187" s="13"/>
      <c r="G187" s="13"/>
      <c r="H187" s="13"/>
    </row>
    <row r="188" spans="1:8">
      <c r="A188" s="13"/>
      <c r="B188" s="13"/>
      <c r="C188" s="13"/>
      <c r="D188" s="13"/>
      <c r="E188" s="13"/>
      <c r="F188" s="13"/>
      <c r="G188" s="13"/>
      <c r="H188" s="13"/>
    </row>
    <row r="189" spans="1:8">
      <c r="A189" s="13"/>
      <c r="B189" s="13"/>
      <c r="C189" s="13"/>
      <c r="D189" s="13"/>
      <c r="E189" s="13"/>
      <c r="F189" s="13"/>
      <c r="G189" s="13"/>
      <c r="H189" s="13"/>
    </row>
    <row r="190" spans="1:8">
      <c r="A190" s="13"/>
      <c r="B190" s="13"/>
      <c r="C190" s="13"/>
      <c r="D190" s="13"/>
      <c r="E190" s="13"/>
      <c r="F190" s="13"/>
      <c r="G190" s="13"/>
      <c r="H190" s="13"/>
    </row>
    <row r="191" spans="1:8">
      <c r="A191" s="13"/>
      <c r="B191" s="13"/>
      <c r="C191" s="13"/>
      <c r="D191" s="13"/>
      <c r="E191" s="13"/>
      <c r="F191" s="13"/>
      <c r="G191" s="13"/>
      <c r="H191" s="13"/>
    </row>
    <row r="192" spans="1:8">
      <c r="A192" s="13"/>
      <c r="B192" s="13"/>
      <c r="C192" s="13"/>
      <c r="D192" s="13"/>
      <c r="E192" s="13"/>
      <c r="F192" s="13"/>
      <c r="G192" s="13"/>
      <c r="H192" s="13"/>
    </row>
    <row r="193" spans="1:8">
      <c r="A193" s="13"/>
      <c r="B193" s="13"/>
      <c r="C193" s="13"/>
      <c r="D193" s="13"/>
      <c r="E193" s="13"/>
      <c r="F193" s="13"/>
      <c r="G193" s="13"/>
      <c r="H193" s="13"/>
    </row>
    <row r="194" spans="1:8">
      <c r="A194" s="13"/>
      <c r="B194" s="13"/>
      <c r="C194" s="13"/>
      <c r="D194" s="13"/>
      <c r="E194" s="13"/>
      <c r="F194" s="13"/>
      <c r="G194" s="13"/>
      <c r="H194" s="13"/>
    </row>
    <row r="195" spans="1:8">
      <c r="A195" s="13"/>
      <c r="B195" s="13"/>
      <c r="C195" s="13"/>
      <c r="D195" s="13"/>
      <c r="E195" s="13"/>
      <c r="F195" s="13"/>
      <c r="G195" s="13"/>
      <c r="H195" s="13"/>
    </row>
    <row r="196" spans="1:8">
      <c r="A196" s="13"/>
      <c r="B196" s="13"/>
      <c r="C196" s="13"/>
      <c r="D196" s="13"/>
      <c r="E196" s="13"/>
      <c r="F196" s="13"/>
      <c r="G196" s="13"/>
      <c r="H196" s="13"/>
    </row>
    <row r="197" spans="1:8">
      <c r="A197" s="13"/>
      <c r="B197" s="13"/>
      <c r="C197" s="13"/>
      <c r="D197" s="13"/>
      <c r="E197" s="13"/>
      <c r="F197" s="13"/>
      <c r="G197" s="13"/>
      <c r="H197" s="13"/>
    </row>
    <row r="198" spans="1:8">
      <c r="A198" s="13"/>
      <c r="B198" s="13"/>
      <c r="C198" s="13"/>
      <c r="D198" s="13"/>
      <c r="E198" s="13"/>
      <c r="F198" s="13"/>
      <c r="G198" s="13"/>
      <c r="H198" s="13"/>
    </row>
    <row r="199" spans="1:8">
      <c r="A199" s="13"/>
      <c r="B199" s="13"/>
      <c r="C199" s="13"/>
      <c r="D199" s="13"/>
      <c r="E199" s="13"/>
      <c r="F199" s="13"/>
      <c r="G199" s="13"/>
      <c r="H199" s="13"/>
    </row>
    <row r="200" spans="1:8">
      <c r="A200" s="13"/>
      <c r="B200" s="13"/>
      <c r="C200" s="13"/>
      <c r="D200" s="13"/>
      <c r="E200" s="13"/>
      <c r="F200" s="13"/>
      <c r="G200" s="13"/>
      <c r="H200" s="13"/>
    </row>
    <row r="201" spans="1:8">
      <c r="A201" s="13"/>
      <c r="B201" s="13"/>
      <c r="C201" s="13"/>
      <c r="D201" s="13"/>
      <c r="E201" s="13"/>
      <c r="F201" s="13"/>
      <c r="G201" s="13"/>
      <c r="H201" s="13"/>
    </row>
    <row r="202" spans="1:8">
      <c r="A202" s="13"/>
      <c r="B202" s="13"/>
      <c r="C202" s="13"/>
      <c r="D202" s="13"/>
      <c r="E202" s="13"/>
      <c r="F202" s="13"/>
      <c r="G202" s="13"/>
      <c r="H202" s="13"/>
    </row>
    <row r="203" spans="1:8">
      <c r="A203" s="13"/>
      <c r="B203" s="13"/>
      <c r="C203" s="13"/>
      <c r="D203" s="13"/>
      <c r="E203" s="13"/>
      <c r="F203" s="13"/>
      <c r="G203" s="13"/>
      <c r="H203" s="13"/>
    </row>
    <row r="204" spans="1:8">
      <c r="A204" s="13"/>
      <c r="B204" s="13"/>
      <c r="C204" s="13"/>
      <c r="D204" s="13"/>
      <c r="E204" s="13"/>
      <c r="F204" s="13"/>
      <c r="G204" s="13"/>
      <c r="H204" s="13"/>
    </row>
    <row r="205" spans="1:8">
      <c r="A205" s="13"/>
      <c r="B205" s="13"/>
      <c r="C205" s="13"/>
      <c r="D205" s="13"/>
      <c r="E205" s="13"/>
      <c r="F205" s="13"/>
      <c r="G205" s="13"/>
      <c r="H205" s="13"/>
    </row>
    <row r="206" spans="1:8">
      <c r="A206" s="13"/>
      <c r="B206" s="13"/>
      <c r="C206" s="13"/>
      <c r="D206" s="13"/>
      <c r="E206" s="13"/>
      <c r="F206" s="13"/>
      <c r="G206" s="13"/>
      <c r="H206" s="13"/>
    </row>
    <row r="207" spans="1:8">
      <c r="A207" s="13"/>
      <c r="B207" s="13"/>
      <c r="C207" s="13"/>
      <c r="D207" s="13"/>
      <c r="E207" s="13"/>
      <c r="F207" s="13"/>
      <c r="G207" s="13"/>
      <c r="H207" s="13"/>
    </row>
    <row r="208" spans="1:8">
      <c r="A208" s="13"/>
      <c r="B208" s="13"/>
      <c r="C208" s="13"/>
      <c r="D208" s="13"/>
      <c r="E208" s="13"/>
      <c r="F208" s="13"/>
      <c r="G208" s="13"/>
      <c r="H208" s="13"/>
    </row>
    <row r="209" spans="1:8">
      <c r="A209" s="13"/>
      <c r="B209" s="13"/>
      <c r="C209" s="13"/>
      <c r="D209" s="13"/>
      <c r="E209" s="13"/>
      <c r="F209" s="13"/>
      <c r="G209" s="13"/>
      <c r="H209" s="13"/>
    </row>
    <row r="210" spans="1:8">
      <c r="A210" s="13"/>
      <c r="B210" s="13"/>
      <c r="C210" s="13"/>
      <c r="D210" s="13"/>
      <c r="E210" s="13"/>
      <c r="F210" s="13"/>
      <c r="G210" s="13"/>
      <c r="H210" s="13"/>
    </row>
    <row r="211" spans="1:8">
      <c r="A211" s="13"/>
      <c r="B211" s="13"/>
      <c r="C211" s="13"/>
      <c r="D211" s="13"/>
      <c r="E211" s="13"/>
      <c r="F211" s="13"/>
      <c r="G211" s="13"/>
      <c r="H211" s="13"/>
    </row>
    <row r="212" spans="1:8">
      <c r="A212" s="13"/>
      <c r="B212" s="13"/>
      <c r="C212" s="13"/>
      <c r="D212" s="13"/>
      <c r="E212" s="13"/>
      <c r="F212" s="13"/>
      <c r="G212" s="13"/>
      <c r="H212" s="13"/>
    </row>
    <row r="213" spans="1:8">
      <c r="A213" s="13"/>
      <c r="B213" s="13"/>
      <c r="C213" s="13"/>
      <c r="D213" s="13"/>
      <c r="E213" s="13"/>
      <c r="F213" s="13"/>
      <c r="G213" s="13"/>
      <c r="H213" s="13"/>
    </row>
    <row r="214" spans="1:8">
      <c r="A214" s="13"/>
      <c r="B214" s="13"/>
      <c r="C214" s="13"/>
      <c r="D214" s="13"/>
      <c r="E214" s="13"/>
      <c r="F214" s="13"/>
      <c r="G214" s="13"/>
      <c r="H214" s="13"/>
    </row>
    <row r="215" spans="1:8">
      <c r="A215" s="13"/>
      <c r="B215" s="13"/>
      <c r="C215" s="13"/>
      <c r="D215" s="13"/>
      <c r="E215" s="13"/>
      <c r="F215" s="13"/>
      <c r="G215" s="13"/>
      <c r="H215" s="13"/>
    </row>
    <row r="216" spans="1:8">
      <c r="A216" s="13"/>
      <c r="B216" s="13"/>
      <c r="C216" s="13"/>
      <c r="D216" s="13"/>
      <c r="E216" s="13"/>
      <c r="F216" s="13"/>
      <c r="G216" s="13"/>
      <c r="H216" s="13"/>
    </row>
    <row r="217" spans="1:8">
      <c r="A217" s="13"/>
      <c r="B217" s="13"/>
      <c r="C217" s="13"/>
      <c r="D217" s="13"/>
      <c r="E217" s="13"/>
      <c r="F217" s="13"/>
      <c r="G217" s="13"/>
      <c r="H217" s="13"/>
    </row>
    <row r="218" spans="1:8">
      <c r="A218" s="13"/>
      <c r="B218" s="13"/>
      <c r="C218" s="13"/>
      <c r="D218" s="13"/>
      <c r="E218" s="13"/>
      <c r="F218" s="13"/>
      <c r="G218" s="13"/>
      <c r="H218" s="13"/>
    </row>
    <row r="219" spans="1:8">
      <c r="A219" s="13"/>
      <c r="B219" s="13"/>
      <c r="C219" s="13"/>
      <c r="D219" s="13"/>
      <c r="E219" s="13"/>
      <c r="F219" s="13"/>
      <c r="G219" s="13"/>
      <c r="H219" s="13"/>
    </row>
    <row r="220" spans="1:8">
      <c r="A220" s="13"/>
      <c r="B220" s="13"/>
      <c r="C220" s="13"/>
      <c r="D220" s="13"/>
      <c r="E220" s="13"/>
      <c r="F220" s="13"/>
      <c r="G220" s="13"/>
      <c r="H220" s="13"/>
    </row>
    <row r="221" spans="1:8">
      <c r="A221" s="13"/>
      <c r="B221" s="13"/>
      <c r="C221" s="13"/>
      <c r="D221" s="13"/>
      <c r="E221" s="13"/>
      <c r="F221" s="13"/>
      <c r="G221" s="13"/>
      <c r="H221" s="13"/>
    </row>
    <row r="222" spans="1:8">
      <c r="A222" s="13"/>
      <c r="B222" s="13"/>
      <c r="C222" s="13"/>
      <c r="D222" s="13"/>
      <c r="E222" s="13"/>
      <c r="F222" s="13"/>
      <c r="G222" s="13"/>
      <c r="H222" s="13"/>
    </row>
    <row r="223" spans="1:8">
      <c r="A223" s="13"/>
      <c r="B223" s="13"/>
      <c r="C223" s="13"/>
      <c r="D223" s="13"/>
      <c r="E223" s="13"/>
      <c r="F223" s="13"/>
      <c r="G223" s="13"/>
      <c r="H223" s="13"/>
    </row>
    <row r="224" spans="1:8">
      <c r="A224" s="13"/>
      <c r="B224" s="13"/>
      <c r="C224" s="13"/>
      <c r="D224" s="13"/>
      <c r="E224" s="13"/>
      <c r="F224" s="13"/>
      <c r="G224" s="13"/>
      <c r="H224" s="13"/>
    </row>
    <row r="225" spans="1:8">
      <c r="A225" s="13"/>
      <c r="B225" s="13"/>
      <c r="C225" s="13"/>
      <c r="D225" s="13"/>
      <c r="E225" s="13"/>
      <c r="F225" s="13"/>
      <c r="G225" s="13"/>
      <c r="H225" s="13"/>
    </row>
    <row r="226" spans="1:8">
      <c r="A226" s="13"/>
      <c r="B226" s="13"/>
      <c r="C226" s="13"/>
      <c r="D226" s="13"/>
      <c r="E226" s="13"/>
      <c r="F226" s="13"/>
      <c r="G226" s="13"/>
      <c r="H226" s="13"/>
    </row>
    <row r="227" spans="1:8">
      <c r="A227" s="13"/>
      <c r="B227" s="13"/>
      <c r="C227" s="13"/>
      <c r="D227" s="13"/>
      <c r="E227" s="13"/>
      <c r="F227" s="13"/>
      <c r="G227" s="13"/>
      <c r="H227" s="13"/>
    </row>
    <row r="228" spans="1:8">
      <c r="A228" s="13"/>
      <c r="B228" s="13"/>
      <c r="C228" s="13"/>
      <c r="D228" s="13"/>
      <c r="E228" s="13"/>
      <c r="F228" s="13"/>
      <c r="G228" s="13"/>
      <c r="H228" s="13"/>
    </row>
    <row r="229" spans="1:8">
      <c r="A229" s="13"/>
      <c r="B229" s="13"/>
      <c r="C229" s="13"/>
      <c r="D229" s="13"/>
      <c r="E229" s="13"/>
      <c r="F229" s="13"/>
      <c r="G229" s="13"/>
      <c r="H229" s="13"/>
    </row>
    <row r="230" spans="1:8">
      <c r="A230" s="13"/>
      <c r="B230" s="13"/>
      <c r="C230" s="13"/>
      <c r="D230" s="13"/>
      <c r="E230" s="13"/>
      <c r="F230" s="13"/>
      <c r="G230" s="13"/>
      <c r="H230" s="13"/>
    </row>
    <row r="231" spans="1:8">
      <c r="A231" s="13"/>
      <c r="B231" s="13"/>
      <c r="C231" s="13"/>
      <c r="D231" s="13"/>
      <c r="E231" s="13"/>
      <c r="F231" s="13"/>
      <c r="G231" s="13"/>
      <c r="H231" s="13"/>
    </row>
    <row r="232" spans="1:8">
      <c r="A232" s="13"/>
      <c r="B232" s="13"/>
      <c r="C232" s="13"/>
      <c r="D232" s="13"/>
      <c r="E232" s="13"/>
      <c r="F232" s="13"/>
      <c r="G232" s="13"/>
      <c r="H232" s="13"/>
    </row>
    <row r="233" spans="1:8">
      <c r="A233" s="13"/>
      <c r="B233" s="13"/>
      <c r="C233" s="13"/>
      <c r="D233" s="13"/>
      <c r="E233" s="13"/>
      <c r="F233" s="13"/>
      <c r="G233" s="13"/>
      <c r="H233" s="13"/>
    </row>
    <row r="234" spans="1:8">
      <c r="A234" s="13"/>
      <c r="B234" s="13"/>
      <c r="C234" s="13"/>
      <c r="D234" s="13"/>
      <c r="E234" s="13"/>
      <c r="F234" s="13"/>
      <c r="G234" s="13"/>
      <c r="H234" s="13"/>
    </row>
    <row r="235" spans="1:8">
      <c r="A235" s="13"/>
      <c r="B235" s="13"/>
      <c r="C235" s="13"/>
      <c r="D235" s="13"/>
      <c r="E235" s="13"/>
      <c r="F235" s="13"/>
      <c r="G235" s="13"/>
      <c r="H235" s="13"/>
    </row>
    <row r="236" spans="1:8">
      <c r="A236" s="13"/>
      <c r="B236" s="13"/>
      <c r="C236" s="13"/>
      <c r="D236" s="13"/>
      <c r="E236" s="13"/>
      <c r="F236" s="13"/>
      <c r="G236" s="13"/>
      <c r="H236" s="13"/>
    </row>
    <row r="237" spans="1:8">
      <c r="A237" s="13"/>
      <c r="B237" s="13"/>
      <c r="C237" s="13"/>
      <c r="D237" s="13"/>
      <c r="E237" s="13"/>
      <c r="F237" s="13"/>
      <c r="G237" s="13"/>
      <c r="H237" s="13"/>
    </row>
    <row r="238" spans="1:8">
      <c r="A238" s="13"/>
      <c r="B238" s="13"/>
      <c r="C238" s="13"/>
      <c r="D238" s="13"/>
      <c r="E238" s="13"/>
      <c r="F238" s="13"/>
      <c r="G238" s="13"/>
      <c r="H238" s="13"/>
    </row>
    <row r="239" spans="1:8">
      <c r="A239" s="13"/>
      <c r="B239" s="13"/>
      <c r="C239" s="13"/>
      <c r="D239" s="13"/>
      <c r="E239" s="13"/>
      <c r="F239" s="13"/>
      <c r="G239" s="13"/>
      <c r="H239" s="13"/>
    </row>
    <row r="240" spans="1:8">
      <c r="A240" s="13"/>
      <c r="B240" s="13"/>
      <c r="C240" s="13"/>
      <c r="D240" s="13"/>
      <c r="E240" s="13"/>
      <c r="F240" s="13"/>
      <c r="G240" s="13"/>
      <c r="H240" s="13"/>
    </row>
    <row r="241" spans="1:8">
      <c r="A241" s="13"/>
      <c r="B241" s="13"/>
      <c r="C241" s="13"/>
      <c r="D241" s="13"/>
      <c r="E241" s="13"/>
      <c r="F241" s="13"/>
      <c r="G241" s="13"/>
      <c r="H241" s="13"/>
    </row>
    <row r="242" spans="1:8">
      <c r="A242" s="13"/>
      <c r="B242" s="13"/>
      <c r="C242" s="13"/>
      <c r="D242" s="13"/>
      <c r="E242" s="13"/>
      <c r="F242" s="13"/>
      <c r="G242" s="13"/>
      <c r="H242" s="13"/>
    </row>
    <row r="243" spans="1:8">
      <c r="A243" s="13"/>
      <c r="B243" s="13"/>
      <c r="C243" s="13"/>
      <c r="D243" s="13"/>
      <c r="E243" s="13"/>
      <c r="F243" s="13"/>
      <c r="G243" s="13"/>
      <c r="H243" s="13"/>
    </row>
    <row r="244" spans="1:8">
      <c r="A244" s="13"/>
      <c r="B244" s="13"/>
      <c r="C244" s="13"/>
      <c r="D244" s="13"/>
      <c r="E244" s="13"/>
      <c r="F244" s="13"/>
      <c r="G244" s="13"/>
      <c r="H244" s="13"/>
    </row>
    <row r="245" spans="1:8">
      <c r="A245" s="13"/>
      <c r="B245" s="13"/>
      <c r="C245" s="13"/>
      <c r="D245" s="13"/>
      <c r="E245" s="13"/>
      <c r="F245" s="13"/>
      <c r="G245" s="13"/>
      <c r="H245" s="13"/>
    </row>
    <row r="246" spans="1:8">
      <c r="A246" s="13"/>
      <c r="B246" s="13"/>
      <c r="C246" s="13"/>
      <c r="D246" s="13"/>
      <c r="E246" s="13"/>
      <c r="F246" s="13"/>
      <c r="G246" s="13"/>
      <c r="H246" s="13"/>
    </row>
    <row r="247" spans="1:8">
      <c r="A247" s="13"/>
      <c r="B247" s="13"/>
      <c r="C247" s="13"/>
      <c r="D247" s="13"/>
      <c r="E247" s="13"/>
      <c r="F247" s="13"/>
      <c r="G247" s="13"/>
      <c r="H247" s="13"/>
    </row>
    <row r="248" spans="1:8">
      <c r="A248" s="13"/>
      <c r="B248" s="13"/>
      <c r="C248" s="13"/>
      <c r="D248" s="13"/>
      <c r="E248" s="13"/>
      <c r="F248" s="13"/>
      <c r="G248" s="13"/>
      <c r="H248" s="13"/>
    </row>
    <row r="249" spans="1:8">
      <c r="A249" s="13"/>
      <c r="B249" s="13"/>
      <c r="C249" s="13"/>
      <c r="D249" s="13"/>
      <c r="E249" s="13"/>
      <c r="F249" s="13"/>
      <c r="G249" s="13"/>
      <c r="H249" s="13"/>
    </row>
    <row r="250" spans="1:8">
      <c r="A250" s="13"/>
      <c r="B250" s="13"/>
      <c r="C250" s="13"/>
      <c r="D250" s="13"/>
      <c r="E250" s="13"/>
      <c r="F250" s="13"/>
      <c r="G250" s="13"/>
      <c r="H250" s="13"/>
    </row>
    <row r="251" spans="1:8">
      <c r="A251" s="13"/>
      <c r="B251" s="13"/>
      <c r="C251" s="13"/>
      <c r="D251" s="13"/>
      <c r="E251" s="13"/>
      <c r="F251" s="13"/>
      <c r="G251" s="13"/>
      <c r="H251" s="13"/>
    </row>
    <row r="252" spans="1:8">
      <c r="A252" s="13"/>
      <c r="B252" s="13"/>
      <c r="C252" s="13"/>
      <c r="D252" s="13"/>
      <c r="E252" s="13"/>
      <c r="F252" s="13"/>
      <c r="G252" s="13"/>
      <c r="H252" s="13"/>
    </row>
    <row r="253" spans="1:8">
      <c r="A253" s="13"/>
      <c r="B253" s="13"/>
      <c r="C253" s="13"/>
      <c r="D253" s="13"/>
      <c r="E253" s="13"/>
      <c r="F253" s="13"/>
      <c r="G253" s="13"/>
      <c r="H253" s="13"/>
    </row>
    <row r="254" spans="1:8">
      <c r="A254" s="13"/>
      <c r="B254" s="13"/>
      <c r="C254" s="13"/>
      <c r="D254" s="13"/>
      <c r="E254" s="13"/>
      <c r="F254" s="13"/>
      <c r="G254" s="13"/>
      <c r="H254" s="13"/>
    </row>
    <row r="255" spans="1:8">
      <c r="A255" s="13"/>
      <c r="B255" s="13"/>
      <c r="C255" s="13"/>
      <c r="D255" s="13"/>
      <c r="E255" s="13"/>
      <c r="F255" s="13"/>
      <c r="G255" s="13"/>
      <c r="H255" s="13"/>
    </row>
    <row r="256" spans="1:8">
      <c r="A256" s="13"/>
      <c r="B256" s="13"/>
      <c r="C256" s="13"/>
      <c r="D256" s="13"/>
      <c r="E256" s="13"/>
      <c r="F256" s="13"/>
      <c r="G256" s="13"/>
      <c r="H256" s="13"/>
    </row>
    <row r="257" spans="1:8">
      <c r="A257" s="13"/>
      <c r="B257" s="13"/>
      <c r="C257" s="13"/>
      <c r="D257" s="13"/>
      <c r="E257" s="13"/>
      <c r="F257" s="13"/>
      <c r="G257" s="13"/>
      <c r="H257" s="13"/>
    </row>
    <row r="258" spans="1:8">
      <c r="A258" s="13"/>
      <c r="B258" s="13"/>
      <c r="C258" s="13"/>
      <c r="D258" s="13"/>
      <c r="E258" s="13"/>
      <c r="F258" s="13"/>
      <c r="G258" s="13"/>
      <c r="H258" s="13"/>
    </row>
    <row r="259" spans="1:8">
      <c r="A259" s="13"/>
      <c r="B259" s="13"/>
      <c r="C259" s="13"/>
      <c r="D259" s="13"/>
      <c r="E259" s="13"/>
      <c r="F259" s="13"/>
      <c r="G259" s="13"/>
      <c r="H259" s="13"/>
    </row>
    <row r="260" spans="1:8">
      <c r="A260" s="13"/>
      <c r="B260" s="13"/>
      <c r="C260" s="13"/>
      <c r="D260" s="13"/>
      <c r="E260" s="13"/>
      <c r="F260" s="13"/>
      <c r="G260" s="13"/>
      <c r="H260" s="13"/>
    </row>
    <row r="261" spans="1:8">
      <c r="A261" s="13"/>
      <c r="B261" s="13"/>
      <c r="C261" s="13"/>
      <c r="D261" s="13"/>
      <c r="E261" s="13"/>
      <c r="F261" s="13"/>
      <c r="G261" s="13"/>
      <c r="H261" s="13"/>
    </row>
    <row r="262" spans="1:8">
      <c r="A262" s="13"/>
      <c r="B262" s="13"/>
      <c r="C262" s="13"/>
      <c r="D262" s="13"/>
      <c r="E262" s="13"/>
      <c r="F262" s="13"/>
      <c r="G262" s="13"/>
      <c r="H262" s="13"/>
    </row>
    <row r="263" spans="1:8">
      <c r="A263" s="13"/>
      <c r="B263" s="13"/>
      <c r="C263" s="13"/>
      <c r="D263" s="13"/>
      <c r="E263" s="13"/>
      <c r="F263" s="13"/>
      <c r="G263" s="13"/>
      <c r="H263" s="13"/>
    </row>
    <row r="264" spans="1:8">
      <c r="A264" s="13"/>
      <c r="B264" s="13"/>
      <c r="C264" s="13"/>
      <c r="D264" s="13"/>
      <c r="E264" s="13"/>
      <c r="F264" s="13"/>
      <c r="G264" s="13"/>
      <c r="H264" s="13"/>
    </row>
    <row r="265" spans="1:8">
      <c r="A265" s="13"/>
      <c r="B265" s="13"/>
      <c r="C265" s="13"/>
      <c r="D265" s="13"/>
      <c r="E265" s="13"/>
      <c r="F265" s="13"/>
      <c r="G265" s="13"/>
      <c r="H265" s="13"/>
    </row>
  </sheetData>
  <mergeCells count="11">
    <mergeCell ref="A13:H13"/>
    <mergeCell ref="A35:B35"/>
    <mergeCell ref="F19:H19"/>
    <mergeCell ref="F18:H18"/>
    <mergeCell ref="F16:H17"/>
    <mergeCell ref="F15:H15"/>
    <mergeCell ref="A8:H8"/>
    <mergeCell ref="A9:H9"/>
    <mergeCell ref="A10:H10"/>
    <mergeCell ref="A11:H11"/>
    <mergeCell ref="A12:H1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theme="3" tint="0.59999389629810485"/>
    <pageSetUpPr autoPageBreaks="0"/>
  </sheetPr>
  <dimension ref="A1:CN950"/>
  <sheetViews>
    <sheetView workbookViewId="0">
      <selection activeCell="D110" sqref="D110"/>
    </sheetView>
  </sheetViews>
  <sheetFormatPr defaultColWidth="11.125" defaultRowHeight="15" customHeight="1" outlineLevelRow="2"/>
  <cols>
    <col min="1" max="1" width="50.125" style="1" customWidth="1"/>
    <col min="2" max="2" width="14.125" style="1" customWidth="1"/>
    <col min="3" max="7" width="17.25" style="1" customWidth="1"/>
    <col min="8" max="16" width="17.25" style="2" customWidth="1"/>
    <col min="17" max="23" width="8.625" style="2" customWidth="1"/>
    <col min="24" max="30" width="11.125" style="2"/>
    <col min="31" max="16384" width="11.125" style="1"/>
  </cols>
  <sheetData>
    <row r="1" spans="1:56" s="41" customFormat="1" ht="24" customHeight="1">
      <c r="A1" s="875" t="s">
        <v>426</v>
      </c>
      <c r="B1" s="875"/>
      <c r="C1" s="875"/>
      <c r="D1" s="875"/>
      <c r="E1" s="875"/>
      <c r="F1" s="875"/>
      <c r="G1" s="875"/>
      <c r="H1" s="875"/>
      <c r="I1" s="875"/>
      <c r="J1" s="875"/>
      <c r="K1" s="875"/>
      <c r="L1" s="875"/>
      <c r="M1" s="875"/>
      <c r="N1" s="875"/>
      <c r="O1" s="875"/>
      <c r="P1" s="875"/>
    </row>
    <row r="2" spans="1:56" ht="21">
      <c r="A2" s="517" t="s">
        <v>414</v>
      </c>
      <c r="B2" s="532"/>
      <c r="C2" s="532"/>
      <c r="D2" s="532"/>
      <c r="E2" s="532"/>
      <c r="F2" s="532"/>
      <c r="G2" s="532"/>
      <c r="H2" s="532"/>
      <c r="I2" s="532"/>
      <c r="J2" s="532"/>
      <c r="K2" s="532"/>
      <c r="L2" s="532"/>
      <c r="M2" s="532"/>
      <c r="N2" s="532"/>
      <c r="O2" s="532"/>
      <c r="P2" s="1003"/>
      <c r="Q2" s="203"/>
      <c r="R2" s="203"/>
      <c r="S2" s="203"/>
      <c r="T2" s="203"/>
      <c r="U2" s="203"/>
      <c r="V2" s="203"/>
      <c r="W2" s="203"/>
      <c r="X2" s="203"/>
      <c r="Y2" s="203"/>
      <c r="Z2" s="203"/>
      <c r="AA2" s="203"/>
      <c r="AB2" s="203"/>
      <c r="AC2" s="203"/>
      <c r="AD2" s="203"/>
      <c r="AE2" s="176"/>
      <c r="AF2" s="176"/>
      <c r="AG2" s="176"/>
      <c r="AH2" s="176"/>
      <c r="AI2" s="176"/>
      <c r="AJ2" s="176"/>
      <c r="AK2" s="176"/>
      <c r="AL2" s="176"/>
      <c r="AM2" s="176"/>
      <c r="AN2" s="176"/>
      <c r="AO2" s="176"/>
      <c r="AP2" s="176"/>
      <c r="AQ2" s="176"/>
      <c r="AR2" s="176"/>
      <c r="AS2" s="176"/>
      <c r="AT2" s="176"/>
      <c r="AU2" s="176"/>
      <c r="AV2" s="176"/>
      <c r="AW2" s="176"/>
      <c r="AX2" s="176"/>
      <c r="AY2" s="176"/>
      <c r="AZ2" s="176"/>
      <c r="BA2" s="176"/>
      <c r="BB2" s="176"/>
      <c r="BC2" s="176"/>
      <c r="BD2" s="176"/>
    </row>
    <row r="3" spans="1:56" ht="16.149999999999999" customHeight="1" outlineLevel="1">
      <c r="A3" s="1006" t="s">
        <v>64</v>
      </c>
      <c r="B3" s="649">
        <f>G47+G50</f>
        <v>112.2</v>
      </c>
      <c r="C3" s="45"/>
      <c r="D3" s="2"/>
      <c r="E3" s="45"/>
      <c r="F3" s="45"/>
      <c r="G3" s="45"/>
      <c r="H3" s="45"/>
      <c r="I3" s="45"/>
      <c r="J3" s="45"/>
      <c r="K3" s="45"/>
      <c r="L3" s="203"/>
      <c r="M3" s="203"/>
      <c r="N3" s="203"/>
      <c r="O3" s="203"/>
      <c r="P3" s="203"/>
      <c r="Q3" s="203"/>
      <c r="R3" s="203"/>
      <c r="S3" s="203"/>
      <c r="T3" s="203"/>
      <c r="U3" s="203"/>
      <c r="V3" s="203"/>
      <c r="W3" s="203"/>
      <c r="X3" s="203"/>
      <c r="Y3" s="203"/>
      <c r="Z3" s="203"/>
      <c r="AA3" s="203"/>
      <c r="AB3" s="203"/>
      <c r="AC3" s="203"/>
      <c r="AD3" s="203"/>
      <c r="AE3" s="176"/>
      <c r="AF3" s="176"/>
      <c r="AG3" s="176"/>
      <c r="AH3" s="176"/>
      <c r="AI3" s="176"/>
      <c r="AJ3" s="176"/>
      <c r="AK3" s="176"/>
      <c r="AL3" s="176"/>
      <c r="AM3" s="176"/>
      <c r="AN3" s="176"/>
      <c r="AO3" s="176"/>
      <c r="AP3" s="176"/>
      <c r="AQ3" s="176"/>
      <c r="AR3" s="176"/>
      <c r="AS3" s="176"/>
      <c r="AT3" s="176"/>
      <c r="AU3" s="176"/>
      <c r="AV3" s="176"/>
      <c r="AW3" s="176"/>
      <c r="AX3" s="176"/>
      <c r="AY3" s="176"/>
      <c r="AZ3" s="176"/>
      <c r="BA3" s="176"/>
      <c r="BB3" s="176"/>
      <c r="BC3" s="176"/>
      <c r="BD3" s="176"/>
    </row>
    <row r="4" spans="1:56" ht="15" customHeight="1" outlineLevel="1">
      <c r="A4" s="1007" t="s">
        <v>66</v>
      </c>
      <c r="B4" s="1008" t="s">
        <v>63</v>
      </c>
      <c r="C4" s="45"/>
      <c r="D4" s="45"/>
      <c r="E4" s="45"/>
      <c r="F4" s="45"/>
      <c r="G4" s="45"/>
      <c r="H4" s="45"/>
      <c r="I4" s="45"/>
      <c r="J4" s="45"/>
      <c r="K4" s="45"/>
      <c r="L4" s="203"/>
      <c r="M4" s="203"/>
      <c r="N4" s="203"/>
      <c r="O4" s="203"/>
      <c r="P4" s="203"/>
      <c r="Q4" s="203"/>
      <c r="R4" s="203"/>
      <c r="S4" s="203"/>
      <c r="T4" s="203"/>
      <c r="U4" s="203"/>
      <c r="V4" s="203"/>
      <c r="W4" s="203"/>
      <c r="X4" s="203"/>
      <c r="Y4" s="203"/>
      <c r="Z4" s="203"/>
      <c r="AA4" s="203"/>
      <c r="AB4" s="203"/>
      <c r="AC4" s="203"/>
      <c r="AD4" s="203"/>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row>
    <row r="5" spans="1:56" ht="14.65" customHeight="1" outlineLevel="1">
      <c r="A5" s="1009" t="s">
        <v>67</v>
      </c>
      <c r="B5" s="1010">
        <f>G48+G51+G49</f>
        <v>169737.70290442201</v>
      </c>
      <c r="C5" s="45"/>
      <c r="D5" s="45"/>
      <c r="E5" s="45"/>
      <c r="F5" s="45"/>
      <c r="G5" s="45"/>
      <c r="H5" s="45"/>
      <c r="I5" s="45"/>
      <c r="J5" s="45"/>
      <c r="K5" s="45"/>
      <c r="L5" s="203"/>
      <c r="M5" s="203"/>
      <c r="N5" s="203"/>
      <c r="O5" s="203"/>
      <c r="P5" s="203"/>
      <c r="Q5" s="203"/>
      <c r="R5" s="203"/>
      <c r="S5" s="203"/>
      <c r="T5" s="203"/>
      <c r="U5" s="203"/>
      <c r="V5" s="203"/>
      <c r="W5" s="203"/>
      <c r="X5" s="203"/>
      <c r="Y5" s="203"/>
      <c r="Z5" s="203"/>
      <c r="AA5" s="203"/>
      <c r="AB5" s="203"/>
      <c r="AC5" s="203"/>
      <c r="AD5" s="203"/>
      <c r="AE5" s="176"/>
      <c r="AF5" s="176"/>
      <c r="AG5" s="176"/>
      <c r="AH5" s="176"/>
      <c r="AI5" s="176"/>
      <c r="AJ5" s="176"/>
      <c r="AK5" s="176"/>
      <c r="AL5" s="176"/>
      <c r="AM5" s="176"/>
      <c r="AN5" s="176"/>
      <c r="AO5" s="176"/>
      <c r="AP5" s="176"/>
      <c r="AQ5" s="176"/>
      <c r="AR5" s="176"/>
      <c r="AS5" s="176"/>
      <c r="AT5" s="176"/>
      <c r="AU5" s="176"/>
      <c r="AV5" s="176"/>
      <c r="AW5" s="176"/>
      <c r="AX5" s="176"/>
      <c r="AY5" s="176"/>
      <c r="AZ5" s="176"/>
      <c r="BA5" s="176"/>
      <c r="BB5" s="176"/>
      <c r="BC5" s="176"/>
      <c r="BD5" s="176"/>
    </row>
    <row r="6" spans="1:56" ht="14.65" customHeight="1" outlineLevel="1">
      <c r="A6" s="292" t="s">
        <v>594</v>
      </c>
      <c r="B6" s="293">
        <f>SUM(B3:B5)</f>
        <v>169849.90290442202</v>
      </c>
      <c r="C6" s="45"/>
      <c r="D6" s="45"/>
      <c r="E6" s="45"/>
      <c r="F6" s="45"/>
      <c r="G6" s="45"/>
      <c r="H6" s="45"/>
      <c r="I6" s="45"/>
      <c r="J6" s="45"/>
      <c r="K6" s="45"/>
      <c r="L6" s="203"/>
      <c r="M6" s="203"/>
      <c r="N6" s="203"/>
      <c r="O6" s="203"/>
      <c r="P6" s="203"/>
      <c r="Q6" s="203"/>
      <c r="R6" s="203"/>
      <c r="S6" s="203"/>
      <c r="T6" s="203"/>
      <c r="U6" s="203"/>
      <c r="V6" s="203"/>
      <c r="W6" s="203"/>
      <c r="X6" s="203"/>
      <c r="Y6" s="203"/>
      <c r="Z6" s="203"/>
      <c r="AA6" s="203"/>
      <c r="AB6" s="203"/>
      <c r="AC6" s="203"/>
      <c r="AD6" s="203"/>
      <c r="AE6" s="176"/>
      <c r="AF6" s="176"/>
      <c r="AG6" s="176"/>
      <c r="AH6" s="176"/>
      <c r="AI6" s="176"/>
      <c r="AJ6" s="176"/>
      <c r="AK6" s="176"/>
      <c r="AL6" s="176"/>
      <c r="AM6" s="176"/>
      <c r="AN6" s="176"/>
      <c r="AO6" s="176"/>
      <c r="AP6" s="176"/>
      <c r="AQ6" s="176"/>
      <c r="AR6" s="176"/>
      <c r="AS6" s="176"/>
      <c r="AT6" s="176"/>
      <c r="AU6" s="176"/>
      <c r="AV6" s="176"/>
      <c r="AW6" s="176"/>
      <c r="AX6" s="176"/>
      <c r="AY6" s="176"/>
      <c r="AZ6" s="176"/>
      <c r="BA6" s="176"/>
      <c r="BB6" s="176"/>
      <c r="BC6" s="176"/>
      <c r="BD6" s="176"/>
    </row>
    <row r="7" spans="1:56" ht="15" customHeight="1" outlineLevel="1">
      <c r="A7" s="1007" t="s">
        <v>584</v>
      </c>
      <c r="B7" s="278">
        <f>G53+G52</f>
        <v>-804409.08335039997</v>
      </c>
      <c r="C7" s="45"/>
      <c r="D7" s="45"/>
      <c r="E7" s="45"/>
      <c r="F7" s="45"/>
      <c r="G7" s="45"/>
      <c r="H7" s="45"/>
      <c r="I7" s="45"/>
      <c r="J7" s="45"/>
      <c r="K7" s="45"/>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6.5" customHeight="1">
      <c r="A8" s="531" t="s">
        <v>630</v>
      </c>
      <c r="B8" s="934"/>
      <c r="C8" s="934"/>
      <c r="D8" s="934"/>
      <c r="E8" s="934"/>
      <c r="F8" s="934"/>
      <c r="G8" s="934"/>
      <c r="H8" s="934"/>
      <c r="I8" s="934"/>
      <c r="J8" s="934"/>
      <c r="K8" s="934"/>
      <c r="L8" s="934"/>
      <c r="M8" s="934"/>
      <c r="N8" s="934"/>
      <c r="O8" s="934"/>
      <c r="P8" s="933"/>
      <c r="Q8" s="44"/>
      <c r="R8" s="44"/>
      <c r="S8" s="44"/>
      <c r="T8" s="44"/>
      <c r="U8" s="52"/>
      <c r="V8" s="52"/>
      <c r="W8" s="52"/>
      <c r="X8" s="52"/>
      <c r="Y8" s="52"/>
      <c r="AE8" s="2"/>
    </row>
    <row r="9" spans="1:56" ht="36.6" hidden="1" customHeight="1" outlineLevel="1">
      <c r="A9" s="1207" t="s">
        <v>1328</v>
      </c>
      <c r="B9" s="1207"/>
      <c r="C9" s="1207"/>
      <c r="D9" s="1207"/>
      <c r="E9" s="1207"/>
      <c r="F9" s="1207"/>
      <c r="G9" s="1207"/>
      <c r="H9" s="1207"/>
      <c r="I9" s="1207"/>
      <c r="J9" s="1207"/>
      <c r="K9" s="1207"/>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30" hidden="1" customHeight="1" outlineLevel="1">
      <c r="A10" s="1207" t="s">
        <v>1072</v>
      </c>
      <c r="B10" s="1207"/>
      <c r="C10" s="1207"/>
      <c r="D10" s="1207"/>
      <c r="E10" s="1207"/>
      <c r="F10" s="1207"/>
      <c r="G10" s="1207"/>
      <c r="H10" s="1207"/>
      <c r="I10" s="1207"/>
      <c r="J10" s="1207"/>
      <c r="K10" s="1207"/>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33" hidden="1" customHeight="1" outlineLevel="1">
      <c r="A11" s="1207" t="s">
        <v>1325</v>
      </c>
      <c r="B11" s="1207"/>
      <c r="C11" s="1207"/>
      <c r="D11" s="1207"/>
      <c r="E11" s="1207"/>
      <c r="F11" s="1207"/>
      <c r="G11" s="1207"/>
      <c r="H11" s="1207"/>
      <c r="I11" s="1207"/>
      <c r="J11" s="1207"/>
      <c r="K11" s="1207"/>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s="2" customFormat="1" ht="21" hidden="1" outlineLevel="1">
      <c r="A12" s="1242" t="s">
        <v>1326</v>
      </c>
      <c r="B12" s="1242"/>
      <c r="C12" s="1242"/>
      <c r="D12" s="1242"/>
      <c r="E12" s="1242"/>
      <c r="F12" s="1242"/>
      <c r="G12" s="1242"/>
      <c r="H12" s="1242"/>
      <c r="I12" s="1242"/>
      <c r="J12" s="1242"/>
      <c r="K12" s="1242"/>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s="2" customFormat="1" ht="21" hidden="1" outlineLevel="1">
      <c r="A13" s="1242" t="s">
        <v>1327</v>
      </c>
      <c r="B13" s="1242"/>
      <c r="C13" s="1242"/>
      <c r="D13" s="1242"/>
      <c r="E13" s="1242"/>
      <c r="F13" s="1242"/>
      <c r="G13" s="1242"/>
      <c r="H13" s="1242"/>
      <c r="I13" s="1242"/>
      <c r="J13" s="1242"/>
      <c r="K13" s="1242"/>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s="2" customFormat="1" ht="21" hidden="1" outlineLevel="1">
      <c r="A14" s="1242" t="s">
        <v>1329</v>
      </c>
      <c r="B14" s="1242"/>
      <c r="C14" s="1242"/>
      <c r="D14" s="1242"/>
      <c r="E14" s="1242"/>
      <c r="F14" s="1242"/>
      <c r="G14" s="1242"/>
      <c r="H14" s="1242"/>
      <c r="I14" s="1242"/>
      <c r="J14" s="1242"/>
      <c r="K14" s="1242"/>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s="2" customFormat="1" ht="16.5" customHeight="1" collapsed="1">
      <c r="A15" s="517" t="s">
        <v>0</v>
      </c>
      <c r="B15" s="532"/>
      <c r="C15" s="532"/>
      <c r="D15" s="532"/>
      <c r="E15" s="532"/>
      <c r="F15" s="532"/>
      <c r="G15" s="532"/>
      <c r="H15" s="532"/>
      <c r="I15" s="532"/>
      <c r="J15" s="532"/>
      <c r="K15" s="532"/>
      <c r="L15" s="532"/>
      <c r="M15" s="532"/>
      <c r="N15" s="532"/>
      <c r="O15" s="532"/>
      <c r="P15" s="1003"/>
    </row>
    <row r="16" spans="1:56" ht="15" hidden="1" customHeight="1" outlineLevel="1">
      <c r="A16" s="965" t="s">
        <v>396</v>
      </c>
      <c r="B16" s="568"/>
      <c r="C16" s="568"/>
      <c r="D16" s="568"/>
      <c r="E16" s="568"/>
      <c r="F16" s="568"/>
      <c r="G16" s="568"/>
      <c r="H16" s="568"/>
      <c r="I16" s="568"/>
      <c r="J16" s="568"/>
      <c r="K16" s="568"/>
      <c r="L16" s="568"/>
      <c r="M16" s="568"/>
      <c r="N16" s="568"/>
      <c r="O16" s="568"/>
      <c r="P16" s="966"/>
      <c r="AE16" s="2"/>
      <c r="AF16" s="2"/>
    </row>
    <row r="17" spans="1:33" ht="14.25" hidden="1" outlineLevel="2">
      <c r="A17" s="935" t="s">
        <v>405</v>
      </c>
      <c r="B17" s="937" t="s">
        <v>56</v>
      </c>
      <c r="C17" s="937" t="s">
        <v>14</v>
      </c>
      <c r="D17" s="1104" t="s">
        <v>41</v>
      </c>
      <c r="E17" s="1104"/>
      <c r="F17" s="1104"/>
      <c r="G17" s="1104"/>
      <c r="H17" s="1104"/>
      <c r="I17" s="1104"/>
      <c r="AE17" s="2"/>
      <c r="AF17" s="2"/>
    </row>
    <row r="18" spans="1:33" ht="17.25" hidden="1" customHeight="1" outlineLevel="2">
      <c r="A18" s="304" t="s">
        <v>406</v>
      </c>
      <c r="B18" s="1011">
        <v>0.06</v>
      </c>
      <c r="C18" s="1012" t="s">
        <v>668</v>
      </c>
      <c r="D18" s="1246" t="s">
        <v>448</v>
      </c>
      <c r="E18" s="1247"/>
      <c r="F18" s="1247"/>
      <c r="G18" s="1247"/>
      <c r="H18" s="1247"/>
      <c r="I18" s="1248"/>
      <c r="AE18" s="2"/>
      <c r="AF18" s="2"/>
    </row>
    <row r="19" spans="1:33" ht="23.25" hidden="1" customHeight="1" outlineLevel="2">
      <c r="A19" s="304" t="s">
        <v>218</v>
      </c>
      <c r="B19" s="1011">
        <v>4.2999999999999997E-2</v>
      </c>
      <c r="C19" s="1012" t="s">
        <v>668</v>
      </c>
      <c r="D19" s="1249"/>
      <c r="E19" s="1250"/>
      <c r="F19" s="1250"/>
      <c r="G19" s="1250"/>
      <c r="H19" s="1250"/>
      <c r="I19" s="1251"/>
      <c r="AE19" s="2"/>
      <c r="AF19" s="2"/>
    </row>
    <row r="20" spans="1:33" ht="18" hidden="1" outlineLevel="2">
      <c r="A20" s="304" t="s">
        <v>407</v>
      </c>
      <c r="B20" s="1011">
        <v>0.20300000000000001</v>
      </c>
      <c r="C20" s="1012" t="s">
        <v>668</v>
      </c>
      <c r="D20" s="1249"/>
      <c r="E20" s="1250"/>
      <c r="F20" s="1250"/>
      <c r="G20" s="1250"/>
      <c r="H20" s="1250"/>
      <c r="I20" s="1251"/>
      <c r="AE20" s="2"/>
      <c r="AF20" s="2"/>
    </row>
    <row r="21" spans="1:33" ht="18" hidden="1" outlineLevel="2">
      <c r="A21" s="304" t="s">
        <v>408</v>
      </c>
      <c r="B21" s="1011">
        <v>0.12</v>
      </c>
      <c r="C21" s="1012" t="s">
        <v>668</v>
      </c>
      <c r="D21" s="1249"/>
      <c r="E21" s="1250"/>
      <c r="F21" s="1250"/>
      <c r="G21" s="1250"/>
      <c r="H21" s="1250"/>
      <c r="I21" s="1251"/>
      <c r="AE21" s="2"/>
      <c r="AF21" s="2"/>
      <c r="AG21" s="2"/>
    </row>
    <row r="22" spans="1:33" ht="18" hidden="1" outlineLevel="2">
      <c r="A22" s="304" t="s">
        <v>409</v>
      </c>
      <c r="B22" s="1011">
        <v>4.9000000000000002E-2</v>
      </c>
      <c r="C22" s="1012" t="s">
        <v>668</v>
      </c>
      <c r="D22" s="1249"/>
      <c r="E22" s="1250"/>
      <c r="F22" s="1250"/>
      <c r="G22" s="1250"/>
      <c r="H22" s="1250"/>
      <c r="I22" s="1251"/>
      <c r="AE22" s="2"/>
      <c r="AF22" s="2"/>
      <c r="AG22" s="2"/>
    </row>
    <row r="23" spans="1:33" ht="18" hidden="1" outlineLevel="2">
      <c r="A23" s="304" t="s">
        <v>410</v>
      </c>
      <c r="B23" s="1011">
        <v>7.8E-2</v>
      </c>
      <c r="C23" s="1012" t="s">
        <v>668</v>
      </c>
      <c r="D23" s="1249"/>
      <c r="E23" s="1250"/>
      <c r="F23" s="1250"/>
      <c r="G23" s="1250"/>
      <c r="H23" s="1250"/>
      <c r="I23" s="1251"/>
      <c r="J23" s="1036"/>
      <c r="AE23" s="2"/>
      <c r="AF23" s="2"/>
      <c r="AG23" s="2"/>
    </row>
    <row r="24" spans="1:33" ht="18" hidden="1" outlineLevel="2">
      <c r="A24" s="304" t="s">
        <v>219</v>
      </c>
      <c r="B24" s="1011">
        <v>3.7999999999999999E-2</v>
      </c>
      <c r="C24" s="1012" t="s">
        <v>668</v>
      </c>
      <c r="D24" s="1249"/>
      <c r="E24" s="1250"/>
      <c r="F24" s="1250"/>
      <c r="G24" s="1250"/>
      <c r="H24" s="1250"/>
      <c r="I24" s="1251"/>
      <c r="AE24" s="2"/>
      <c r="AF24" s="2"/>
      <c r="AG24" s="2"/>
    </row>
    <row r="25" spans="1:33" ht="18" hidden="1" outlineLevel="2">
      <c r="A25" s="304" t="s">
        <v>220</v>
      </c>
      <c r="B25" s="1011">
        <v>0.03</v>
      </c>
      <c r="C25" s="1012" t="s">
        <v>668</v>
      </c>
      <c r="D25" s="1249"/>
      <c r="E25" s="1250"/>
      <c r="F25" s="1250"/>
      <c r="G25" s="1250"/>
      <c r="H25" s="1250"/>
      <c r="I25" s="1251"/>
      <c r="AE25" s="2"/>
      <c r="AF25" s="2"/>
      <c r="AG25" s="2"/>
    </row>
    <row r="26" spans="1:33" ht="18" hidden="1" outlineLevel="2">
      <c r="A26" s="304" t="s">
        <v>221</v>
      </c>
      <c r="B26" s="1011">
        <v>6.2E-2</v>
      </c>
      <c r="C26" s="1012" t="s">
        <v>668</v>
      </c>
      <c r="D26" s="1249"/>
      <c r="E26" s="1250"/>
      <c r="F26" s="1250"/>
      <c r="G26" s="1250"/>
      <c r="H26" s="1250"/>
      <c r="I26" s="1251"/>
      <c r="AE26" s="2"/>
      <c r="AF26" s="2"/>
      <c r="AG26" s="2"/>
    </row>
    <row r="27" spans="1:33" ht="18" hidden="1" outlineLevel="2">
      <c r="A27" s="304" t="s">
        <v>411</v>
      </c>
      <c r="B27" s="1011">
        <v>6.2E-2</v>
      </c>
      <c r="C27" s="1012" t="s">
        <v>668</v>
      </c>
      <c r="D27" s="1249"/>
      <c r="E27" s="1250"/>
      <c r="F27" s="1250"/>
      <c r="G27" s="1250"/>
      <c r="H27" s="1250"/>
      <c r="I27" s="1251"/>
      <c r="AE27" s="2"/>
      <c r="AF27" s="2"/>
      <c r="AG27" s="2"/>
    </row>
    <row r="28" spans="1:33" hidden="1" outlineLevel="2">
      <c r="A28" s="305" t="s">
        <v>398</v>
      </c>
      <c r="B28" s="1013">
        <v>0.1</v>
      </c>
      <c r="C28" s="305"/>
      <c r="D28" s="1249"/>
      <c r="E28" s="1250"/>
      <c r="F28" s="1250"/>
      <c r="G28" s="1250"/>
      <c r="H28" s="1250"/>
      <c r="I28" s="1251"/>
      <c r="AE28" s="2"/>
      <c r="AF28" s="2"/>
      <c r="AG28" s="2"/>
    </row>
    <row r="29" spans="1:33" ht="30" hidden="1" outlineLevel="2">
      <c r="A29" s="939" t="s">
        <v>512</v>
      </c>
      <c r="B29" s="1013">
        <v>0.75</v>
      </c>
      <c r="C29" s="305"/>
      <c r="D29" s="1252"/>
      <c r="E29" s="1253"/>
      <c r="F29" s="1253"/>
      <c r="G29" s="1253"/>
      <c r="H29" s="1253"/>
      <c r="I29" s="1254"/>
      <c r="AE29" s="2"/>
      <c r="AF29" s="2"/>
      <c r="AG29" s="2"/>
    </row>
    <row r="30" spans="1:33" ht="15" hidden="1" customHeight="1" outlineLevel="1">
      <c r="A30" s="965" t="s">
        <v>397</v>
      </c>
      <c r="B30" s="568"/>
      <c r="C30" s="568"/>
      <c r="D30" s="568"/>
      <c r="E30" s="568"/>
      <c r="F30" s="568"/>
      <c r="G30" s="568"/>
      <c r="H30" s="568"/>
      <c r="I30" s="568"/>
      <c r="J30" s="568"/>
      <c r="K30" s="568"/>
      <c r="L30" s="568"/>
      <c r="M30" s="568"/>
      <c r="N30" s="568"/>
      <c r="O30" s="568"/>
      <c r="P30" s="966"/>
      <c r="AE30" s="2"/>
      <c r="AF30" s="2"/>
    </row>
    <row r="31" spans="1:33" ht="14.25" hidden="1" outlineLevel="2">
      <c r="A31" s="935" t="s">
        <v>56</v>
      </c>
      <c r="B31" s="937" t="s">
        <v>14</v>
      </c>
      <c r="C31" s="1104" t="s">
        <v>41</v>
      </c>
      <c r="D31" s="1104"/>
      <c r="E31" s="1104"/>
      <c r="F31" s="1104"/>
      <c r="G31" s="1104"/>
      <c r="H31" s="1104"/>
      <c r="I31" s="1104"/>
      <c r="AE31" s="2"/>
      <c r="AF31" s="2"/>
    </row>
    <row r="32" spans="1:33" ht="33" hidden="1" customHeight="1" outlineLevel="2">
      <c r="A32" s="824">
        <f>0.0139/'Conversion Factors and GWPs'!$C$14</f>
        <v>4.9642857142857138E-4</v>
      </c>
      <c r="B32" s="280" t="s">
        <v>667</v>
      </c>
      <c r="C32" s="1255" t="s">
        <v>1127</v>
      </c>
      <c r="D32" s="1256"/>
      <c r="E32" s="1256"/>
      <c r="F32" s="1256"/>
      <c r="G32" s="1256"/>
      <c r="H32" s="1256"/>
      <c r="I32" s="1257"/>
      <c r="AE32" s="2"/>
      <c r="AF32" s="2"/>
    </row>
    <row r="33" spans="1:56" ht="36.75" hidden="1" customHeight="1" outlineLevel="2">
      <c r="A33" s="825">
        <f>0.0609/'Conversion Factors and GWPs'!$C$15</f>
        <v>2.2981132075471699E-4</v>
      </c>
      <c r="B33" s="640" t="s">
        <v>1284</v>
      </c>
      <c r="C33" s="1258"/>
      <c r="D33" s="1259"/>
      <c r="E33" s="1259"/>
      <c r="F33" s="1259"/>
      <c r="G33" s="1259"/>
      <c r="H33" s="1259"/>
      <c r="I33" s="1260"/>
      <c r="AE33" s="2"/>
      <c r="AF33" s="2"/>
    </row>
    <row r="34" spans="1:56" ht="15" hidden="1" customHeight="1" outlineLevel="1" collapsed="1">
      <c r="A34" s="965" t="s">
        <v>524</v>
      </c>
      <c r="B34" s="568"/>
      <c r="C34" s="568"/>
      <c r="D34" s="568"/>
      <c r="E34" s="568"/>
      <c r="F34" s="568"/>
      <c r="G34" s="568"/>
      <c r="H34" s="568"/>
      <c r="I34" s="568"/>
      <c r="J34" s="568"/>
      <c r="K34" s="568"/>
      <c r="L34" s="568"/>
      <c r="M34" s="568"/>
      <c r="N34" s="568"/>
      <c r="O34" s="568"/>
      <c r="P34" s="966"/>
      <c r="AE34" s="2"/>
      <c r="AF34" s="2"/>
    </row>
    <row r="35" spans="1:56" ht="90" hidden="1" outlineLevel="2">
      <c r="A35" s="935" t="s">
        <v>405</v>
      </c>
      <c r="B35" s="937" t="s">
        <v>1128</v>
      </c>
      <c r="C35" s="937" t="s">
        <v>1129</v>
      </c>
      <c r="D35" s="937" t="s">
        <v>1130</v>
      </c>
      <c r="E35" s="1104" t="s">
        <v>41</v>
      </c>
      <c r="F35" s="1104"/>
      <c r="G35" s="1104"/>
      <c r="H35" s="1104"/>
      <c r="I35" s="1104"/>
      <c r="AE35" s="2"/>
      <c r="AF35" s="2"/>
      <c r="AG35" s="2"/>
    </row>
    <row r="36" spans="1:56" ht="15" hidden="1" customHeight="1" outlineLevel="2">
      <c r="A36" s="303" t="s">
        <v>526</v>
      </c>
      <c r="B36" s="826">
        <v>3.52</v>
      </c>
      <c r="C36" s="826">
        <v>0.56999999999999995</v>
      </c>
      <c r="D36" s="827">
        <f t="shared" ref="D36:D43" si="0">SUM(B36:C36)</f>
        <v>4.09</v>
      </c>
      <c r="E36" s="1261" t="s">
        <v>525</v>
      </c>
      <c r="F36" s="1262"/>
      <c r="G36" s="1262"/>
      <c r="H36" s="1262"/>
      <c r="I36" s="1263"/>
      <c r="AE36" s="2"/>
      <c r="AF36" s="2"/>
      <c r="AG36" s="2"/>
    </row>
    <row r="37" spans="1:56" hidden="1" outlineLevel="2">
      <c r="A37" s="549" t="s">
        <v>218</v>
      </c>
      <c r="B37" s="828">
        <v>2.78</v>
      </c>
      <c r="C37" s="828">
        <v>0.24</v>
      </c>
      <c r="D37" s="827">
        <f t="shared" si="0"/>
        <v>3.0199999999999996</v>
      </c>
      <c r="E37" s="1264"/>
      <c r="F37" s="1265"/>
      <c r="G37" s="1265"/>
      <c r="H37" s="1265"/>
      <c r="I37" s="1266"/>
      <c r="AE37" s="2"/>
      <c r="AF37" s="2"/>
      <c r="AG37" s="2"/>
    </row>
    <row r="38" spans="1:56" hidden="1" outlineLevel="2">
      <c r="A38" s="549" t="s">
        <v>407</v>
      </c>
      <c r="B38" s="828">
        <v>2.85</v>
      </c>
      <c r="C38" s="828">
        <v>1</v>
      </c>
      <c r="D38" s="827">
        <f t="shared" si="0"/>
        <v>3.85</v>
      </c>
      <c r="E38" s="1264"/>
      <c r="F38" s="1265"/>
      <c r="G38" s="1265"/>
      <c r="H38" s="1265"/>
      <c r="I38" s="1266"/>
      <c r="AE38" s="2"/>
      <c r="AF38" s="2"/>
      <c r="AG38" s="2"/>
    </row>
    <row r="39" spans="1:56" hidden="1" outlineLevel="2">
      <c r="A39" s="549" t="s">
        <v>409</v>
      </c>
      <c r="B39" s="828">
        <v>3.07</v>
      </c>
      <c r="C39" s="828">
        <v>0.27</v>
      </c>
      <c r="D39" s="827">
        <f t="shared" si="0"/>
        <v>3.34</v>
      </c>
      <c r="E39" s="1264"/>
      <c r="F39" s="1265"/>
      <c r="G39" s="1265"/>
      <c r="H39" s="1265"/>
      <c r="I39" s="1266"/>
      <c r="AE39" s="2"/>
      <c r="AF39" s="2"/>
      <c r="AG39" s="2"/>
    </row>
    <row r="40" spans="1:56" hidden="1" outlineLevel="2">
      <c r="A40" s="303" t="s">
        <v>447</v>
      </c>
      <c r="B40" s="826">
        <v>0.28000000000000003</v>
      </c>
      <c r="C40" s="826">
        <v>0.04</v>
      </c>
      <c r="D40" s="827">
        <f t="shared" si="0"/>
        <v>0.32</v>
      </c>
      <c r="E40" s="1264"/>
      <c r="F40" s="1265"/>
      <c r="G40" s="1265"/>
      <c r="H40" s="1265"/>
      <c r="I40" s="1266"/>
      <c r="AE40" s="2"/>
      <c r="AF40" s="2"/>
      <c r="AG40" s="2"/>
    </row>
    <row r="41" spans="1:56" hidden="1" outlineLevel="2">
      <c r="A41" s="303" t="s">
        <v>527</v>
      </c>
      <c r="B41" s="826">
        <v>3.97</v>
      </c>
      <c r="C41" s="826">
        <v>0.04</v>
      </c>
      <c r="D41" s="827">
        <f t="shared" si="0"/>
        <v>4.01</v>
      </c>
      <c r="E41" s="1264"/>
      <c r="F41" s="1265"/>
      <c r="G41" s="1265"/>
      <c r="H41" s="1265"/>
      <c r="I41" s="1266"/>
      <c r="AE41" s="2"/>
      <c r="AF41" s="2"/>
      <c r="AG41" s="2"/>
    </row>
    <row r="42" spans="1:56" hidden="1" outlineLevel="2">
      <c r="A42" s="303" t="s">
        <v>528</v>
      </c>
      <c r="B42" s="826">
        <v>0.98</v>
      </c>
      <c r="C42" s="826">
        <v>0.04</v>
      </c>
      <c r="D42" s="827">
        <f t="shared" si="0"/>
        <v>1.02</v>
      </c>
      <c r="E42" s="1264"/>
      <c r="F42" s="1265"/>
      <c r="G42" s="1265"/>
      <c r="H42" s="1265"/>
      <c r="I42" s="1266"/>
      <c r="AE42" s="2"/>
      <c r="AF42" s="2"/>
      <c r="AG42" s="2"/>
    </row>
    <row r="43" spans="1:56" s="2" customFormat="1" ht="16.5" hidden="1" customHeight="1" outlineLevel="2">
      <c r="A43" s="303" t="s">
        <v>1177</v>
      </c>
      <c r="B43" s="826">
        <v>2.8</v>
      </c>
      <c r="C43" s="826">
        <v>0.47</v>
      </c>
      <c r="D43" s="827">
        <f t="shared" si="0"/>
        <v>3.2699999999999996</v>
      </c>
      <c r="E43" s="1267"/>
      <c r="F43" s="1268"/>
      <c r="G43" s="1268"/>
      <c r="H43" s="1268"/>
      <c r="I43" s="1269"/>
      <c r="J43" s="159"/>
    </row>
    <row r="44" spans="1:56" s="2" customFormat="1" ht="16.5" customHeight="1" collapsed="1">
      <c r="A44" s="517" t="s">
        <v>631</v>
      </c>
      <c r="B44" s="532"/>
      <c r="C44" s="532"/>
      <c r="D44" s="532"/>
      <c r="E44" s="532"/>
      <c r="F44" s="532"/>
      <c r="G44" s="532"/>
      <c r="H44" s="513"/>
      <c r="I44" s="513"/>
      <c r="J44" s="513"/>
      <c r="K44" s="532"/>
      <c r="L44" s="532"/>
      <c r="M44" s="532"/>
      <c r="N44" s="532"/>
      <c r="O44" s="532"/>
      <c r="P44" s="1003"/>
    </row>
    <row r="45" spans="1:56" ht="16.5" hidden="1" customHeight="1" outlineLevel="1">
      <c r="A45" s="965" t="s">
        <v>414</v>
      </c>
      <c r="B45" s="568"/>
      <c r="C45" s="568"/>
      <c r="D45" s="568"/>
      <c r="E45" s="568"/>
      <c r="F45" s="568"/>
      <c r="G45" s="966"/>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41.25" hidden="1" customHeight="1" outlineLevel="1">
      <c r="A46" s="935"/>
      <c r="B46" s="937" t="s">
        <v>404</v>
      </c>
      <c r="C46" s="937" t="s">
        <v>57</v>
      </c>
      <c r="D46" s="937" t="s">
        <v>60</v>
      </c>
      <c r="E46" s="937" t="s">
        <v>1106</v>
      </c>
      <c r="F46" s="937" t="s">
        <v>1107</v>
      </c>
      <c r="G46" s="936" t="s">
        <v>1108</v>
      </c>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4.25" hidden="1" customHeight="1" outlineLevel="1">
      <c r="A47" s="329" t="s">
        <v>211</v>
      </c>
      <c r="B47" s="340">
        <f>C58+C68+C78</f>
        <v>0</v>
      </c>
      <c r="C47" s="337" t="s">
        <v>179</v>
      </c>
      <c r="D47" s="337">
        <v>1</v>
      </c>
      <c r="E47" s="636">
        <v>0</v>
      </c>
      <c r="F47" s="340">
        <v>0</v>
      </c>
      <c r="G47" s="340">
        <v>0</v>
      </c>
      <c r="H47" s="159"/>
      <c r="I47" s="159"/>
      <c r="J47" s="159"/>
      <c r="AE47" s="2"/>
      <c r="AF47" s="2"/>
      <c r="AG47" s="2"/>
      <c r="AH47" s="2"/>
      <c r="AI47" s="2"/>
      <c r="AJ47" s="2"/>
      <c r="AK47" s="2"/>
    </row>
    <row r="48" spans="1:56" ht="14.25" hidden="1" customHeight="1" outlineLevel="1">
      <c r="A48" s="329" t="s">
        <v>1179</v>
      </c>
      <c r="B48" s="340">
        <f>C59+C69</f>
        <v>551144.59000000008</v>
      </c>
      <c r="C48" s="337" t="s">
        <v>179</v>
      </c>
      <c r="D48" s="337">
        <v>3</v>
      </c>
      <c r="E48" s="1037">
        <f>((B48*A89*B19)+(B48*B89*B20)+(B48*C89*B22)+(B48*D89*B21)+(B48*I89*B23)+(B48*J89*(B24+B25+B26)/3)+(B48*(K89+N89)*B27))*(1-B28)*(1-B29)</f>
        <v>4708.0699883865009</v>
      </c>
      <c r="F48" s="340">
        <v>0</v>
      </c>
      <c r="G48" s="340">
        <f>E48*'Conversion Factors and GWPs'!C14</f>
        <v>131825.95967482202</v>
      </c>
      <c r="H48" s="159"/>
      <c r="I48" s="159"/>
      <c r="J48" s="159"/>
      <c r="AE48" s="2"/>
      <c r="AF48" s="2"/>
      <c r="AG48" s="2"/>
      <c r="AH48" s="2"/>
      <c r="AI48" s="2"/>
      <c r="AJ48" s="2"/>
      <c r="AK48" s="2"/>
    </row>
    <row r="49" spans="1:37" ht="14.25" hidden="1" customHeight="1" outlineLevel="1">
      <c r="A49" s="329" t="s">
        <v>1180</v>
      </c>
      <c r="B49" s="340">
        <f>C79</f>
        <v>432115.12</v>
      </c>
      <c r="C49" s="337" t="s">
        <v>179</v>
      </c>
      <c r="D49" s="337">
        <v>3</v>
      </c>
      <c r="E49" s="1037">
        <f>((B49*C93*B21)+(B49*H93*(B25+B26)/2))*(1-B28)*(1-B29)</f>
        <v>1273.6593161999999</v>
      </c>
      <c r="F49" s="340">
        <v>0</v>
      </c>
      <c r="G49" s="340">
        <f>E49*'Conversion Factors and GWPs'!C14</f>
        <v>35662.460853600001</v>
      </c>
      <c r="H49" s="159"/>
      <c r="I49" s="159"/>
      <c r="J49" s="159"/>
      <c r="AE49" s="2"/>
      <c r="AF49" s="2"/>
      <c r="AG49" s="2"/>
      <c r="AH49" s="2"/>
      <c r="AI49" s="2"/>
      <c r="AJ49" s="2"/>
      <c r="AK49" s="2"/>
    </row>
    <row r="50" spans="1:37" ht="14.25" hidden="1" customHeight="1" outlineLevel="1">
      <c r="A50" s="329" t="s">
        <v>213</v>
      </c>
      <c r="B50" s="340">
        <f>C60+C70+C80</f>
        <v>1500</v>
      </c>
      <c r="C50" s="337" t="s">
        <v>179</v>
      </c>
      <c r="D50" s="337">
        <v>1</v>
      </c>
      <c r="E50" s="636">
        <f>B50*A32</f>
        <v>0.74464285714285705</v>
      </c>
      <c r="F50" s="637">
        <f>B50*A33</f>
        <v>0.3447169811320755</v>
      </c>
      <c r="G50" s="340">
        <f>(E50*'Conversion Factors and GWPs'!$C$14)+(F50*'Conversion Factors and GWPs'!$C$15)</f>
        <v>112.2</v>
      </c>
      <c r="H50" s="159"/>
      <c r="I50" s="159"/>
      <c r="J50" s="159"/>
      <c r="AE50" s="2"/>
      <c r="AF50" s="2"/>
      <c r="AG50" s="2"/>
      <c r="AH50" s="2"/>
      <c r="AI50" s="2"/>
      <c r="AJ50" s="2"/>
      <c r="AK50" s="2"/>
    </row>
    <row r="51" spans="1:37" ht="14.25" hidden="1" customHeight="1" outlineLevel="1">
      <c r="A51" s="329" t="s">
        <v>214</v>
      </c>
      <c r="B51" s="340">
        <f>C61+C71+C81</f>
        <v>30070.620000000003</v>
      </c>
      <c r="C51" s="337" t="s">
        <v>179</v>
      </c>
      <c r="D51" s="337">
        <v>3</v>
      </c>
      <c r="E51" s="636">
        <f>B51*A32</f>
        <v>14.927914928571429</v>
      </c>
      <c r="F51" s="340">
        <f>B51*A33</f>
        <v>6.9105688981132083</v>
      </c>
      <c r="G51" s="340">
        <f>(E51*'Conversion Factors and GWPs'!$C$14)+(F51*'Conversion Factors and GWPs'!$C$15)</f>
        <v>2249.2823760000001</v>
      </c>
      <c r="H51" s="159"/>
      <c r="I51" s="159"/>
      <c r="J51" s="159"/>
      <c r="AE51" s="2"/>
      <c r="AF51" s="2"/>
      <c r="AG51" s="2"/>
      <c r="AH51" s="2"/>
      <c r="AI51" s="2"/>
      <c r="AJ51" s="2"/>
      <c r="AK51" s="2"/>
    </row>
    <row r="52" spans="1:37" ht="14.25" hidden="1" customHeight="1" outlineLevel="1">
      <c r="A52" s="329" t="s">
        <v>215</v>
      </c>
      <c r="B52" s="340">
        <f>C62+C72+C82</f>
        <v>0</v>
      </c>
      <c r="C52" s="337" t="s">
        <v>179</v>
      </c>
      <c r="D52" s="337" t="s">
        <v>63</v>
      </c>
      <c r="E52" s="636">
        <v>0</v>
      </c>
      <c r="F52" s="340">
        <v>0</v>
      </c>
      <c r="G52" s="340">
        <v>0</v>
      </c>
      <c r="H52" s="159"/>
      <c r="I52" s="159"/>
      <c r="J52" s="159"/>
      <c r="AE52" s="2"/>
      <c r="AF52" s="2"/>
      <c r="AG52" s="2"/>
      <c r="AH52" s="2"/>
      <c r="AI52" s="2"/>
      <c r="AJ52" s="2"/>
      <c r="AK52" s="2"/>
    </row>
    <row r="53" spans="1:37" ht="14.25" hidden="1" customHeight="1" outlineLevel="1">
      <c r="A53" s="329" t="s">
        <v>216</v>
      </c>
      <c r="B53" s="340">
        <f>C63+C73+C83</f>
        <v>344748.72</v>
      </c>
      <c r="C53" s="337" t="s">
        <v>179</v>
      </c>
      <c r="D53" s="337" t="s">
        <v>63</v>
      </c>
      <c r="E53" s="636">
        <v>0</v>
      </c>
      <c r="F53" s="340">
        <v>0</v>
      </c>
      <c r="G53" s="635">
        <f>-((B53*A98*D40)+(B53*B98*D41)+(B53*C98*D41)+(B53*D98*D42)+(B53*E98*D37)+(B53*F98*D38)+(B53*G98*D39)+(B53*H98*D36))</f>
        <v>-804409.08335039997</v>
      </c>
      <c r="H53" s="159"/>
      <c r="I53" s="159"/>
      <c r="J53" s="159"/>
      <c r="AE53" s="2"/>
      <c r="AF53" s="2"/>
      <c r="AG53" s="2"/>
      <c r="AH53" s="2"/>
      <c r="AI53" s="2"/>
      <c r="AJ53" s="2"/>
      <c r="AK53" s="2"/>
    </row>
    <row r="54" spans="1:37" s="160" customFormat="1" ht="16.5" hidden="1" customHeight="1" outlineLevel="1">
      <c r="A54" s="341" t="s">
        <v>1074</v>
      </c>
      <c r="B54" s="638">
        <f>SUM(B47:B51)</f>
        <v>1014830.3300000001</v>
      </c>
      <c r="C54" s="634" t="s">
        <v>179</v>
      </c>
      <c r="D54" s="639"/>
      <c r="E54" s="342">
        <f>SUM(E47:E51)</f>
        <v>5997.401862372215</v>
      </c>
      <c r="F54" s="342">
        <f>SUM(F47:F51)</f>
        <v>7.2552858792452835</v>
      </c>
      <c r="G54" s="342">
        <f>SUM(G47:G51)</f>
        <v>169849.90290442202</v>
      </c>
      <c r="H54" s="159"/>
      <c r="I54" s="159"/>
      <c r="J54" s="159"/>
    </row>
    <row r="55" spans="1:37" s="2" customFormat="1" ht="16.5" hidden="1" customHeight="1" outlineLevel="1">
      <c r="E55" s="198"/>
      <c r="H55" s="159"/>
      <c r="I55" s="159"/>
      <c r="J55" s="159"/>
    </row>
    <row r="56" spans="1:37" s="2" customFormat="1" ht="16.5" hidden="1" customHeight="1" outlineLevel="1">
      <c r="A56" s="1243" t="s">
        <v>813</v>
      </c>
      <c r="B56" s="1244"/>
      <c r="C56" s="1245"/>
    </row>
    <row r="57" spans="1:37" ht="28.5" hidden="1" customHeight="1" outlineLevel="1">
      <c r="A57" s="935" t="s">
        <v>814</v>
      </c>
      <c r="B57" s="937" t="s">
        <v>57</v>
      </c>
      <c r="C57" s="936" t="s">
        <v>1073</v>
      </c>
      <c r="D57" s="2"/>
      <c r="E57" s="2"/>
      <c r="F57" s="2"/>
      <c r="G57" s="2"/>
      <c r="AE57" s="2"/>
      <c r="AF57" s="2"/>
      <c r="AG57" s="2"/>
    </row>
    <row r="58" spans="1:37" hidden="1" outlineLevel="1">
      <c r="A58" s="329" t="s">
        <v>211</v>
      </c>
      <c r="B58" s="337" t="s">
        <v>179</v>
      </c>
      <c r="C58" s="632">
        <v>0</v>
      </c>
      <c r="D58" s="2"/>
      <c r="E58" s="2"/>
      <c r="F58" s="2"/>
      <c r="G58" s="2"/>
      <c r="AE58" s="2"/>
      <c r="AF58" s="2"/>
      <c r="AG58" s="2"/>
    </row>
    <row r="59" spans="1:37" hidden="1" outlineLevel="1">
      <c r="A59" s="329" t="s">
        <v>212</v>
      </c>
      <c r="B59" s="337" t="s">
        <v>179</v>
      </c>
      <c r="C59" s="632">
        <v>172593</v>
      </c>
      <c r="D59" s="76"/>
      <c r="E59" s="2"/>
      <c r="F59" s="2"/>
      <c r="G59" s="2"/>
      <c r="AE59" s="2"/>
      <c r="AF59" s="2"/>
      <c r="AG59" s="2"/>
    </row>
    <row r="60" spans="1:37" hidden="1" outlineLevel="1">
      <c r="A60" s="329" t="s">
        <v>213</v>
      </c>
      <c r="B60" s="337" t="s">
        <v>179</v>
      </c>
      <c r="C60" s="632">
        <v>1500</v>
      </c>
      <c r="D60" s="2"/>
      <c r="E60" s="2"/>
      <c r="F60" s="2"/>
      <c r="G60" s="2"/>
      <c r="AE60" s="2"/>
      <c r="AF60" s="2"/>
      <c r="AG60" s="2"/>
    </row>
    <row r="61" spans="1:37" hidden="1" outlineLevel="1">
      <c r="A61" s="329" t="s">
        <v>214</v>
      </c>
      <c r="B61" s="337" t="s">
        <v>179</v>
      </c>
      <c r="C61" s="632">
        <f>9846+622+186</f>
        <v>10654</v>
      </c>
      <c r="D61" s="2"/>
      <c r="E61" s="2"/>
      <c r="F61" s="2"/>
      <c r="G61" s="2"/>
      <c r="AE61" s="2"/>
      <c r="AF61" s="2"/>
      <c r="AG61" s="2"/>
    </row>
    <row r="62" spans="1:37" hidden="1" outlineLevel="1">
      <c r="A62" s="329" t="s">
        <v>215</v>
      </c>
      <c r="B62" s="337" t="s">
        <v>179</v>
      </c>
      <c r="C62" s="632">
        <v>0</v>
      </c>
      <c r="D62" s="76"/>
      <c r="E62" s="2"/>
      <c r="F62" s="2"/>
      <c r="G62" s="2"/>
      <c r="AE62" s="2"/>
      <c r="AF62" s="2"/>
      <c r="AG62" s="2"/>
    </row>
    <row r="63" spans="1:37" hidden="1" outlineLevel="1">
      <c r="A63" s="329" t="s">
        <v>216</v>
      </c>
      <c r="B63" s="337" t="s">
        <v>179</v>
      </c>
      <c r="C63" s="632">
        <f>41756+78.9+22.2+3.6+2.2+122+29.6</f>
        <v>42014.499999999993</v>
      </c>
      <c r="D63" s="2"/>
      <c r="E63" s="2"/>
      <c r="F63" s="2"/>
      <c r="G63" s="2"/>
      <c r="AE63" s="2"/>
      <c r="AF63" s="2"/>
      <c r="AG63" s="2"/>
    </row>
    <row r="64" spans="1:37" s="2" customFormat="1" hidden="1" outlineLevel="1">
      <c r="A64" s="633" t="s">
        <v>78</v>
      </c>
      <c r="B64" s="634" t="s">
        <v>179</v>
      </c>
      <c r="C64" s="342">
        <f>SUM(C59:C63)</f>
        <v>226761.5</v>
      </c>
    </row>
    <row r="65" spans="1:42" s="2" customFormat="1" ht="16.5" hidden="1" customHeight="1" outlineLevel="1">
      <c r="A65" s="161"/>
      <c r="B65" s="62"/>
    </row>
    <row r="66" spans="1:42" s="2" customFormat="1" ht="16.5" hidden="1" customHeight="1" outlineLevel="1">
      <c r="A66" s="965" t="s">
        <v>1071</v>
      </c>
      <c r="B66" s="568"/>
      <c r="C66" s="966"/>
    </row>
    <row r="67" spans="1:42" ht="30.75" hidden="1" customHeight="1" outlineLevel="1">
      <c r="A67" s="935" t="s">
        <v>814</v>
      </c>
      <c r="B67" s="937" t="s">
        <v>57</v>
      </c>
      <c r="C67" s="936" t="s">
        <v>1073</v>
      </c>
      <c r="D67" s="2"/>
      <c r="E67" s="2"/>
      <c r="F67" s="2"/>
      <c r="G67" s="2"/>
      <c r="AE67" s="2"/>
      <c r="AF67" s="2"/>
      <c r="AG67" s="2"/>
      <c r="AH67" s="2"/>
      <c r="AI67" s="2"/>
      <c r="AJ67" s="2"/>
      <c r="AK67" s="2"/>
      <c r="AL67" s="2"/>
      <c r="AM67" s="2"/>
      <c r="AN67" s="2"/>
      <c r="AO67" s="2"/>
      <c r="AP67" s="2"/>
    </row>
    <row r="68" spans="1:42" hidden="1" outlineLevel="1">
      <c r="A68" s="329" t="s">
        <v>211</v>
      </c>
      <c r="B68" s="337" t="s">
        <v>179</v>
      </c>
      <c r="C68" s="632">
        <v>0</v>
      </c>
      <c r="D68" s="2"/>
      <c r="E68" s="2"/>
      <c r="F68" s="2"/>
      <c r="G68" s="2"/>
      <c r="AE68" s="2"/>
      <c r="AF68" s="2"/>
      <c r="AG68" s="2"/>
      <c r="AH68" s="2"/>
      <c r="AI68" s="2"/>
      <c r="AJ68" s="2"/>
      <c r="AK68" s="2"/>
      <c r="AL68" s="2"/>
      <c r="AM68" s="2"/>
      <c r="AN68" s="2"/>
      <c r="AO68" s="2"/>
      <c r="AP68" s="2"/>
    </row>
    <row r="69" spans="1:42" hidden="1" outlineLevel="1">
      <c r="A69" s="329" t="s">
        <v>212</v>
      </c>
      <c r="B69" s="337" t="s">
        <v>179</v>
      </c>
      <c r="C69" s="632">
        <v>378551.59</v>
      </c>
      <c r="D69" s="76"/>
      <c r="E69" s="2"/>
      <c r="F69" s="2"/>
      <c r="G69" s="2"/>
      <c r="AE69" s="2"/>
      <c r="AF69" s="2"/>
      <c r="AG69" s="2"/>
      <c r="AH69" s="2"/>
      <c r="AI69" s="2"/>
      <c r="AJ69" s="2"/>
      <c r="AK69" s="2"/>
      <c r="AL69" s="2"/>
      <c r="AM69" s="2"/>
      <c r="AN69" s="2"/>
      <c r="AO69" s="2"/>
      <c r="AP69" s="2"/>
    </row>
    <row r="70" spans="1:42" hidden="1" outlineLevel="1">
      <c r="A70" s="329" t="s">
        <v>213</v>
      </c>
      <c r="B70" s="337" t="s">
        <v>179</v>
      </c>
      <c r="C70" s="632">
        <v>0</v>
      </c>
      <c r="D70" s="2"/>
      <c r="E70" s="2"/>
      <c r="F70" s="2"/>
      <c r="G70" s="2"/>
      <c r="AE70" s="2"/>
      <c r="AF70" s="2"/>
      <c r="AG70" s="2"/>
      <c r="AH70" s="2"/>
      <c r="AI70" s="2"/>
      <c r="AJ70" s="2"/>
      <c r="AK70" s="2"/>
      <c r="AL70" s="2"/>
      <c r="AM70" s="2"/>
      <c r="AN70" s="2"/>
      <c r="AO70" s="2"/>
      <c r="AP70" s="2"/>
    </row>
    <row r="71" spans="1:42" hidden="1" outlineLevel="1">
      <c r="A71" s="329" t="s">
        <v>214</v>
      </c>
      <c r="B71" s="337" t="s">
        <v>179</v>
      </c>
      <c r="C71" s="632">
        <v>10433.65</v>
      </c>
      <c r="D71" s="545"/>
      <c r="E71" s="2"/>
      <c r="F71" s="2"/>
      <c r="G71" s="2"/>
      <c r="AE71" s="2"/>
      <c r="AF71" s="2"/>
      <c r="AG71" s="2"/>
      <c r="AH71" s="2"/>
      <c r="AI71" s="2"/>
      <c r="AJ71" s="2"/>
      <c r="AK71" s="2"/>
      <c r="AL71" s="2"/>
      <c r="AM71" s="2"/>
      <c r="AN71" s="2"/>
      <c r="AO71" s="2"/>
      <c r="AP71" s="2"/>
    </row>
    <row r="72" spans="1:42" hidden="1" outlineLevel="1">
      <c r="A72" s="329" t="s">
        <v>215</v>
      </c>
      <c r="B72" s="337" t="s">
        <v>179</v>
      </c>
      <c r="C72" s="632">
        <v>0</v>
      </c>
      <c r="D72" s="2"/>
      <c r="E72" s="2"/>
      <c r="F72" s="2"/>
      <c r="G72" s="2"/>
      <c r="AE72" s="2"/>
      <c r="AF72" s="2"/>
      <c r="AG72" s="2"/>
      <c r="AH72" s="2"/>
      <c r="AI72" s="2"/>
      <c r="AJ72" s="2"/>
      <c r="AK72" s="2"/>
      <c r="AL72" s="2"/>
      <c r="AM72" s="2"/>
      <c r="AN72" s="2"/>
      <c r="AO72" s="2"/>
      <c r="AP72" s="2"/>
    </row>
    <row r="73" spans="1:42" hidden="1" outlineLevel="1">
      <c r="A73" s="329" t="s">
        <v>216</v>
      </c>
      <c r="B73" s="337" t="s">
        <v>179</v>
      </c>
      <c r="C73" s="632">
        <f>4553.81+194045.1</f>
        <v>198598.91</v>
      </c>
      <c r="D73" s="76"/>
      <c r="E73" s="2"/>
      <c r="F73" s="2"/>
      <c r="G73" s="2"/>
      <c r="AE73" s="2"/>
      <c r="AF73" s="2"/>
      <c r="AG73" s="2"/>
      <c r="AH73" s="2"/>
      <c r="AI73" s="2"/>
      <c r="AJ73" s="2"/>
      <c r="AK73" s="2"/>
      <c r="AL73" s="2"/>
      <c r="AM73" s="2"/>
      <c r="AN73" s="2"/>
      <c r="AO73" s="2"/>
      <c r="AP73" s="2"/>
    </row>
    <row r="74" spans="1:42" s="2" customFormat="1" hidden="1" outlineLevel="1">
      <c r="A74" s="633" t="s">
        <v>78</v>
      </c>
      <c r="B74" s="634" t="s">
        <v>179</v>
      </c>
      <c r="C74" s="342">
        <f>SUM(C68:C73)</f>
        <v>587584.15</v>
      </c>
    </row>
    <row r="75" spans="1:42" s="2" customFormat="1" ht="16.5" hidden="1" customHeight="1" outlineLevel="1">
      <c r="B75" s="62"/>
    </row>
    <row r="76" spans="1:42" s="2" customFormat="1" ht="16.5" hidden="1" customHeight="1" outlineLevel="1">
      <c r="A76" s="965" t="s">
        <v>1070</v>
      </c>
      <c r="B76" s="568"/>
      <c r="C76" s="966"/>
    </row>
    <row r="77" spans="1:42" ht="30.75" hidden="1" customHeight="1" outlineLevel="1">
      <c r="A77" s="935" t="s">
        <v>814</v>
      </c>
      <c r="B77" s="937" t="s">
        <v>57</v>
      </c>
      <c r="C77" s="936" t="s">
        <v>1073</v>
      </c>
      <c r="D77" s="2"/>
      <c r="E77" s="2"/>
      <c r="F77" s="2"/>
      <c r="G77" s="2"/>
      <c r="AE77" s="2"/>
      <c r="AF77" s="2"/>
      <c r="AG77" s="2"/>
      <c r="AH77" s="2"/>
      <c r="AI77" s="2"/>
      <c r="AJ77" s="2"/>
      <c r="AK77" s="2"/>
      <c r="AL77" s="2"/>
      <c r="AM77" s="2"/>
      <c r="AN77" s="2"/>
      <c r="AO77" s="2"/>
      <c r="AP77" s="2"/>
    </row>
    <row r="78" spans="1:42" hidden="1" outlineLevel="1">
      <c r="A78" s="329" t="s">
        <v>211</v>
      </c>
      <c r="B78" s="337" t="s">
        <v>179</v>
      </c>
      <c r="C78" s="632">
        <v>0</v>
      </c>
      <c r="D78" s="2"/>
      <c r="E78" s="2"/>
      <c r="F78" s="2"/>
      <c r="G78" s="2"/>
      <c r="AE78" s="2"/>
      <c r="AF78" s="2"/>
      <c r="AG78" s="2"/>
      <c r="AH78" s="2"/>
      <c r="AI78" s="2"/>
      <c r="AJ78" s="2"/>
      <c r="AK78" s="2"/>
      <c r="AL78" s="2"/>
      <c r="AM78" s="2"/>
      <c r="AN78" s="2"/>
      <c r="AO78" s="2"/>
      <c r="AP78" s="2"/>
    </row>
    <row r="79" spans="1:42" hidden="1" outlineLevel="1">
      <c r="A79" s="329" t="s">
        <v>212</v>
      </c>
      <c r="B79" s="337" t="s">
        <v>179</v>
      </c>
      <c r="C79" s="632">
        <v>432115.12</v>
      </c>
      <c r="D79" s="76"/>
      <c r="E79" s="2"/>
      <c r="F79" s="2"/>
      <c r="G79" s="2"/>
      <c r="AE79" s="2"/>
      <c r="AF79" s="2"/>
      <c r="AG79" s="2"/>
      <c r="AH79" s="2"/>
      <c r="AI79" s="2"/>
      <c r="AJ79" s="2"/>
      <c r="AK79" s="2"/>
      <c r="AL79" s="2"/>
      <c r="AM79" s="2"/>
      <c r="AN79" s="2"/>
      <c r="AO79" s="2"/>
      <c r="AP79" s="2"/>
    </row>
    <row r="80" spans="1:42" hidden="1" outlineLevel="1">
      <c r="A80" s="329" t="s">
        <v>213</v>
      </c>
      <c r="B80" s="337" t="s">
        <v>179</v>
      </c>
      <c r="C80" s="632">
        <v>0</v>
      </c>
      <c r="D80" s="2"/>
      <c r="E80" s="2"/>
      <c r="F80" s="2"/>
      <c r="G80" s="2"/>
      <c r="AE80" s="2"/>
      <c r="AF80" s="2"/>
      <c r="AG80" s="2"/>
      <c r="AH80" s="2"/>
      <c r="AI80" s="2"/>
      <c r="AJ80" s="2"/>
      <c r="AK80" s="2"/>
      <c r="AL80" s="2"/>
      <c r="AM80" s="2"/>
      <c r="AN80" s="2"/>
      <c r="AO80" s="2"/>
      <c r="AP80" s="2"/>
    </row>
    <row r="81" spans="1:92" hidden="1" outlineLevel="1">
      <c r="A81" s="329" t="s">
        <v>214</v>
      </c>
      <c r="B81" s="337" t="s">
        <v>179</v>
      </c>
      <c r="C81" s="632">
        <v>8982.9699999999993</v>
      </c>
      <c r="D81" s="545"/>
      <c r="E81" s="2"/>
      <c r="F81" s="2"/>
      <c r="G81" s="2"/>
      <c r="AE81" s="2"/>
      <c r="AF81" s="2"/>
      <c r="AG81" s="2"/>
      <c r="AH81" s="2"/>
      <c r="AI81" s="2"/>
      <c r="AJ81" s="2"/>
      <c r="AK81" s="2"/>
      <c r="AL81" s="2"/>
      <c r="AM81" s="2"/>
      <c r="AN81" s="2"/>
      <c r="AO81" s="2"/>
      <c r="AP81" s="2"/>
    </row>
    <row r="82" spans="1:92" hidden="1" outlineLevel="1">
      <c r="A82" s="329" t="s">
        <v>215</v>
      </c>
      <c r="B82" s="337" t="s">
        <v>179</v>
      </c>
      <c r="C82" s="632">
        <v>0</v>
      </c>
      <c r="D82" s="2"/>
      <c r="E82" s="2"/>
      <c r="F82" s="2"/>
      <c r="G82" s="2"/>
      <c r="AE82" s="2"/>
      <c r="AF82" s="2"/>
      <c r="AG82" s="2"/>
      <c r="AH82" s="2"/>
      <c r="AI82" s="2"/>
      <c r="AJ82" s="2"/>
      <c r="AK82" s="2"/>
      <c r="AL82" s="2"/>
      <c r="AM82" s="2"/>
      <c r="AN82" s="2"/>
      <c r="AO82" s="2"/>
      <c r="AP82" s="2"/>
    </row>
    <row r="83" spans="1:92" hidden="1" outlineLevel="1">
      <c r="A83" s="329" t="s">
        <v>216</v>
      </c>
      <c r="B83" s="337" t="s">
        <v>179</v>
      </c>
      <c r="C83" s="632">
        <v>104135.31</v>
      </c>
      <c r="D83" s="2"/>
      <c r="E83" s="2"/>
      <c r="F83" s="2"/>
      <c r="G83" s="2"/>
      <c r="AE83" s="2"/>
      <c r="AF83" s="2"/>
      <c r="AG83" s="2"/>
      <c r="AH83" s="2"/>
      <c r="AI83" s="2"/>
      <c r="AJ83" s="2"/>
      <c r="AK83" s="2"/>
      <c r="AL83" s="2"/>
      <c r="AM83" s="2"/>
      <c r="AN83" s="2"/>
      <c r="AO83" s="2"/>
      <c r="AP83" s="2"/>
    </row>
    <row r="84" spans="1:92" s="2" customFormat="1" hidden="1" outlineLevel="1">
      <c r="A84" s="633" t="s">
        <v>78</v>
      </c>
      <c r="B84" s="634" t="s">
        <v>179</v>
      </c>
      <c r="C84" s="342">
        <f>SUM(C78:C83)</f>
        <v>545233.39999999991</v>
      </c>
    </row>
    <row r="85" spans="1:92" s="2" customFormat="1" ht="12.75" hidden="1" outlineLevel="1">
      <c r="A85" s="543"/>
      <c r="B85" s="544"/>
      <c r="C85" s="218"/>
    </row>
    <row r="86" spans="1:92" ht="16.5" hidden="1" customHeight="1" outlineLevel="1">
      <c r="A86" s="965" t="s">
        <v>815</v>
      </c>
      <c r="B86" s="568"/>
      <c r="C86" s="568"/>
      <c r="D86" s="568"/>
      <c r="E86" s="568"/>
      <c r="F86" s="568"/>
      <c r="G86" s="568"/>
      <c r="H86" s="568"/>
      <c r="I86" s="568"/>
      <c r="J86" s="568"/>
      <c r="K86" s="568"/>
      <c r="L86" s="568"/>
      <c r="M86" s="568"/>
      <c r="N86" s="568"/>
      <c r="O86" s="568"/>
      <c r="P86" s="966"/>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row>
    <row r="87" spans="1:92" ht="16.5" hidden="1" customHeight="1" outlineLevel="1">
      <c r="A87" s="546" t="s">
        <v>489</v>
      </c>
      <c r="B87" s="547"/>
      <c r="C87" s="547"/>
      <c r="D87" s="547"/>
      <c r="E87" s="548"/>
      <c r="F87" s="1238" t="s">
        <v>447</v>
      </c>
      <c r="G87" s="1238" t="s">
        <v>490</v>
      </c>
      <c r="H87" s="1238" t="s">
        <v>491</v>
      </c>
      <c r="I87" s="1195" t="s">
        <v>1081</v>
      </c>
      <c r="J87" s="1203"/>
      <c r="K87" s="1203"/>
      <c r="L87" s="1196"/>
      <c r="M87" s="1195" t="s">
        <v>495</v>
      </c>
      <c r="N87" s="1203"/>
      <c r="O87" s="1203"/>
      <c r="P87" s="1196"/>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row>
    <row r="88" spans="1:92" ht="39.75" hidden="1" customHeight="1" outlineLevel="1">
      <c r="A88" s="938" t="s">
        <v>218</v>
      </c>
      <c r="B88" s="938" t="s">
        <v>1075</v>
      </c>
      <c r="C88" s="938" t="s">
        <v>1078</v>
      </c>
      <c r="D88" s="938" t="s">
        <v>1079</v>
      </c>
      <c r="E88" s="938" t="s">
        <v>1080</v>
      </c>
      <c r="F88" s="1238"/>
      <c r="G88" s="1238" t="s">
        <v>490</v>
      </c>
      <c r="H88" s="1238" t="s">
        <v>491</v>
      </c>
      <c r="I88" s="938" t="s">
        <v>493</v>
      </c>
      <c r="J88" s="938" t="s">
        <v>1076</v>
      </c>
      <c r="K88" s="938" t="s">
        <v>1077</v>
      </c>
      <c r="L88" s="938" t="s">
        <v>494</v>
      </c>
      <c r="M88" s="938" t="s">
        <v>492</v>
      </c>
      <c r="N88" s="938" t="s">
        <v>1082</v>
      </c>
      <c r="O88" s="938" t="s">
        <v>1083</v>
      </c>
      <c r="P88" s="938" t="s">
        <v>494</v>
      </c>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row>
    <row r="89" spans="1:92" ht="16.5" hidden="1" customHeight="1" outlineLevel="1">
      <c r="A89" s="1004">
        <v>1.4999999999999999E-2</v>
      </c>
      <c r="B89" s="1004">
        <v>1.7000000000000001E-2</v>
      </c>
      <c r="C89" s="1004">
        <v>4.3999999999999997E-2</v>
      </c>
      <c r="D89" s="1004">
        <f>0.035+0.024</f>
        <v>5.9000000000000004E-2</v>
      </c>
      <c r="E89" s="1004">
        <v>7.1999999999999995E-2</v>
      </c>
      <c r="F89" s="1004">
        <v>5.5E-2</v>
      </c>
      <c r="G89" s="1004">
        <v>2.5000000000000001E-2</v>
      </c>
      <c r="H89" s="1004">
        <v>0.128</v>
      </c>
      <c r="I89" s="1004">
        <v>0.186</v>
      </c>
      <c r="J89" s="1004">
        <v>0.16500000000000001</v>
      </c>
      <c r="K89" s="1004">
        <v>7.0000000000000001E-3</v>
      </c>
      <c r="L89" s="1004">
        <v>0.121</v>
      </c>
      <c r="M89" s="1004">
        <v>2.9000000000000001E-2</v>
      </c>
      <c r="N89" s="1004">
        <v>4.1000000000000002E-2</v>
      </c>
      <c r="O89" s="1004">
        <v>2.1999999999999999E-2</v>
      </c>
      <c r="P89" s="1004">
        <v>1.4E-2</v>
      </c>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row>
    <row r="90" spans="1:92" ht="16.5" hidden="1" customHeight="1" outlineLevel="1">
      <c r="A90" s="448"/>
      <c r="B90" s="448"/>
      <c r="C90" s="448"/>
      <c r="D90" s="448"/>
      <c r="E90" s="448"/>
      <c r="F90" s="448"/>
      <c r="G90" s="448"/>
      <c r="H90" s="448"/>
      <c r="I90" s="448"/>
      <c r="J90" s="448"/>
      <c r="K90" s="449"/>
      <c r="L90" s="449"/>
      <c r="M90" s="449"/>
      <c r="N90" s="449"/>
      <c r="O90" s="450"/>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row>
    <row r="91" spans="1:92" s="2" customFormat="1" ht="16.5" hidden="1" customHeight="1" outlineLevel="1">
      <c r="A91" s="965" t="s">
        <v>816</v>
      </c>
      <c r="B91" s="568"/>
      <c r="C91" s="568"/>
      <c r="D91" s="568"/>
      <c r="E91" s="568"/>
      <c r="F91" s="568"/>
      <c r="G91" s="568"/>
      <c r="H91" s="568"/>
      <c r="I91" s="966"/>
    </row>
    <row r="92" spans="1:92" s="2" customFormat="1" ht="100.5" hidden="1" customHeight="1" outlineLevel="1">
      <c r="A92" s="938" t="s">
        <v>1068</v>
      </c>
      <c r="B92" s="938" t="s">
        <v>1059</v>
      </c>
      <c r="C92" s="938" t="s">
        <v>1060</v>
      </c>
      <c r="D92" s="938" t="s">
        <v>1069</v>
      </c>
      <c r="E92" s="938" t="s">
        <v>1061</v>
      </c>
      <c r="F92" s="938" t="s">
        <v>1062</v>
      </c>
      <c r="G92" s="938" t="s">
        <v>1063</v>
      </c>
      <c r="H92" s="938" t="s">
        <v>1064</v>
      </c>
      <c r="I92" s="938" t="s">
        <v>1065</v>
      </c>
    </row>
    <row r="93" spans="1:92" s="2" customFormat="1" ht="16.5" hidden="1" customHeight="1" outlineLevel="1">
      <c r="A93" s="835">
        <v>0.56999999999999995</v>
      </c>
      <c r="B93" s="835">
        <v>0.03</v>
      </c>
      <c r="C93" s="835">
        <v>0.09</v>
      </c>
      <c r="D93" s="835">
        <v>0.12</v>
      </c>
      <c r="E93" s="835">
        <v>0.06</v>
      </c>
      <c r="F93" s="835">
        <v>0</v>
      </c>
      <c r="G93" s="835">
        <v>0</v>
      </c>
      <c r="H93" s="835">
        <v>0.05</v>
      </c>
      <c r="I93" s="835">
        <v>0.08</v>
      </c>
    </row>
    <row r="94" spans="1:92" s="2" customFormat="1" ht="16.5" hidden="1" customHeight="1" outlineLevel="1"/>
    <row r="95" spans="1:92" ht="16.5" hidden="1" customHeight="1" outlineLevel="1">
      <c r="A95" s="965" t="s">
        <v>522</v>
      </c>
      <c r="B95" s="568"/>
      <c r="C95" s="568"/>
      <c r="D95" s="568"/>
      <c r="E95" s="568"/>
      <c r="F95" s="568"/>
      <c r="G95" s="568"/>
      <c r="H95" s="568"/>
      <c r="I95" s="568"/>
      <c r="J95" s="966"/>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row>
    <row r="96" spans="1:92" ht="16.5" hidden="1" customHeight="1" outlineLevel="1">
      <c r="A96" s="1153" t="s">
        <v>1178</v>
      </c>
      <c r="B96" s="1153" t="s">
        <v>1084</v>
      </c>
      <c r="C96" s="1153" t="s">
        <v>1085</v>
      </c>
      <c r="D96" s="1208" t="s">
        <v>1086</v>
      </c>
      <c r="E96" s="1239" t="s">
        <v>489</v>
      </c>
      <c r="F96" s="1240"/>
      <c r="G96" s="1240"/>
      <c r="H96" s="1240"/>
      <c r="I96" s="1240"/>
      <c r="J96" s="1237" t="s">
        <v>1181</v>
      </c>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row>
    <row r="97" spans="1:85" s="17" customFormat="1" ht="52.15" hidden="1" customHeight="1" outlineLevel="1">
      <c r="A97" s="1240"/>
      <c r="B97" s="1240"/>
      <c r="C97" s="1240"/>
      <c r="D97" s="1241"/>
      <c r="E97" s="938" t="s">
        <v>218</v>
      </c>
      <c r="F97" s="938" t="s">
        <v>1075</v>
      </c>
      <c r="G97" s="938" t="s">
        <v>1078</v>
      </c>
      <c r="H97" s="938" t="s">
        <v>1079</v>
      </c>
      <c r="I97" s="935" t="s">
        <v>1087</v>
      </c>
      <c r="J97" s="1238"/>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row>
    <row r="98" spans="1:85" ht="16.5" hidden="1" customHeight="1" outlineLevel="1">
      <c r="A98" s="1005">
        <v>0.20100000000000001</v>
      </c>
      <c r="B98" s="1005">
        <v>2.1999999999999999E-2</v>
      </c>
      <c r="C98" s="1005">
        <v>2.1999999999999999E-2</v>
      </c>
      <c r="D98" s="1005">
        <v>0.109</v>
      </c>
      <c r="E98" s="1004">
        <v>7.9000000000000001E-2</v>
      </c>
      <c r="F98" s="1004">
        <v>4.2000000000000003E-2</v>
      </c>
      <c r="G98" s="1004">
        <f>0.093+0.062</f>
        <v>0.155</v>
      </c>
      <c r="H98" s="1004">
        <v>0.26</v>
      </c>
      <c r="I98" s="1004">
        <v>7.0000000000000001E-3</v>
      </c>
      <c r="J98" s="1004">
        <v>0.104</v>
      </c>
      <c r="K98" s="491"/>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row>
    <row r="99" spans="1:85" s="2" customFormat="1" ht="16.5" hidden="1" customHeight="1" outlineLevel="1"/>
    <row r="100" spans="1:85" s="2" customFormat="1" ht="16.5" customHeight="1" collapsed="1">
      <c r="A100" s="542"/>
    </row>
    <row r="101" spans="1:85" s="2" customFormat="1" ht="34.5" customHeight="1">
      <c r="A101" s="5"/>
      <c r="B101" s="491"/>
      <c r="C101" s="542"/>
    </row>
    <row r="102" spans="1:85" s="2" customFormat="1" ht="16.5" customHeight="1">
      <c r="A102" s="491"/>
      <c r="B102" s="491"/>
      <c r="C102" s="491"/>
      <c r="D102" s="491"/>
    </row>
    <row r="103" spans="1:85" s="2" customFormat="1" ht="16.5" customHeight="1">
      <c r="B103" s="491"/>
    </row>
    <row r="104" spans="1:85" s="2" customFormat="1" ht="16.5" customHeight="1">
      <c r="B104" s="491"/>
    </row>
    <row r="105" spans="1:85" s="2" customFormat="1" ht="16.5" customHeight="1">
      <c r="B105" s="491"/>
    </row>
    <row r="106" spans="1:85" s="2" customFormat="1" ht="16.5" customHeight="1">
      <c r="B106" s="491"/>
    </row>
    <row r="107" spans="1:85" s="2" customFormat="1" ht="16.5" customHeight="1">
      <c r="B107" s="491"/>
    </row>
    <row r="108" spans="1:85" s="2" customFormat="1" ht="16.5" customHeight="1">
      <c r="B108" s="491"/>
    </row>
    <row r="109" spans="1:85" s="2" customFormat="1" ht="29.25" customHeight="1">
      <c r="A109" s="5"/>
      <c r="B109" s="491"/>
    </row>
    <row r="110" spans="1:85" s="2" customFormat="1" ht="16.5" customHeight="1">
      <c r="B110" s="491"/>
    </row>
    <row r="111" spans="1:85" s="2" customFormat="1" ht="16.5" customHeight="1"/>
    <row r="112" spans="1:85" s="2" customFormat="1" ht="16.5" customHeight="1"/>
    <row r="113" s="2" customFormat="1" ht="16.5" customHeight="1"/>
    <row r="114" s="2" customFormat="1" ht="16.5" customHeight="1"/>
    <row r="115" s="2" customFormat="1" ht="16.5" customHeight="1"/>
    <row r="116" s="2" customFormat="1" ht="16.5" customHeight="1"/>
    <row r="117" s="2" customFormat="1" ht="16.5" customHeight="1"/>
    <row r="118" s="2" customFormat="1" ht="16.5" customHeight="1"/>
    <row r="119" s="2" customFormat="1" ht="16.5" customHeight="1"/>
    <row r="120" s="2" customFormat="1" ht="16.5" customHeight="1"/>
    <row r="121" s="2" customFormat="1" ht="16.5" customHeight="1"/>
    <row r="122" s="2" customFormat="1" ht="16.5" customHeight="1"/>
    <row r="123" s="2" customFormat="1" ht="16.5" customHeight="1"/>
    <row r="124" s="2" customFormat="1" ht="16.5" customHeight="1"/>
    <row r="125" s="2" customFormat="1" ht="16.5" customHeight="1"/>
    <row r="126" s="2" customFormat="1" ht="16.5" customHeight="1"/>
    <row r="127" s="2" customFormat="1" ht="16.5" customHeight="1"/>
    <row r="128" s="2" customFormat="1" ht="16.5" customHeight="1"/>
    <row r="129" s="2" customFormat="1" ht="16.5" customHeight="1"/>
    <row r="130" s="2" customFormat="1" ht="16.5" customHeight="1"/>
    <row r="131" s="2" customFormat="1" ht="16.5" customHeight="1"/>
    <row r="132" s="2" customFormat="1" ht="16.5" customHeight="1"/>
    <row r="133" s="2" customFormat="1" ht="16.5" customHeight="1"/>
    <row r="134" s="2" customFormat="1" ht="16.5" customHeight="1"/>
    <row r="135" s="2" customFormat="1" ht="16.5" customHeight="1"/>
    <row r="136" s="2" customFormat="1" ht="16.5" customHeight="1"/>
    <row r="137" s="2" customFormat="1" ht="16.5" customHeight="1"/>
    <row r="138" s="2" customFormat="1" ht="16.5" customHeight="1"/>
    <row r="139" s="2" customFormat="1" ht="16.5" customHeight="1"/>
    <row r="140" s="2" customFormat="1" ht="16.5" customHeight="1"/>
    <row r="141" s="2" customFormat="1" ht="16.5" customHeight="1"/>
    <row r="142" s="2" customFormat="1" ht="16.5" customHeight="1"/>
    <row r="143" s="2" customFormat="1" ht="16.5" customHeight="1"/>
    <row r="144" s="2" customFormat="1" ht="16.5" customHeight="1"/>
    <row r="145" s="2" customFormat="1" ht="16.5" customHeight="1"/>
    <row r="146" s="2" customFormat="1" ht="16.5" customHeight="1"/>
    <row r="147" s="2" customFormat="1" ht="16.5" customHeight="1"/>
    <row r="148" s="2" customFormat="1" ht="16.5" customHeight="1"/>
    <row r="149" s="2" customFormat="1" ht="16.5" customHeight="1"/>
    <row r="150" s="2" customFormat="1" ht="16.5" customHeight="1"/>
    <row r="151" s="2" customFormat="1" ht="16.5" customHeight="1"/>
    <row r="152" s="2" customFormat="1" ht="16.5" customHeight="1"/>
    <row r="153" s="2" customFormat="1" ht="16.5" customHeight="1"/>
    <row r="154" s="2" customFormat="1" ht="16.5" customHeight="1"/>
    <row r="155" s="2" customFormat="1" ht="16.5" customHeight="1"/>
    <row r="156" s="2" customFormat="1" ht="16.5" customHeight="1"/>
    <row r="157" s="2" customFormat="1" ht="16.5" customHeight="1"/>
    <row r="158" s="2" customFormat="1" ht="16.5" customHeight="1"/>
    <row r="159" s="2" customFormat="1" ht="16.5" customHeight="1"/>
    <row r="160" s="2" customFormat="1" ht="16.5" customHeight="1"/>
    <row r="161" spans="1:7" s="2" customFormat="1" ht="16.5" customHeight="1"/>
    <row r="162" spans="1:7" ht="16.5" customHeight="1">
      <c r="A162" s="2"/>
      <c r="B162" s="2"/>
      <c r="C162" s="2"/>
      <c r="D162" s="2"/>
      <c r="E162" s="2"/>
      <c r="F162" s="2"/>
      <c r="G162" s="2"/>
    </row>
    <row r="163" spans="1:7" ht="16.5" customHeight="1">
      <c r="A163" s="2"/>
      <c r="B163" s="2"/>
      <c r="C163" s="2"/>
      <c r="D163" s="2"/>
      <c r="E163" s="2"/>
      <c r="F163" s="2"/>
      <c r="G163" s="2"/>
    </row>
    <row r="164" spans="1:7" ht="16.5" customHeight="1">
      <c r="A164" s="2"/>
      <c r="B164" s="2"/>
      <c r="C164" s="2"/>
      <c r="D164" s="2"/>
      <c r="E164" s="2"/>
      <c r="F164" s="2"/>
      <c r="G164" s="2"/>
    </row>
    <row r="165" spans="1:7" ht="16.5" customHeight="1"/>
    <row r="166" spans="1:7" ht="16.5" customHeight="1"/>
    <row r="167" spans="1:7" ht="16.5" customHeight="1"/>
    <row r="168" spans="1:7" ht="16.5" customHeight="1"/>
    <row r="169" spans="1:7" ht="16.5" customHeight="1"/>
    <row r="170" spans="1:7" ht="16.5" customHeight="1"/>
    <row r="171" spans="1:7" ht="16.5" customHeight="1"/>
    <row r="172" spans="1:7" ht="16.5" customHeight="1"/>
    <row r="173" spans="1:7" ht="16.5" customHeight="1"/>
    <row r="174" spans="1:7" ht="16.5" customHeight="1"/>
    <row r="175" spans="1:7" ht="16.5" customHeight="1"/>
    <row r="176" spans="1:7"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sheetData>
  <mergeCells count="24">
    <mergeCell ref="A9:K9"/>
    <mergeCell ref="A11:K11"/>
    <mergeCell ref="A12:K12"/>
    <mergeCell ref="A10:K10"/>
    <mergeCell ref="I87:L87"/>
    <mergeCell ref="C32:I33"/>
    <mergeCell ref="E35:I35"/>
    <mergeCell ref="E36:I43"/>
    <mergeCell ref="M87:P87"/>
    <mergeCell ref="F87:F88"/>
    <mergeCell ref="G87:G88"/>
    <mergeCell ref="H87:H88"/>
    <mergeCell ref="A13:K13"/>
    <mergeCell ref="A56:C56"/>
    <mergeCell ref="A14:K14"/>
    <mergeCell ref="D18:I29"/>
    <mergeCell ref="D17:I17"/>
    <mergeCell ref="C31:I31"/>
    <mergeCell ref="J96:J97"/>
    <mergeCell ref="E96:I96"/>
    <mergeCell ref="A96:A97"/>
    <mergeCell ref="B96:B97"/>
    <mergeCell ref="C96:C97"/>
    <mergeCell ref="D96:D97"/>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theme="3" tint="0.59999389629810485"/>
  </sheetPr>
  <dimension ref="A1:AJ934"/>
  <sheetViews>
    <sheetView workbookViewId="0">
      <selection activeCell="I5" sqref="I5:K5"/>
    </sheetView>
  </sheetViews>
  <sheetFormatPr defaultColWidth="11.125" defaultRowHeight="15" customHeight="1" outlineLevelRow="1"/>
  <cols>
    <col min="1" max="1" width="54.5" style="14" customWidth="1"/>
    <col min="2" max="2" width="30.25" style="14" customWidth="1"/>
    <col min="3" max="5" width="30.25" style="13" customWidth="1"/>
    <col min="6" max="15" width="8.625" style="13" customWidth="1"/>
    <col min="16" max="30" width="11.125" style="13"/>
    <col min="31" max="16384" width="11.125" style="14"/>
  </cols>
  <sheetData>
    <row r="1" spans="1:36" s="86" customFormat="1" ht="24" customHeight="1">
      <c r="A1" s="210" t="s">
        <v>210</v>
      </c>
      <c r="B1" s="210"/>
      <c r="C1" s="210"/>
      <c r="D1" s="225"/>
      <c r="E1" s="225"/>
      <c r="F1" s="90"/>
      <c r="G1" s="90"/>
      <c r="H1" s="90"/>
      <c r="I1" s="90"/>
      <c r="J1" s="90"/>
      <c r="K1" s="90"/>
      <c r="L1" s="90"/>
      <c r="M1" s="90"/>
      <c r="N1" s="90"/>
      <c r="O1" s="90"/>
      <c r="P1" s="90"/>
      <c r="Q1" s="90"/>
      <c r="R1" s="85"/>
      <c r="S1" s="85"/>
      <c r="T1" s="85"/>
      <c r="U1" s="85"/>
      <c r="V1" s="85"/>
      <c r="W1" s="85"/>
      <c r="X1" s="85"/>
      <c r="Y1" s="85"/>
      <c r="Z1" s="85"/>
      <c r="AA1" s="85"/>
      <c r="AB1" s="85"/>
      <c r="AC1" s="85"/>
      <c r="AD1" s="85"/>
    </row>
    <row r="2" spans="1:36" ht="20.25">
      <c r="A2" s="501" t="s">
        <v>414</v>
      </c>
      <c r="B2" s="502"/>
      <c r="C2" s="502"/>
      <c r="D2" s="502"/>
      <c r="E2" s="503"/>
      <c r="F2" s="9"/>
      <c r="G2" s="9"/>
      <c r="H2" s="9"/>
      <c r="AE2" s="13"/>
      <c r="AF2" s="13"/>
      <c r="AG2" s="13"/>
      <c r="AH2" s="13"/>
      <c r="AI2" s="13"/>
      <c r="AJ2" s="13"/>
    </row>
    <row r="3" spans="1:36" ht="16.5" customHeight="1" outlineLevel="1">
      <c r="A3" s="511" t="s">
        <v>64</v>
      </c>
      <c r="B3" s="518">
        <f>SUM(B27:B30)</f>
        <v>5666</v>
      </c>
      <c r="C3" s="9"/>
      <c r="D3" s="9"/>
      <c r="E3" s="9"/>
      <c r="F3" s="9"/>
      <c r="G3" s="9"/>
      <c r="H3" s="9"/>
      <c r="AE3" s="13"/>
      <c r="AF3" s="13"/>
      <c r="AG3" s="13"/>
      <c r="AH3" s="13"/>
      <c r="AI3" s="13"/>
      <c r="AJ3" s="13"/>
    </row>
    <row r="4" spans="1:36" ht="16.5" customHeight="1" outlineLevel="1">
      <c r="A4" s="290" t="s">
        <v>66</v>
      </c>
      <c r="B4" s="291">
        <v>0</v>
      </c>
      <c r="C4" s="9"/>
      <c r="D4" s="9"/>
      <c r="E4" s="9"/>
      <c r="F4" s="9"/>
      <c r="G4" s="9"/>
      <c r="H4" s="9"/>
      <c r="AE4" s="13"/>
      <c r="AF4" s="13"/>
      <c r="AG4" s="13"/>
      <c r="AH4" s="13"/>
      <c r="AI4" s="13"/>
      <c r="AJ4" s="13"/>
    </row>
    <row r="5" spans="1:36" ht="16.5" customHeight="1" outlineLevel="1">
      <c r="A5" s="288" t="s">
        <v>67</v>
      </c>
      <c r="B5" s="291">
        <v>0</v>
      </c>
      <c r="C5" s="9"/>
      <c r="D5" s="9"/>
      <c r="E5" s="9"/>
      <c r="F5" s="9"/>
      <c r="G5" s="9"/>
      <c r="H5" s="9"/>
      <c r="AE5" s="13"/>
      <c r="AF5" s="13"/>
      <c r="AG5" s="13"/>
      <c r="AH5" s="13"/>
      <c r="AI5" s="13"/>
      <c r="AJ5" s="13"/>
    </row>
    <row r="6" spans="1:36" ht="16.5" customHeight="1" outlineLevel="1">
      <c r="A6" s="292" t="s">
        <v>78</v>
      </c>
      <c r="B6" s="293">
        <f>SUM(B3:B5)</f>
        <v>5666</v>
      </c>
      <c r="C6" s="9"/>
      <c r="D6" s="9"/>
      <c r="E6" s="9"/>
      <c r="F6" s="9"/>
      <c r="G6" s="9"/>
      <c r="H6" s="9"/>
      <c r="AE6" s="13"/>
      <c r="AF6" s="13"/>
      <c r="AG6" s="13"/>
      <c r="AH6" s="13"/>
      <c r="AI6" s="13"/>
      <c r="AJ6" s="13"/>
    </row>
    <row r="7" spans="1:36" s="209" customFormat="1" ht="20.25">
      <c r="A7" s="501" t="s">
        <v>630</v>
      </c>
      <c r="B7" s="502"/>
      <c r="C7" s="502"/>
      <c r="D7" s="502"/>
      <c r="E7" s="503"/>
      <c r="F7" s="9"/>
      <c r="G7" s="9"/>
      <c r="H7" s="9"/>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s="13" customFormat="1" ht="30" hidden="1" customHeight="1" outlineLevel="1">
      <c r="A8" s="1242" t="s">
        <v>1250</v>
      </c>
      <c r="B8" s="1242"/>
      <c r="C8" s="1242"/>
      <c r="D8" s="1242"/>
      <c r="E8" s="1242"/>
    </row>
    <row r="9" spans="1:36" s="13" customFormat="1" ht="13.15" hidden="1" customHeight="1" outlineLevel="1">
      <c r="A9" s="1242" t="s">
        <v>1292</v>
      </c>
      <c r="B9" s="1242"/>
      <c r="C9" s="1242"/>
      <c r="D9" s="1242"/>
      <c r="E9" s="1242"/>
    </row>
    <row r="10" spans="1:36" s="13" customFormat="1" hidden="1" outlineLevel="1">
      <c r="A10" s="1242" t="s">
        <v>817</v>
      </c>
      <c r="B10" s="1242"/>
      <c r="C10" s="1242"/>
      <c r="D10" s="1242"/>
      <c r="E10" s="1242"/>
    </row>
    <row r="11" spans="1:36" s="13" customFormat="1" ht="13.15" hidden="1" customHeight="1" outlineLevel="1">
      <c r="A11" s="1242" t="s">
        <v>818</v>
      </c>
      <c r="B11" s="1242"/>
      <c r="C11" s="1242"/>
      <c r="D11" s="1242"/>
      <c r="E11" s="1242"/>
    </row>
    <row r="12" spans="1:36" s="209" customFormat="1" ht="20.25" collapsed="1">
      <c r="A12" s="501" t="s">
        <v>631</v>
      </c>
      <c r="B12" s="502"/>
      <c r="C12" s="502"/>
      <c r="D12" s="502"/>
      <c r="E12" s="503"/>
      <c r="F12" s="9"/>
      <c r="G12" s="9"/>
      <c r="H12" s="9"/>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row>
    <row r="13" spans="1:36" s="209" customFormat="1" ht="15.75" hidden="1" outlineLevel="1">
      <c r="A13" s="1087" t="s">
        <v>222</v>
      </c>
      <c r="B13" s="1088"/>
      <c r="C13" s="226"/>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row>
    <row r="14" spans="1:36" s="209" customFormat="1" ht="14.25" hidden="1" outlineLevel="1">
      <c r="A14" s="1239" t="s">
        <v>1247</v>
      </c>
      <c r="B14" s="1241"/>
      <c r="C14" s="9"/>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row>
    <row r="15" spans="1:36" s="209" customFormat="1" hidden="1" outlineLevel="1">
      <c r="A15" s="459" t="s">
        <v>821</v>
      </c>
      <c r="B15" s="460">
        <f>'Community Indicators'!B17</f>
        <v>727211</v>
      </c>
      <c r="C15" s="9"/>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row>
    <row r="16" spans="1:36" s="209" customFormat="1" hidden="1" outlineLevel="1">
      <c r="A16" s="459" t="s">
        <v>822</v>
      </c>
      <c r="B16" s="460">
        <v>2000000</v>
      </c>
      <c r="C16" s="9"/>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row>
    <row r="17" spans="1:36" ht="16.5" hidden="1" customHeight="1" outlineLevel="1">
      <c r="A17" s="6"/>
      <c r="B17" s="6"/>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row>
    <row r="18" spans="1:36" ht="25.15" hidden="1" customHeight="1" outlineLevel="1">
      <c r="A18" s="314" t="s">
        <v>819</v>
      </c>
      <c r="B18" s="682" t="s">
        <v>820</v>
      </c>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row>
    <row r="19" spans="1:36" ht="16.5" hidden="1" customHeight="1" outlineLevel="1">
      <c r="A19" s="459" t="s">
        <v>1252</v>
      </c>
      <c r="B19" s="460">
        <v>27838</v>
      </c>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row>
    <row r="20" spans="1:36" s="209" customFormat="1" ht="16.5" hidden="1" customHeight="1" outlineLevel="1">
      <c r="A20" s="459" t="s">
        <v>1251</v>
      </c>
      <c r="B20" s="460">
        <v>143</v>
      </c>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row>
    <row r="21" spans="1:36" ht="16.5" hidden="1" customHeight="1" outlineLevel="1">
      <c r="A21" s="459" t="s">
        <v>1248</v>
      </c>
      <c r="B21" s="460">
        <v>5523</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row>
    <row r="22" spans="1:36" s="209" customFormat="1" ht="16.5" hidden="1" customHeight="1" outlineLevel="1">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row>
    <row r="23" spans="1:36" s="209" customFormat="1" ht="15.75" hidden="1" outlineLevel="1">
      <c r="A23" s="1087" t="s">
        <v>1249</v>
      </c>
      <c r="B23" s="1088"/>
      <c r="C23" s="226"/>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row>
    <row r="24" spans="1:36" ht="16.5" hidden="1" customHeight="1" outlineLevel="1">
      <c r="A24" s="314" t="s">
        <v>1260</v>
      </c>
      <c r="B24" s="682" t="s">
        <v>820</v>
      </c>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row>
    <row r="25" spans="1:36" ht="16.5" hidden="1" customHeight="1" outlineLevel="1">
      <c r="A25" s="459" t="s">
        <v>1254</v>
      </c>
      <c r="B25" s="460">
        <f>($B$15/$B$16)*$B$19</f>
        <v>10122.049909000001</v>
      </c>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row>
    <row r="26" spans="1:36" ht="16.5" hidden="1" customHeight="1" outlineLevel="1">
      <c r="A26" s="459" t="s">
        <v>1255</v>
      </c>
      <c r="B26" s="460">
        <f>(1-$B$15/$B$16)*$B$19</f>
        <v>17715.950090999999</v>
      </c>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row>
    <row r="27" spans="1:36" s="209" customFormat="1" ht="16.5" hidden="1" customHeight="1" outlineLevel="1">
      <c r="A27" s="459" t="s">
        <v>1256</v>
      </c>
      <c r="B27" s="460">
        <f>($B$15/$B$16)*$B$20</f>
        <v>51.995586500000002</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row>
    <row r="28" spans="1:36" s="209" customFormat="1" ht="16.5" hidden="1" customHeight="1" outlineLevel="1">
      <c r="A28" s="459" t="s">
        <v>1258</v>
      </c>
      <c r="B28" s="460">
        <f>(1-$B$15/$B$16)*$B$20</f>
        <v>91.004413499999998</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row>
    <row r="29" spans="1:36" ht="16.5" hidden="1" customHeight="1" outlineLevel="1">
      <c r="A29" s="459" t="s">
        <v>1257</v>
      </c>
      <c r="B29" s="460">
        <f>($B$15/$B$16)*$B$21</f>
        <v>2008.1931765000002</v>
      </c>
      <c r="AE29" s="13"/>
      <c r="AF29" s="13"/>
      <c r="AG29" s="13"/>
      <c r="AH29" s="13"/>
      <c r="AI29" s="13"/>
      <c r="AJ29" s="13"/>
    </row>
    <row r="30" spans="1:36" ht="16.5" hidden="1" customHeight="1" outlineLevel="1">
      <c r="A30" s="459" t="s">
        <v>1259</v>
      </c>
      <c r="B30" s="460">
        <f>(1-$B$15/$B$16)*$B$21</f>
        <v>3514.8068235000001</v>
      </c>
      <c r="AE30" s="13"/>
      <c r="AF30" s="13"/>
      <c r="AG30" s="13"/>
      <c r="AH30" s="13"/>
      <c r="AI30" s="13"/>
      <c r="AJ30" s="13"/>
    </row>
    <row r="31" spans="1:36" ht="16.5" customHeight="1" collapsed="1">
      <c r="A31" s="9"/>
      <c r="B31" s="9"/>
      <c r="AE31" s="13"/>
      <c r="AF31" s="13"/>
      <c r="AG31" s="13"/>
      <c r="AH31" s="13"/>
      <c r="AI31" s="13"/>
      <c r="AJ31" s="13"/>
    </row>
    <row r="32" spans="1:36" ht="16.5" customHeight="1">
      <c r="A32" s="9"/>
      <c r="B32" s="9"/>
      <c r="AE32" s="13"/>
      <c r="AF32" s="13"/>
      <c r="AG32" s="13"/>
      <c r="AH32" s="13"/>
      <c r="AI32" s="13"/>
      <c r="AJ32" s="13"/>
    </row>
    <row r="33" spans="1:36" ht="16.5" customHeight="1">
      <c r="A33" s="9"/>
      <c r="B33" s="9"/>
      <c r="AE33" s="13"/>
      <c r="AF33" s="13"/>
      <c r="AG33" s="13"/>
      <c r="AH33" s="13"/>
      <c r="AI33" s="13"/>
      <c r="AJ33" s="13"/>
    </row>
    <row r="34" spans="1:36" ht="16.5" customHeight="1">
      <c r="A34" s="9"/>
      <c r="B34" s="9"/>
      <c r="AE34" s="13"/>
      <c r="AF34" s="13"/>
      <c r="AG34" s="13"/>
      <c r="AH34" s="13"/>
      <c r="AI34" s="13"/>
      <c r="AJ34" s="13"/>
    </row>
    <row r="35" spans="1:36" ht="16.5" customHeight="1">
      <c r="A35" s="9"/>
      <c r="B35" s="9"/>
      <c r="AE35" s="13"/>
      <c r="AF35" s="13"/>
      <c r="AG35" s="13"/>
      <c r="AH35" s="13"/>
      <c r="AI35" s="13"/>
      <c r="AJ35" s="13"/>
    </row>
    <row r="36" spans="1:36" ht="16.5" customHeight="1">
      <c r="A36" s="9"/>
      <c r="B36" s="9"/>
      <c r="AE36" s="13"/>
      <c r="AF36" s="13"/>
      <c r="AG36" s="13"/>
      <c r="AH36" s="13"/>
      <c r="AI36" s="13"/>
      <c r="AJ36" s="13"/>
    </row>
    <row r="37" spans="1:36" ht="16.5" customHeight="1">
      <c r="A37" s="9"/>
      <c r="B37" s="9"/>
      <c r="AE37" s="13"/>
      <c r="AF37" s="13"/>
      <c r="AG37" s="13"/>
      <c r="AH37" s="13"/>
      <c r="AI37" s="13"/>
      <c r="AJ37" s="13"/>
    </row>
    <row r="38" spans="1:36" ht="16.5" customHeight="1">
      <c r="A38" s="9"/>
      <c r="B38" s="9"/>
      <c r="AE38" s="13"/>
      <c r="AF38" s="13"/>
      <c r="AG38" s="13"/>
      <c r="AH38" s="13"/>
      <c r="AI38" s="13"/>
      <c r="AJ38" s="13"/>
    </row>
    <row r="39" spans="1:36" ht="16.5" customHeight="1">
      <c r="A39" s="9"/>
      <c r="B39" s="9"/>
      <c r="AE39" s="13"/>
      <c r="AF39" s="13"/>
      <c r="AG39" s="13"/>
      <c r="AH39" s="13"/>
      <c r="AI39" s="13"/>
      <c r="AJ39" s="13"/>
    </row>
    <row r="40" spans="1:36" ht="16.5" customHeight="1">
      <c r="A40" s="9"/>
      <c r="B40" s="9"/>
      <c r="AE40" s="13"/>
      <c r="AF40" s="13"/>
      <c r="AG40" s="13"/>
      <c r="AH40" s="13"/>
      <c r="AI40" s="13"/>
      <c r="AJ40" s="13"/>
    </row>
    <row r="41" spans="1:36" ht="16.5" customHeight="1">
      <c r="A41" s="9"/>
      <c r="B41" s="9"/>
      <c r="AE41" s="13"/>
      <c r="AF41" s="13"/>
      <c r="AG41" s="13"/>
      <c r="AH41" s="13"/>
      <c r="AI41" s="13"/>
      <c r="AJ41" s="13"/>
    </row>
    <row r="42" spans="1:36" ht="16.5" customHeight="1">
      <c r="A42" s="9"/>
      <c r="B42" s="9"/>
      <c r="AE42" s="13"/>
      <c r="AF42" s="13"/>
      <c r="AG42" s="13"/>
      <c r="AH42" s="13"/>
      <c r="AI42" s="13"/>
      <c r="AJ42" s="13"/>
    </row>
    <row r="43" spans="1:36" ht="16.5" customHeight="1">
      <c r="A43" s="9"/>
      <c r="B43" s="9"/>
      <c r="AE43" s="13"/>
      <c r="AF43" s="13"/>
      <c r="AG43" s="13"/>
      <c r="AH43" s="13"/>
      <c r="AI43" s="13"/>
      <c r="AJ43" s="13"/>
    </row>
    <row r="44" spans="1:36" ht="16.5" customHeight="1">
      <c r="A44" s="9"/>
      <c r="B44" s="9"/>
      <c r="AE44" s="13"/>
      <c r="AF44" s="13"/>
      <c r="AG44" s="13"/>
      <c r="AH44" s="13"/>
      <c r="AI44" s="13"/>
      <c r="AJ44" s="13"/>
    </row>
    <row r="45" spans="1:36" ht="16.5" customHeight="1">
      <c r="A45" s="9"/>
      <c r="B45" s="9"/>
      <c r="AE45" s="13"/>
      <c r="AF45" s="13"/>
      <c r="AG45" s="13"/>
      <c r="AH45" s="13"/>
      <c r="AI45" s="13"/>
      <c r="AJ45" s="13"/>
    </row>
    <row r="46" spans="1:36" ht="16.5" customHeight="1">
      <c r="A46" s="9"/>
      <c r="B46" s="9"/>
      <c r="AE46" s="13"/>
      <c r="AF46" s="13"/>
      <c r="AG46" s="13"/>
      <c r="AH46" s="13"/>
      <c r="AI46" s="13"/>
      <c r="AJ46" s="13"/>
    </row>
    <row r="47" spans="1:36" ht="16.5" customHeight="1">
      <c r="A47" s="9"/>
      <c r="B47" s="9"/>
      <c r="AE47" s="13"/>
      <c r="AF47" s="13"/>
      <c r="AG47" s="13"/>
      <c r="AH47" s="13"/>
      <c r="AI47" s="13"/>
      <c r="AJ47" s="13"/>
    </row>
    <row r="48" spans="1:36" ht="16.5" customHeight="1">
      <c r="A48" s="9"/>
      <c r="B48" s="9"/>
      <c r="AE48" s="13"/>
      <c r="AF48" s="13"/>
      <c r="AG48" s="13"/>
      <c r="AH48" s="13"/>
      <c r="AI48" s="13"/>
      <c r="AJ48" s="13"/>
    </row>
    <row r="49" spans="1:36" ht="16.5" customHeight="1">
      <c r="A49" s="9"/>
      <c r="B49" s="9"/>
      <c r="AE49" s="13"/>
      <c r="AF49" s="13"/>
      <c r="AG49" s="13"/>
      <c r="AH49" s="13"/>
      <c r="AI49" s="13"/>
      <c r="AJ49" s="13"/>
    </row>
    <row r="50" spans="1:36" ht="16.5" customHeight="1">
      <c r="A50" s="9"/>
      <c r="B50" s="9"/>
      <c r="AE50" s="13"/>
      <c r="AF50" s="13"/>
      <c r="AG50" s="13"/>
      <c r="AH50" s="13"/>
      <c r="AI50" s="13"/>
      <c r="AJ50" s="13"/>
    </row>
    <row r="51" spans="1:36" ht="16.5" customHeight="1">
      <c r="A51" s="9"/>
      <c r="B51" s="9"/>
      <c r="AE51" s="13"/>
      <c r="AF51" s="13"/>
      <c r="AG51" s="13"/>
      <c r="AH51" s="13"/>
      <c r="AI51" s="13"/>
      <c r="AJ51" s="13"/>
    </row>
    <row r="52" spans="1:36" ht="16.5" customHeight="1">
      <c r="A52" s="9"/>
      <c r="B52" s="9"/>
      <c r="AE52" s="13"/>
      <c r="AF52" s="13"/>
      <c r="AG52" s="13"/>
      <c r="AH52" s="13"/>
      <c r="AI52" s="13"/>
      <c r="AJ52" s="13"/>
    </row>
    <row r="53" spans="1:36" ht="16.5" customHeight="1">
      <c r="A53" s="9"/>
      <c r="B53" s="9"/>
      <c r="AE53" s="13"/>
      <c r="AF53" s="13"/>
      <c r="AG53" s="13"/>
      <c r="AH53" s="13"/>
      <c r="AI53" s="13"/>
      <c r="AJ53" s="13"/>
    </row>
    <row r="54" spans="1:36" ht="16.5" customHeight="1">
      <c r="A54" s="9"/>
      <c r="B54" s="9"/>
      <c r="AE54" s="13"/>
      <c r="AF54" s="13"/>
      <c r="AG54" s="13"/>
      <c r="AH54" s="13"/>
      <c r="AI54" s="13"/>
      <c r="AJ54" s="13"/>
    </row>
    <row r="55" spans="1:36" ht="16.5" customHeight="1">
      <c r="A55" s="9"/>
      <c r="B55" s="9"/>
      <c r="AE55" s="13"/>
      <c r="AF55" s="13"/>
      <c r="AG55" s="13"/>
      <c r="AH55" s="13"/>
      <c r="AI55" s="13"/>
      <c r="AJ55" s="13"/>
    </row>
    <row r="56" spans="1:36" ht="16.5" customHeight="1">
      <c r="A56" s="9"/>
      <c r="B56" s="9"/>
      <c r="AE56" s="13"/>
      <c r="AF56" s="13"/>
      <c r="AG56" s="13"/>
      <c r="AH56" s="13"/>
      <c r="AI56" s="13"/>
      <c r="AJ56" s="13"/>
    </row>
    <row r="57" spans="1:36" ht="16.5" customHeight="1">
      <c r="A57" s="9"/>
      <c r="B57" s="9"/>
      <c r="AE57" s="13"/>
      <c r="AF57" s="13"/>
      <c r="AG57" s="13"/>
      <c r="AH57" s="13"/>
      <c r="AI57" s="13"/>
      <c r="AJ57" s="13"/>
    </row>
    <row r="58" spans="1:36" ht="16.5" customHeight="1">
      <c r="A58" s="9"/>
      <c r="B58" s="9"/>
      <c r="AE58" s="13"/>
      <c r="AF58" s="13"/>
      <c r="AG58" s="13"/>
      <c r="AH58" s="13"/>
      <c r="AI58" s="13"/>
      <c r="AJ58" s="13"/>
    </row>
    <row r="59" spans="1:36" ht="16.5" customHeight="1">
      <c r="A59" s="9"/>
      <c r="B59" s="9"/>
      <c r="AE59" s="13"/>
      <c r="AF59" s="13"/>
      <c r="AG59" s="13"/>
      <c r="AH59" s="13"/>
      <c r="AI59" s="13"/>
      <c r="AJ59" s="13"/>
    </row>
    <row r="60" spans="1:36" ht="16.5" customHeight="1">
      <c r="A60" s="9"/>
      <c r="B60" s="9"/>
      <c r="AE60" s="13"/>
      <c r="AF60" s="13"/>
      <c r="AG60" s="13"/>
      <c r="AH60" s="13"/>
      <c r="AI60" s="13"/>
      <c r="AJ60" s="13"/>
    </row>
    <row r="61" spans="1:36" ht="16.5" customHeight="1">
      <c r="A61" s="9"/>
      <c r="B61" s="9"/>
      <c r="AE61" s="13"/>
      <c r="AF61" s="13"/>
      <c r="AG61" s="13"/>
      <c r="AH61" s="13"/>
      <c r="AI61" s="13"/>
      <c r="AJ61" s="13"/>
    </row>
    <row r="62" spans="1:36" ht="16.5" customHeight="1">
      <c r="A62" s="9"/>
      <c r="B62" s="9"/>
      <c r="AE62" s="13"/>
      <c r="AF62" s="13"/>
      <c r="AG62" s="13"/>
      <c r="AH62" s="13"/>
      <c r="AI62" s="13"/>
      <c r="AJ62" s="13"/>
    </row>
    <row r="63" spans="1:36" ht="16.5" customHeight="1">
      <c r="A63" s="9"/>
      <c r="B63" s="9"/>
      <c r="AE63" s="13"/>
      <c r="AF63" s="13"/>
      <c r="AG63" s="13"/>
      <c r="AH63" s="13"/>
      <c r="AI63" s="13"/>
      <c r="AJ63" s="13"/>
    </row>
    <row r="64" spans="1:36" ht="16.5" customHeight="1">
      <c r="A64" s="9"/>
      <c r="B64" s="9"/>
      <c r="AE64" s="13"/>
      <c r="AF64" s="13"/>
      <c r="AG64" s="13"/>
      <c r="AH64" s="13"/>
      <c r="AI64" s="13"/>
      <c r="AJ64" s="13"/>
    </row>
    <row r="65" spans="1:36" ht="16.5" customHeight="1">
      <c r="A65" s="9"/>
      <c r="B65" s="9"/>
      <c r="AE65" s="13"/>
      <c r="AF65" s="13"/>
      <c r="AG65" s="13"/>
      <c r="AH65" s="13"/>
      <c r="AI65" s="13"/>
      <c r="AJ65" s="13"/>
    </row>
    <row r="66" spans="1:36" ht="16.5" customHeight="1">
      <c r="A66" s="9"/>
      <c r="B66" s="9"/>
      <c r="AE66" s="13"/>
      <c r="AF66" s="13"/>
      <c r="AG66" s="13"/>
      <c r="AH66" s="13"/>
      <c r="AI66" s="13"/>
      <c r="AJ66" s="13"/>
    </row>
    <row r="67" spans="1:36" ht="16.5" customHeight="1">
      <c r="A67" s="9"/>
      <c r="B67" s="9"/>
      <c r="AE67" s="13"/>
      <c r="AF67" s="13"/>
      <c r="AG67" s="13"/>
      <c r="AH67" s="13"/>
      <c r="AI67" s="13"/>
      <c r="AJ67" s="13"/>
    </row>
    <row r="68" spans="1:36" ht="16.5" customHeight="1">
      <c r="A68" s="9"/>
      <c r="B68" s="9"/>
      <c r="AE68" s="13"/>
      <c r="AF68" s="13"/>
      <c r="AG68" s="13"/>
      <c r="AH68" s="13"/>
      <c r="AI68" s="13"/>
      <c r="AJ68" s="13"/>
    </row>
    <row r="69" spans="1:36" ht="16.5" customHeight="1">
      <c r="A69" s="9"/>
      <c r="B69" s="9"/>
      <c r="AE69" s="13"/>
      <c r="AF69" s="13"/>
      <c r="AG69" s="13"/>
      <c r="AH69" s="13"/>
      <c r="AI69" s="13"/>
      <c r="AJ69" s="13"/>
    </row>
    <row r="70" spans="1:36" ht="16.5" customHeight="1">
      <c r="A70" s="9"/>
      <c r="B70" s="9"/>
      <c r="AE70" s="13"/>
      <c r="AF70" s="13"/>
      <c r="AG70" s="13"/>
      <c r="AH70" s="13"/>
      <c r="AI70" s="13"/>
      <c r="AJ70" s="13"/>
    </row>
    <row r="71" spans="1:36" ht="16.5" customHeight="1">
      <c r="A71" s="9"/>
      <c r="B71" s="9"/>
      <c r="AE71" s="13"/>
      <c r="AF71" s="13"/>
      <c r="AG71" s="13"/>
      <c r="AH71" s="13"/>
      <c r="AI71" s="13"/>
      <c r="AJ71" s="13"/>
    </row>
    <row r="72" spans="1:36" ht="16.5" customHeight="1">
      <c r="A72" s="9"/>
      <c r="B72" s="9"/>
      <c r="AE72" s="13"/>
      <c r="AF72" s="13"/>
      <c r="AG72" s="13"/>
      <c r="AH72" s="13"/>
      <c r="AI72" s="13"/>
      <c r="AJ72" s="13"/>
    </row>
    <row r="73" spans="1:36" ht="16.5" customHeight="1">
      <c r="A73" s="9"/>
      <c r="B73" s="9"/>
      <c r="AE73" s="13"/>
      <c r="AF73" s="13"/>
      <c r="AG73" s="13"/>
      <c r="AH73" s="13"/>
      <c r="AI73" s="13"/>
      <c r="AJ73" s="13"/>
    </row>
    <row r="74" spans="1:36" ht="16.5" customHeight="1">
      <c r="A74" s="9"/>
      <c r="B74" s="9"/>
      <c r="AE74" s="13"/>
      <c r="AF74" s="13"/>
      <c r="AG74" s="13"/>
      <c r="AH74" s="13"/>
      <c r="AI74" s="13"/>
      <c r="AJ74" s="13"/>
    </row>
    <row r="75" spans="1:36" ht="16.5" customHeight="1">
      <c r="A75" s="9"/>
      <c r="B75" s="9"/>
      <c r="AE75" s="13"/>
      <c r="AF75" s="13"/>
      <c r="AG75" s="13"/>
      <c r="AH75" s="13"/>
      <c r="AI75" s="13"/>
      <c r="AJ75" s="13"/>
    </row>
    <row r="76" spans="1:36" ht="16.5" customHeight="1">
      <c r="A76" s="9"/>
      <c r="B76" s="9"/>
      <c r="AE76" s="13"/>
      <c r="AF76" s="13"/>
      <c r="AG76" s="13"/>
      <c r="AH76" s="13"/>
      <c r="AI76" s="13"/>
      <c r="AJ76" s="13"/>
    </row>
    <row r="77" spans="1:36" ht="16.5" customHeight="1">
      <c r="A77" s="9"/>
      <c r="B77" s="9"/>
      <c r="AE77" s="13"/>
      <c r="AF77" s="13"/>
      <c r="AG77" s="13"/>
      <c r="AH77" s="13"/>
      <c r="AI77" s="13"/>
      <c r="AJ77" s="13"/>
    </row>
    <row r="78" spans="1:36" ht="16.5" customHeight="1">
      <c r="A78" s="9"/>
      <c r="B78" s="9"/>
      <c r="AE78" s="13"/>
      <c r="AF78" s="13"/>
      <c r="AG78" s="13"/>
      <c r="AH78" s="13"/>
      <c r="AI78" s="13"/>
      <c r="AJ78" s="13"/>
    </row>
    <row r="79" spans="1:36" ht="16.5" customHeight="1">
      <c r="A79" s="9"/>
      <c r="B79" s="9"/>
      <c r="AE79" s="13"/>
      <c r="AF79" s="13"/>
      <c r="AG79" s="13"/>
      <c r="AH79" s="13"/>
      <c r="AI79" s="13"/>
      <c r="AJ79" s="13"/>
    </row>
    <row r="80" spans="1:36" ht="16.5" customHeight="1">
      <c r="A80" s="9"/>
      <c r="B80" s="9"/>
      <c r="AE80" s="13"/>
      <c r="AF80" s="13"/>
      <c r="AG80" s="13"/>
      <c r="AH80" s="13"/>
      <c r="AI80" s="13"/>
      <c r="AJ80" s="13"/>
    </row>
    <row r="81" spans="1:36" ht="16.5" customHeight="1">
      <c r="A81" s="9"/>
      <c r="B81" s="9"/>
      <c r="AE81" s="13"/>
      <c r="AF81" s="13"/>
      <c r="AG81" s="13"/>
      <c r="AH81" s="13"/>
      <c r="AI81" s="13"/>
      <c r="AJ81" s="13"/>
    </row>
    <row r="82" spans="1:36" ht="16.5" customHeight="1">
      <c r="A82" s="9"/>
      <c r="B82" s="9"/>
      <c r="AE82" s="13"/>
      <c r="AF82" s="13"/>
      <c r="AG82" s="13"/>
      <c r="AH82" s="13"/>
      <c r="AI82" s="13"/>
      <c r="AJ82" s="13"/>
    </row>
    <row r="83" spans="1:36" ht="16.5" customHeight="1">
      <c r="A83" s="9"/>
      <c r="B83" s="9"/>
      <c r="AE83" s="13"/>
      <c r="AF83" s="13"/>
      <c r="AG83" s="13"/>
      <c r="AH83" s="13"/>
      <c r="AI83" s="13"/>
      <c r="AJ83" s="13"/>
    </row>
    <row r="84" spans="1:36" ht="16.5" customHeight="1">
      <c r="A84" s="9"/>
      <c r="B84" s="9"/>
      <c r="AE84" s="13"/>
      <c r="AF84" s="13"/>
      <c r="AG84" s="13"/>
      <c r="AH84" s="13"/>
      <c r="AI84" s="13"/>
      <c r="AJ84" s="13"/>
    </row>
    <row r="85" spans="1:36" ht="16.5" customHeight="1">
      <c r="A85" s="9"/>
      <c r="B85" s="9"/>
      <c r="AE85" s="13"/>
      <c r="AF85" s="13"/>
      <c r="AG85" s="13"/>
      <c r="AH85" s="13"/>
      <c r="AI85" s="13"/>
      <c r="AJ85" s="13"/>
    </row>
    <row r="86" spans="1:36" ht="16.5" customHeight="1">
      <c r="A86" s="9"/>
      <c r="B86" s="9"/>
      <c r="AE86" s="13"/>
      <c r="AF86" s="13"/>
      <c r="AG86" s="13"/>
      <c r="AH86" s="13"/>
      <c r="AI86" s="13"/>
      <c r="AJ86" s="13"/>
    </row>
    <row r="87" spans="1:36" ht="16.5" customHeight="1">
      <c r="A87" s="9"/>
      <c r="B87" s="9"/>
      <c r="AE87" s="13"/>
      <c r="AF87" s="13"/>
      <c r="AG87" s="13"/>
      <c r="AH87" s="13"/>
      <c r="AI87" s="13"/>
      <c r="AJ87" s="13"/>
    </row>
    <row r="88" spans="1:36" ht="16.5" customHeight="1">
      <c r="A88" s="9"/>
      <c r="B88" s="9"/>
      <c r="AE88" s="13"/>
      <c r="AF88" s="13"/>
      <c r="AG88" s="13"/>
      <c r="AH88" s="13"/>
      <c r="AI88" s="13"/>
      <c r="AJ88" s="13"/>
    </row>
    <row r="89" spans="1:36" ht="16.5" customHeight="1">
      <c r="A89" s="9"/>
      <c r="B89" s="9"/>
      <c r="AE89" s="13"/>
      <c r="AF89" s="13"/>
      <c r="AG89" s="13"/>
      <c r="AH89" s="13"/>
      <c r="AI89" s="13"/>
      <c r="AJ89" s="13"/>
    </row>
    <row r="90" spans="1:36" ht="16.5" customHeight="1">
      <c r="A90" s="9"/>
      <c r="B90" s="9"/>
      <c r="AE90" s="13"/>
      <c r="AF90" s="13"/>
      <c r="AG90" s="13"/>
      <c r="AH90" s="13"/>
      <c r="AI90" s="13"/>
      <c r="AJ90" s="13"/>
    </row>
    <row r="91" spans="1:36" ht="16.5" customHeight="1">
      <c r="A91" s="9"/>
      <c r="B91" s="9"/>
      <c r="AE91" s="13"/>
      <c r="AF91" s="13"/>
      <c r="AG91" s="13"/>
      <c r="AH91" s="13"/>
      <c r="AI91" s="13"/>
      <c r="AJ91" s="13"/>
    </row>
    <row r="92" spans="1:36" ht="16.5" customHeight="1">
      <c r="A92" s="9"/>
      <c r="B92" s="9"/>
      <c r="AE92" s="13"/>
      <c r="AF92" s="13"/>
      <c r="AG92" s="13"/>
      <c r="AH92" s="13"/>
      <c r="AI92" s="13"/>
      <c r="AJ92" s="13"/>
    </row>
    <row r="93" spans="1:36" ht="16.5" customHeight="1">
      <c r="A93" s="9"/>
      <c r="B93" s="9"/>
      <c r="AE93" s="13"/>
      <c r="AF93" s="13"/>
      <c r="AG93" s="13"/>
      <c r="AH93" s="13"/>
      <c r="AI93" s="13"/>
      <c r="AJ93" s="13"/>
    </row>
    <row r="94" spans="1:36" ht="16.5" customHeight="1">
      <c r="A94" s="9"/>
      <c r="B94" s="9"/>
      <c r="AE94" s="13"/>
      <c r="AF94" s="13"/>
      <c r="AG94" s="13"/>
      <c r="AH94" s="13"/>
      <c r="AI94" s="13"/>
      <c r="AJ94" s="13"/>
    </row>
    <row r="95" spans="1:36" ht="16.5" customHeight="1">
      <c r="A95" s="9"/>
      <c r="B95" s="9"/>
      <c r="AE95" s="13"/>
      <c r="AF95" s="13"/>
      <c r="AG95" s="13"/>
      <c r="AH95" s="13"/>
      <c r="AI95" s="13"/>
      <c r="AJ95" s="13"/>
    </row>
    <row r="96" spans="1:36" ht="16.5" customHeight="1">
      <c r="A96" s="9"/>
      <c r="B96" s="9"/>
      <c r="AE96" s="13"/>
      <c r="AF96" s="13"/>
      <c r="AG96" s="13"/>
      <c r="AH96" s="13"/>
      <c r="AI96" s="13"/>
      <c r="AJ96" s="13"/>
    </row>
    <row r="97" spans="1:36" ht="16.5" customHeight="1">
      <c r="A97" s="9"/>
      <c r="B97" s="9"/>
      <c r="AE97" s="13"/>
      <c r="AF97" s="13"/>
      <c r="AG97" s="13"/>
      <c r="AH97" s="13"/>
      <c r="AI97" s="13"/>
      <c r="AJ97" s="13"/>
    </row>
    <row r="98" spans="1:36" ht="16.5" customHeight="1">
      <c r="A98" s="9"/>
      <c r="B98" s="9"/>
      <c r="AE98" s="13"/>
      <c r="AF98" s="13"/>
      <c r="AG98" s="13"/>
      <c r="AH98" s="13"/>
      <c r="AI98" s="13"/>
      <c r="AJ98" s="13"/>
    </row>
    <row r="99" spans="1:36" ht="16.5" customHeight="1">
      <c r="A99" s="9"/>
      <c r="B99" s="9"/>
      <c r="AE99" s="13"/>
      <c r="AF99" s="13"/>
      <c r="AG99" s="13"/>
      <c r="AH99" s="13"/>
      <c r="AI99" s="13"/>
      <c r="AJ99" s="13"/>
    </row>
    <row r="100" spans="1:36" ht="16.5" customHeight="1">
      <c r="A100" s="9"/>
      <c r="B100" s="9"/>
      <c r="AE100" s="13"/>
      <c r="AF100" s="13"/>
      <c r="AG100" s="13"/>
      <c r="AH100" s="13"/>
      <c r="AI100" s="13"/>
      <c r="AJ100" s="13"/>
    </row>
    <row r="101" spans="1:36" ht="16.5" customHeight="1">
      <c r="A101" s="9"/>
      <c r="B101" s="9"/>
      <c r="AE101" s="13"/>
      <c r="AF101" s="13"/>
      <c r="AG101" s="13"/>
      <c r="AH101" s="13"/>
      <c r="AI101" s="13"/>
      <c r="AJ101" s="13"/>
    </row>
    <row r="102" spans="1:36" ht="16.5" customHeight="1">
      <c r="A102" s="9"/>
      <c r="B102" s="9"/>
      <c r="AE102" s="13"/>
      <c r="AF102" s="13"/>
      <c r="AG102" s="13"/>
      <c r="AH102" s="13"/>
      <c r="AI102" s="13"/>
      <c r="AJ102" s="13"/>
    </row>
    <row r="103" spans="1:36" ht="16.5" customHeight="1">
      <c r="A103" s="9"/>
      <c r="B103" s="9"/>
      <c r="AE103" s="13"/>
      <c r="AF103" s="13"/>
      <c r="AG103" s="13"/>
      <c r="AH103" s="13"/>
      <c r="AI103" s="13"/>
      <c r="AJ103" s="13"/>
    </row>
    <row r="104" spans="1:36" ht="16.5" customHeight="1">
      <c r="A104" s="9"/>
      <c r="B104" s="9"/>
      <c r="AE104" s="13"/>
      <c r="AF104" s="13"/>
      <c r="AG104" s="13"/>
      <c r="AH104" s="13"/>
      <c r="AI104" s="13"/>
      <c r="AJ104" s="13"/>
    </row>
    <row r="105" spans="1:36" ht="16.5" customHeight="1">
      <c r="A105" s="9"/>
      <c r="B105" s="9"/>
      <c r="AE105" s="13"/>
      <c r="AF105" s="13"/>
      <c r="AG105" s="13"/>
      <c r="AH105" s="13"/>
      <c r="AI105" s="13"/>
      <c r="AJ105" s="13"/>
    </row>
    <row r="106" spans="1:36" ht="16.5" customHeight="1">
      <c r="A106" s="9"/>
      <c r="B106" s="9"/>
      <c r="AE106" s="13"/>
      <c r="AF106" s="13"/>
      <c r="AG106" s="13"/>
      <c r="AH106" s="13"/>
      <c r="AI106" s="13"/>
      <c r="AJ106" s="13"/>
    </row>
    <row r="107" spans="1:36" ht="16.5" customHeight="1">
      <c r="A107" s="9"/>
      <c r="B107" s="9"/>
      <c r="AE107" s="13"/>
      <c r="AF107" s="13"/>
      <c r="AG107" s="13"/>
      <c r="AH107" s="13"/>
      <c r="AI107" s="13"/>
      <c r="AJ107" s="13"/>
    </row>
    <row r="108" spans="1:36" ht="16.5" customHeight="1">
      <c r="A108" s="9"/>
      <c r="B108" s="9"/>
      <c r="AE108" s="13"/>
      <c r="AF108" s="13"/>
      <c r="AG108" s="13"/>
      <c r="AH108" s="13"/>
      <c r="AI108" s="13"/>
      <c r="AJ108" s="13"/>
    </row>
    <row r="109" spans="1:36" ht="16.5" customHeight="1">
      <c r="A109" s="9"/>
      <c r="B109" s="9"/>
      <c r="AE109" s="13"/>
      <c r="AF109" s="13"/>
      <c r="AG109" s="13"/>
      <c r="AH109" s="13"/>
      <c r="AI109" s="13"/>
      <c r="AJ109" s="13"/>
    </row>
    <row r="110" spans="1:36" ht="16.5" customHeight="1">
      <c r="A110" s="9"/>
      <c r="B110" s="9"/>
      <c r="AE110" s="13"/>
      <c r="AF110" s="13"/>
      <c r="AG110" s="13"/>
      <c r="AH110" s="13"/>
      <c r="AI110" s="13"/>
      <c r="AJ110" s="13"/>
    </row>
    <row r="111" spans="1:36" ht="16.5" customHeight="1">
      <c r="A111" s="9"/>
      <c r="B111" s="9"/>
      <c r="AE111" s="13"/>
      <c r="AF111" s="13"/>
      <c r="AG111" s="13"/>
      <c r="AH111" s="13"/>
      <c r="AI111" s="13"/>
      <c r="AJ111" s="13"/>
    </row>
    <row r="112" spans="1:36" ht="16.5" customHeight="1">
      <c r="A112" s="9"/>
      <c r="B112" s="9"/>
      <c r="AE112" s="13"/>
      <c r="AF112" s="13"/>
      <c r="AG112" s="13"/>
      <c r="AH112" s="13"/>
      <c r="AI112" s="13"/>
      <c r="AJ112" s="13"/>
    </row>
    <row r="113" spans="1:36" ht="16.5" customHeight="1">
      <c r="A113" s="9"/>
      <c r="B113" s="9"/>
      <c r="AE113" s="13"/>
      <c r="AF113" s="13"/>
      <c r="AG113" s="13"/>
      <c r="AH113" s="13"/>
      <c r="AI113" s="13"/>
      <c r="AJ113" s="13"/>
    </row>
    <row r="114" spans="1:36" ht="16.5" customHeight="1">
      <c r="A114" s="9"/>
      <c r="B114" s="9"/>
      <c r="AE114" s="13"/>
      <c r="AF114" s="13"/>
      <c r="AG114" s="13"/>
      <c r="AH114" s="13"/>
      <c r="AI114" s="13"/>
      <c r="AJ114" s="13"/>
    </row>
    <row r="115" spans="1:36" ht="16.5" customHeight="1">
      <c r="A115" s="9"/>
      <c r="B115" s="9"/>
      <c r="AE115" s="13"/>
      <c r="AF115" s="13"/>
      <c r="AG115" s="13"/>
      <c r="AH115" s="13"/>
      <c r="AI115" s="13"/>
      <c r="AJ115" s="13"/>
    </row>
    <row r="116" spans="1:36" ht="16.5" customHeight="1">
      <c r="A116" s="9"/>
      <c r="B116" s="9"/>
      <c r="AE116" s="13"/>
      <c r="AF116" s="13"/>
      <c r="AG116" s="13"/>
      <c r="AH116" s="13"/>
      <c r="AI116" s="13"/>
      <c r="AJ116" s="13"/>
    </row>
    <row r="117" spans="1:36" ht="16.5" customHeight="1">
      <c r="A117" s="9"/>
      <c r="B117" s="9"/>
      <c r="AE117" s="13"/>
      <c r="AF117" s="13"/>
      <c r="AG117" s="13"/>
      <c r="AH117" s="13"/>
      <c r="AI117" s="13"/>
      <c r="AJ117" s="13"/>
    </row>
    <row r="118" spans="1:36" ht="16.5" customHeight="1">
      <c r="A118" s="9"/>
      <c r="B118" s="9"/>
      <c r="AE118" s="13"/>
      <c r="AF118" s="13"/>
      <c r="AG118" s="13"/>
      <c r="AH118" s="13"/>
      <c r="AI118" s="13"/>
      <c r="AJ118" s="13"/>
    </row>
    <row r="119" spans="1:36" ht="16.5" customHeight="1">
      <c r="A119" s="9"/>
      <c r="B119" s="9"/>
      <c r="AE119" s="13"/>
      <c r="AF119" s="13"/>
      <c r="AG119" s="13"/>
      <c r="AH119" s="13"/>
      <c r="AI119" s="13"/>
      <c r="AJ119" s="13"/>
    </row>
    <row r="120" spans="1:36" ht="16.5" customHeight="1">
      <c r="A120" s="9"/>
      <c r="B120" s="9"/>
      <c r="AE120" s="13"/>
      <c r="AF120" s="13"/>
      <c r="AG120" s="13"/>
      <c r="AH120" s="13"/>
      <c r="AI120" s="13"/>
      <c r="AJ120" s="13"/>
    </row>
    <row r="121" spans="1:36" ht="16.5" customHeight="1">
      <c r="A121" s="9"/>
      <c r="B121" s="9"/>
      <c r="AE121" s="13"/>
      <c r="AF121" s="13"/>
      <c r="AG121" s="13"/>
      <c r="AH121" s="13"/>
      <c r="AI121" s="13"/>
      <c r="AJ121" s="13"/>
    </row>
    <row r="122" spans="1:36" ht="16.5" customHeight="1">
      <c r="A122" s="9"/>
      <c r="B122" s="9"/>
      <c r="AE122" s="13"/>
      <c r="AF122" s="13"/>
      <c r="AG122" s="13"/>
      <c r="AH122" s="13"/>
      <c r="AI122" s="13"/>
      <c r="AJ122" s="13"/>
    </row>
    <row r="123" spans="1:36" ht="16.5" customHeight="1">
      <c r="A123" s="9"/>
      <c r="B123" s="9"/>
      <c r="AE123" s="13"/>
      <c r="AF123" s="13"/>
      <c r="AG123" s="13"/>
      <c r="AH123" s="13"/>
      <c r="AI123" s="13"/>
      <c r="AJ123" s="13"/>
    </row>
    <row r="124" spans="1:36" ht="16.5" customHeight="1">
      <c r="A124" s="9"/>
      <c r="B124" s="9"/>
      <c r="AE124" s="13"/>
      <c r="AF124" s="13"/>
      <c r="AG124" s="13"/>
      <c r="AH124" s="13"/>
      <c r="AI124" s="13"/>
      <c r="AJ124" s="13"/>
    </row>
    <row r="125" spans="1:36" ht="16.5" customHeight="1">
      <c r="A125" s="9"/>
      <c r="B125" s="9"/>
      <c r="AE125" s="13"/>
      <c r="AF125" s="13"/>
      <c r="AG125" s="13"/>
      <c r="AH125" s="13"/>
      <c r="AI125" s="13"/>
      <c r="AJ125" s="13"/>
    </row>
    <row r="126" spans="1:36" ht="16.5" customHeight="1">
      <c r="A126" s="9"/>
      <c r="B126" s="9"/>
      <c r="AE126" s="13"/>
      <c r="AF126" s="13"/>
      <c r="AG126" s="13"/>
      <c r="AH126" s="13"/>
      <c r="AI126" s="13"/>
      <c r="AJ126" s="13"/>
    </row>
    <row r="127" spans="1:36" ht="16.5" customHeight="1">
      <c r="A127" s="9"/>
      <c r="B127" s="9"/>
      <c r="AE127" s="13"/>
      <c r="AF127" s="13"/>
      <c r="AG127" s="13"/>
      <c r="AH127" s="13"/>
      <c r="AI127" s="13"/>
      <c r="AJ127" s="13"/>
    </row>
    <row r="128" spans="1:36" ht="16.5" customHeight="1">
      <c r="A128" s="9"/>
      <c r="B128" s="9"/>
      <c r="AE128" s="13"/>
      <c r="AF128" s="13"/>
      <c r="AG128" s="13"/>
      <c r="AH128" s="13"/>
      <c r="AI128" s="13"/>
      <c r="AJ128" s="13"/>
    </row>
    <row r="129" spans="1:36" ht="16.5" customHeight="1">
      <c r="A129" s="9"/>
      <c r="B129" s="9"/>
      <c r="AE129" s="13"/>
      <c r="AF129" s="13"/>
      <c r="AG129" s="13"/>
      <c r="AH129" s="13"/>
      <c r="AI129" s="13"/>
      <c r="AJ129" s="13"/>
    </row>
    <row r="130" spans="1:36" ht="16.5" customHeight="1">
      <c r="A130" s="9"/>
      <c r="B130" s="9"/>
      <c r="AE130" s="13"/>
      <c r="AF130" s="13"/>
      <c r="AG130" s="13"/>
      <c r="AH130" s="13"/>
      <c r="AI130" s="13"/>
      <c r="AJ130" s="13"/>
    </row>
    <row r="131" spans="1:36" ht="16.5" customHeight="1">
      <c r="A131" s="9"/>
      <c r="B131" s="9"/>
      <c r="AE131" s="13"/>
      <c r="AF131" s="13"/>
      <c r="AG131" s="13"/>
      <c r="AH131" s="13"/>
      <c r="AI131" s="13"/>
      <c r="AJ131" s="13"/>
    </row>
    <row r="132" spans="1:36" ht="16.5" customHeight="1">
      <c r="A132" s="9"/>
      <c r="B132" s="9"/>
      <c r="AE132" s="13"/>
      <c r="AF132" s="13"/>
      <c r="AG132" s="13"/>
      <c r="AH132" s="13"/>
      <c r="AI132" s="13"/>
      <c r="AJ132" s="13"/>
    </row>
    <row r="133" spans="1:36" ht="16.5" customHeight="1">
      <c r="A133" s="9"/>
      <c r="B133" s="9"/>
      <c r="AE133" s="13"/>
      <c r="AF133" s="13"/>
      <c r="AG133" s="13"/>
      <c r="AH133" s="13"/>
      <c r="AI133" s="13"/>
      <c r="AJ133" s="13"/>
    </row>
    <row r="134" spans="1:36" ht="16.5" customHeight="1">
      <c r="A134" s="9"/>
      <c r="B134" s="9"/>
      <c r="AE134" s="13"/>
      <c r="AF134" s="13"/>
      <c r="AG134" s="13"/>
      <c r="AH134" s="13"/>
      <c r="AI134" s="13"/>
      <c r="AJ134" s="13"/>
    </row>
    <row r="135" spans="1:36" ht="16.5" customHeight="1">
      <c r="A135" s="9"/>
      <c r="B135" s="9"/>
      <c r="AE135" s="13"/>
      <c r="AF135" s="13"/>
      <c r="AG135" s="13"/>
      <c r="AH135" s="13"/>
      <c r="AI135" s="13"/>
      <c r="AJ135" s="13"/>
    </row>
    <row r="136" spans="1:36" ht="16.5" customHeight="1">
      <c r="A136" s="9"/>
      <c r="B136" s="9"/>
      <c r="AE136" s="13"/>
      <c r="AF136" s="13"/>
      <c r="AG136" s="13"/>
      <c r="AH136" s="13"/>
      <c r="AI136" s="13"/>
      <c r="AJ136" s="13"/>
    </row>
    <row r="137" spans="1:36" ht="16.5" customHeight="1">
      <c r="A137" s="9"/>
      <c r="B137" s="9"/>
      <c r="AE137" s="13"/>
      <c r="AF137" s="13"/>
      <c r="AG137" s="13"/>
      <c r="AH137" s="13"/>
      <c r="AI137" s="13"/>
      <c r="AJ137" s="13"/>
    </row>
    <row r="138" spans="1:36" ht="16.5" customHeight="1">
      <c r="A138" s="9"/>
      <c r="B138" s="9"/>
      <c r="AE138" s="13"/>
      <c r="AF138" s="13"/>
      <c r="AG138" s="13"/>
      <c r="AH138" s="13"/>
      <c r="AI138" s="13"/>
      <c r="AJ138" s="13"/>
    </row>
    <row r="139" spans="1:36" ht="16.5" customHeight="1">
      <c r="A139" s="9"/>
      <c r="B139" s="9"/>
      <c r="AE139" s="13"/>
      <c r="AF139" s="13"/>
      <c r="AG139" s="13"/>
      <c r="AH139" s="13"/>
      <c r="AI139" s="13"/>
      <c r="AJ139" s="13"/>
    </row>
    <row r="140" spans="1:36" ht="16.5" customHeight="1">
      <c r="A140" s="9"/>
      <c r="B140" s="9"/>
      <c r="AE140" s="13"/>
      <c r="AF140" s="13"/>
      <c r="AG140" s="13"/>
      <c r="AH140" s="13"/>
      <c r="AI140" s="13"/>
      <c r="AJ140" s="13"/>
    </row>
    <row r="141" spans="1:36" ht="16.5" customHeight="1">
      <c r="A141" s="9"/>
      <c r="B141" s="9"/>
      <c r="AE141" s="13"/>
      <c r="AF141" s="13"/>
      <c r="AG141" s="13"/>
      <c r="AH141" s="13"/>
      <c r="AI141" s="13"/>
      <c r="AJ141" s="13"/>
    </row>
    <row r="142" spans="1:36" ht="16.5" customHeight="1">
      <c r="A142" s="9"/>
      <c r="B142" s="9"/>
      <c r="AE142" s="13"/>
      <c r="AF142" s="13"/>
      <c r="AG142" s="13"/>
      <c r="AH142" s="13"/>
      <c r="AI142" s="13"/>
      <c r="AJ142" s="13"/>
    </row>
    <row r="143" spans="1:36" ht="16.5" customHeight="1">
      <c r="A143" s="9"/>
      <c r="B143" s="9"/>
      <c r="AE143" s="13"/>
      <c r="AF143" s="13"/>
      <c r="AG143" s="13"/>
      <c r="AH143" s="13"/>
      <c r="AI143" s="13"/>
      <c r="AJ143" s="13"/>
    </row>
    <row r="144" spans="1:36" ht="16.5" customHeight="1">
      <c r="A144" s="9"/>
      <c r="B144" s="9"/>
      <c r="AE144" s="13"/>
      <c r="AF144" s="13"/>
      <c r="AG144" s="13"/>
      <c r="AH144" s="13"/>
      <c r="AI144" s="13"/>
      <c r="AJ144" s="13"/>
    </row>
    <row r="145" spans="1:36" ht="16.5" customHeight="1">
      <c r="A145" s="9"/>
      <c r="B145" s="9"/>
      <c r="AE145" s="13"/>
      <c r="AF145" s="13"/>
      <c r="AG145" s="13"/>
      <c r="AH145" s="13"/>
      <c r="AI145" s="13"/>
      <c r="AJ145" s="13"/>
    </row>
    <row r="146" spans="1:36" ht="16.5" customHeight="1">
      <c r="A146" s="9"/>
      <c r="B146" s="9"/>
      <c r="AE146" s="13"/>
      <c r="AF146" s="13"/>
      <c r="AG146" s="13"/>
      <c r="AH146" s="13"/>
      <c r="AI146" s="13"/>
      <c r="AJ146" s="13"/>
    </row>
    <row r="147" spans="1:36" ht="16.5" customHeight="1">
      <c r="A147" s="9"/>
      <c r="B147" s="9"/>
      <c r="AE147" s="13"/>
      <c r="AF147" s="13"/>
      <c r="AG147" s="13"/>
      <c r="AH147" s="13"/>
      <c r="AI147" s="13"/>
      <c r="AJ147" s="13"/>
    </row>
    <row r="148" spans="1:36" ht="16.5" customHeight="1">
      <c r="A148" s="9"/>
      <c r="B148" s="9"/>
      <c r="AE148" s="13"/>
      <c r="AF148" s="13"/>
      <c r="AG148" s="13"/>
      <c r="AH148" s="13"/>
      <c r="AI148" s="13"/>
      <c r="AJ148" s="13"/>
    </row>
    <row r="149" spans="1:36" ht="16.5" customHeight="1">
      <c r="A149" s="9"/>
      <c r="B149" s="9"/>
      <c r="AE149" s="13"/>
      <c r="AF149" s="13"/>
      <c r="AG149" s="13"/>
      <c r="AH149" s="13"/>
      <c r="AI149" s="13"/>
      <c r="AJ149" s="13"/>
    </row>
    <row r="150" spans="1:36" ht="16.5" customHeight="1">
      <c r="A150" s="9"/>
      <c r="B150" s="9"/>
      <c r="AE150" s="13"/>
      <c r="AF150" s="13"/>
      <c r="AG150" s="13"/>
      <c r="AH150" s="13"/>
      <c r="AI150" s="13"/>
      <c r="AJ150" s="13"/>
    </row>
    <row r="151" spans="1:36" ht="16.5" customHeight="1">
      <c r="A151" s="9"/>
      <c r="B151" s="9"/>
      <c r="AE151" s="13"/>
      <c r="AF151" s="13"/>
      <c r="AG151" s="13"/>
      <c r="AH151" s="13"/>
      <c r="AI151" s="13"/>
      <c r="AJ151" s="13"/>
    </row>
    <row r="152" spans="1:36" ht="16.5" customHeight="1">
      <c r="A152" s="9"/>
      <c r="B152" s="9"/>
      <c r="AE152" s="13"/>
      <c r="AF152" s="13"/>
      <c r="AG152" s="13"/>
      <c r="AH152" s="13"/>
      <c r="AI152" s="13"/>
      <c r="AJ152" s="13"/>
    </row>
    <row r="153" spans="1:36" ht="16.5" customHeight="1">
      <c r="A153" s="9"/>
      <c r="B153" s="9"/>
      <c r="AE153" s="13"/>
      <c r="AF153" s="13"/>
      <c r="AG153" s="13"/>
      <c r="AH153" s="13"/>
      <c r="AI153" s="13"/>
      <c r="AJ153" s="13"/>
    </row>
    <row r="154" spans="1:36" ht="16.5" customHeight="1">
      <c r="A154" s="9"/>
      <c r="B154" s="9"/>
      <c r="AE154" s="13"/>
      <c r="AF154" s="13"/>
      <c r="AG154" s="13"/>
      <c r="AH154" s="13"/>
      <c r="AI154" s="13"/>
      <c r="AJ154" s="13"/>
    </row>
    <row r="155" spans="1:36" ht="16.5" customHeight="1">
      <c r="A155" s="9"/>
      <c r="B155" s="9"/>
      <c r="AE155" s="13"/>
      <c r="AF155" s="13"/>
      <c r="AG155" s="13"/>
      <c r="AH155" s="13"/>
      <c r="AI155" s="13"/>
      <c r="AJ155" s="13"/>
    </row>
    <row r="156" spans="1:36" ht="16.5" customHeight="1">
      <c r="A156" s="9"/>
      <c r="B156" s="9"/>
      <c r="AE156" s="13"/>
      <c r="AF156" s="13"/>
      <c r="AG156" s="13"/>
      <c r="AH156" s="13"/>
      <c r="AI156" s="13"/>
      <c r="AJ156" s="13"/>
    </row>
    <row r="157" spans="1:36" ht="16.5" customHeight="1">
      <c r="A157" s="9"/>
      <c r="B157" s="9"/>
      <c r="AE157" s="13"/>
      <c r="AF157" s="13"/>
      <c r="AG157" s="13"/>
      <c r="AH157" s="13"/>
      <c r="AI157" s="13"/>
      <c r="AJ157" s="13"/>
    </row>
    <row r="158" spans="1:36" ht="16.5" customHeight="1">
      <c r="A158" s="9"/>
      <c r="B158" s="9"/>
      <c r="AE158" s="13"/>
      <c r="AF158" s="13"/>
      <c r="AG158" s="13"/>
      <c r="AH158" s="13"/>
      <c r="AI158" s="13"/>
      <c r="AJ158" s="13"/>
    </row>
    <row r="159" spans="1:36" ht="16.5" customHeight="1">
      <c r="A159" s="9"/>
      <c r="B159" s="9"/>
      <c r="AE159" s="13"/>
      <c r="AF159" s="13"/>
      <c r="AG159" s="13"/>
      <c r="AH159" s="13"/>
      <c r="AI159" s="13"/>
      <c r="AJ159" s="13"/>
    </row>
    <row r="160" spans="1:36" ht="16.5" customHeight="1">
      <c r="A160" s="9"/>
      <c r="B160" s="9"/>
      <c r="AE160" s="13"/>
      <c r="AF160" s="13"/>
      <c r="AG160" s="13"/>
      <c r="AH160" s="13"/>
      <c r="AI160" s="13"/>
      <c r="AJ160" s="13"/>
    </row>
    <row r="161" spans="1:36" ht="16.5" customHeight="1">
      <c r="A161" s="9"/>
      <c r="B161" s="9"/>
      <c r="AE161" s="13"/>
      <c r="AF161" s="13"/>
      <c r="AG161" s="13"/>
      <c r="AH161" s="13"/>
      <c r="AI161" s="13"/>
      <c r="AJ161" s="13"/>
    </row>
    <row r="162" spans="1:36" ht="16.5" customHeight="1">
      <c r="A162" s="9"/>
      <c r="B162" s="9"/>
      <c r="AE162" s="13"/>
      <c r="AF162" s="13"/>
      <c r="AG162" s="13"/>
      <c r="AH162" s="13"/>
      <c r="AI162" s="13"/>
      <c r="AJ162" s="13"/>
    </row>
    <row r="163" spans="1:36" ht="16.5" customHeight="1">
      <c r="A163" s="9"/>
      <c r="B163" s="9"/>
      <c r="AE163" s="13"/>
      <c r="AF163" s="13"/>
      <c r="AG163" s="13"/>
      <c r="AH163" s="13"/>
      <c r="AI163" s="13"/>
      <c r="AJ163" s="13"/>
    </row>
    <row r="164" spans="1:36" ht="16.5" customHeight="1">
      <c r="A164" s="9"/>
      <c r="B164" s="9"/>
      <c r="AE164" s="13"/>
      <c r="AF164" s="13"/>
      <c r="AG164" s="13"/>
      <c r="AH164" s="13"/>
      <c r="AI164" s="13"/>
      <c r="AJ164" s="13"/>
    </row>
    <row r="165" spans="1:36" ht="16.5" customHeight="1">
      <c r="A165" s="9"/>
      <c r="B165" s="9"/>
      <c r="AE165" s="13"/>
      <c r="AF165" s="13"/>
      <c r="AG165" s="13"/>
      <c r="AH165" s="13"/>
      <c r="AI165" s="13"/>
      <c r="AJ165" s="13"/>
    </row>
    <row r="166" spans="1:36" ht="16.5" customHeight="1">
      <c r="A166" s="9"/>
      <c r="B166" s="9"/>
      <c r="AE166" s="13"/>
      <c r="AF166" s="13"/>
      <c r="AG166" s="13"/>
      <c r="AH166" s="13"/>
      <c r="AI166" s="13"/>
      <c r="AJ166" s="13"/>
    </row>
    <row r="167" spans="1:36" ht="16.5" customHeight="1">
      <c r="A167" s="9"/>
      <c r="B167" s="9"/>
      <c r="AE167" s="13"/>
      <c r="AF167" s="13"/>
      <c r="AG167" s="13"/>
      <c r="AH167" s="13"/>
      <c r="AI167" s="13"/>
      <c r="AJ167" s="13"/>
    </row>
    <row r="168" spans="1:36" ht="16.5" customHeight="1">
      <c r="A168" s="9"/>
      <c r="B168" s="9"/>
      <c r="AE168" s="13"/>
      <c r="AF168" s="13"/>
      <c r="AG168" s="13"/>
      <c r="AH168" s="13"/>
      <c r="AI168" s="13"/>
      <c r="AJ168" s="13"/>
    </row>
    <row r="169" spans="1:36" ht="16.5" customHeight="1">
      <c r="A169" s="9"/>
      <c r="B169" s="9"/>
      <c r="AE169" s="13"/>
      <c r="AF169" s="13"/>
      <c r="AG169" s="13"/>
      <c r="AH169" s="13"/>
      <c r="AI169" s="13"/>
      <c r="AJ169" s="13"/>
    </row>
    <row r="170" spans="1:36" ht="16.5" customHeight="1">
      <c r="A170" s="9"/>
      <c r="B170" s="9"/>
      <c r="AE170" s="13"/>
      <c r="AF170" s="13"/>
      <c r="AG170" s="13"/>
      <c r="AH170" s="13"/>
      <c r="AI170" s="13"/>
      <c r="AJ170" s="13"/>
    </row>
    <row r="171" spans="1:36" ht="16.5" customHeight="1">
      <c r="A171" s="9"/>
      <c r="B171" s="9"/>
      <c r="AE171" s="13"/>
      <c r="AF171" s="13"/>
      <c r="AG171" s="13"/>
      <c r="AH171" s="13"/>
      <c r="AI171" s="13"/>
      <c r="AJ171" s="13"/>
    </row>
    <row r="172" spans="1:36" ht="16.5" customHeight="1">
      <c r="A172" s="9"/>
      <c r="B172" s="9"/>
      <c r="AE172" s="13"/>
      <c r="AF172" s="13"/>
      <c r="AG172" s="13"/>
      <c r="AH172" s="13"/>
      <c r="AI172" s="13"/>
      <c r="AJ172" s="13"/>
    </row>
    <row r="173" spans="1:36" ht="16.5" customHeight="1">
      <c r="A173" s="9"/>
      <c r="B173" s="9"/>
      <c r="AE173" s="13"/>
      <c r="AF173" s="13"/>
      <c r="AG173" s="13"/>
      <c r="AH173" s="13"/>
      <c r="AI173" s="13"/>
      <c r="AJ173" s="13"/>
    </row>
    <row r="174" spans="1:36" ht="16.5" customHeight="1">
      <c r="A174" s="9"/>
      <c r="B174" s="9"/>
      <c r="AE174" s="13"/>
      <c r="AF174" s="13"/>
      <c r="AG174" s="13"/>
      <c r="AH174" s="13"/>
      <c r="AI174" s="13"/>
      <c r="AJ174" s="13"/>
    </row>
    <row r="175" spans="1:36" ht="16.5" customHeight="1">
      <c r="A175" s="9"/>
      <c r="B175" s="9"/>
      <c r="AE175" s="13"/>
      <c r="AF175" s="13"/>
      <c r="AG175" s="13"/>
      <c r="AH175" s="13"/>
      <c r="AI175" s="13"/>
      <c r="AJ175" s="13"/>
    </row>
    <row r="176" spans="1:36" ht="16.5" customHeight="1">
      <c r="A176" s="9"/>
      <c r="B176" s="9"/>
      <c r="AE176" s="13"/>
      <c r="AF176" s="13"/>
      <c r="AG176" s="13"/>
      <c r="AH176" s="13"/>
      <c r="AI176" s="13"/>
      <c r="AJ176" s="13"/>
    </row>
    <row r="177" spans="1:36" ht="16.5" customHeight="1">
      <c r="A177" s="9"/>
      <c r="B177" s="9"/>
      <c r="AE177" s="13"/>
      <c r="AF177" s="13"/>
      <c r="AG177" s="13"/>
      <c r="AH177" s="13"/>
      <c r="AI177" s="13"/>
      <c r="AJ177" s="13"/>
    </row>
    <row r="178" spans="1:36" ht="16.5" customHeight="1">
      <c r="A178" s="9"/>
      <c r="B178" s="9"/>
      <c r="AE178" s="13"/>
      <c r="AF178" s="13"/>
      <c r="AG178" s="13"/>
      <c r="AH178" s="13"/>
      <c r="AI178" s="13"/>
      <c r="AJ178" s="13"/>
    </row>
    <row r="179" spans="1:36" ht="16.5" customHeight="1">
      <c r="A179" s="9"/>
      <c r="B179" s="9"/>
      <c r="AE179" s="13"/>
      <c r="AF179" s="13"/>
      <c r="AG179" s="13"/>
      <c r="AH179" s="13"/>
      <c r="AI179" s="13"/>
      <c r="AJ179" s="13"/>
    </row>
    <row r="180" spans="1:36" ht="16.5" customHeight="1">
      <c r="A180" s="9"/>
      <c r="B180" s="9"/>
      <c r="AE180" s="13"/>
      <c r="AF180" s="13"/>
      <c r="AG180" s="13"/>
      <c r="AH180" s="13"/>
      <c r="AI180" s="13"/>
      <c r="AJ180" s="13"/>
    </row>
    <row r="181" spans="1:36" ht="16.5" customHeight="1">
      <c r="A181" s="9"/>
      <c r="B181" s="9"/>
      <c r="AE181" s="13"/>
      <c r="AF181" s="13"/>
      <c r="AG181" s="13"/>
      <c r="AH181" s="13"/>
      <c r="AI181" s="13"/>
      <c r="AJ181" s="13"/>
    </row>
    <row r="182" spans="1:36" ht="16.5" customHeight="1">
      <c r="A182" s="9"/>
      <c r="B182" s="9"/>
      <c r="AE182" s="13"/>
      <c r="AF182" s="13"/>
      <c r="AG182" s="13"/>
      <c r="AH182" s="13"/>
      <c r="AI182" s="13"/>
      <c r="AJ182" s="13"/>
    </row>
    <row r="183" spans="1:36" ht="16.5" customHeight="1">
      <c r="A183" s="9"/>
      <c r="B183" s="9"/>
      <c r="AE183" s="13"/>
      <c r="AF183" s="13"/>
      <c r="AG183" s="13"/>
      <c r="AH183" s="13"/>
      <c r="AI183" s="13"/>
      <c r="AJ183" s="13"/>
    </row>
    <row r="184" spans="1:36" ht="16.5" customHeight="1">
      <c r="A184" s="9"/>
      <c r="B184" s="9"/>
      <c r="AE184" s="13"/>
      <c r="AF184" s="13"/>
      <c r="AG184" s="13"/>
      <c r="AH184" s="13"/>
      <c r="AI184" s="13"/>
      <c r="AJ184" s="13"/>
    </row>
    <row r="185" spans="1:36" ht="16.5" customHeight="1">
      <c r="A185" s="9"/>
      <c r="B185" s="9"/>
      <c r="AE185" s="13"/>
      <c r="AF185" s="13"/>
      <c r="AG185" s="13"/>
      <c r="AH185" s="13"/>
      <c r="AI185" s="13"/>
      <c r="AJ185" s="13"/>
    </row>
    <row r="186" spans="1:36" ht="16.5" customHeight="1">
      <c r="A186" s="9"/>
      <c r="B186" s="9"/>
      <c r="AE186" s="13"/>
      <c r="AF186" s="13"/>
      <c r="AG186" s="13"/>
      <c r="AH186" s="13"/>
      <c r="AI186" s="13"/>
      <c r="AJ186" s="13"/>
    </row>
    <row r="187" spans="1:36" ht="16.5" customHeight="1">
      <c r="A187" s="9"/>
      <c r="B187" s="9"/>
      <c r="AE187" s="13"/>
      <c r="AF187" s="13"/>
      <c r="AG187" s="13"/>
      <c r="AH187" s="13"/>
      <c r="AI187" s="13"/>
      <c r="AJ187" s="13"/>
    </row>
    <row r="188" spans="1:36" ht="16.5" customHeight="1">
      <c r="A188" s="9"/>
      <c r="B188" s="9"/>
      <c r="AE188" s="13"/>
      <c r="AF188" s="13"/>
      <c r="AG188" s="13"/>
      <c r="AH188" s="13"/>
      <c r="AI188" s="13"/>
      <c r="AJ188" s="13"/>
    </row>
    <row r="189" spans="1:36" ht="16.5" customHeight="1">
      <c r="A189" s="9"/>
      <c r="B189" s="9"/>
      <c r="AE189" s="13"/>
      <c r="AF189" s="13"/>
      <c r="AG189" s="13"/>
      <c r="AH189" s="13"/>
      <c r="AI189" s="13"/>
      <c r="AJ189" s="13"/>
    </row>
    <row r="190" spans="1:36" ht="16.5" customHeight="1">
      <c r="A190" s="9"/>
      <c r="B190" s="9"/>
      <c r="AE190" s="13"/>
      <c r="AF190" s="13"/>
      <c r="AG190" s="13"/>
      <c r="AH190" s="13"/>
      <c r="AI190" s="13"/>
      <c r="AJ190" s="13"/>
    </row>
    <row r="191" spans="1:36" ht="16.5" customHeight="1">
      <c r="A191" s="9"/>
      <c r="B191" s="9"/>
      <c r="AE191" s="13"/>
      <c r="AF191" s="13"/>
      <c r="AG191" s="13"/>
      <c r="AH191" s="13"/>
      <c r="AI191" s="13"/>
      <c r="AJ191" s="13"/>
    </row>
    <row r="192" spans="1:36" ht="16.5" customHeight="1">
      <c r="A192" s="9"/>
      <c r="B192" s="9"/>
      <c r="AE192" s="13"/>
      <c r="AF192" s="13"/>
      <c r="AG192" s="13"/>
      <c r="AH192" s="13"/>
      <c r="AI192" s="13"/>
      <c r="AJ192" s="13"/>
    </row>
    <row r="193" spans="1:36" ht="16.5" customHeight="1">
      <c r="A193" s="9"/>
      <c r="B193" s="9"/>
      <c r="AE193" s="13"/>
      <c r="AF193" s="13"/>
      <c r="AG193" s="13"/>
      <c r="AH193" s="13"/>
      <c r="AI193" s="13"/>
      <c r="AJ193" s="13"/>
    </row>
    <row r="194" spans="1:36" ht="16.5" customHeight="1">
      <c r="A194" s="9"/>
      <c r="B194" s="9"/>
      <c r="AE194" s="13"/>
      <c r="AF194" s="13"/>
      <c r="AG194" s="13"/>
      <c r="AH194" s="13"/>
      <c r="AI194" s="13"/>
      <c r="AJ194" s="13"/>
    </row>
    <row r="195" spans="1:36" ht="16.5" customHeight="1">
      <c r="A195" s="9"/>
      <c r="B195" s="9"/>
      <c r="AE195" s="13"/>
      <c r="AF195" s="13"/>
      <c r="AG195" s="13"/>
      <c r="AH195" s="13"/>
      <c r="AI195" s="13"/>
      <c r="AJ195" s="13"/>
    </row>
    <row r="196" spans="1:36" ht="16.5" customHeight="1">
      <c r="A196" s="9"/>
      <c r="B196" s="9"/>
      <c r="AE196" s="13"/>
      <c r="AF196" s="13"/>
      <c r="AG196" s="13"/>
      <c r="AH196" s="13"/>
      <c r="AI196" s="13"/>
      <c r="AJ196" s="13"/>
    </row>
    <row r="197" spans="1:36" ht="16.5" customHeight="1">
      <c r="A197" s="9"/>
      <c r="B197" s="9"/>
      <c r="AE197" s="13"/>
      <c r="AF197" s="13"/>
      <c r="AG197" s="13"/>
      <c r="AH197" s="13"/>
      <c r="AI197" s="13"/>
      <c r="AJ197" s="13"/>
    </row>
    <row r="198" spans="1:36" ht="16.5" customHeight="1">
      <c r="A198" s="9"/>
      <c r="B198" s="9"/>
      <c r="AE198" s="13"/>
      <c r="AF198" s="13"/>
      <c r="AG198" s="13"/>
      <c r="AH198" s="13"/>
      <c r="AI198" s="13"/>
      <c r="AJ198" s="13"/>
    </row>
    <row r="199" spans="1:36" ht="16.5" customHeight="1">
      <c r="A199" s="9"/>
      <c r="B199" s="9"/>
      <c r="AE199" s="13"/>
      <c r="AF199" s="13"/>
      <c r="AG199" s="13"/>
      <c r="AH199" s="13"/>
      <c r="AI199" s="13"/>
      <c r="AJ199" s="13"/>
    </row>
    <row r="200" spans="1:36" ht="16.5" customHeight="1">
      <c r="A200" s="9"/>
      <c r="B200" s="9"/>
      <c r="AE200" s="13"/>
      <c r="AF200" s="13"/>
      <c r="AG200" s="13"/>
      <c r="AH200" s="13"/>
      <c r="AI200" s="13"/>
      <c r="AJ200" s="13"/>
    </row>
    <row r="201" spans="1:36" ht="16.5" customHeight="1">
      <c r="A201" s="9"/>
      <c r="B201" s="9"/>
      <c r="AE201" s="13"/>
      <c r="AF201" s="13"/>
      <c r="AG201" s="13"/>
      <c r="AH201" s="13"/>
      <c r="AI201" s="13"/>
      <c r="AJ201" s="13"/>
    </row>
    <row r="202" spans="1:36" ht="16.5" customHeight="1">
      <c r="A202" s="9"/>
      <c r="B202" s="9"/>
      <c r="AE202" s="13"/>
      <c r="AF202" s="13"/>
      <c r="AG202" s="13"/>
      <c r="AH202" s="13"/>
      <c r="AI202" s="13"/>
      <c r="AJ202" s="13"/>
    </row>
    <row r="203" spans="1:36" ht="16.5" customHeight="1">
      <c r="A203" s="9"/>
      <c r="B203" s="9"/>
      <c r="AE203" s="13"/>
      <c r="AF203" s="13"/>
      <c r="AG203" s="13"/>
      <c r="AH203" s="13"/>
      <c r="AI203" s="13"/>
      <c r="AJ203" s="13"/>
    </row>
    <row r="204" spans="1:36" ht="16.5" customHeight="1">
      <c r="A204" s="9"/>
      <c r="B204" s="9"/>
      <c r="AE204" s="13"/>
      <c r="AF204" s="13"/>
      <c r="AG204" s="13"/>
      <c r="AH204" s="13"/>
      <c r="AI204" s="13"/>
      <c r="AJ204" s="13"/>
    </row>
    <row r="205" spans="1:36" ht="16.5" customHeight="1">
      <c r="A205" s="9"/>
      <c r="B205" s="9"/>
      <c r="AE205" s="13"/>
      <c r="AF205" s="13"/>
      <c r="AG205" s="13"/>
      <c r="AH205" s="13"/>
      <c r="AI205" s="13"/>
      <c r="AJ205" s="13"/>
    </row>
    <row r="206" spans="1:36" ht="16.5" customHeight="1">
      <c r="A206" s="9"/>
      <c r="B206" s="9"/>
      <c r="AE206" s="13"/>
      <c r="AF206" s="13"/>
      <c r="AG206" s="13"/>
      <c r="AH206" s="13"/>
      <c r="AI206" s="13"/>
      <c r="AJ206" s="13"/>
    </row>
    <row r="207" spans="1:36" ht="16.5" customHeight="1">
      <c r="A207" s="9"/>
      <c r="B207" s="9"/>
      <c r="AE207" s="13"/>
      <c r="AF207" s="13"/>
      <c r="AG207" s="13"/>
      <c r="AH207" s="13"/>
      <c r="AI207" s="13"/>
      <c r="AJ207" s="13"/>
    </row>
    <row r="208" spans="1:36" ht="16.5" customHeight="1">
      <c r="A208" s="9"/>
      <c r="B208" s="9"/>
      <c r="AE208" s="13"/>
      <c r="AF208" s="13"/>
      <c r="AG208" s="13"/>
      <c r="AH208" s="13"/>
      <c r="AI208" s="13"/>
      <c r="AJ208" s="13"/>
    </row>
    <row r="209" spans="1:36" ht="16.5" customHeight="1">
      <c r="A209" s="9"/>
      <c r="B209" s="9"/>
      <c r="AE209" s="13"/>
      <c r="AF209" s="13"/>
      <c r="AG209" s="13"/>
      <c r="AH209" s="13"/>
      <c r="AI209" s="13"/>
      <c r="AJ209" s="13"/>
    </row>
    <row r="210" spans="1:36" ht="16.5" customHeight="1">
      <c r="A210" s="9"/>
      <c r="B210" s="9"/>
      <c r="AE210" s="13"/>
      <c r="AF210" s="13"/>
      <c r="AG210" s="13"/>
      <c r="AH210" s="13"/>
      <c r="AI210" s="13"/>
      <c r="AJ210" s="13"/>
    </row>
    <row r="211" spans="1:36" ht="16.5" customHeight="1">
      <c r="A211" s="9"/>
      <c r="B211" s="9"/>
      <c r="AE211" s="13"/>
      <c r="AF211" s="13"/>
      <c r="AG211" s="13"/>
      <c r="AH211" s="13"/>
      <c r="AI211" s="13"/>
      <c r="AJ211" s="13"/>
    </row>
    <row r="212" spans="1:36" ht="16.5" customHeight="1">
      <c r="A212" s="9"/>
      <c r="B212" s="9"/>
      <c r="AE212" s="13"/>
      <c r="AF212" s="13"/>
      <c r="AG212" s="13"/>
      <c r="AH212" s="13"/>
      <c r="AI212" s="13"/>
      <c r="AJ212" s="13"/>
    </row>
    <row r="213" spans="1:36" ht="16.5" customHeight="1">
      <c r="A213" s="9"/>
      <c r="B213" s="9"/>
      <c r="AE213" s="13"/>
      <c r="AF213" s="13"/>
      <c r="AG213" s="13"/>
      <c r="AH213" s="13"/>
      <c r="AI213" s="13"/>
      <c r="AJ213" s="13"/>
    </row>
    <row r="214" spans="1:36" ht="16.5" customHeight="1">
      <c r="A214" s="9"/>
      <c r="B214" s="9"/>
      <c r="AE214" s="13"/>
      <c r="AF214" s="13"/>
      <c r="AG214" s="13"/>
      <c r="AH214" s="13"/>
      <c r="AI214" s="13"/>
      <c r="AJ214" s="13"/>
    </row>
    <row r="215" spans="1:36" ht="16.5" customHeight="1">
      <c r="A215" s="9"/>
      <c r="B215" s="9"/>
      <c r="AE215" s="13"/>
      <c r="AF215" s="13"/>
      <c r="AG215" s="13"/>
      <c r="AH215" s="13"/>
      <c r="AI215" s="13"/>
      <c r="AJ215" s="13"/>
    </row>
    <row r="216" spans="1:36" ht="16.5" customHeight="1">
      <c r="A216" s="9"/>
      <c r="B216" s="9"/>
      <c r="AE216" s="13"/>
      <c r="AF216" s="13"/>
      <c r="AG216" s="13"/>
      <c r="AH216" s="13"/>
      <c r="AI216" s="13"/>
      <c r="AJ216" s="13"/>
    </row>
    <row r="217" spans="1:36" ht="16.5" customHeight="1">
      <c r="A217" s="9"/>
      <c r="B217" s="9"/>
      <c r="AE217" s="13"/>
      <c r="AF217" s="13"/>
      <c r="AG217" s="13"/>
      <c r="AH217" s="13"/>
      <c r="AI217" s="13"/>
      <c r="AJ217" s="13"/>
    </row>
    <row r="218" spans="1:36" ht="16.5" customHeight="1">
      <c r="A218" s="9"/>
      <c r="B218" s="9"/>
      <c r="AE218" s="13"/>
      <c r="AF218" s="13"/>
      <c r="AG218" s="13"/>
      <c r="AH218" s="13"/>
      <c r="AI218" s="13"/>
      <c r="AJ218" s="13"/>
    </row>
    <row r="219" spans="1:36" ht="16.5" customHeight="1">
      <c r="A219" s="9"/>
      <c r="B219" s="9"/>
      <c r="AE219" s="13"/>
      <c r="AF219" s="13"/>
      <c r="AG219" s="13"/>
      <c r="AH219" s="13"/>
      <c r="AI219" s="13"/>
      <c r="AJ219" s="13"/>
    </row>
    <row r="220" spans="1:36" ht="16.5" customHeight="1">
      <c r="A220" s="9"/>
      <c r="B220" s="9"/>
      <c r="AE220" s="13"/>
      <c r="AF220" s="13"/>
      <c r="AG220" s="13"/>
      <c r="AH220" s="13"/>
      <c r="AI220" s="13"/>
      <c r="AJ220" s="13"/>
    </row>
    <row r="221" spans="1:36" ht="16.5" customHeight="1">
      <c r="A221" s="9"/>
      <c r="B221" s="9"/>
      <c r="AE221" s="13"/>
      <c r="AF221" s="13"/>
      <c r="AG221" s="13"/>
      <c r="AH221" s="13"/>
      <c r="AI221" s="13"/>
      <c r="AJ221" s="13"/>
    </row>
    <row r="222" spans="1:36" ht="16.5" customHeight="1">
      <c r="A222" s="9"/>
      <c r="B222" s="9"/>
      <c r="AE222" s="13"/>
      <c r="AF222" s="13"/>
      <c r="AG222" s="13"/>
      <c r="AH222" s="13"/>
      <c r="AI222" s="13"/>
      <c r="AJ222" s="13"/>
    </row>
    <row r="223" spans="1:36" ht="16.5" customHeight="1">
      <c r="A223" s="9"/>
      <c r="B223" s="9"/>
      <c r="AE223" s="13"/>
      <c r="AF223" s="13"/>
      <c r="AG223" s="13"/>
      <c r="AH223" s="13"/>
      <c r="AI223" s="13"/>
      <c r="AJ223" s="13"/>
    </row>
    <row r="224" spans="1:36" ht="16.5" customHeight="1">
      <c r="A224" s="9"/>
      <c r="B224" s="9"/>
      <c r="AE224" s="13"/>
      <c r="AF224" s="13"/>
      <c r="AG224" s="13"/>
      <c r="AH224" s="13"/>
      <c r="AI224" s="13"/>
      <c r="AJ224" s="13"/>
    </row>
    <row r="225" spans="1:36" ht="16.5" customHeight="1">
      <c r="A225" s="9"/>
      <c r="B225" s="9"/>
      <c r="AE225" s="13"/>
      <c r="AF225" s="13"/>
      <c r="AG225" s="13"/>
      <c r="AH225" s="13"/>
      <c r="AI225" s="13"/>
      <c r="AJ225" s="13"/>
    </row>
    <row r="226" spans="1:36" ht="16.5" customHeight="1">
      <c r="A226" s="9"/>
      <c r="B226" s="9"/>
      <c r="AE226" s="13"/>
      <c r="AF226" s="13"/>
      <c r="AG226" s="13"/>
      <c r="AH226" s="13"/>
      <c r="AI226" s="13"/>
      <c r="AJ226" s="13"/>
    </row>
    <row r="227" spans="1:36" ht="16.5" customHeight="1">
      <c r="A227" s="9"/>
      <c r="B227" s="9"/>
      <c r="AE227" s="13"/>
      <c r="AF227" s="13"/>
      <c r="AG227" s="13"/>
      <c r="AH227" s="13"/>
      <c r="AI227" s="13"/>
      <c r="AJ227" s="13"/>
    </row>
    <row r="228" spans="1:36" ht="16.5" customHeight="1">
      <c r="A228" s="9"/>
      <c r="B228" s="9"/>
      <c r="AE228" s="13"/>
      <c r="AF228" s="13"/>
      <c r="AG228" s="13"/>
      <c r="AH228" s="13"/>
      <c r="AI228" s="13"/>
      <c r="AJ228" s="13"/>
    </row>
    <row r="229" spans="1:36" ht="16.5" customHeight="1">
      <c r="A229" s="9"/>
      <c r="B229" s="9"/>
      <c r="AE229" s="13"/>
      <c r="AF229" s="13"/>
      <c r="AG229" s="13"/>
      <c r="AH229" s="13"/>
      <c r="AI229" s="13"/>
      <c r="AJ229" s="13"/>
    </row>
    <row r="230" spans="1:36" ht="16.5" customHeight="1">
      <c r="A230" s="9"/>
      <c r="B230" s="9"/>
      <c r="AE230" s="13"/>
      <c r="AF230" s="13"/>
      <c r="AG230" s="13"/>
      <c r="AH230" s="13"/>
      <c r="AI230" s="13"/>
      <c r="AJ230" s="13"/>
    </row>
    <row r="231" spans="1:36" ht="16.5" customHeight="1">
      <c r="A231" s="9"/>
      <c r="B231" s="9"/>
      <c r="AE231" s="13"/>
      <c r="AF231" s="13"/>
      <c r="AG231" s="13"/>
      <c r="AH231" s="13"/>
      <c r="AI231" s="13"/>
      <c r="AJ231" s="13"/>
    </row>
    <row r="232" spans="1:36" ht="16.5" customHeight="1">
      <c r="A232" s="9"/>
      <c r="B232" s="9"/>
      <c r="AE232" s="13"/>
      <c r="AF232" s="13"/>
      <c r="AG232" s="13"/>
      <c r="AH232" s="13"/>
      <c r="AI232" s="13"/>
      <c r="AJ232" s="13"/>
    </row>
    <row r="233" spans="1:36" ht="16.5" customHeight="1">
      <c r="A233" s="9"/>
      <c r="B233" s="9"/>
      <c r="AE233" s="13"/>
      <c r="AF233" s="13"/>
      <c r="AG233" s="13"/>
      <c r="AH233" s="13"/>
      <c r="AI233" s="13"/>
      <c r="AJ233" s="13"/>
    </row>
    <row r="234" spans="1:36" ht="16.5" customHeight="1">
      <c r="A234" s="9"/>
      <c r="B234" s="9"/>
      <c r="AE234" s="13"/>
      <c r="AF234" s="13"/>
      <c r="AG234" s="13"/>
      <c r="AH234" s="13"/>
      <c r="AI234" s="13"/>
      <c r="AJ234" s="13"/>
    </row>
    <row r="235" spans="1:36" ht="16.5" customHeight="1">
      <c r="A235" s="9"/>
      <c r="B235" s="9"/>
      <c r="AE235" s="13"/>
      <c r="AF235" s="13"/>
      <c r="AG235" s="13"/>
      <c r="AH235" s="13"/>
      <c r="AI235" s="13"/>
      <c r="AJ235" s="13"/>
    </row>
    <row r="236" spans="1:36" ht="16.5" customHeight="1">
      <c r="A236" s="9"/>
      <c r="B236" s="9"/>
      <c r="AE236" s="13"/>
      <c r="AF236" s="13"/>
      <c r="AG236" s="13"/>
      <c r="AH236" s="13"/>
      <c r="AI236" s="13"/>
      <c r="AJ236" s="13"/>
    </row>
    <row r="237" spans="1:36" ht="16.5" customHeight="1">
      <c r="A237" s="9"/>
      <c r="B237" s="9"/>
      <c r="AE237" s="13"/>
      <c r="AF237" s="13"/>
      <c r="AG237" s="13"/>
      <c r="AH237" s="13"/>
      <c r="AI237" s="13"/>
      <c r="AJ237" s="13"/>
    </row>
    <row r="238" spans="1:36" ht="16.5" customHeight="1">
      <c r="A238" s="9"/>
      <c r="B238" s="9"/>
      <c r="AE238" s="13"/>
      <c r="AF238" s="13"/>
      <c r="AG238" s="13"/>
      <c r="AH238" s="13"/>
      <c r="AI238" s="13"/>
      <c r="AJ238" s="13"/>
    </row>
    <row r="239" spans="1:36" ht="16.5" customHeight="1">
      <c r="A239" s="9"/>
      <c r="B239" s="9"/>
      <c r="AE239" s="13"/>
      <c r="AF239" s="13"/>
      <c r="AG239" s="13"/>
      <c r="AH239" s="13"/>
      <c r="AI239" s="13"/>
      <c r="AJ239" s="13"/>
    </row>
    <row r="240" spans="1:36" ht="16.5" customHeight="1">
      <c r="A240" s="9"/>
      <c r="B240" s="9"/>
      <c r="AE240" s="13"/>
      <c r="AF240" s="13"/>
      <c r="AG240" s="13"/>
      <c r="AH240" s="13"/>
      <c r="AI240" s="13"/>
      <c r="AJ240" s="13"/>
    </row>
    <row r="241" spans="1:36" ht="16.5" customHeight="1">
      <c r="A241" s="9"/>
      <c r="B241" s="9"/>
      <c r="AE241" s="13"/>
      <c r="AF241" s="13"/>
      <c r="AG241" s="13"/>
      <c r="AH241" s="13"/>
      <c r="AI241" s="13"/>
      <c r="AJ241" s="13"/>
    </row>
    <row r="242" spans="1:36" ht="16.5" customHeight="1">
      <c r="A242" s="9"/>
      <c r="B242" s="9"/>
      <c r="AE242" s="13"/>
      <c r="AF242" s="13"/>
      <c r="AG242" s="13"/>
      <c r="AH242" s="13"/>
      <c r="AI242" s="13"/>
      <c r="AJ242" s="13"/>
    </row>
    <row r="243" spans="1:36" ht="16.5" customHeight="1">
      <c r="A243" s="9"/>
      <c r="B243" s="9"/>
      <c r="AE243" s="13"/>
      <c r="AF243" s="13"/>
      <c r="AG243" s="13"/>
      <c r="AH243" s="13"/>
      <c r="AI243" s="13"/>
      <c r="AJ243" s="13"/>
    </row>
    <row r="244" spans="1:36" ht="16.5" customHeight="1">
      <c r="A244" s="9"/>
      <c r="B244" s="9"/>
      <c r="AE244" s="13"/>
      <c r="AF244" s="13"/>
      <c r="AG244" s="13"/>
      <c r="AH244" s="13"/>
      <c r="AI244" s="13"/>
      <c r="AJ244" s="13"/>
    </row>
    <row r="245" spans="1:36" ht="16.5" customHeight="1">
      <c r="A245" s="9"/>
      <c r="B245" s="9"/>
      <c r="AE245" s="13"/>
      <c r="AF245" s="13"/>
      <c r="AG245" s="13"/>
      <c r="AH245" s="13"/>
      <c r="AI245" s="13"/>
      <c r="AJ245" s="13"/>
    </row>
    <row r="246" spans="1:36" ht="16.5" customHeight="1">
      <c r="A246" s="9"/>
      <c r="B246" s="9"/>
      <c r="AE246" s="13"/>
      <c r="AF246" s="13"/>
      <c r="AG246" s="13"/>
      <c r="AH246" s="13"/>
      <c r="AI246" s="13"/>
      <c r="AJ246" s="13"/>
    </row>
    <row r="247" spans="1:36" ht="16.5" customHeight="1">
      <c r="A247" s="9"/>
      <c r="B247" s="9"/>
      <c r="AE247" s="13"/>
      <c r="AF247" s="13"/>
      <c r="AG247" s="13"/>
      <c r="AH247" s="13"/>
      <c r="AI247" s="13"/>
      <c r="AJ247" s="13"/>
    </row>
    <row r="248" spans="1:36" ht="16.5" customHeight="1">
      <c r="A248" s="9"/>
      <c r="B248" s="9"/>
      <c r="AE248" s="13"/>
      <c r="AF248" s="13"/>
      <c r="AG248" s="13"/>
      <c r="AH248" s="13"/>
      <c r="AI248" s="13"/>
      <c r="AJ248" s="13"/>
    </row>
    <row r="249" spans="1:36" ht="16.5" customHeight="1">
      <c r="A249" s="9"/>
      <c r="B249" s="9"/>
      <c r="AE249" s="13"/>
      <c r="AF249" s="13"/>
      <c r="AG249" s="13"/>
      <c r="AH249" s="13"/>
      <c r="AI249" s="13"/>
      <c r="AJ249" s="13"/>
    </row>
    <row r="250" spans="1:36" ht="16.5" customHeight="1">
      <c r="A250" s="9"/>
      <c r="B250" s="9"/>
      <c r="AE250" s="13"/>
      <c r="AF250" s="13"/>
      <c r="AG250" s="13"/>
      <c r="AH250" s="13"/>
      <c r="AI250" s="13"/>
      <c r="AJ250" s="13"/>
    </row>
    <row r="251" spans="1:36" ht="16.5" customHeight="1">
      <c r="A251" s="9"/>
      <c r="B251" s="9"/>
      <c r="AE251" s="13"/>
      <c r="AF251" s="13"/>
      <c r="AG251" s="13"/>
      <c r="AH251" s="13"/>
      <c r="AI251" s="13"/>
      <c r="AJ251" s="13"/>
    </row>
    <row r="252" spans="1:36" ht="16.5" customHeight="1">
      <c r="A252" s="9"/>
      <c r="B252" s="9"/>
      <c r="AE252" s="13"/>
      <c r="AF252" s="13"/>
      <c r="AG252" s="13"/>
      <c r="AH252" s="13"/>
      <c r="AI252" s="13"/>
      <c r="AJ252" s="13"/>
    </row>
    <row r="253" spans="1:36" ht="16.5" customHeight="1">
      <c r="A253" s="9"/>
      <c r="B253" s="9"/>
      <c r="AE253" s="13"/>
      <c r="AF253" s="13"/>
      <c r="AG253" s="13"/>
      <c r="AH253" s="13"/>
      <c r="AI253" s="13"/>
      <c r="AJ253" s="13"/>
    </row>
    <row r="254" spans="1:36" ht="16.5" customHeight="1">
      <c r="A254" s="9"/>
      <c r="B254" s="9"/>
      <c r="AE254" s="13"/>
      <c r="AF254" s="13"/>
      <c r="AG254" s="13"/>
      <c r="AH254" s="13"/>
      <c r="AI254" s="13"/>
      <c r="AJ254" s="13"/>
    </row>
    <row r="255" spans="1:36" ht="16.5" customHeight="1">
      <c r="A255" s="9"/>
      <c r="B255" s="9"/>
      <c r="AE255" s="13"/>
      <c r="AF255" s="13"/>
      <c r="AG255" s="13"/>
      <c r="AH255" s="13"/>
      <c r="AI255" s="13"/>
      <c r="AJ255" s="13"/>
    </row>
    <row r="256" spans="1:36" ht="16.5" customHeight="1">
      <c r="A256" s="9"/>
      <c r="B256" s="9"/>
      <c r="AE256" s="13"/>
      <c r="AF256" s="13"/>
      <c r="AG256" s="13"/>
      <c r="AH256" s="13"/>
      <c r="AI256" s="13"/>
      <c r="AJ256" s="13"/>
    </row>
    <row r="257" spans="1:36" ht="16.5" customHeight="1">
      <c r="A257" s="9"/>
      <c r="B257" s="9"/>
      <c r="AE257" s="13"/>
      <c r="AF257" s="13"/>
      <c r="AG257" s="13"/>
      <c r="AH257" s="13"/>
      <c r="AI257" s="13"/>
      <c r="AJ257" s="13"/>
    </row>
    <row r="258" spans="1:36" ht="16.5" customHeight="1">
      <c r="A258" s="9"/>
      <c r="B258" s="9"/>
      <c r="AE258" s="13"/>
      <c r="AF258" s="13"/>
      <c r="AG258" s="13"/>
      <c r="AH258" s="13"/>
      <c r="AI258" s="13"/>
      <c r="AJ258" s="13"/>
    </row>
    <row r="259" spans="1:36" ht="16.5" customHeight="1">
      <c r="A259" s="9"/>
      <c r="B259" s="9"/>
      <c r="AE259" s="13"/>
      <c r="AF259" s="13"/>
      <c r="AG259" s="13"/>
      <c r="AH259" s="13"/>
      <c r="AI259" s="13"/>
      <c r="AJ259" s="13"/>
    </row>
    <row r="260" spans="1:36" ht="16.5" customHeight="1">
      <c r="A260" s="9"/>
      <c r="B260" s="9"/>
      <c r="AE260" s="13"/>
      <c r="AF260" s="13"/>
      <c r="AG260" s="13"/>
      <c r="AH260" s="13"/>
      <c r="AI260" s="13"/>
      <c r="AJ260" s="13"/>
    </row>
    <row r="261" spans="1:36" ht="16.5" customHeight="1">
      <c r="A261" s="9"/>
      <c r="B261" s="9"/>
      <c r="AE261" s="13"/>
      <c r="AF261" s="13"/>
      <c r="AG261" s="13"/>
      <c r="AH261" s="13"/>
      <c r="AI261" s="13"/>
      <c r="AJ261" s="13"/>
    </row>
    <row r="262" spans="1:36" ht="16.5" customHeight="1">
      <c r="A262" s="9"/>
      <c r="B262" s="9"/>
      <c r="AE262" s="13"/>
      <c r="AF262" s="13"/>
      <c r="AG262" s="13"/>
      <c r="AH262" s="13"/>
      <c r="AI262" s="13"/>
      <c r="AJ262" s="13"/>
    </row>
    <row r="263" spans="1:36" ht="16.5" customHeight="1">
      <c r="A263" s="9"/>
      <c r="B263" s="9"/>
      <c r="AE263" s="13"/>
      <c r="AF263" s="13"/>
      <c r="AG263" s="13"/>
      <c r="AH263" s="13"/>
      <c r="AI263" s="13"/>
      <c r="AJ263" s="13"/>
    </row>
    <row r="264" spans="1:36" ht="16.5" customHeight="1">
      <c r="A264" s="9"/>
      <c r="B264" s="9"/>
      <c r="AE264" s="13"/>
      <c r="AF264" s="13"/>
      <c r="AG264" s="13"/>
      <c r="AH264" s="13"/>
      <c r="AI264" s="13"/>
      <c r="AJ264" s="13"/>
    </row>
    <row r="265" spans="1:36" ht="16.5" customHeight="1">
      <c r="A265" s="9"/>
      <c r="B265" s="9"/>
      <c r="AE265" s="13"/>
      <c r="AF265" s="13"/>
      <c r="AG265" s="13"/>
      <c r="AH265" s="13"/>
      <c r="AI265" s="13"/>
      <c r="AJ265" s="13"/>
    </row>
    <row r="266" spans="1:36" ht="16.5" customHeight="1">
      <c r="A266" s="9"/>
      <c r="B266" s="9"/>
      <c r="AE266" s="13"/>
      <c r="AF266" s="13"/>
      <c r="AG266" s="13"/>
      <c r="AH266" s="13"/>
      <c r="AI266" s="13"/>
      <c r="AJ266" s="13"/>
    </row>
    <row r="267" spans="1:36" ht="16.5" customHeight="1">
      <c r="A267" s="9"/>
      <c r="B267" s="9"/>
      <c r="AE267" s="13"/>
      <c r="AF267" s="13"/>
      <c r="AG267" s="13"/>
      <c r="AH267" s="13"/>
      <c r="AI267" s="13"/>
      <c r="AJ267" s="13"/>
    </row>
    <row r="268" spans="1:36" ht="16.5" customHeight="1">
      <c r="A268" s="9"/>
      <c r="B268" s="9"/>
      <c r="AE268" s="13"/>
      <c r="AF268" s="13"/>
      <c r="AG268" s="13"/>
      <c r="AH268" s="13"/>
      <c r="AI268" s="13"/>
      <c r="AJ268" s="13"/>
    </row>
    <row r="269" spans="1:36" ht="16.5" customHeight="1">
      <c r="A269" s="9"/>
      <c r="B269" s="9"/>
      <c r="AE269" s="13"/>
      <c r="AF269" s="13"/>
      <c r="AG269" s="13"/>
      <c r="AH269" s="13"/>
      <c r="AI269" s="13"/>
      <c r="AJ269" s="13"/>
    </row>
    <row r="270" spans="1:36" ht="16.5" customHeight="1">
      <c r="A270" s="9"/>
      <c r="B270" s="9"/>
      <c r="AE270" s="13"/>
      <c r="AF270" s="13"/>
      <c r="AG270" s="13"/>
      <c r="AH270" s="13"/>
      <c r="AI270" s="13"/>
      <c r="AJ270" s="13"/>
    </row>
    <row r="271" spans="1:36" ht="16.5" customHeight="1">
      <c r="A271" s="9"/>
      <c r="B271" s="9"/>
      <c r="AE271" s="13"/>
      <c r="AF271" s="13"/>
      <c r="AG271" s="13"/>
      <c r="AH271" s="13"/>
      <c r="AI271" s="13"/>
      <c r="AJ271" s="13"/>
    </row>
    <row r="272" spans="1:36" ht="16.5" customHeight="1">
      <c r="A272" s="9"/>
      <c r="B272" s="9"/>
      <c r="AE272" s="13"/>
      <c r="AF272" s="13"/>
      <c r="AG272" s="13"/>
      <c r="AH272" s="13"/>
      <c r="AI272" s="13"/>
      <c r="AJ272" s="13"/>
    </row>
    <row r="273" spans="1:36" ht="16.5" customHeight="1">
      <c r="A273" s="9"/>
      <c r="B273" s="9"/>
      <c r="AE273" s="13"/>
      <c r="AF273" s="13"/>
      <c r="AG273" s="13"/>
      <c r="AH273" s="13"/>
      <c r="AI273" s="13"/>
      <c r="AJ273" s="13"/>
    </row>
    <row r="274" spans="1:36" ht="16.5" customHeight="1">
      <c r="A274" s="9"/>
      <c r="B274" s="9"/>
      <c r="AE274" s="13"/>
      <c r="AF274" s="13"/>
      <c r="AG274" s="13"/>
      <c r="AH274" s="13"/>
      <c r="AI274" s="13"/>
      <c r="AJ274" s="13"/>
    </row>
    <row r="275" spans="1:36" ht="16.5" customHeight="1">
      <c r="A275" s="9"/>
      <c r="B275" s="9"/>
      <c r="AE275" s="13"/>
      <c r="AF275" s="13"/>
      <c r="AG275" s="13"/>
      <c r="AH275" s="13"/>
      <c r="AI275" s="13"/>
      <c r="AJ275" s="13"/>
    </row>
    <row r="276" spans="1:36" ht="16.5" customHeight="1">
      <c r="A276" s="9"/>
      <c r="B276" s="9"/>
      <c r="AE276" s="13"/>
      <c r="AF276" s="13"/>
      <c r="AG276" s="13"/>
      <c r="AH276" s="13"/>
      <c r="AI276" s="13"/>
      <c r="AJ276" s="13"/>
    </row>
    <row r="277" spans="1:36" ht="16.5" customHeight="1">
      <c r="A277" s="9"/>
      <c r="B277" s="9"/>
      <c r="AE277" s="13"/>
      <c r="AF277" s="13"/>
      <c r="AG277" s="13"/>
      <c r="AH277" s="13"/>
      <c r="AI277" s="13"/>
      <c r="AJ277" s="13"/>
    </row>
    <row r="278" spans="1:36" ht="16.5" customHeight="1">
      <c r="A278" s="9"/>
      <c r="B278" s="9"/>
      <c r="AE278" s="13"/>
      <c r="AF278" s="13"/>
      <c r="AG278" s="13"/>
      <c r="AH278" s="13"/>
      <c r="AI278" s="13"/>
      <c r="AJ278" s="13"/>
    </row>
    <row r="279" spans="1:36" ht="16.5" customHeight="1">
      <c r="A279" s="9"/>
      <c r="B279" s="9"/>
      <c r="AE279" s="13"/>
      <c r="AF279" s="13"/>
      <c r="AG279" s="13"/>
      <c r="AH279" s="13"/>
      <c r="AI279" s="13"/>
      <c r="AJ279" s="13"/>
    </row>
    <row r="280" spans="1:36" ht="16.5" customHeight="1">
      <c r="A280" s="9"/>
      <c r="B280" s="9"/>
      <c r="AE280" s="13"/>
      <c r="AF280" s="13"/>
      <c r="AG280" s="13"/>
      <c r="AH280" s="13"/>
      <c r="AI280" s="13"/>
      <c r="AJ280" s="13"/>
    </row>
    <row r="281" spans="1:36" ht="16.5" customHeight="1">
      <c r="A281" s="9"/>
      <c r="B281" s="9"/>
      <c r="AE281" s="13"/>
      <c r="AF281" s="13"/>
      <c r="AG281" s="13"/>
      <c r="AH281" s="13"/>
      <c r="AI281" s="13"/>
      <c r="AJ281" s="13"/>
    </row>
    <row r="282" spans="1:36" ht="16.5" customHeight="1">
      <c r="A282" s="9"/>
      <c r="B282" s="9"/>
      <c r="AE282" s="13"/>
      <c r="AF282" s="13"/>
      <c r="AG282" s="13"/>
      <c r="AH282" s="13"/>
      <c r="AI282" s="13"/>
      <c r="AJ282" s="13"/>
    </row>
    <row r="283" spans="1:36" ht="16.5" customHeight="1">
      <c r="A283" s="9"/>
      <c r="B283" s="9"/>
      <c r="AE283" s="13"/>
      <c r="AF283" s="13"/>
      <c r="AG283" s="13"/>
      <c r="AH283" s="13"/>
      <c r="AI283" s="13"/>
      <c r="AJ283" s="13"/>
    </row>
    <row r="284" spans="1:36" ht="16.5" customHeight="1">
      <c r="A284" s="9"/>
      <c r="B284" s="9"/>
      <c r="AE284" s="13"/>
      <c r="AF284" s="13"/>
      <c r="AG284" s="13"/>
      <c r="AH284" s="13"/>
      <c r="AI284" s="13"/>
      <c r="AJ284" s="13"/>
    </row>
    <row r="285" spans="1:36" ht="16.5" customHeight="1">
      <c r="A285" s="9"/>
      <c r="B285" s="9"/>
      <c r="AE285" s="13"/>
      <c r="AF285" s="13"/>
      <c r="AG285" s="13"/>
      <c r="AH285" s="13"/>
      <c r="AI285" s="13"/>
      <c r="AJ285" s="13"/>
    </row>
    <row r="286" spans="1:36" ht="16.5" customHeight="1">
      <c r="A286" s="9"/>
      <c r="B286" s="9"/>
      <c r="AE286" s="13"/>
      <c r="AF286" s="13"/>
      <c r="AG286" s="13"/>
      <c r="AH286" s="13"/>
      <c r="AI286" s="13"/>
      <c r="AJ286" s="13"/>
    </row>
    <row r="287" spans="1:36" ht="16.5" customHeight="1">
      <c r="A287" s="9"/>
      <c r="B287" s="9"/>
      <c r="AE287" s="13"/>
      <c r="AF287" s="13"/>
      <c r="AG287" s="13"/>
      <c r="AH287" s="13"/>
      <c r="AI287" s="13"/>
      <c r="AJ287" s="13"/>
    </row>
    <row r="288" spans="1:36" ht="16.5" customHeight="1">
      <c r="A288" s="9"/>
      <c r="B288" s="9"/>
      <c r="AE288" s="13"/>
      <c r="AF288" s="13"/>
      <c r="AG288" s="13"/>
      <c r="AH288" s="13"/>
      <c r="AI288" s="13"/>
      <c r="AJ288" s="13"/>
    </row>
    <row r="289" spans="1:36" ht="16.5" customHeight="1">
      <c r="A289" s="9"/>
      <c r="B289" s="9"/>
      <c r="AE289" s="13"/>
      <c r="AF289" s="13"/>
      <c r="AG289" s="13"/>
      <c r="AH289" s="13"/>
      <c r="AI289" s="13"/>
      <c r="AJ289" s="13"/>
    </row>
    <row r="290" spans="1:36" ht="16.5" customHeight="1">
      <c r="A290" s="9"/>
      <c r="B290" s="9"/>
      <c r="AE290" s="13"/>
      <c r="AF290" s="13"/>
      <c r="AG290" s="13"/>
      <c r="AH290" s="13"/>
      <c r="AI290" s="13"/>
      <c r="AJ290" s="13"/>
    </row>
    <row r="291" spans="1:36" ht="16.5" customHeight="1">
      <c r="A291" s="9"/>
      <c r="B291" s="9"/>
      <c r="AE291" s="13"/>
      <c r="AF291" s="13"/>
      <c r="AG291" s="13"/>
      <c r="AH291" s="13"/>
      <c r="AI291" s="13"/>
      <c r="AJ291" s="13"/>
    </row>
    <row r="292" spans="1:36" ht="16.5" customHeight="1">
      <c r="A292" s="9"/>
      <c r="B292" s="9"/>
      <c r="AE292" s="13"/>
      <c r="AF292" s="13"/>
      <c r="AG292" s="13"/>
      <c r="AH292" s="13"/>
      <c r="AI292" s="13"/>
      <c r="AJ292" s="13"/>
    </row>
    <row r="293" spans="1:36" ht="16.5" customHeight="1">
      <c r="A293" s="9"/>
      <c r="B293" s="9"/>
      <c r="AE293" s="13"/>
      <c r="AF293" s="13"/>
      <c r="AG293" s="13"/>
      <c r="AH293" s="13"/>
      <c r="AI293" s="13"/>
      <c r="AJ293" s="13"/>
    </row>
    <row r="294" spans="1:36" ht="16.5" customHeight="1">
      <c r="A294" s="9"/>
      <c r="B294" s="9"/>
      <c r="AE294" s="13"/>
      <c r="AF294" s="13"/>
      <c r="AG294" s="13"/>
      <c r="AH294" s="13"/>
      <c r="AI294" s="13"/>
      <c r="AJ294" s="13"/>
    </row>
    <row r="295" spans="1:36" ht="16.5" customHeight="1">
      <c r="A295" s="9"/>
      <c r="B295" s="9"/>
      <c r="AE295" s="13"/>
      <c r="AF295" s="13"/>
      <c r="AG295" s="13"/>
      <c r="AH295" s="13"/>
      <c r="AI295" s="13"/>
      <c r="AJ295" s="13"/>
    </row>
    <row r="296" spans="1:36" ht="16.5" customHeight="1">
      <c r="A296" s="9"/>
      <c r="B296" s="9"/>
      <c r="AE296" s="13"/>
      <c r="AF296" s="13"/>
      <c r="AG296" s="13"/>
      <c r="AH296" s="13"/>
      <c r="AI296" s="13"/>
      <c r="AJ296" s="13"/>
    </row>
    <row r="297" spans="1:36" ht="16.5" customHeight="1">
      <c r="A297" s="9"/>
      <c r="B297" s="9"/>
      <c r="AE297" s="13"/>
      <c r="AF297" s="13"/>
      <c r="AG297" s="13"/>
      <c r="AH297" s="13"/>
      <c r="AI297" s="13"/>
      <c r="AJ297" s="13"/>
    </row>
    <row r="298" spans="1:36" ht="16.5" customHeight="1">
      <c r="A298" s="9"/>
      <c r="B298" s="9"/>
      <c r="AE298" s="13"/>
      <c r="AF298" s="13"/>
      <c r="AG298" s="13"/>
      <c r="AH298" s="13"/>
      <c r="AI298" s="13"/>
      <c r="AJ298" s="13"/>
    </row>
    <row r="299" spans="1:36" ht="16.5" customHeight="1">
      <c r="A299" s="9"/>
      <c r="B299" s="9"/>
      <c r="AE299" s="13"/>
      <c r="AF299" s="13"/>
      <c r="AG299" s="13"/>
      <c r="AH299" s="13"/>
      <c r="AI299" s="13"/>
      <c r="AJ299" s="13"/>
    </row>
    <row r="300" spans="1:36" ht="16.5" customHeight="1">
      <c r="A300" s="9"/>
      <c r="B300" s="9"/>
      <c r="AE300" s="13"/>
      <c r="AF300" s="13"/>
      <c r="AG300" s="13"/>
      <c r="AH300" s="13"/>
      <c r="AI300" s="13"/>
      <c r="AJ300" s="13"/>
    </row>
    <row r="301" spans="1:36" ht="16.5" customHeight="1">
      <c r="A301" s="9"/>
      <c r="B301" s="9"/>
      <c r="AE301" s="13"/>
      <c r="AF301" s="13"/>
      <c r="AG301" s="13"/>
      <c r="AH301" s="13"/>
      <c r="AI301" s="13"/>
      <c r="AJ301" s="13"/>
    </row>
    <row r="302" spans="1:36" ht="16.5" customHeight="1">
      <c r="A302" s="9"/>
      <c r="B302" s="9"/>
      <c r="AE302" s="13"/>
      <c r="AF302" s="13"/>
      <c r="AG302" s="13"/>
      <c r="AH302" s="13"/>
      <c r="AI302" s="13"/>
      <c r="AJ302" s="13"/>
    </row>
    <row r="303" spans="1:36" ht="16.5" customHeight="1">
      <c r="A303" s="9"/>
      <c r="B303" s="9"/>
      <c r="AE303" s="13"/>
      <c r="AF303" s="13"/>
      <c r="AG303" s="13"/>
      <c r="AH303" s="13"/>
      <c r="AI303" s="13"/>
      <c r="AJ303" s="13"/>
    </row>
    <row r="304" spans="1:36" ht="16.5" customHeight="1">
      <c r="A304" s="9"/>
      <c r="B304" s="9"/>
      <c r="AE304" s="13"/>
      <c r="AF304" s="13"/>
      <c r="AG304" s="13"/>
      <c r="AH304" s="13"/>
      <c r="AI304" s="13"/>
      <c r="AJ304" s="13"/>
    </row>
    <row r="305" spans="1:36" ht="16.5" customHeight="1">
      <c r="A305" s="9"/>
      <c r="B305" s="9"/>
      <c r="AE305" s="13"/>
      <c r="AF305" s="13"/>
      <c r="AG305" s="13"/>
      <c r="AH305" s="13"/>
      <c r="AI305" s="13"/>
      <c r="AJ305" s="13"/>
    </row>
    <row r="306" spans="1:36" ht="16.5" customHeight="1">
      <c r="A306" s="9"/>
      <c r="B306" s="9"/>
      <c r="AE306" s="13"/>
      <c r="AF306" s="13"/>
      <c r="AG306" s="13"/>
      <c r="AH306" s="13"/>
      <c r="AI306" s="13"/>
      <c r="AJ306" s="13"/>
    </row>
    <row r="307" spans="1:36" ht="16.5" customHeight="1">
      <c r="A307" s="9"/>
      <c r="B307" s="9"/>
      <c r="AE307" s="13"/>
      <c r="AF307" s="13"/>
      <c r="AG307" s="13"/>
      <c r="AH307" s="13"/>
      <c r="AI307" s="13"/>
      <c r="AJ307" s="13"/>
    </row>
    <row r="308" spans="1:36" ht="16.5" customHeight="1">
      <c r="A308" s="9"/>
      <c r="B308" s="9"/>
      <c r="AE308" s="13"/>
      <c r="AF308" s="13"/>
      <c r="AG308" s="13"/>
      <c r="AH308" s="13"/>
      <c r="AI308" s="13"/>
      <c r="AJ308" s="13"/>
    </row>
    <row r="309" spans="1:36" ht="16.5" customHeight="1">
      <c r="A309" s="9"/>
      <c r="B309" s="9"/>
      <c r="AE309" s="13"/>
      <c r="AF309" s="13"/>
      <c r="AG309" s="13"/>
      <c r="AH309" s="13"/>
      <c r="AI309" s="13"/>
      <c r="AJ309" s="13"/>
    </row>
    <row r="310" spans="1:36" ht="16.5" customHeight="1">
      <c r="A310" s="9"/>
      <c r="B310" s="9"/>
      <c r="AE310" s="13"/>
      <c r="AF310" s="13"/>
      <c r="AG310" s="13"/>
      <c r="AH310" s="13"/>
      <c r="AI310" s="13"/>
      <c r="AJ310" s="13"/>
    </row>
    <row r="311" spans="1:36" ht="16.5" customHeight="1">
      <c r="A311" s="9"/>
      <c r="B311" s="9"/>
      <c r="AE311" s="13"/>
      <c r="AF311" s="13"/>
      <c r="AG311" s="13"/>
      <c r="AH311" s="13"/>
      <c r="AI311" s="13"/>
      <c r="AJ311" s="13"/>
    </row>
    <row r="312" spans="1:36" ht="16.5" customHeight="1">
      <c r="A312" s="9"/>
      <c r="B312" s="9"/>
      <c r="AE312" s="13"/>
      <c r="AF312" s="13"/>
      <c r="AG312" s="13"/>
      <c r="AH312" s="13"/>
      <c r="AI312" s="13"/>
      <c r="AJ312" s="13"/>
    </row>
    <row r="313" spans="1:36" ht="16.5" customHeight="1">
      <c r="A313" s="9"/>
      <c r="B313" s="9"/>
      <c r="AE313" s="13"/>
      <c r="AF313" s="13"/>
      <c r="AG313" s="13"/>
      <c r="AH313" s="13"/>
      <c r="AI313" s="13"/>
      <c r="AJ313" s="13"/>
    </row>
    <row r="314" spans="1:36" ht="16.5" customHeight="1">
      <c r="A314" s="9"/>
      <c r="B314" s="9"/>
      <c r="AE314" s="13"/>
      <c r="AF314" s="13"/>
      <c r="AG314" s="13"/>
      <c r="AH314" s="13"/>
      <c r="AI314" s="13"/>
      <c r="AJ314" s="13"/>
    </row>
    <row r="315" spans="1:36" ht="16.5" customHeight="1">
      <c r="A315" s="9"/>
      <c r="B315" s="9"/>
      <c r="AE315" s="13"/>
      <c r="AF315" s="13"/>
      <c r="AG315" s="13"/>
      <c r="AH315" s="13"/>
      <c r="AI315" s="13"/>
      <c r="AJ315" s="13"/>
    </row>
    <row r="316" spans="1:36" ht="16.5" customHeight="1">
      <c r="A316" s="9"/>
      <c r="B316" s="9"/>
      <c r="AE316" s="13"/>
      <c r="AF316" s="13"/>
      <c r="AG316" s="13"/>
      <c r="AH316" s="13"/>
      <c r="AI316" s="13"/>
      <c r="AJ316" s="13"/>
    </row>
    <row r="317" spans="1:36" ht="16.5" customHeight="1">
      <c r="A317" s="9"/>
      <c r="B317" s="9"/>
      <c r="AE317" s="13"/>
      <c r="AF317" s="13"/>
      <c r="AG317" s="13"/>
      <c r="AH317" s="13"/>
      <c r="AI317" s="13"/>
      <c r="AJ317" s="13"/>
    </row>
    <row r="318" spans="1:36" ht="16.5" customHeight="1">
      <c r="A318" s="9"/>
      <c r="B318" s="9"/>
      <c r="AE318" s="13"/>
      <c r="AF318" s="13"/>
      <c r="AG318" s="13"/>
      <c r="AH318" s="13"/>
      <c r="AI318" s="13"/>
      <c r="AJ318" s="13"/>
    </row>
    <row r="319" spans="1:36" ht="16.5" customHeight="1">
      <c r="A319" s="9"/>
      <c r="B319" s="9"/>
      <c r="AE319" s="13"/>
      <c r="AF319" s="13"/>
      <c r="AG319" s="13"/>
      <c r="AH319" s="13"/>
      <c r="AI319" s="13"/>
      <c r="AJ319" s="13"/>
    </row>
    <row r="320" spans="1:36" ht="16.5" customHeight="1">
      <c r="A320" s="9"/>
      <c r="B320" s="9"/>
      <c r="AE320" s="13"/>
      <c r="AF320" s="13"/>
      <c r="AG320" s="13"/>
      <c r="AH320" s="13"/>
      <c r="AI320" s="13"/>
      <c r="AJ320" s="13"/>
    </row>
    <row r="321" spans="1:36" ht="16.5" customHeight="1">
      <c r="A321" s="9"/>
      <c r="B321" s="9"/>
      <c r="AE321" s="13"/>
      <c r="AF321" s="13"/>
      <c r="AG321" s="13"/>
      <c r="AH321" s="13"/>
      <c r="AI321" s="13"/>
      <c r="AJ321" s="13"/>
    </row>
    <row r="322" spans="1:36" ht="16.5" customHeight="1">
      <c r="A322" s="9"/>
      <c r="B322" s="9"/>
      <c r="AE322" s="13"/>
      <c r="AF322" s="13"/>
      <c r="AG322" s="13"/>
      <c r="AH322" s="13"/>
      <c r="AI322" s="13"/>
      <c r="AJ322" s="13"/>
    </row>
    <row r="323" spans="1:36" ht="16.5" customHeight="1">
      <c r="A323" s="9"/>
      <c r="B323" s="9"/>
      <c r="AE323" s="13"/>
      <c r="AF323" s="13"/>
      <c r="AG323" s="13"/>
      <c r="AH323" s="13"/>
      <c r="AI323" s="13"/>
      <c r="AJ323" s="13"/>
    </row>
    <row r="324" spans="1:36" ht="16.5" customHeight="1">
      <c r="A324" s="9"/>
      <c r="B324" s="9"/>
      <c r="AE324" s="13"/>
      <c r="AF324" s="13"/>
      <c r="AG324" s="13"/>
      <c r="AH324" s="13"/>
      <c r="AI324" s="13"/>
      <c r="AJ324" s="13"/>
    </row>
    <row r="325" spans="1:36" ht="16.5" customHeight="1">
      <c r="A325" s="9"/>
      <c r="B325" s="9"/>
      <c r="AE325" s="13"/>
      <c r="AF325" s="13"/>
      <c r="AG325" s="13"/>
      <c r="AH325" s="13"/>
      <c r="AI325" s="13"/>
      <c r="AJ325" s="13"/>
    </row>
    <row r="326" spans="1:36" ht="16.5" customHeight="1">
      <c r="A326" s="9"/>
      <c r="B326" s="9"/>
      <c r="AE326" s="13"/>
      <c r="AF326" s="13"/>
      <c r="AG326" s="13"/>
      <c r="AH326" s="13"/>
      <c r="AI326" s="13"/>
      <c r="AJ326" s="13"/>
    </row>
    <row r="327" spans="1:36" ht="16.5" customHeight="1">
      <c r="A327" s="9"/>
      <c r="B327" s="9"/>
      <c r="AE327" s="13"/>
      <c r="AF327" s="13"/>
      <c r="AG327" s="13"/>
      <c r="AH327" s="13"/>
      <c r="AI327" s="13"/>
      <c r="AJ327" s="13"/>
    </row>
    <row r="328" spans="1:36" ht="16.5" customHeight="1">
      <c r="A328" s="9"/>
      <c r="B328" s="9"/>
      <c r="AE328" s="13"/>
      <c r="AF328" s="13"/>
      <c r="AG328" s="13"/>
      <c r="AH328" s="13"/>
      <c r="AI328" s="13"/>
      <c r="AJ328" s="13"/>
    </row>
    <row r="329" spans="1:36" ht="16.5" customHeight="1">
      <c r="A329" s="9"/>
      <c r="B329" s="9"/>
      <c r="AE329" s="13"/>
      <c r="AF329" s="13"/>
      <c r="AG329" s="13"/>
      <c r="AH329" s="13"/>
      <c r="AI329" s="13"/>
      <c r="AJ329" s="13"/>
    </row>
    <row r="330" spans="1:36" ht="16.5" customHeight="1">
      <c r="A330" s="9"/>
      <c r="B330" s="9"/>
      <c r="AE330" s="13"/>
      <c r="AF330" s="13"/>
      <c r="AG330" s="13"/>
      <c r="AH330" s="13"/>
      <c r="AI330" s="13"/>
      <c r="AJ330" s="13"/>
    </row>
    <row r="331" spans="1:36" ht="16.5" customHeight="1">
      <c r="A331" s="9"/>
      <c r="B331" s="9"/>
      <c r="AE331" s="13"/>
      <c r="AF331" s="13"/>
      <c r="AG331" s="13"/>
      <c r="AH331" s="13"/>
      <c r="AI331" s="13"/>
      <c r="AJ331" s="13"/>
    </row>
    <row r="332" spans="1:36" ht="16.5" customHeight="1">
      <c r="A332" s="9"/>
      <c r="B332" s="9"/>
      <c r="AE332" s="13"/>
      <c r="AF332" s="13"/>
      <c r="AG332" s="13"/>
      <c r="AH332" s="13"/>
      <c r="AI332" s="13"/>
      <c r="AJ332" s="13"/>
    </row>
    <row r="333" spans="1:36" ht="16.5" customHeight="1">
      <c r="A333" s="9"/>
      <c r="B333" s="9"/>
      <c r="AE333" s="13"/>
      <c r="AF333" s="13"/>
      <c r="AG333" s="13"/>
      <c r="AH333" s="13"/>
      <c r="AI333" s="13"/>
      <c r="AJ333" s="13"/>
    </row>
    <row r="334" spans="1:36" ht="16.5" customHeight="1">
      <c r="A334" s="9"/>
      <c r="B334" s="9"/>
      <c r="AE334" s="13"/>
      <c r="AF334" s="13"/>
      <c r="AG334" s="13"/>
      <c r="AH334" s="13"/>
      <c r="AI334" s="13"/>
      <c r="AJ334" s="13"/>
    </row>
    <row r="335" spans="1:36" ht="16.5" customHeight="1">
      <c r="A335" s="9"/>
      <c r="B335" s="9"/>
      <c r="AE335" s="13"/>
      <c r="AF335" s="13"/>
      <c r="AG335" s="13"/>
      <c r="AH335" s="13"/>
      <c r="AI335" s="13"/>
      <c r="AJ335" s="13"/>
    </row>
    <row r="336" spans="1:36" ht="16.5" customHeight="1">
      <c r="A336" s="9"/>
      <c r="B336" s="9"/>
      <c r="AE336" s="13"/>
      <c r="AF336" s="13"/>
      <c r="AG336" s="13"/>
      <c r="AH336" s="13"/>
      <c r="AI336" s="13"/>
      <c r="AJ336" s="13"/>
    </row>
    <row r="337" spans="1:36" ht="16.5" customHeight="1">
      <c r="A337" s="9"/>
      <c r="B337" s="9"/>
      <c r="AE337" s="13"/>
      <c r="AF337" s="13"/>
      <c r="AG337" s="13"/>
      <c r="AH337" s="13"/>
      <c r="AI337" s="13"/>
      <c r="AJ337" s="13"/>
    </row>
    <row r="338" spans="1:36" ht="16.5" customHeight="1">
      <c r="A338" s="9"/>
      <c r="B338" s="9"/>
      <c r="AE338" s="13"/>
      <c r="AF338" s="13"/>
      <c r="AG338" s="13"/>
      <c r="AH338" s="13"/>
      <c r="AI338" s="13"/>
      <c r="AJ338" s="13"/>
    </row>
    <row r="339" spans="1:36" ht="16.5" customHeight="1">
      <c r="A339" s="9"/>
      <c r="B339" s="9"/>
      <c r="AE339" s="13"/>
      <c r="AF339" s="13"/>
      <c r="AG339" s="13"/>
      <c r="AH339" s="13"/>
      <c r="AI339" s="13"/>
      <c r="AJ339" s="13"/>
    </row>
    <row r="340" spans="1:36" ht="16.5" customHeight="1">
      <c r="A340" s="9"/>
      <c r="B340" s="9"/>
      <c r="AE340" s="13"/>
      <c r="AF340" s="13"/>
      <c r="AG340" s="13"/>
      <c r="AH340" s="13"/>
      <c r="AI340" s="13"/>
      <c r="AJ340" s="13"/>
    </row>
    <row r="341" spans="1:36" ht="16.5" customHeight="1">
      <c r="A341" s="9"/>
      <c r="B341" s="9"/>
      <c r="AE341" s="13"/>
      <c r="AF341" s="13"/>
      <c r="AG341" s="13"/>
      <c r="AH341" s="13"/>
      <c r="AI341" s="13"/>
      <c r="AJ341" s="13"/>
    </row>
    <row r="342" spans="1:36" ht="16.5" customHeight="1">
      <c r="A342" s="9"/>
      <c r="B342" s="9"/>
      <c r="AE342" s="13"/>
      <c r="AF342" s="13"/>
      <c r="AG342" s="13"/>
      <c r="AH342" s="13"/>
      <c r="AI342" s="13"/>
      <c r="AJ342" s="13"/>
    </row>
    <row r="343" spans="1:36" ht="16.5" customHeight="1">
      <c r="A343" s="9"/>
      <c r="B343" s="9"/>
      <c r="AE343" s="13"/>
      <c r="AF343" s="13"/>
      <c r="AG343" s="13"/>
      <c r="AH343" s="13"/>
      <c r="AI343" s="13"/>
      <c r="AJ343" s="13"/>
    </row>
    <row r="344" spans="1:36" ht="16.5" customHeight="1">
      <c r="A344" s="9"/>
      <c r="B344" s="9"/>
      <c r="AE344" s="13"/>
      <c r="AF344" s="13"/>
      <c r="AG344" s="13"/>
      <c r="AH344" s="13"/>
      <c r="AI344" s="13"/>
      <c r="AJ344" s="13"/>
    </row>
    <row r="345" spans="1:36" ht="16.5" customHeight="1">
      <c r="A345" s="9"/>
      <c r="B345" s="9"/>
      <c r="AE345" s="13"/>
      <c r="AF345" s="13"/>
      <c r="AG345" s="13"/>
      <c r="AH345" s="13"/>
      <c r="AI345" s="13"/>
      <c r="AJ345" s="13"/>
    </row>
    <row r="346" spans="1:36" ht="16.5" customHeight="1">
      <c r="A346" s="9"/>
      <c r="B346" s="9"/>
      <c r="AE346" s="13"/>
      <c r="AF346" s="13"/>
      <c r="AG346" s="13"/>
      <c r="AH346" s="13"/>
      <c r="AI346" s="13"/>
      <c r="AJ346" s="13"/>
    </row>
    <row r="347" spans="1:36" ht="16.5" customHeight="1">
      <c r="A347" s="9"/>
      <c r="B347" s="9"/>
      <c r="AE347" s="13"/>
      <c r="AF347" s="13"/>
      <c r="AG347" s="13"/>
      <c r="AH347" s="13"/>
      <c r="AI347" s="13"/>
      <c r="AJ347" s="13"/>
    </row>
    <row r="348" spans="1:36" ht="16.5" customHeight="1">
      <c r="A348" s="9"/>
      <c r="B348" s="9"/>
      <c r="AE348" s="13"/>
      <c r="AF348" s="13"/>
      <c r="AG348" s="13"/>
      <c r="AH348" s="13"/>
      <c r="AI348" s="13"/>
      <c r="AJ348" s="13"/>
    </row>
    <row r="349" spans="1:36" ht="16.5" customHeight="1">
      <c r="A349" s="9"/>
      <c r="B349" s="9"/>
      <c r="AE349" s="13"/>
      <c r="AF349" s="13"/>
      <c r="AG349" s="13"/>
      <c r="AH349" s="13"/>
      <c r="AI349" s="13"/>
      <c r="AJ349" s="13"/>
    </row>
    <row r="350" spans="1:36" ht="16.5" customHeight="1">
      <c r="A350" s="9"/>
      <c r="B350" s="9"/>
      <c r="AE350" s="13"/>
      <c r="AF350" s="13"/>
      <c r="AG350" s="13"/>
      <c r="AH350" s="13"/>
      <c r="AI350" s="13"/>
      <c r="AJ350" s="13"/>
    </row>
    <row r="351" spans="1:36" ht="16.5" customHeight="1">
      <c r="A351" s="9"/>
      <c r="B351" s="9"/>
      <c r="AE351" s="13"/>
      <c r="AF351" s="13"/>
      <c r="AG351" s="13"/>
      <c r="AH351" s="13"/>
      <c r="AI351" s="13"/>
      <c r="AJ351" s="13"/>
    </row>
    <row r="352" spans="1:36" ht="16.5" customHeight="1">
      <c r="A352" s="9"/>
      <c r="B352" s="9"/>
      <c r="AE352" s="13"/>
      <c r="AF352" s="13"/>
      <c r="AG352" s="13"/>
      <c r="AH352" s="13"/>
      <c r="AI352" s="13"/>
      <c r="AJ352" s="13"/>
    </row>
    <row r="353" spans="1:36" ht="16.5" customHeight="1">
      <c r="A353" s="9"/>
      <c r="B353" s="9"/>
      <c r="AE353" s="13"/>
      <c r="AF353" s="13"/>
      <c r="AG353" s="13"/>
      <c r="AH353" s="13"/>
      <c r="AI353" s="13"/>
      <c r="AJ353" s="13"/>
    </row>
    <row r="354" spans="1:36" ht="16.5" customHeight="1">
      <c r="A354" s="9"/>
      <c r="B354" s="9"/>
      <c r="AE354" s="13"/>
      <c r="AF354" s="13"/>
      <c r="AG354" s="13"/>
      <c r="AH354" s="13"/>
      <c r="AI354" s="13"/>
      <c r="AJ354" s="13"/>
    </row>
    <row r="355" spans="1:36" ht="16.5" customHeight="1">
      <c r="A355" s="9"/>
      <c r="B355" s="9"/>
      <c r="AE355" s="13"/>
      <c r="AF355" s="13"/>
      <c r="AG355" s="13"/>
      <c r="AH355" s="13"/>
      <c r="AI355" s="13"/>
      <c r="AJ355" s="13"/>
    </row>
    <row r="356" spans="1:36" ht="16.5" customHeight="1">
      <c r="A356" s="9"/>
      <c r="B356" s="9"/>
      <c r="AE356" s="13"/>
      <c r="AF356" s="13"/>
      <c r="AG356" s="13"/>
      <c r="AH356" s="13"/>
      <c r="AI356" s="13"/>
      <c r="AJ356" s="13"/>
    </row>
    <row r="357" spans="1:36" ht="16.5" customHeight="1">
      <c r="A357" s="9"/>
      <c r="B357" s="9"/>
      <c r="AE357" s="13"/>
      <c r="AF357" s="13"/>
      <c r="AG357" s="13"/>
      <c r="AH357" s="13"/>
      <c r="AI357" s="13"/>
      <c r="AJ357" s="13"/>
    </row>
    <row r="358" spans="1:36" ht="16.5" customHeight="1">
      <c r="A358" s="9"/>
      <c r="B358" s="9"/>
      <c r="AE358" s="13"/>
      <c r="AF358" s="13"/>
      <c r="AG358" s="13"/>
      <c r="AH358" s="13"/>
      <c r="AI358" s="13"/>
      <c r="AJ358" s="13"/>
    </row>
    <row r="359" spans="1:36" ht="16.5" customHeight="1">
      <c r="A359" s="9"/>
      <c r="B359" s="9"/>
      <c r="AE359" s="13"/>
      <c r="AF359" s="13"/>
      <c r="AG359" s="13"/>
      <c r="AH359" s="13"/>
      <c r="AI359" s="13"/>
      <c r="AJ359" s="13"/>
    </row>
    <row r="360" spans="1:36" ht="16.5" customHeight="1">
      <c r="A360" s="9"/>
      <c r="B360" s="9"/>
      <c r="AE360" s="13"/>
      <c r="AF360" s="13"/>
      <c r="AG360" s="13"/>
      <c r="AH360" s="13"/>
      <c r="AI360" s="13"/>
      <c r="AJ360" s="13"/>
    </row>
    <row r="361" spans="1:36" ht="16.5" customHeight="1">
      <c r="A361" s="9"/>
      <c r="B361" s="9"/>
      <c r="AE361" s="13"/>
      <c r="AF361" s="13"/>
      <c r="AG361" s="13"/>
      <c r="AH361" s="13"/>
      <c r="AI361" s="13"/>
      <c r="AJ361" s="13"/>
    </row>
    <row r="362" spans="1:36" ht="16.5" customHeight="1">
      <c r="A362" s="9"/>
      <c r="B362" s="9"/>
      <c r="AE362" s="13"/>
      <c r="AF362" s="13"/>
      <c r="AG362" s="13"/>
      <c r="AH362" s="13"/>
      <c r="AI362" s="13"/>
      <c r="AJ362" s="13"/>
    </row>
    <row r="363" spans="1:36" ht="16.5" customHeight="1">
      <c r="A363" s="9"/>
      <c r="B363" s="9"/>
      <c r="AE363" s="13"/>
      <c r="AF363" s="13"/>
      <c r="AG363" s="13"/>
      <c r="AH363" s="13"/>
      <c r="AI363" s="13"/>
      <c r="AJ363" s="13"/>
    </row>
    <row r="364" spans="1:36" ht="16.5" customHeight="1">
      <c r="A364" s="9"/>
      <c r="B364" s="9"/>
      <c r="AE364" s="13"/>
      <c r="AF364" s="13"/>
      <c r="AG364" s="13"/>
      <c r="AH364" s="13"/>
      <c r="AI364" s="13"/>
      <c r="AJ364" s="13"/>
    </row>
    <row r="365" spans="1:36" ht="16.5" customHeight="1">
      <c r="A365" s="9"/>
      <c r="B365" s="9"/>
      <c r="AE365" s="13"/>
      <c r="AF365" s="13"/>
      <c r="AG365" s="13"/>
      <c r="AH365" s="13"/>
      <c r="AI365" s="13"/>
      <c r="AJ365" s="13"/>
    </row>
    <row r="366" spans="1:36" ht="16.5" customHeight="1">
      <c r="A366" s="9"/>
      <c r="B366" s="9"/>
      <c r="AE366" s="13"/>
      <c r="AF366" s="13"/>
      <c r="AG366" s="13"/>
      <c r="AH366" s="13"/>
      <c r="AI366" s="13"/>
      <c r="AJ366" s="13"/>
    </row>
    <row r="367" spans="1:36" ht="16.5" customHeight="1">
      <c r="A367" s="9"/>
      <c r="B367" s="9"/>
      <c r="AE367" s="13"/>
      <c r="AF367" s="13"/>
      <c r="AG367" s="13"/>
      <c r="AH367" s="13"/>
      <c r="AI367" s="13"/>
      <c r="AJ367" s="13"/>
    </row>
    <row r="368" spans="1:36" ht="16.5" customHeight="1">
      <c r="A368" s="9"/>
      <c r="B368" s="9"/>
      <c r="AE368" s="13"/>
      <c r="AF368" s="13"/>
      <c r="AG368" s="13"/>
      <c r="AH368" s="13"/>
      <c r="AI368" s="13"/>
      <c r="AJ368" s="13"/>
    </row>
    <row r="369" spans="1:36" ht="16.5" customHeight="1">
      <c r="A369" s="9"/>
      <c r="B369" s="9"/>
      <c r="AE369" s="13"/>
      <c r="AF369" s="13"/>
      <c r="AG369" s="13"/>
      <c r="AH369" s="13"/>
      <c r="AI369" s="13"/>
      <c r="AJ369" s="13"/>
    </row>
    <row r="370" spans="1:36" ht="16.5" customHeight="1">
      <c r="A370" s="9"/>
      <c r="B370" s="9"/>
      <c r="AE370" s="13"/>
      <c r="AF370" s="13"/>
      <c r="AG370" s="13"/>
      <c r="AH370" s="13"/>
      <c r="AI370" s="13"/>
      <c r="AJ370" s="13"/>
    </row>
    <row r="371" spans="1:36" ht="16.5" customHeight="1">
      <c r="A371" s="9"/>
      <c r="B371" s="9"/>
      <c r="AE371" s="13"/>
      <c r="AF371" s="13"/>
      <c r="AG371" s="13"/>
      <c r="AH371" s="13"/>
      <c r="AI371" s="13"/>
      <c r="AJ371" s="13"/>
    </row>
    <row r="372" spans="1:36" ht="16.5" customHeight="1">
      <c r="A372" s="9"/>
      <c r="B372" s="9"/>
      <c r="AE372" s="13"/>
      <c r="AF372" s="13"/>
      <c r="AG372" s="13"/>
      <c r="AH372" s="13"/>
      <c r="AI372" s="13"/>
      <c r="AJ372" s="13"/>
    </row>
    <row r="373" spans="1:36" ht="16.5" customHeight="1">
      <c r="A373" s="9"/>
      <c r="B373" s="9"/>
      <c r="AE373" s="13"/>
      <c r="AF373" s="13"/>
      <c r="AG373" s="13"/>
      <c r="AH373" s="13"/>
      <c r="AI373" s="13"/>
      <c r="AJ373" s="13"/>
    </row>
    <row r="374" spans="1:36" ht="16.5" customHeight="1">
      <c r="A374" s="9"/>
      <c r="B374" s="9"/>
      <c r="AE374" s="13"/>
      <c r="AF374" s="13"/>
      <c r="AG374" s="13"/>
      <c r="AH374" s="13"/>
      <c r="AI374" s="13"/>
      <c r="AJ374" s="13"/>
    </row>
    <row r="375" spans="1:36" ht="16.5" customHeight="1">
      <c r="A375" s="9"/>
      <c r="B375" s="9"/>
      <c r="AE375" s="13"/>
      <c r="AF375" s="13"/>
      <c r="AG375" s="13"/>
      <c r="AH375" s="13"/>
      <c r="AI375" s="13"/>
      <c r="AJ375" s="13"/>
    </row>
    <row r="376" spans="1:36" ht="16.5" customHeight="1">
      <c r="A376" s="9"/>
      <c r="B376" s="9"/>
      <c r="AE376" s="13"/>
      <c r="AF376" s="13"/>
      <c r="AG376" s="13"/>
      <c r="AH376" s="13"/>
      <c r="AI376" s="13"/>
      <c r="AJ376" s="13"/>
    </row>
    <row r="377" spans="1:36" ht="16.5" customHeight="1">
      <c r="A377" s="9"/>
      <c r="B377" s="9"/>
      <c r="AE377" s="13"/>
      <c r="AF377" s="13"/>
      <c r="AG377" s="13"/>
      <c r="AH377" s="13"/>
      <c r="AI377" s="13"/>
      <c r="AJ377" s="13"/>
    </row>
    <row r="378" spans="1:36" ht="16.5" customHeight="1">
      <c r="A378" s="9"/>
      <c r="B378" s="9"/>
      <c r="AE378" s="13"/>
      <c r="AF378" s="13"/>
      <c r="AG378" s="13"/>
      <c r="AH378" s="13"/>
      <c r="AI378" s="13"/>
      <c r="AJ378" s="13"/>
    </row>
    <row r="379" spans="1:36" ht="16.5" customHeight="1">
      <c r="A379" s="9"/>
      <c r="B379" s="9"/>
      <c r="AE379" s="13"/>
      <c r="AF379" s="13"/>
      <c r="AG379" s="13"/>
      <c r="AH379" s="13"/>
      <c r="AI379" s="13"/>
      <c r="AJ379" s="13"/>
    </row>
    <row r="380" spans="1:36" ht="16.5" customHeight="1">
      <c r="A380" s="9"/>
      <c r="B380" s="9"/>
      <c r="AE380" s="13"/>
      <c r="AF380" s="13"/>
      <c r="AG380" s="13"/>
      <c r="AH380" s="13"/>
      <c r="AI380" s="13"/>
      <c r="AJ380" s="13"/>
    </row>
    <row r="381" spans="1:36" ht="16.5" customHeight="1">
      <c r="A381" s="9"/>
      <c r="B381" s="9"/>
      <c r="AE381" s="13"/>
      <c r="AF381" s="13"/>
      <c r="AG381" s="13"/>
      <c r="AH381" s="13"/>
      <c r="AI381" s="13"/>
      <c r="AJ381" s="13"/>
    </row>
    <row r="382" spans="1:36" ht="16.5" customHeight="1">
      <c r="A382" s="9"/>
      <c r="B382" s="9"/>
      <c r="AE382" s="13"/>
      <c r="AF382" s="13"/>
      <c r="AG382" s="13"/>
      <c r="AH382" s="13"/>
      <c r="AI382" s="13"/>
      <c r="AJ382" s="13"/>
    </row>
    <row r="383" spans="1:36" ht="16.5" customHeight="1">
      <c r="A383" s="9"/>
      <c r="B383" s="9"/>
      <c r="AE383" s="13"/>
      <c r="AF383" s="13"/>
      <c r="AG383" s="13"/>
      <c r="AH383" s="13"/>
      <c r="AI383" s="13"/>
      <c r="AJ383" s="13"/>
    </row>
    <row r="384" spans="1:36" ht="16.5" customHeight="1">
      <c r="A384" s="9"/>
      <c r="B384" s="9"/>
      <c r="AE384" s="13"/>
      <c r="AF384" s="13"/>
      <c r="AG384" s="13"/>
      <c r="AH384" s="13"/>
      <c r="AI384" s="13"/>
      <c r="AJ384" s="13"/>
    </row>
    <row r="385" spans="1:36" ht="16.5" customHeight="1">
      <c r="A385" s="9"/>
      <c r="B385" s="9"/>
      <c r="AE385" s="13"/>
      <c r="AF385" s="13"/>
      <c r="AG385" s="13"/>
      <c r="AH385" s="13"/>
      <c r="AI385" s="13"/>
      <c r="AJ385" s="13"/>
    </row>
    <row r="386" spans="1:36" ht="16.5" customHeight="1">
      <c r="A386" s="9"/>
      <c r="B386" s="9"/>
      <c r="AE386" s="13"/>
      <c r="AF386" s="13"/>
      <c r="AG386" s="13"/>
      <c r="AH386" s="13"/>
      <c r="AI386" s="13"/>
      <c r="AJ386" s="13"/>
    </row>
    <row r="387" spans="1:36" ht="16.5" customHeight="1">
      <c r="A387" s="9"/>
      <c r="B387" s="9"/>
      <c r="AE387" s="13"/>
      <c r="AF387" s="13"/>
      <c r="AG387" s="13"/>
      <c r="AH387" s="13"/>
      <c r="AI387" s="13"/>
      <c r="AJ387" s="13"/>
    </row>
    <row r="388" spans="1:36" ht="16.5" customHeight="1">
      <c r="A388" s="9"/>
      <c r="B388" s="9"/>
      <c r="AE388" s="13"/>
      <c r="AF388" s="13"/>
      <c r="AG388" s="13"/>
      <c r="AH388" s="13"/>
      <c r="AI388" s="13"/>
      <c r="AJ388" s="13"/>
    </row>
    <row r="389" spans="1:36" ht="16.5" customHeight="1">
      <c r="A389" s="9"/>
      <c r="B389" s="9"/>
      <c r="AE389" s="13"/>
      <c r="AF389" s="13"/>
      <c r="AG389" s="13"/>
      <c r="AH389" s="13"/>
      <c r="AI389" s="13"/>
      <c r="AJ389" s="13"/>
    </row>
    <row r="390" spans="1:36" ht="16.5" customHeight="1">
      <c r="A390" s="9"/>
      <c r="B390" s="9"/>
      <c r="AE390" s="13"/>
      <c r="AF390" s="13"/>
      <c r="AG390" s="13"/>
      <c r="AH390" s="13"/>
      <c r="AI390" s="13"/>
      <c r="AJ390" s="13"/>
    </row>
    <row r="391" spans="1:36" ht="16.5" customHeight="1">
      <c r="A391" s="9"/>
      <c r="B391" s="9"/>
      <c r="AE391" s="13"/>
      <c r="AF391" s="13"/>
      <c r="AG391" s="13"/>
      <c r="AH391" s="13"/>
      <c r="AI391" s="13"/>
      <c r="AJ391" s="13"/>
    </row>
    <row r="392" spans="1:36" ht="16.5" customHeight="1">
      <c r="A392" s="9"/>
      <c r="B392" s="9"/>
      <c r="AE392" s="13"/>
      <c r="AF392" s="13"/>
      <c r="AG392" s="13"/>
      <c r="AH392" s="13"/>
      <c r="AI392" s="13"/>
      <c r="AJ392" s="13"/>
    </row>
    <row r="393" spans="1:36" ht="16.5" customHeight="1">
      <c r="A393" s="9"/>
      <c r="B393" s="9"/>
      <c r="AE393" s="13"/>
      <c r="AF393" s="13"/>
      <c r="AG393" s="13"/>
      <c r="AH393" s="13"/>
      <c r="AI393" s="13"/>
      <c r="AJ393" s="13"/>
    </row>
    <row r="394" spans="1:36" ht="16.5" customHeight="1">
      <c r="A394" s="9"/>
      <c r="B394" s="9"/>
      <c r="AE394" s="13"/>
      <c r="AF394" s="13"/>
      <c r="AG394" s="13"/>
      <c r="AH394" s="13"/>
      <c r="AI394" s="13"/>
      <c r="AJ394" s="13"/>
    </row>
    <row r="395" spans="1:36" ht="16.5" customHeight="1">
      <c r="A395" s="9"/>
      <c r="B395" s="9"/>
      <c r="AE395" s="13"/>
      <c r="AF395" s="13"/>
      <c r="AG395" s="13"/>
      <c r="AH395" s="13"/>
      <c r="AI395" s="13"/>
      <c r="AJ395" s="13"/>
    </row>
    <row r="396" spans="1:36" ht="16.5" customHeight="1">
      <c r="A396" s="9"/>
      <c r="B396" s="9"/>
      <c r="AE396" s="13"/>
      <c r="AF396" s="13"/>
      <c r="AG396" s="13"/>
      <c r="AH396" s="13"/>
      <c r="AI396" s="13"/>
      <c r="AJ396" s="13"/>
    </row>
    <row r="397" spans="1:36" ht="16.5" customHeight="1">
      <c r="A397" s="9"/>
      <c r="B397" s="9"/>
      <c r="AE397" s="13"/>
      <c r="AF397" s="13"/>
      <c r="AG397" s="13"/>
      <c r="AH397" s="13"/>
      <c r="AI397" s="13"/>
      <c r="AJ397" s="13"/>
    </row>
    <row r="398" spans="1:36" ht="16.5" customHeight="1">
      <c r="A398" s="9"/>
      <c r="B398" s="9"/>
      <c r="AE398" s="13"/>
      <c r="AF398" s="13"/>
      <c r="AG398" s="13"/>
      <c r="AH398" s="13"/>
      <c r="AI398" s="13"/>
      <c r="AJ398" s="13"/>
    </row>
    <row r="399" spans="1:36" ht="16.5" customHeight="1">
      <c r="A399" s="9"/>
      <c r="B399" s="9"/>
      <c r="AE399" s="13"/>
      <c r="AF399" s="13"/>
      <c r="AG399" s="13"/>
      <c r="AH399" s="13"/>
      <c r="AI399" s="13"/>
      <c r="AJ399" s="13"/>
    </row>
    <row r="400" spans="1:36" ht="16.5" customHeight="1">
      <c r="A400" s="9"/>
      <c r="B400" s="9"/>
      <c r="AE400" s="13"/>
      <c r="AF400" s="13"/>
      <c r="AG400" s="13"/>
      <c r="AH400" s="13"/>
      <c r="AI400" s="13"/>
      <c r="AJ400" s="13"/>
    </row>
    <row r="401" spans="1:36" ht="16.5" customHeight="1">
      <c r="A401" s="9"/>
      <c r="B401" s="9"/>
      <c r="AE401" s="13"/>
      <c r="AF401" s="13"/>
      <c r="AG401" s="13"/>
      <c r="AH401" s="13"/>
      <c r="AI401" s="13"/>
      <c r="AJ401" s="13"/>
    </row>
    <row r="402" spans="1:36" ht="16.5" customHeight="1">
      <c r="A402" s="9"/>
      <c r="B402" s="9"/>
      <c r="AE402" s="13"/>
      <c r="AF402" s="13"/>
      <c r="AG402" s="13"/>
      <c r="AH402" s="13"/>
      <c r="AI402" s="13"/>
      <c r="AJ402" s="13"/>
    </row>
    <row r="403" spans="1:36" ht="16.5" customHeight="1">
      <c r="A403" s="9"/>
      <c r="B403" s="9"/>
      <c r="AE403" s="13"/>
      <c r="AF403" s="13"/>
      <c r="AG403" s="13"/>
      <c r="AH403" s="13"/>
      <c r="AI403" s="13"/>
      <c r="AJ403" s="13"/>
    </row>
    <row r="404" spans="1:36" ht="16.5" customHeight="1">
      <c r="A404" s="9"/>
      <c r="B404" s="9"/>
      <c r="AE404" s="13"/>
      <c r="AF404" s="13"/>
      <c r="AG404" s="13"/>
      <c r="AH404" s="13"/>
      <c r="AI404" s="13"/>
      <c r="AJ404" s="13"/>
    </row>
    <row r="405" spans="1:36" ht="16.5" customHeight="1">
      <c r="A405" s="9"/>
      <c r="B405" s="9"/>
      <c r="AE405" s="13"/>
      <c r="AF405" s="13"/>
      <c r="AG405" s="13"/>
      <c r="AH405" s="13"/>
      <c r="AI405" s="13"/>
      <c r="AJ405" s="13"/>
    </row>
    <row r="406" spans="1:36" ht="16.5" customHeight="1">
      <c r="A406" s="9"/>
      <c r="B406" s="9"/>
      <c r="AE406" s="13"/>
      <c r="AF406" s="13"/>
      <c r="AG406" s="13"/>
      <c r="AH406" s="13"/>
      <c r="AI406" s="13"/>
      <c r="AJ406" s="13"/>
    </row>
    <row r="407" spans="1:36" ht="16.5" customHeight="1">
      <c r="A407" s="9"/>
      <c r="B407" s="9"/>
      <c r="AE407" s="13"/>
      <c r="AF407" s="13"/>
      <c r="AG407" s="13"/>
      <c r="AH407" s="13"/>
      <c r="AI407" s="13"/>
      <c r="AJ407" s="13"/>
    </row>
    <row r="408" spans="1:36" ht="16.5" customHeight="1">
      <c r="A408" s="9"/>
      <c r="B408" s="9"/>
      <c r="AE408" s="13"/>
      <c r="AF408" s="13"/>
      <c r="AG408" s="13"/>
      <c r="AH408" s="13"/>
      <c r="AI408" s="13"/>
      <c r="AJ408" s="13"/>
    </row>
    <row r="409" spans="1:36" ht="16.5" customHeight="1">
      <c r="A409" s="9"/>
      <c r="B409" s="9"/>
      <c r="AE409" s="13"/>
      <c r="AF409" s="13"/>
      <c r="AG409" s="13"/>
      <c r="AH409" s="13"/>
      <c r="AI409" s="13"/>
      <c r="AJ409" s="13"/>
    </row>
    <row r="410" spans="1:36" ht="16.5" customHeight="1">
      <c r="A410" s="9"/>
      <c r="B410" s="9"/>
      <c r="AE410" s="13"/>
      <c r="AF410" s="13"/>
      <c r="AG410" s="13"/>
      <c r="AH410" s="13"/>
      <c r="AI410" s="13"/>
      <c r="AJ410" s="13"/>
    </row>
    <row r="411" spans="1:36" ht="16.5" customHeight="1">
      <c r="A411" s="9"/>
      <c r="B411" s="9"/>
      <c r="AE411" s="13"/>
      <c r="AF411" s="13"/>
      <c r="AG411" s="13"/>
      <c r="AH411" s="13"/>
      <c r="AI411" s="13"/>
      <c r="AJ411" s="13"/>
    </row>
    <row r="412" spans="1:36" ht="16.5" customHeight="1">
      <c r="A412" s="9"/>
      <c r="B412" s="9"/>
      <c r="AE412" s="13"/>
      <c r="AF412" s="13"/>
      <c r="AG412" s="13"/>
      <c r="AH412" s="13"/>
      <c r="AI412" s="13"/>
      <c r="AJ412" s="13"/>
    </row>
    <row r="413" spans="1:36" ht="16.5" customHeight="1">
      <c r="A413" s="9"/>
      <c r="B413" s="9"/>
      <c r="AE413" s="13"/>
      <c r="AF413" s="13"/>
      <c r="AG413" s="13"/>
      <c r="AH413" s="13"/>
      <c r="AI413" s="13"/>
      <c r="AJ413" s="13"/>
    </row>
    <row r="414" spans="1:36" ht="16.5" customHeight="1">
      <c r="A414" s="9"/>
      <c r="B414" s="9"/>
      <c r="AE414" s="13"/>
      <c r="AF414" s="13"/>
      <c r="AG414" s="13"/>
      <c r="AH414" s="13"/>
      <c r="AI414" s="13"/>
      <c r="AJ414" s="13"/>
    </row>
    <row r="415" spans="1:36" ht="16.5" customHeight="1">
      <c r="A415" s="9"/>
      <c r="B415" s="9"/>
      <c r="AE415" s="13"/>
      <c r="AF415" s="13"/>
      <c r="AG415" s="13"/>
      <c r="AH415" s="13"/>
      <c r="AI415" s="13"/>
      <c r="AJ415" s="13"/>
    </row>
    <row r="416" spans="1:36" ht="16.5" customHeight="1">
      <c r="A416" s="9"/>
      <c r="B416" s="9"/>
      <c r="AE416" s="13"/>
      <c r="AF416" s="13"/>
      <c r="AG416" s="13"/>
      <c r="AH416" s="13"/>
      <c r="AI416" s="13"/>
      <c r="AJ416" s="13"/>
    </row>
    <row r="417" spans="1:36" ht="16.5" customHeight="1">
      <c r="A417" s="9"/>
      <c r="B417" s="9"/>
      <c r="AE417" s="13"/>
      <c r="AF417" s="13"/>
      <c r="AG417" s="13"/>
      <c r="AH417" s="13"/>
      <c r="AI417" s="13"/>
      <c r="AJ417" s="13"/>
    </row>
    <row r="418" spans="1:36" ht="16.5" customHeight="1">
      <c r="A418" s="9"/>
      <c r="B418" s="9"/>
      <c r="AE418" s="13"/>
      <c r="AF418" s="13"/>
      <c r="AG418" s="13"/>
      <c r="AH418" s="13"/>
      <c r="AI418" s="13"/>
      <c r="AJ418" s="13"/>
    </row>
    <row r="419" spans="1:36" ht="16.5" customHeight="1">
      <c r="A419" s="9"/>
      <c r="B419" s="9"/>
      <c r="AE419" s="13"/>
      <c r="AF419" s="13"/>
      <c r="AG419" s="13"/>
      <c r="AH419" s="13"/>
      <c r="AI419" s="13"/>
      <c r="AJ419" s="13"/>
    </row>
    <row r="420" spans="1:36" ht="16.5" customHeight="1">
      <c r="A420" s="9"/>
      <c r="B420" s="9"/>
      <c r="AE420" s="13"/>
      <c r="AF420" s="13"/>
      <c r="AG420" s="13"/>
      <c r="AH420" s="13"/>
      <c r="AI420" s="13"/>
      <c r="AJ420" s="13"/>
    </row>
    <row r="421" spans="1:36" ht="16.5" customHeight="1">
      <c r="A421" s="9"/>
      <c r="B421" s="9"/>
      <c r="AE421" s="13"/>
      <c r="AF421" s="13"/>
      <c r="AG421" s="13"/>
      <c r="AH421" s="13"/>
      <c r="AI421" s="13"/>
      <c r="AJ421" s="13"/>
    </row>
    <row r="422" spans="1:36" ht="16.5" customHeight="1">
      <c r="A422" s="9"/>
      <c r="B422" s="9"/>
      <c r="AE422" s="13"/>
      <c r="AF422" s="13"/>
      <c r="AG422" s="13"/>
      <c r="AH422" s="13"/>
      <c r="AI422" s="13"/>
      <c r="AJ422" s="13"/>
    </row>
    <row r="423" spans="1:36" ht="16.5" customHeight="1">
      <c r="A423" s="9"/>
      <c r="B423" s="9"/>
      <c r="AE423" s="13"/>
      <c r="AF423" s="13"/>
      <c r="AG423" s="13"/>
      <c r="AH423" s="13"/>
      <c r="AI423" s="13"/>
      <c r="AJ423" s="13"/>
    </row>
    <row r="424" spans="1:36" ht="16.5" customHeight="1">
      <c r="A424" s="9"/>
      <c r="B424" s="9"/>
      <c r="AE424" s="13"/>
      <c r="AF424" s="13"/>
      <c r="AG424" s="13"/>
      <c r="AH424" s="13"/>
      <c r="AI424" s="13"/>
      <c r="AJ424" s="13"/>
    </row>
    <row r="425" spans="1:36" ht="16.5" customHeight="1">
      <c r="A425" s="9"/>
      <c r="B425" s="9"/>
      <c r="AE425" s="13"/>
      <c r="AF425" s="13"/>
      <c r="AG425" s="13"/>
      <c r="AH425" s="13"/>
      <c r="AI425" s="13"/>
      <c r="AJ425" s="13"/>
    </row>
    <row r="426" spans="1:36" ht="16.5" customHeight="1">
      <c r="A426" s="9"/>
      <c r="B426" s="9"/>
      <c r="AE426" s="13"/>
      <c r="AF426" s="13"/>
      <c r="AG426" s="13"/>
      <c r="AH426" s="13"/>
      <c r="AI426" s="13"/>
      <c r="AJ426" s="13"/>
    </row>
    <row r="427" spans="1:36" ht="16.5" customHeight="1">
      <c r="A427" s="9"/>
      <c r="B427" s="9"/>
      <c r="AE427" s="13"/>
      <c r="AF427" s="13"/>
      <c r="AG427" s="13"/>
      <c r="AH427" s="13"/>
      <c r="AI427" s="13"/>
      <c r="AJ427" s="13"/>
    </row>
    <row r="428" spans="1:36" ht="16.5" customHeight="1">
      <c r="A428" s="9"/>
      <c r="B428" s="9"/>
      <c r="AE428" s="13"/>
      <c r="AF428" s="13"/>
      <c r="AG428" s="13"/>
      <c r="AH428" s="13"/>
      <c r="AI428" s="13"/>
      <c r="AJ428" s="13"/>
    </row>
    <row r="429" spans="1:36" ht="16.5" customHeight="1">
      <c r="A429" s="9"/>
      <c r="B429" s="9"/>
      <c r="AE429" s="13"/>
      <c r="AF429" s="13"/>
      <c r="AG429" s="13"/>
      <c r="AH429" s="13"/>
      <c r="AI429" s="13"/>
      <c r="AJ429" s="13"/>
    </row>
    <row r="430" spans="1:36" ht="16.5" customHeight="1">
      <c r="A430" s="9"/>
      <c r="B430" s="9"/>
      <c r="AE430" s="13"/>
      <c r="AF430" s="13"/>
      <c r="AG430" s="13"/>
      <c r="AH430" s="13"/>
      <c r="AI430" s="13"/>
      <c r="AJ430" s="13"/>
    </row>
    <row r="431" spans="1:36" ht="16.5" customHeight="1">
      <c r="A431" s="9"/>
      <c r="B431" s="9"/>
      <c r="AE431" s="13"/>
      <c r="AF431" s="13"/>
      <c r="AG431" s="13"/>
      <c r="AH431" s="13"/>
      <c r="AI431" s="13"/>
      <c r="AJ431" s="13"/>
    </row>
    <row r="432" spans="1:36" ht="16.5" customHeight="1">
      <c r="A432" s="9"/>
      <c r="B432" s="9"/>
      <c r="AE432" s="13"/>
      <c r="AF432" s="13"/>
      <c r="AG432" s="13"/>
      <c r="AH432" s="13"/>
      <c r="AI432" s="13"/>
      <c r="AJ432" s="13"/>
    </row>
    <row r="433" spans="1:36" ht="16.5" customHeight="1">
      <c r="A433" s="9"/>
      <c r="B433" s="9"/>
      <c r="AE433" s="13"/>
      <c r="AF433" s="13"/>
      <c r="AG433" s="13"/>
      <c r="AH433" s="13"/>
      <c r="AI433" s="13"/>
      <c r="AJ433" s="13"/>
    </row>
    <row r="434" spans="1:36" ht="16.5" customHeight="1">
      <c r="A434" s="9"/>
      <c r="B434" s="9"/>
      <c r="AE434" s="13"/>
      <c r="AF434" s="13"/>
      <c r="AG434" s="13"/>
      <c r="AH434" s="13"/>
      <c r="AI434" s="13"/>
      <c r="AJ434" s="13"/>
    </row>
    <row r="435" spans="1:36" ht="16.5" customHeight="1">
      <c r="A435" s="9"/>
      <c r="B435" s="9"/>
      <c r="AE435" s="13"/>
      <c r="AF435" s="13"/>
      <c r="AG435" s="13"/>
      <c r="AH435" s="13"/>
      <c r="AI435" s="13"/>
      <c r="AJ435" s="13"/>
    </row>
    <row r="436" spans="1:36" ht="16.5" customHeight="1">
      <c r="A436" s="9"/>
      <c r="B436" s="9"/>
      <c r="AE436" s="13"/>
      <c r="AF436" s="13"/>
      <c r="AG436" s="13"/>
      <c r="AH436" s="13"/>
      <c r="AI436" s="13"/>
      <c r="AJ436" s="13"/>
    </row>
    <row r="437" spans="1:36" ht="16.5" customHeight="1">
      <c r="A437" s="9"/>
      <c r="B437" s="9"/>
      <c r="AE437" s="13"/>
      <c r="AF437" s="13"/>
      <c r="AG437" s="13"/>
      <c r="AH437" s="13"/>
      <c r="AI437" s="13"/>
      <c r="AJ437" s="13"/>
    </row>
    <row r="438" spans="1:36" ht="16.5" customHeight="1">
      <c r="A438" s="9"/>
      <c r="B438" s="9"/>
      <c r="AE438" s="13"/>
      <c r="AF438" s="13"/>
      <c r="AG438" s="13"/>
      <c r="AH438" s="13"/>
      <c r="AI438" s="13"/>
      <c r="AJ438" s="13"/>
    </row>
    <row r="439" spans="1:36" ht="16.5" customHeight="1">
      <c r="A439" s="9"/>
      <c r="B439" s="9"/>
      <c r="AE439" s="13"/>
      <c r="AF439" s="13"/>
      <c r="AG439" s="13"/>
      <c r="AH439" s="13"/>
      <c r="AI439" s="13"/>
      <c r="AJ439" s="13"/>
    </row>
    <row r="440" spans="1:36" ht="16.5" customHeight="1">
      <c r="A440" s="9"/>
      <c r="B440" s="9"/>
      <c r="AE440" s="13"/>
      <c r="AF440" s="13"/>
      <c r="AG440" s="13"/>
      <c r="AH440" s="13"/>
      <c r="AI440" s="13"/>
      <c r="AJ440" s="13"/>
    </row>
    <row r="441" spans="1:36" ht="16.5" customHeight="1">
      <c r="A441" s="9"/>
      <c r="B441" s="9"/>
      <c r="AE441" s="13"/>
      <c r="AF441" s="13"/>
      <c r="AG441" s="13"/>
      <c r="AH441" s="13"/>
      <c r="AI441" s="13"/>
      <c r="AJ441" s="13"/>
    </row>
    <row r="442" spans="1:36" ht="16.5" customHeight="1">
      <c r="A442" s="9"/>
      <c r="B442" s="9"/>
      <c r="AE442" s="13"/>
      <c r="AF442" s="13"/>
      <c r="AG442" s="13"/>
      <c r="AH442" s="13"/>
      <c r="AI442" s="13"/>
      <c r="AJ442" s="13"/>
    </row>
    <row r="443" spans="1:36" ht="16.5" customHeight="1">
      <c r="A443" s="9"/>
      <c r="B443" s="9"/>
      <c r="AE443" s="13"/>
      <c r="AF443" s="13"/>
      <c r="AG443" s="13"/>
      <c r="AH443" s="13"/>
      <c r="AI443" s="13"/>
      <c r="AJ443" s="13"/>
    </row>
    <row r="444" spans="1:36" ht="16.5" customHeight="1">
      <c r="A444" s="9"/>
      <c r="B444" s="9"/>
      <c r="AE444" s="13"/>
      <c r="AF444" s="13"/>
      <c r="AG444" s="13"/>
      <c r="AH444" s="13"/>
      <c r="AI444" s="13"/>
      <c r="AJ444" s="13"/>
    </row>
    <row r="445" spans="1:36" ht="16.5" customHeight="1">
      <c r="A445" s="9"/>
      <c r="B445" s="9"/>
      <c r="AE445" s="13"/>
      <c r="AF445" s="13"/>
      <c r="AG445" s="13"/>
      <c r="AH445" s="13"/>
      <c r="AI445" s="13"/>
      <c r="AJ445" s="13"/>
    </row>
    <row r="446" spans="1:36" ht="16.5" customHeight="1">
      <c r="A446" s="9"/>
      <c r="B446" s="9"/>
      <c r="AE446" s="13"/>
      <c r="AF446" s="13"/>
      <c r="AG446" s="13"/>
      <c r="AH446" s="13"/>
      <c r="AI446" s="13"/>
      <c r="AJ446" s="13"/>
    </row>
    <row r="447" spans="1:36" ht="16.5" customHeight="1">
      <c r="A447" s="9"/>
      <c r="B447" s="9"/>
      <c r="AE447" s="13"/>
      <c r="AF447" s="13"/>
      <c r="AG447" s="13"/>
      <c r="AH447" s="13"/>
      <c r="AI447" s="13"/>
      <c r="AJ447" s="13"/>
    </row>
    <row r="448" spans="1:36" ht="16.5" customHeight="1">
      <c r="A448" s="9"/>
      <c r="B448" s="9"/>
      <c r="AE448" s="13"/>
      <c r="AF448" s="13"/>
      <c r="AG448" s="13"/>
      <c r="AH448" s="13"/>
      <c r="AI448" s="13"/>
      <c r="AJ448" s="13"/>
    </row>
    <row r="449" spans="1:36" ht="16.5" customHeight="1">
      <c r="A449" s="9"/>
      <c r="B449" s="9"/>
      <c r="AE449" s="13"/>
      <c r="AF449" s="13"/>
      <c r="AG449" s="13"/>
      <c r="AH449" s="13"/>
      <c r="AI449" s="13"/>
      <c r="AJ449" s="13"/>
    </row>
    <row r="450" spans="1:36" ht="16.5" customHeight="1">
      <c r="A450" s="9"/>
      <c r="B450" s="9"/>
      <c r="AE450" s="13"/>
      <c r="AF450" s="13"/>
      <c r="AG450" s="13"/>
      <c r="AH450" s="13"/>
      <c r="AI450" s="13"/>
      <c r="AJ450" s="13"/>
    </row>
    <row r="451" spans="1:36" ht="16.5" customHeight="1">
      <c r="A451" s="9"/>
      <c r="B451" s="9"/>
      <c r="AE451" s="13"/>
      <c r="AF451" s="13"/>
      <c r="AG451" s="13"/>
      <c r="AH451" s="13"/>
      <c r="AI451" s="13"/>
      <c r="AJ451" s="13"/>
    </row>
    <row r="452" spans="1:36" ht="16.5" customHeight="1">
      <c r="A452" s="9"/>
      <c r="B452" s="9"/>
      <c r="AE452" s="13"/>
      <c r="AF452" s="13"/>
      <c r="AG452" s="13"/>
      <c r="AH452" s="13"/>
      <c r="AI452" s="13"/>
      <c r="AJ452" s="13"/>
    </row>
    <row r="453" spans="1:36" ht="16.5" customHeight="1">
      <c r="A453" s="9"/>
      <c r="B453" s="9"/>
      <c r="AE453" s="13"/>
      <c r="AF453" s="13"/>
      <c r="AG453" s="13"/>
      <c r="AH453" s="13"/>
      <c r="AI453" s="13"/>
      <c r="AJ453" s="13"/>
    </row>
    <row r="454" spans="1:36" ht="16.5" customHeight="1">
      <c r="A454" s="9"/>
      <c r="B454" s="9"/>
      <c r="AE454" s="13"/>
      <c r="AF454" s="13"/>
      <c r="AG454" s="13"/>
      <c r="AH454" s="13"/>
      <c r="AI454" s="13"/>
      <c r="AJ454" s="13"/>
    </row>
    <row r="455" spans="1:36" ht="16.5" customHeight="1">
      <c r="A455" s="9"/>
      <c r="B455" s="9"/>
      <c r="AE455" s="13"/>
      <c r="AF455" s="13"/>
      <c r="AG455" s="13"/>
      <c r="AH455" s="13"/>
      <c r="AI455" s="13"/>
      <c r="AJ455" s="13"/>
    </row>
    <row r="456" spans="1:36" ht="16.5" customHeight="1">
      <c r="A456" s="9"/>
      <c r="B456" s="9"/>
      <c r="AE456" s="13"/>
      <c r="AF456" s="13"/>
      <c r="AG456" s="13"/>
      <c r="AH456" s="13"/>
      <c r="AI456" s="13"/>
      <c r="AJ456" s="13"/>
    </row>
    <row r="457" spans="1:36" ht="16.5" customHeight="1">
      <c r="A457" s="9"/>
      <c r="B457" s="9"/>
      <c r="AE457" s="13"/>
      <c r="AF457" s="13"/>
      <c r="AG457" s="13"/>
      <c r="AH457" s="13"/>
      <c r="AI457" s="13"/>
      <c r="AJ457" s="13"/>
    </row>
    <row r="458" spans="1:36" ht="16.5" customHeight="1">
      <c r="A458" s="9"/>
      <c r="B458" s="9"/>
      <c r="AE458" s="13"/>
      <c r="AF458" s="13"/>
      <c r="AG458" s="13"/>
      <c r="AH458" s="13"/>
      <c r="AI458" s="13"/>
      <c r="AJ458" s="13"/>
    </row>
    <row r="459" spans="1:36" ht="16.5" customHeight="1">
      <c r="A459" s="9"/>
      <c r="B459" s="9"/>
      <c r="AE459" s="13"/>
      <c r="AF459" s="13"/>
      <c r="AG459" s="13"/>
      <c r="AH459" s="13"/>
      <c r="AI459" s="13"/>
      <c r="AJ459" s="13"/>
    </row>
    <row r="460" spans="1:36" ht="16.5" customHeight="1">
      <c r="A460" s="9"/>
      <c r="B460" s="9"/>
      <c r="AE460" s="13"/>
      <c r="AF460" s="13"/>
      <c r="AG460" s="13"/>
      <c r="AH460" s="13"/>
      <c r="AI460" s="13"/>
      <c r="AJ460" s="13"/>
    </row>
    <row r="461" spans="1:36" ht="16.5" customHeight="1">
      <c r="A461" s="9"/>
      <c r="B461" s="9"/>
      <c r="AE461" s="13"/>
      <c r="AF461" s="13"/>
      <c r="AG461" s="13"/>
      <c r="AH461" s="13"/>
      <c r="AI461" s="13"/>
      <c r="AJ461" s="13"/>
    </row>
    <row r="462" spans="1:36" ht="16.5" customHeight="1">
      <c r="A462" s="9"/>
      <c r="B462" s="9"/>
      <c r="AE462" s="13"/>
      <c r="AF462" s="13"/>
      <c r="AG462" s="13"/>
      <c r="AH462" s="13"/>
      <c r="AI462" s="13"/>
      <c r="AJ462" s="13"/>
    </row>
    <row r="463" spans="1:36" ht="16.5" customHeight="1">
      <c r="A463" s="9"/>
      <c r="B463" s="9"/>
      <c r="AE463" s="13"/>
      <c r="AF463" s="13"/>
      <c r="AG463" s="13"/>
      <c r="AH463" s="13"/>
      <c r="AI463" s="13"/>
      <c r="AJ463" s="13"/>
    </row>
    <row r="464" spans="1:36" ht="16.5" customHeight="1">
      <c r="A464" s="9"/>
      <c r="B464" s="9"/>
      <c r="AE464" s="13"/>
      <c r="AF464" s="13"/>
      <c r="AG464" s="13"/>
      <c r="AH464" s="13"/>
      <c r="AI464" s="13"/>
      <c r="AJ464" s="13"/>
    </row>
    <row r="465" spans="1:36" ht="16.5" customHeight="1">
      <c r="A465" s="9"/>
      <c r="B465" s="9"/>
      <c r="AE465" s="13"/>
      <c r="AF465" s="13"/>
      <c r="AG465" s="13"/>
      <c r="AH465" s="13"/>
      <c r="AI465" s="13"/>
      <c r="AJ465" s="13"/>
    </row>
    <row r="466" spans="1:36" ht="16.5" customHeight="1">
      <c r="A466" s="9"/>
      <c r="B466" s="9"/>
      <c r="AE466" s="13"/>
      <c r="AF466" s="13"/>
      <c r="AG466" s="13"/>
      <c r="AH466" s="13"/>
      <c r="AI466" s="13"/>
      <c r="AJ466" s="13"/>
    </row>
    <row r="467" spans="1:36" ht="16.5" customHeight="1">
      <c r="A467" s="9"/>
      <c r="B467" s="9"/>
      <c r="AE467" s="13"/>
      <c r="AF467" s="13"/>
      <c r="AG467" s="13"/>
      <c r="AH467" s="13"/>
      <c r="AI467" s="13"/>
      <c r="AJ467" s="13"/>
    </row>
    <row r="468" spans="1:36" ht="16.5" customHeight="1">
      <c r="A468" s="9"/>
      <c r="B468" s="9"/>
      <c r="AE468" s="13"/>
      <c r="AF468" s="13"/>
      <c r="AG468" s="13"/>
      <c r="AH468" s="13"/>
      <c r="AI468" s="13"/>
      <c r="AJ468" s="13"/>
    </row>
    <row r="469" spans="1:36" ht="16.5" customHeight="1">
      <c r="A469" s="9"/>
      <c r="B469" s="9"/>
      <c r="AE469" s="13"/>
      <c r="AF469" s="13"/>
      <c r="AG469" s="13"/>
      <c r="AH469" s="13"/>
      <c r="AI469" s="13"/>
      <c r="AJ469" s="13"/>
    </row>
    <row r="470" spans="1:36" ht="16.5" customHeight="1">
      <c r="A470" s="9"/>
      <c r="B470" s="9"/>
      <c r="AE470" s="13"/>
      <c r="AF470" s="13"/>
      <c r="AG470" s="13"/>
      <c r="AH470" s="13"/>
      <c r="AI470" s="13"/>
      <c r="AJ470" s="13"/>
    </row>
    <row r="471" spans="1:36" ht="16.5" customHeight="1">
      <c r="A471" s="9"/>
      <c r="B471" s="9"/>
      <c r="AE471" s="13"/>
      <c r="AF471" s="13"/>
      <c r="AG471" s="13"/>
      <c r="AH471" s="13"/>
      <c r="AI471" s="13"/>
      <c r="AJ471" s="13"/>
    </row>
    <row r="472" spans="1:36" ht="16.5" customHeight="1">
      <c r="A472" s="9"/>
      <c r="B472" s="9"/>
      <c r="AE472" s="13"/>
      <c r="AF472" s="13"/>
      <c r="AG472" s="13"/>
      <c r="AH472" s="13"/>
      <c r="AI472" s="13"/>
      <c r="AJ472" s="13"/>
    </row>
    <row r="473" spans="1:36" ht="16.5" customHeight="1">
      <c r="A473" s="9"/>
      <c r="B473" s="9"/>
      <c r="AE473" s="13"/>
      <c r="AF473" s="13"/>
      <c r="AG473" s="13"/>
      <c r="AH473" s="13"/>
      <c r="AI473" s="13"/>
      <c r="AJ473" s="13"/>
    </row>
    <row r="474" spans="1:36" ht="16.5" customHeight="1">
      <c r="A474" s="9"/>
      <c r="B474" s="9"/>
      <c r="AE474" s="13"/>
      <c r="AF474" s="13"/>
      <c r="AG474" s="13"/>
      <c r="AH474" s="13"/>
      <c r="AI474" s="13"/>
      <c r="AJ474" s="13"/>
    </row>
    <row r="475" spans="1:36" ht="16.5" customHeight="1">
      <c r="A475" s="9"/>
      <c r="B475" s="9"/>
      <c r="AE475" s="13"/>
      <c r="AF475" s="13"/>
      <c r="AG475" s="13"/>
      <c r="AH475" s="13"/>
      <c r="AI475" s="13"/>
      <c r="AJ475" s="13"/>
    </row>
    <row r="476" spans="1:36" ht="16.5" customHeight="1">
      <c r="A476" s="9"/>
      <c r="B476" s="9"/>
      <c r="AE476" s="13"/>
      <c r="AF476" s="13"/>
      <c r="AG476" s="13"/>
      <c r="AH476" s="13"/>
      <c r="AI476" s="13"/>
      <c r="AJ476" s="13"/>
    </row>
    <row r="477" spans="1:36" ht="16.5" customHeight="1">
      <c r="A477" s="9"/>
      <c r="B477" s="9"/>
      <c r="AE477" s="13"/>
      <c r="AF477" s="13"/>
      <c r="AG477" s="13"/>
      <c r="AH477" s="13"/>
      <c r="AI477" s="13"/>
      <c r="AJ477" s="13"/>
    </row>
    <row r="478" spans="1:36" ht="16.5" customHeight="1">
      <c r="A478" s="9"/>
      <c r="B478" s="9"/>
      <c r="AE478" s="13"/>
      <c r="AF478" s="13"/>
      <c r="AG478" s="13"/>
      <c r="AH478" s="13"/>
      <c r="AI478" s="13"/>
      <c r="AJ478" s="13"/>
    </row>
    <row r="479" spans="1:36" ht="16.5" customHeight="1">
      <c r="A479" s="9"/>
      <c r="B479" s="9"/>
      <c r="AE479" s="13"/>
      <c r="AF479" s="13"/>
      <c r="AG479" s="13"/>
      <c r="AH479" s="13"/>
      <c r="AI479" s="13"/>
      <c r="AJ479" s="13"/>
    </row>
    <row r="480" spans="1:36" ht="16.5" customHeight="1">
      <c r="A480" s="9"/>
      <c r="B480" s="9"/>
      <c r="AE480" s="13"/>
      <c r="AF480" s="13"/>
      <c r="AG480" s="13"/>
      <c r="AH480" s="13"/>
      <c r="AI480" s="13"/>
      <c r="AJ480" s="13"/>
    </row>
    <row r="481" spans="1:36" ht="16.5" customHeight="1">
      <c r="A481" s="9"/>
      <c r="B481" s="9"/>
      <c r="AE481" s="13"/>
      <c r="AF481" s="13"/>
      <c r="AG481" s="13"/>
      <c r="AH481" s="13"/>
      <c r="AI481" s="13"/>
      <c r="AJ481" s="13"/>
    </row>
    <row r="482" spans="1:36" ht="16.5" customHeight="1">
      <c r="A482" s="9"/>
      <c r="B482" s="9"/>
      <c r="AE482" s="13"/>
      <c r="AF482" s="13"/>
      <c r="AG482" s="13"/>
      <c r="AH482" s="13"/>
      <c r="AI482" s="13"/>
      <c r="AJ482" s="13"/>
    </row>
    <row r="483" spans="1:36" ht="16.5" customHeight="1">
      <c r="A483" s="9"/>
      <c r="B483" s="9"/>
      <c r="AE483" s="13"/>
      <c r="AF483" s="13"/>
      <c r="AG483" s="13"/>
      <c r="AH483" s="13"/>
      <c r="AI483" s="13"/>
      <c r="AJ483" s="13"/>
    </row>
    <row r="484" spans="1:36" ht="16.5" customHeight="1">
      <c r="A484" s="9"/>
      <c r="B484" s="9"/>
      <c r="AE484" s="13"/>
      <c r="AF484" s="13"/>
      <c r="AG484" s="13"/>
      <c r="AH484" s="13"/>
      <c r="AI484" s="13"/>
      <c r="AJ484" s="13"/>
    </row>
    <row r="485" spans="1:36" ht="16.5" customHeight="1">
      <c r="A485" s="9"/>
      <c r="B485" s="9"/>
      <c r="AE485" s="13"/>
      <c r="AF485" s="13"/>
      <c r="AG485" s="13"/>
      <c r="AH485" s="13"/>
      <c r="AI485" s="13"/>
      <c r="AJ485" s="13"/>
    </row>
    <row r="486" spans="1:36" ht="16.5" customHeight="1">
      <c r="A486" s="9"/>
      <c r="B486" s="9"/>
      <c r="AE486" s="13"/>
      <c r="AF486" s="13"/>
      <c r="AG486" s="13"/>
      <c r="AH486" s="13"/>
      <c r="AI486" s="13"/>
      <c r="AJ486" s="13"/>
    </row>
    <row r="487" spans="1:36" ht="16.5" customHeight="1">
      <c r="A487" s="9"/>
      <c r="B487" s="9"/>
      <c r="AE487" s="13"/>
      <c r="AF487" s="13"/>
      <c r="AG487" s="13"/>
      <c r="AH487" s="13"/>
      <c r="AI487" s="13"/>
      <c r="AJ487" s="13"/>
    </row>
    <row r="488" spans="1:36" ht="16.5" customHeight="1">
      <c r="A488" s="9"/>
      <c r="B488" s="9"/>
      <c r="AE488" s="13"/>
      <c r="AF488" s="13"/>
      <c r="AG488" s="13"/>
      <c r="AH488" s="13"/>
      <c r="AI488" s="13"/>
      <c r="AJ488" s="13"/>
    </row>
    <row r="489" spans="1:36" ht="16.5" customHeight="1">
      <c r="A489" s="9"/>
      <c r="B489" s="9"/>
      <c r="AE489" s="13"/>
      <c r="AF489" s="13"/>
      <c r="AG489" s="13"/>
      <c r="AH489" s="13"/>
      <c r="AI489" s="13"/>
      <c r="AJ489" s="13"/>
    </row>
    <row r="490" spans="1:36" ht="16.5" customHeight="1">
      <c r="A490" s="9"/>
      <c r="B490" s="9"/>
      <c r="AE490" s="13"/>
      <c r="AF490" s="13"/>
      <c r="AG490" s="13"/>
      <c r="AH490" s="13"/>
      <c r="AI490" s="13"/>
      <c r="AJ490" s="13"/>
    </row>
    <row r="491" spans="1:36" ht="16.5" customHeight="1">
      <c r="A491" s="9"/>
      <c r="B491" s="9"/>
      <c r="AE491" s="13"/>
      <c r="AF491" s="13"/>
      <c r="AG491" s="13"/>
      <c r="AH491" s="13"/>
      <c r="AI491" s="13"/>
      <c r="AJ491" s="13"/>
    </row>
    <row r="492" spans="1:36" ht="16.5" customHeight="1">
      <c r="A492" s="9"/>
      <c r="B492" s="9"/>
      <c r="AE492" s="13"/>
      <c r="AF492" s="13"/>
      <c r="AG492" s="13"/>
      <c r="AH492" s="13"/>
      <c r="AI492" s="13"/>
      <c r="AJ492" s="13"/>
    </row>
    <row r="493" spans="1:36" ht="16.5" customHeight="1">
      <c r="A493" s="9"/>
      <c r="B493" s="9"/>
      <c r="AE493" s="13"/>
      <c r="AF493" s="13"/>
      <c r="AG493" s="13"/>
      <c r="AH493" s="13"/>
      <c r="AI493" s="13"/>
      <c r="AJ493" s="13"/>
    </row>
    <row r="494" spans="1:36" ht="16.5" customHeight="1">
      <c r="A494" s="9"/>
      <c r="B494" s="9"/>
      <c r="AE494" s="13"/>
      <c r="AF494" s="13"/>
      <c r="AG494" s="13"/>
      <c r="AH494" s="13"/>
      <c r="AI494" s="13"/>
      <c r="AJ494" s="13"/>
    </row>
    <row r="495" spans="1:36" ht="16.5" customHeight="1">
      <c r="A495" s="9"/>
      <c r="B495" s="9"/>
      <c r="AE495" s="13"/>
      <c r="AF495" s="13"/>
      <c r="AG495" s="13"/>
      <c r="AH495" s="13"/>
      <c r="AI495" s="13"/>
      <c r="AJ495" s="13"/>
    </row>
    <row r="496" spans="1:36" ht="16.5" customHeight="1">
      <c r="A496" s="9"/>
      <c r="B496" s="9"/>
      <c r="AE496" s="13"/>
      <c r="AF496" s="13"/>
      <c r="AG496" s="13"/>
      <c r="AH496" s="13"/>
      <c r="AI496" s="13"/>
      <c r="AJ496" s="13"/>
    </row>
    <row r="497" spans="1:36" ht="16.5" customHeight="1">
      <c r="A497" s="9"/>
      <c r="B497" s="9"/>
      <c r="AE497" s="13"/>
      <c r="AF497" s="13"/>
      <c r="AG497" s="13"/>
      <c r="AH497" s="13"/>
      <c r="AI497" s="13"/>
      <c r="AJ497" s="13"/>
    </row>
    <row r="498" spans="1:36" ht="16.5" customHeight="1">
      <c r="A498" s="9"/>
      <c r="B498" s="9"/>
      <c r="AE498" s="13"/>
      <c r="AF498" s="13"/>
      <c r="AG498" s="13"/>
      <c r="AH498" s="13"/>
      <c r="AI498" s="13"/>
      <c r="AJ498" s="13"/>
    </row>
    <row r="499" spans="1:36" ht="16.5" customHeight="1">
      <c r="A499" s="9"/>
      <c r="B499" s="9"/>
      <c r="AE499" s="13"/>
      <c r="AF499" s="13"/>
      <c r="AG499" s="13"/>
      <c r="AH499" s="13"/>
      <c r="AI499" s="13"/>
      <c r="AJ499" s="13"/>
    </row>
    <row r="500" spans="1:36" ht="16.5" customHeight="1">
      <c r="A500" s="9"/>
      <c r="B500" s="9"/>
      <c r="AE500" s="13"/>
      <c r="AF500" s="13"/>
      <c r="AG500" s="13"/>
      <c r="AH500" s="13"/>
      <c r="AI500" s="13"/>
      <c r="AJ500" s="13"/>
    </row>
    <row r="501" spans="1:36" ht="16.5" customHeight="1">
      <c r="A501" s="9"/>
      <c r="B501" s="9"/>
      <c r="AE501" s="13"/>
      <c r="AF501" s="13"/>
      <c r="AG501" s="13"/>
      <c r="AH501" s="13"/>
      <c r="AI501" s="13"/>
      <c r="AJ501" s="13"/>
    </row>
    <row r="502" spans="1:36" ht="16.5" customHeight="1">
      <c r="A502" s="9"/>
      <c r="B502" s="9"/>
      <c r="AE502" s="13"/>
      <c r="AF502" s="13"/>
      <c r="AG502" s="13"/>
      <c r="AH502" s="13"/>
      <c r="AI502" s="13"/>
      <c r="AJ502" s="13"/>
    </row>
    <row r="503" spans="1:36" ht="16.5" customHeight="1">
      <c r="A503" s="9"/>
      <c r="B503" s="9"/>
      <c r="AE503" s="13"/>
      <c r="AF503" s="13"/>
      <c r="AG503" s="13"/>
      <c r="AH503" s="13"/>
      <c r="AI503" s="13"/>
      <c r="AJ503" s="13"/>
    </row>
    <row r="504" spans="1:36" ht="16.5" customHeight="1">
      <c r="A504" s="9"/>
      <c r="B504" s="9"/>
      <c r="AE504" s="13"/>
      <c r="AF504" s="13"/>
      <c r="AG504" s="13"/>
      <c r="AH504" s="13"/>
      <c r="AI504" s="13"/>
      <c r="AJ504" s="13"/>
    </row>
    <row r="505" spans="1:36" ht="16.5" customHeight="1">
      <c r="A505" s="9"/>
      <c r="B505" s="9"/>
      <c r="AE505" s="13"/>
      <c r="AF505" s="13"/>
      <c r="AG505" s="13"/>
      <c r="AH505" s="13"/>
      <c r="AI505" s="13"/>
      <c r="AJ505" s="13"/>
    </row>
    <row r="506" spans="1:36" ht="16.5" customHeight="1">
      <c r="A506" s="9"/>
      <c r="B506" s="9"/>
      <c r="AE506" s="13"/>
      <c r="AF506" s="13"/>
      <c r="AG506" s="13"/>
      <c r="AH506" s="13"/>
      <c r="AI506" s="13"/>
      <c r="AJ506" s="13"/>
    </row>
    <row r="507" spans="1:36" ht="16.5" customHeight="1">
      <c r="A507" s="9"/>
      <c r="B507" s="9"/>
      <c r="AE507" s="13"/>
      <c r="AF507" s="13"/>
      <c r="AG507" s="13"/>
      <c r="AH507" s="13"/>
      <c r="AI507" s="13"/>
      <c r="AJ507" s="13"/>
    </row>
    <row r="508" spans="1:36" ht="16.5" customHeight="1">
      <c r="A508" s="9"/>
      <c r="B508" s="9"/>
      <c r="AE508" s="13"/>
      <c r="AF508" s="13"/>
      <c r="AG508" s="13"/>
      <c r="AH508" s="13"/>
      <c r="AI508" s="13"/>
      <c r="AJ508" s="13"/>
    </row>
    <row r="509" spans="1:36" ht="16.5" customHeight="1">
      <c r="A509" s="9"/>
      <c r="B509" s="9"/>
      <c r="AE509" s="13"/>
      <c r="AF509" s="13"/>
      <c r="AG509" s="13"/>
      <c r="AH509" s="13"/>
      <c r="AI509" s="13"/>
      <c r="AJ509" s="13"/>
    </row>
    <row r="510" spans="1:36" ht="16.5" customHeight="1">
      <c r="A510" s="9"/>
      <c r="B510" s="9"/>
      <c r="AE510" s="13"/>
      <c r="AF510" s="13"/>
      <c r="AG510" s="13"/>
      <c r="AH510" s="13"/>
      <c r="AI510" s="13"/>
      <c r="AJ510" s="13"/>
    </row>
    <row r="511" spans="1:36" ht="16.5" customHeight="1">
      <c r="A511" s="9"/>
      <c r="B511" s="9"/>
      <c r="AE511" s="13"/>
      <c r="AF511" s="13"/>
      <c r="AG511" s="13"/>
      <c r="AH511" s="13"/>
      <c r="AI511" s="13"/>
      <c r="AJ511" s="13"/>
    </row>
    <row r="512" spans="1:36" ht="16.5" customHeight="1">
      <c r="A512" s="9"/>
      <c r="B512" s="9"/>
      <c r="AE512" s="13"/>
      <c r="AF512" s="13"/>
      <c r="AG512" s="13"/>
      <c r="AH512" s="13"/>
      <c r="AI512" s="13"/>
      <c r="AJ512" s="13"/>
    </row>
    <row r="513" spans="1:36" ht="16.5" customHeight="1">
      <c r="A513" s="9"/>
      <c r="B513" s="9"/>
      <c r="AE513" s="13"/>
      <c r="AF513" s="13"/>
      <c r="AG513" s="13"/>
      <c r="AH513" s="13"/>
      <c r="AI513" s="13"/>
      <c r="AJ513" s="13"/>
    </row>
    <row r="514" spans="1:36" ht="16.5" customHeight="1">
      <c r="A514" s="9"/>
      <c r="B514" s="9"/>
      <c r="AE514" s="13"/>
      <c r="AF514" s="13"/>
      <c r="AG514" s="13"/>
      <c r="AH514" s="13"/>
      <c r="AI514" s="13"/>
      <c r="AJ514" s="13"/>
    </row>
    <row r="515" spans="1:36" ht="16.5" customHeight="1">
      <c r="A515" s="9"/>
      <c r="B515" s="9"/>
      <c r="AE515" s="13"/>
      <c r="AF515" s="13"/>
      <c r="AG515" s="13"/>
      <c r="AH515" s="13"/>
      <c r="AI515" s="13"/>
      <c r="AJ515" s="13"/>
    </row>
    <row r="516" spans="1:36" ht="16.5" customHeight="1">
      <c r="A516" s="9"/>
      <c r="B516" s="9"/>
      <c r="AE516" s="13"/>
      <c r="AF516" s="13"/>
      <c r="AG516" s="13"/>
      <c r="AH516" s="13"/>
      <c r="AI516" s="13"/>
      <c r="AJ516" s="13"/>
    </row>
    <row r="517" spans="1:36" ht="16.5" customHeight="1">
      <c r="A517" s="9"/>
      <c r="B517" s="9"/>
      <c r="AE517" s="13"/>
      <c r="AF517" s="13"/>
      <c r="AG517" s="13"/>
      <c r="AH517" s="13"/>
      <c r="AI517" s="13"/>
      <c r="AJ517" s="13"/>
    </row>
    <row r="518" spans="1:36" ht="16.5" customHeight="1">
      <c r="A518" s="9"/>
      <c r="B518" s="9"/>
      <c r="AE518" s="13"/>
      <c r="AF518" s="13"/>
      <c r="AG518" s="13"/>
      <c r="AH518" s="13"/>
      <c r="AI518" s="13"/>
      <c r="AJ518" s="13"/>
    </row>
    <row r="519" spans="1:36" ht="16.5" customHeight="1">
      <c r="A519" s="9"/>
      <c r="B519" s="9"/>
      <c r="AE519" s="13"/>
      <c r="AF519" s="13"/>
      <c r="AG519" s="13"/>
      <c r="AH519" s="13"/>
      <c r="AI519" s="13"/>
      <c r="AJ519" s="13"/>
    </row>
    <row r="520" spans="1:36" ht="16.5" customHeight="1">
      <c r="A520" s="9"/>
      <c r="B520" s="9"/>
      <c r="AE520" s="13"/>
      <c r="AF520" s="13"/>
      <c r="AG520" s="13"/>
      <c r="AH520" s="13"/>
      <c r="AI520" s="13"/>
      <c r="AJ520" s="13"/>
    </row>
    <row r="521" spans="1:36" ht="16.5" customHeight="1">
      <c r="A521" s="9"/>
      <c r="B521" s="9"/>
      <c r="AE521" s="13"/>
      <c r="AF521" s="13"/>
      <c r="AG521" s="13"/>
      <c r="AH521" s="13"/>
      <c r="AI521" s="13"/>
      <c r="AJ521" s="13"/>
    </row>
    <row r="522" spans="1:36" ht="16.5" customHeight="1">
      <c r="A522" s="9"/>
      <c r="B522" s="9"/>
      <c r="AE522" s="13"/>
      <c r="AF522" s="13"/>
      <c r="AG522" s="13"/>
      <c r="AH522" s="13"/>
      <c r="AI522" s="13"/>
      <c r="AJ522" s="13"/>
    </row>
    <row r="523" spans="1:36" ht="16.5" customHeight="1">
      <c r="A523" s="9"/>
      <c r="B523" s="9"/>
      <c r="AE523" s="13"/>
      <c r="AF523" s="13"/>
      <c r="AG523" s="13"/>
      <c r="AH523" s="13"/>
      <c r="AI523" s="13"/>
      <c r="AJ523" s="13"/>
    </row>
    <row r="524" spans="1:36" ht="16.5" customHeight="1">
      <c r="A524" s="9"/>
      <c r="B524" s="9"/>
      <c r="AE524" s="13"/>
      <c r="AF524" s="13"/>
      <c r="AG524" s="13"/>
      <c r="AH524" s="13"/>
      <c r="AI524" s="13"/>
      <c r="AJ524" s="13"/>
    </row>
    <row r="525" spans="1:36" ht="16.5" customHeight="1">
      <c r="A525" s="9"/>
      <c r="B525" s="9"/>
      <c r="AE525" s="13"/>
      <c r="AF525" s="13"/>
      <c r="AG525" s="13"/>
      <c r="AH525" s="13"/>
      <c r="AI525" s="13"/>
      <c r="AJ525" s="13"/>
    </row>
    <row r="526" spans="1:36" ht="16.5" customHeight="1">
      <c r="A526" s="9"/>
      <c r="B526" s="9"/>
      <c r="AE526" s="13"/>
      <c r="AF526" s="13"/>
      <c r="AG526" s="13"/>
      <c r="AH526" s="13"/>
      <c r="AI526" s="13"/>
      <c r="AJ526" s="13"/>
    </row>
    <row r="527" spans="1:36" ht="16.5" customHeight="1">
      <c r="A527" s="9"/>
      <c r="B527" s="9"/>
      <c r="AE527" s="13"/>
      <c r="AF527" s="13"/>
      <c r="AG527" s="13"/>
      <c r="AH527" s="13"/>
      <c r="AI527" s="13"/>
      <c r="AJ527" s="13"/>
    </row>
    <row r="528" spans="1:36" ht="16.5" customHeight="1">
      <c r="A528" s="9"/>
      <c r="B528" s="9"/>
      <c r="AE528" s="13"/>
      <c r="AF528" s="13"/>
      <c r="AG528" s="13"/>
      <c r="AH528" s="13"/>
      <c r="AI528" s="13"/>
      <c r="AJ528" s="13"/>
    </row>
    <row r="529" spans="1:36" ht="16.5" customHeight="1">
      <c r="A529" s="9"/>
      <c r="B529" s="9"/>
      <c r="AE529" s="13"/>
      <c r="AF529" s="13"/>
      <c r="AG529" s="13"/>
      <c r="AH529" s="13"/>
      <c r="AI529" s="13"/>
      <c r="AJ529" s="13"/>
    </row>
    <row r="530" spans="1:36" ht="16.5" customHeight="1">
      <c r="A530" s="9"/>
      <c r="B530" s="9"/>
      <c r="AE530" s="13"/>
      <c r="AF530" s="13"/>
      <c r="AG530" s="13"/>
      <c r="AH530" s="13"/>
      <c r="AI530" s="13"/>
      <c r="AJ530" s="13"/>
    </row>
    <row r="531" spans="1:36" ht="16.5" customHeight="1">
      <c r="A531" s="9"/>
      <c r="B531" s="9"/>
      <c r="AE531" s="13"/>
      <c r="AF531" s="13"/>
      <c r="AG531" s="13"/>
      <c r="AH531" s="13"/>
      <c r="AI531" s="13"/>
      <c r="AJ531" s="13"/>
    </row>
    <row r="532" spans="1:36" ht="16.5" customHeight="1">
      <c r="A532" s="9"/>
      <c r="B532" s="9"/>
      <c r="AE532" s="13"/>
      <c r="AF532" s="13"/>
      <c r="AG532" s="13"/>
      <c r="AH532" s="13"/>
      <c r="AI532" s="13"/>
      <c r="AJ532" s="13"/>
    </row>
    <row r="533" spans="1:36" ht="16.5" customHeight="1">
      <c r="A533" s="9"/>
      <c r="B533" s="9"/>
      <c r="AE533" s="13"/>
      <c r="AF533" s="13"/>
      <c r="AG533" s="13"/>
      <c r="AH533" s="13"/>
      <c r="AI533" s="13"/>
      <c r="AJ533" s="13"/>
    </row>
    <row r="534" spans="1:36" ht="16.5" customHeight="1">
      <c r="A534" s="9"/>
      <c r="B534" s="9"/>
      <c r="AE534" s="13"/>
      <c r="AF534" s="13"/>
      <c r="AG534" s="13"/>
      <c r="AH534" s="13"/>
      <c r="AI534" s="13"/>
      <c r="AJ534" s="13"/>
    </row>
    <row r="535" spans="1:36" ht="16.5" customHeight="1">
      <c r="A535" s="9"/>
      <c r="B535" s="9"/>
      <c r="AE535" s="13"/>
      <c r="AF535" s="13"/>
      <c r="AG535" s="13"/>
      <c r="AH535" s="13"/>
      <c r="AI535" s="13"/>
      <c r="AJ535" s="13"/>
    </row>
    <row r="536" spans="1:36" ht="16.5" customHeight="1">
      <c r="A536" s="9"/>
      <c r="B536" s="9"/>
      <c r="AE536" s="13"/>
      <c r="AF536" s="13"/>
      <c r="AG536" s="13"/>
      <c r="AH536" s="13"/>
      <c r="AI536" s="13"/>
      <c r="AJ536" s="13"/>
    </row>
    <row r="537" spans="1:36" ht="16.5" customHeight="1">
      <c r="A537" s="9"/>
      <c r="B537" s="9"/>
      <c r="AE537" s="13"/>
      <c r="AF537" s="13"/>
      <c r="AG537" s="13"/>
      <c r="AH537" s="13"/>
      <c r="AI537" s="13"/>
      <c r="AJ537" s="13"/>
    </row>
    <row r="538" spans="1:36" ht="16.5" customHeight="1">
      <c r="A538" s="9"/>
      <c r="B538" s="9"/>
      <c r="AE538" s="13"/>
      <c r="AF538" s="13"/>
      <c r="AG538" s="13"/>
      <c r="AH538" s="13"/>
      <c r="AI538" s="13"/>
      <c r="AJ538" s="13"/>
    </row>
    <row r="539" spans="1:36" ht="16.5" customHeight="1">
      <c r="A539" s="9"/>
      <c r="B539" s="9"/>
      <c r="AE539" s="13"/>
      <c r="AF539" s="13"/>
      <c r="AG539" s="13"/>
      <c r="AH539" s="13"/>
      <c r="AI539" s="13"/>
      <c r="AJ539" s="13"/>
    </row>
    <row r="540" spans="1:36" ht="16.5" customHeight="1">
      <c r="A540" s="9"/>
      <c r="B540" s="9"/>
      <c r="AE540" s="13"/>
      <c r="AF540" s="13"/>
      <c r="AG540" s="13"/>
      <c r="AH540" s="13"/>
      <c r="AI540" s="13"/>
      <c r="AJ540" s="13"/>
    </row>
    <row r="541" spans="1:36" ht="16.5" customHeight="1">
      <c r="A541" s="9"/>
      <c r="B541" s="9"/>
      <c r="AE541" s="13"/>
      <c r="AF541" s="13"/>
      <c r="AG541" s="13"/>
      <c r="AH541" s="13"/>
      <c r="AI541" s="13"/>
      <c r="AJ541" s="13"/>
    </row>
    <row r="542" spans="1:36" ht="16.5" customHeight="1">
      <c r="A542" s="9"/>
      <c r="B542" s="9"/>
      <c r="AE542" s="13"/>
      <c r="AF542" s="13"/>
      <c r="AG542" s="13"/>
      <c r="AH542" s="13"/>
      <c r="AI542" s="13"/>
      <c r="AJ542" s="13"/>
    </row>
    <row r="543" spans="1:36" ht="16.5" customHeight="1">
      <c r="A543" s="9"/>
      <c r="B543" s="9"/>
      <c r="AE543" s="13"/>
      <c r="AF543" s="13"/>
      <c r="AG543" s="13"/>
      <c r="AH543" s="13"/>
      <c r="AI543" s="13"/>
      <c r="AJ543" s="13"/>
    </row>
    <row r="544" spans="1:36" ht="16.5" customHeight="1">
      <c r="A544" s="9"/>
      <c r="B544" s="9"/>
      <c r="AE544" s="13"/>
      <c r="AF544" s="13"/>
      <c r="AG544" s="13"/>
      <c r="AH544" s="13"/>
      <c r="AI544" s="13"/>
      <c r="AJ544" s="13"/>
    </row>
    <row r="545" spans="1:36" ht="16.5" customHeight="1">
      <c r="A545" s="9"/>
      <c r="B545" s="9"/>
      <c r="AE545" s="13"/>
      <c r="AF545" s="13"/>
      <c r="AG545" s="13"/>
      <c r="AH545" s="13"/>
      <c r="AI545" s="13"/>
      <c r="AJ545" s="13"/>
    </row>
    <row r="546" spans="1:36" ht="16.5" customHeight="1">
      <c r="A546" s="9"/>
      <c r="B546" s="9"/>
      <c r="AE546" s="13"/>
      <c r="AF546" s="13"/>
      <c r="AG546" s="13"/>
      <c r="AH546" s="13"/>
      <c r="AI546" s="13"/>
      <c r="AJ546" s="13"/>
    </row>
    <row r="547" spans="1:36" ht="16.5" customHeight="1">
      <c r="A547" s="9"/>
      <c r="B547" s="9"/>
      <c r="AE547" s="13"/>
      <c r="AF547" s="13"/>
      <c r="AG547" s="13"/>
      <c r="AH547" s="13"/>
      <c r="AI547" s="13"/>
      <c r="AJ547" s="13"/>
    </row>
    <row r="548" spans="1:36" ht="16.5" customHeight="1">
      <c r="A548" s="9"/>
      <c r="B548" s="9"/>
      <c r="AE548" s="13"/>
      <c r="AF548" s="13"/>
      <c r="AG548" s="13"/>
      <c r="AH548" s="13"/>
      <c r="AI548" s="13"/>
      <c r="AJ548" s="13"/>
    </row>
    <row r="549" spans="1:36" ht="16.5" customHeight="1">
      <c r="A549" s="9"/>
      <c r="B549" s="9"/>
      <c r="AE549" s="13"/>
      <c r="AF549" s="13"/>
      <c r="AG549" s="13"/>
      <c r="AH549" s="13"/>
      <c r="AI549" s="13"/>
      <c r="AJ549" s="13"/>
    </row>
    <row r="550" spans="1:36" ht="16.5" customHeight="1">
      <c r="A550" s="9"/>
      <c r="B550" s="9"/>
      <c r="AE550" s="13"/>
      <c r="AF550" s="13"/>
      <c r="AG550" s="13"/>
      <c r="AH550" s="13"/>
      <c r="AI550" s="13"/>
      <c r="AJ550" s="13"/>
    </row>
    <row r="551" spans="1:36" ht="16.5" customHeight="1">
      <c r="A551" s="9"/>
      <c r="B551" s="9"/>
      <c r="AE551" s="13"/>
      <c r="AF551" s="13"/>
      <c r="AG551" s="13"/>
      <c r="AH551" s="13"/>
      <c r="AI551" s="13"/>
      <c r="AJ551" s="13"/>
    </row>
    <row r="552" spans="1:36" ht="16.5" customHeight="1">
      <c r="A552" s="9"/>
      <c r="B552" s="9"/>
      <c r="AE552" s="13"/>
      <c r="AF552" s="13"/>
      <c r="AG552" s="13"/>
      <c r="AH552" s="13"/>
      <c r="AI552" s="13"/>
      <c r="AJ552" s="13"/>
    </row>
    <row r="553" spans="1:36" ht="16.5" customHeight="1">
      <c r="A553" s="9"/>
      <c r="B553" s="9"/>
      <c r="AE553" s="13"/>
      <c r="AF553" s="13"/>
      <c r="AG553" s="13"/>
      <c r="AH553" s="13"/>
      <c r="AI553" s="13"/>
      <c r="AJ553" s="13"/>
    </row>
    <row r="554" spans="1:36" ht="16.5" customHeight="1">
      <c r="A554" s="9"/>
      <c r="B554" s="9"/>
      <c r="AE554" s="13"/>
      <c r="AF554" s="13"/>
      <c r="AG554" s="13"/>
      <c r="AH554" s="13"/>
      <c r="AI554" s="13"/>
      <c r="AJ554" s="13"/>
    </row>
    <row r="555" spans="1:36" ht="16.5" customHeight="1">
      <c r="A555" s="9"/>
      <c r="B555" s="9"/>
      <c r="AE555" s="13"/>
      <c r="AF555" s="13"/>
      <c r="AG555" s="13"/>
      <c r="AH555" s="13"/>
      <c r="AI555" s="13"/>
      <c r="AJ555" s="13"/>
    </row>
    <row r="556" spans="1:36" ht="16.5" customHeight="1">
      <c r="A556" s="9"/>
      <c r="B556" s="9"/>
      <c r="AE556" s="13"/>
      <c r="AF556" s="13"/>
      <c r="AG556" s="13"/>
      <c r="AH556" s="13"/>
      <c r="AI556" s="13"/>
      <c r="AJ556" s="13"/>
    </row>
    <row r="557" spans="1:36" ht="16.5" customHeight="1">
      <c r="A557" s="9"/>
      <c r="B557" s="9"/>
      <c r="AE557" s="13"/>
      <c r="AF557" s="13"/>
      <c r="AG557" s="13"/>
      <c r="AH557" s="13"/>
      <c r="AI557" s="13"/>
      <c r="AJ557" s="13"/>
    </row>
    <row r="558" spans="1:36" ht="16.5" customHeight="1">
      <c r="A558" s="9"/>
      <c r="B558" s="9"/>
      <c r="AE558" s="13"/>
      <c r="AF558" s="13"/>
      <c r="AG558" s="13"/>
      <c r="AH558" s="13"/>
      <c r="AI558" s="13"/>
      <c r="AJ558" s="13"/>
    </row>
    <row r="559" spans="1:36" ht="16.5" customHeight="1">
      <c r="A559" s="9"/>
      <c r="B559" s="9"/>
      <c r="AE559" s="13"/>
      <c r="AF559" s="13"/>
      <c r="AG559" s="13"/>
      <c r="AH559" s="13"/>
      <c r="AI559" s="13"/>
      <c r="AJ559" s="13"/>
    </row>
    <row r="560" spans="1:36" ht="16.5" customHeight="1">
      <c r="A560" s="9"/>
      <c r="B560" s="9"/>
      <c r="AE560" s="13"/>
      <c r="AF560" s="13"/>
      <c r="AG560" s="13"/>
      <c r="AH560" s="13"/>
      <c r="AI560" s="13"/>
      <c r="AJ560" s="13"/>
    </row>
    <row r="561" spans="1:36" ht="16.5" customHeight="1">
      <c r="A561" s="9"/>
      <c r="B561" s="9"/>
      <c r="AE561" s="13"/>
      <c r="AF561" s="13"/>
      <c r="AG561" s="13"/>
      <c r="AH561" s="13"/>
      <c r="AI561" s="13"/>
      <c r="AJ561" s="13"/>
    </row>
    <row r="562" spans="1:36" ht="16.5" customHeight="1">
      <c r="A562" s="9"/>
      <c r="B562" s="9"/>
      <c r="AE562" s="13"/>
      <c r="AF562" s="13"/>
      <c r="AG562" s="13"/>
      <c r="AH562" s="13"/>
      <c r="AI562" s="13"/>
      <c r="AJ562" s="13"/>
    </row>
    <row r="563" spans="1:36" ht="16.5" customHeight="1">
      <c r="A563" s="9"/>
      <c r="B563" s="9"/>
      <c r="AE563" s="13"/>
      <c r="AF563" s="13"/>
      <c r="AG563" s="13"/>
      <c r="AH563" s="13"/>
      <c r="AI563" s="13"/>
      <c r="AJ563" s="13"/>
    </row>
    <row r="564" spans="1:36" ht="16.5" customHeight="1">
      <c r="A564" s="9"/>
      <c r="B564" s="9"/>
      <c r="AE564" s="13"/>
      <c r="AF564" s="13"/>
      <c r="AG564" s="13"/>
      <c r="AH564" s="13"/>
      <c r="AI564" s="13"/>
      <c r="AJ564" s="13"/>
    </row>
    <row r="565" spans="1:36" ht="16.5" customHeight="1">
      <c r="A565" s="9"/>
      <c r="B565" s="9"/>
      <c r="AE565" s="13"/>
      <c r="AF565" s="13"/>
      <c r="AG565" s="13"/>
      <c r="AH565" s="13"/>
      <c r="AI565" s="13"/>
      <c r="AJ565" s="13"/>
    </row>
    <row r="566" spans="1:36" ht="16.5" customHeight="1">
      <c r="A566" s="9"/>
      <c r="B566" s="9"/>
      <c r="AE566" s="13"/>
      <c r="AF566" s="13"/>
      <c r="AG566" s="13"/>
      <c r="AH566" s="13"/>
      <c r="AI566" s="13"/>
      <c r="AJ566" s="13"/>
    </row>
    <row r="567" spans="1:36" ht="16.5" customHeight="1">
      <c r="A567" s="9"/>
      <c r="B567" s="9"/>
      <c r="AE567" s="13"/>
      <c r="AF567" s="13"/>
      <c r="AG567" s="13"/>
      <c r="AH567" s="13"/>
      <c r="AI567" s="13"/>
      <c r="AJ567" s="13"/>
    </row>
    <row r="568" spans="1:36" ht="16.5" customHeight="1">
      <c r="A568" s="9"/>
      <c r="B568" s="9"/>
      <c r="AE568" s="13"/>
      <c r="AF568" s="13"/>
      <c r="AG568" s="13"/>
      <c r="AH568" s="13"/>
      <c r="AI568" s="13"/>
      <c r="AJ568" s="13"/>
    </row>
    <row r="569" spans="1:36" ht="16.5" customHeight="1">
      <c r="A569" s="9"/>
      <c r="B569" s="9"/>
      <c r="AE569" s="13"/>
      <c r="AF569" s="13"/>
      <c r="AG569" s="13"/>
      <c r="AH569" s="13"/>
      <c r="AI569" s="13"/>
      <c r="AJ569" s="13"/>
    </row>
    <row r="570" spans="1:36" ht="16.5" customHeight="1">
      <c r="A570" s="9"/>
      <c r="B570" s="9"/>
      <c r="AE570" s="13"/>
      <c r="AF570" s="13"/>
      <c r="AG570" s="13"/>
      <c r="AH570" s="13"/>
      <c r="AI570" s="13"/>
      <c r="AJ570" s="13"/>
    </row>
    <row r="571" spans="1:36" ht="16.5" customHeight="1">
      <c r="A571" s="9"/>
      <c r="B571" s="9"/>
      <c r="AE571" s="13"/>
      <c r="AF571" s="13"/>
      <c r="AG571" s="13"/>
      <c r="AH571" s="13"/>
      <c r="AI571" s="13"/>
      <c r="AJ571" s="13"/>
    </row>
    <row r="572" spans="1:36" ht="16.5" customHeight="1">
      <c r="A572" s="9"/>
      <c r="B572" s="9"/>
      <c r="AE572" s="13"/>
      <c r="AF572" s="13"/>
      <c r="AG572" s="13"/>
      <c r="AH572" s="13"/>
      <c r="AI572" s="13"/>
      <c r="AJ572" s="13"/>
    </row>
    <row r="573" spans="1:36" ht="16.5" customHeight="1">
      <c r="A573" s="9"/>
      <c r="B573" s="9"/>
      <c r="AE573" s="13"/>
      <c r="AF573" s="13"/>
      <c r="AG573" s="13"/>
      <c r="AH573" s="13"/>
      <c r="AI573" s="13"/>
      <c r="AJ573" s="13"/>
    </row>
    <row r="574" spans="1:36" ht="16.5" customHeight="1">
      <c r="A574" s="9"/>
      <c r="B574" s="9"/>
      <c r="AE574" s="13"/>
      <c r="AF574" s="13"/>
      <c r="AG574" s="13"/>
      <c r="AH574" s="13"/>
      <c r="AI574" s="13"/>
      <c r="AJ574" s="13"/>
    </row>
    <row r="575" spans="1:36" ht="16.5" customHeight="1">
      <c r="A575" s="9"/>
      <c r="B575" s="9"/>
      <c r="AE575" s="13"/>
      <c r="AF575" s="13"/>
      <c r="AG575" s="13"/>
      <c r="AH575" s="13"/>
      <c r="AI575" s="13"/>
      <c r="AJ575" s="13"/>
    </row>
    <row r="576" spans="1:36" ht="16.5" customHeight="1">
      <c r="A576" s="9"/>
      <c r="B576" s="9"/>
      <c r="AE576" s="13"/>
      <c r="AF576" s="13"/>
      <c r="AG576" s="13"/>
      <c r="AH576" s="13"/>
      <c r="AI576" s="13"/>
      <c r="AJ576" s="13"/>
    </row>
    <row r="577" spans="1:36" ht="16.5" customHeight="1">
      <c r="A577" s="9"/>
      <c r="B577" s="9"/>
      <c r="AE577" s="13"/>
      <c r="AF577" s="13"/>
      <c r="AG577" s="13"/>
      <c r="AH577" s="13"/>
      <c r="AI577" s="13"/>
      <c r="AJ577" s="13"/>
    </row>
    <row r="578" spans="1:36" ht="16.5" customHeight="1">
      <c r="A578" s="9"/>
      <c r="B578" s="9"/>
      <c r="AE578" s="13"/>
      <c r="AF578" s="13"/>
      <c r="AG578" s="13"/>
      <c r="AH578" s="13"/>
      <c r="AI578" s="13"/>
      <c r="AJ578" s="13"/>
    </row>
    <row r="579" spans="1:36" ht="16.5" customHeight="1">
      <c r="A579" s="9"/>
      <c r="B579" s="9"/>
      <c r="AE579" s="13"/>
      <c r="AF579" s="13"/>
      <c r="AG579" s="13"/>
      <c r="AH579" s="13"/>
      <c r="AI579" s="13"/>
      <c r="AJ579" s="13"/>
    </row>
    <row r="580" spans="1:36" ht="16.5" customHeight="1">
      <c r="A580" s="9"/>
      <c r="B580" s="9"/>
      <c r="AE580" s="13"/>
      <c r="AF580" s="13"/>
      <c r="AG580" s="13"/>
      <c r="AH580" s="13"/>
      <c r="AI580" s="13"/>
      <c r="AJ580" s="13"/>
    </row>
    <row r="581" spans="1:36" ht="16.5" customHeight="1">
      <c r="A581" s="9"/>
      <c r="B581" s="9"/>
      <c r="AE581" s="13"/>
      <c r="AF581" s="13"/>
      <c r="AG581" s="13"/>
      <c r="AH581" s="13"/>
      <c r="AI581" s="13"/>
      <c r="AJ581" s="13"/>
    </row>
    <row r="582" spans="1:36" ht="16.5" customHeight="1">
      <c r="A582" s="9"/>
      <c r="B582" s="9"/>
      <c r="AE582" s="13"/>
      <c r="AF582" s="13"/>
      <c r="AG582" s="13"/>
      <c r="AH582" s="13"/>
      <c r="AI582" s="13"/>
      <c r="AJ582" s="13"/>
    </row>
    <row r="583" spans="1:36" ht="16.5" customHeight="1">
      <c r="A583" s="9"/>
      <c r="B583" s="9"/>
      <c r="AE583" s="13"/>
      <c r="AF583" s="13"/>
      <c r="AG583" s="13"/>
      <c r="AH583" s="13"/>
      <c r="AI583" s="13"/>
      <c r="AJ583" s="13"/>
    </row>
    <row r="584" spans="1:36" ht="16.5" customHeight="1">
      <c r="A584" s="9"/>
      <c r="B584" s="9"/>
      <c r="AE584" s="13"/>
      <c r="AF584" s="13"/>
      <c r="AG584" s="13"/>
      <c r="AH584" s="13"/>
      <c r="AI584" s="13"/>
      <c r="AJ584" s="13"/>
    </row>
    <row r="585" spans="1:36" ht="16.5" customHeight="1">
      <c r="A585" s="9"/>
      <c r="B585" s="9"/>
      <c r="AE585" s="13"/>
      <c r="AF585" s="13"/>
      <c r="AG585" s="13"/>
      <c r="AH585" s="13"/>
      <c r="AI585" s="13"/>
      <c r="AJ585" s="13"/>
    </row>
    <row r="586" spans="1:36" ht="16.5" customHeight="1">
      <c r="A586" s="9"/>
      <c r="B586" s="9"/>
      <c r="AE586" s="13"/>
      <c r="AF586" s="13"/>
      <c r="AG586" s="13"/>
      <c r="AH586" s="13"/>
      <c r="AI586" s="13"/>
      <c r="AJ586" s="13"/>
    </row>
    <row r="587" spans="1:36" ht="16.5" customHeight="1">
      <c r="A587" s="9"/>
      <c r="B587" s="9"/>
      <c r="AE587" s="13"/>
      <c r="AF587" s="13"/>
      <c r="AG587" s="13"/>
      <c r="AH587" s="13"/>
      <c r="AI587" s="13"/>
      <c r="AJ587" s="13"/>
    </row>
    <row r="588" spans="1:36" ht="16.5" customHeight="1">
      <c r="A588" s="9"/>
      <c r="B588" s="9"/>
      <c r="AE588" s="13"/>
      <c r="AF588" s="13"/>
      <c r="AG588" s="13"/>
      <c r="AH588" s="13"/>
      <c r="AI588" s="13"/>
      <c r="AJ588" s="13"/>
    </row>
    <row r="589" spans="1:36" ht="16.5" customHeight="1">
      <c r="A589" s="9"/>
      <c r="B589" s="9"/>
      <c r="AE589" s="13"/>
      <c r="AF589" s="13"/>
      <c r="AG589" s="13"/>
      <c r="AH589" s="13"/>
      <c r="AI589" s="13"/>
      <c r="AJ589" s="13"/>
    </row>
    <row r="590" spans="1:36" ht="16.5" customHeight="1">
      <c r="A590" s="9"/>
      <c r="B590" s="9"/>
      <c r="AE590" s="13"/>
      <c r="AF590" s="13"/>
      <c r="AG590" s="13"/>
      <c r="AH590" s="13"/>
      <c r="AI590" s="13"/>
      <c r="AJ590" s="13"/>
    </row>
    <row r="591" spans="1:36" ht="16.5" customHeight="1">
      <c r="A591" s="9"/>
      <c r="B591" s="9"/>
      <c r="AE591" s="13"/>
      <c r="AF591" s="13"/>
      <c r="AG591" s="13"/>
      <c r="AH591" s="13"/>
      <c r="AI591" s="13"/>
      <c r="AJ591" s="13"/>
    </row>
    <row r="592" spans="1:36" ht="16.5" customHeight="1">
      <c r="A592" s="9"/>
      <c r="B592" s="9"/>
      <c r="AE592" s="13"/>
      <c r="AF592" s="13"/>
      <c r="AG592" s="13"/>
      <c r="AH592" s="13"/>
      <c r="AI592" s="13"/>
      <c r="AJ592" s="13"/>
    </row>
    <row r="593" spans="1:36" ht="16.5" customHeight="1">
      <c r="A593" s="9"/>
      <c r="B593" s="9"/>
      <c r="AE593" s="13"/>
      <c r="AF593" s="13"/>
      <c r="AG593" s="13"/>
      <c r="AH593" s="13"/>
      <c r="AI593" s="13"/>
      <c r="AJ593" s="13"/>
    </row>
    <row r="594" spans="1:36" ht="16.5" customHeight="1">
      <c r="A594" s="9"/>
      <c r="B594" s="9"/>
      <c r="AE594" s="13"/>
      <c r="AF594" s="13"/>
      <c r="AG594" s="13"/>
      <c r="AH594" s="13"/>
      <c r="AI594" s="13"/>
      <c r="AJ594" s="13"/>
    </row>
    <row r="595" spans="1:36" ht="16.5" customHeight="1">
      <c r="A595" s="9"/>
      <c r="B595" s="9"/>
      <c r="AE595" s="13"/>
      <c r="AF595" s="13"/>
      <c r="AG595" s="13"/>
      <c r="AH595" s="13"/>
      <c r="AI595" s="13"/>
      <c r="AJ595" s="13"/>
    </row>
    <row r="596" spans="1:36" ht="16.5" customHeight="1">
      <c r="A596" s="9"/>
      <c r="B596" s="9"/>
      <c r="AE596" s="13"/>
      <c r="AF596" s="13"/>
      <c r="AG596" s="13"/>
      <c r="AH596" s="13"/>
      <c r="AI596" s="13"/>
      <c r="AJ596" s="13"/>
    </row>
    <row r="597" spans="1:36" ht="16.5" customHeight="1">
      <c r="A597" s="9"/>
      <c r="B597" s="9"/>
      <c r="AE597" s="13"/>
      <c r="AF597" s="13"/>
      <c r="AG597" s="13"/>
      <c r="AH597" s="13"/>
      <c r="AI597" s="13"/>
      <c r="AJ597" s="13"/>
    </row>
    <row r="598" spans="1:36" ht="16.5" customHeight="1">
      <c r="A598" s="9"/>
      <c r="B598" s="9"/>
      <c r="AE598" s="13"/>
      <c r="AF598" s="13"/>
      <c r="AG598" s="13"/>
      <c r="AH598" s="13"/>
      <c r="AI598" s="13"/>
      <c r="AJ598" s="13"/>
    </row>
    <row r="599" spans="1:36" ht="16.5" customHeight="1">
      <c r="A599" s="9"/>
      <c r="B599" s="9"/>
      <c r="AE599" s="13"/>
      <c r="AF599" s="13"/>
      <c r="AG599" s="13"/>
      <c r="AH599" s="13"/>
      <c r="AI599" s="13"/>
      <c r="AJ599" s="13"/>
    </row>
    <row r="600" spans="1:36" ht="16.5" customHeight="1">
      <c r="A600" s="9"/>
      <c r="B600" s="9"/>
      <c r="AE600" s="13"/>
      <c r="AF600" s="13"/>
      <c r="AG600" s="13"/>
      <c r="AH600" s="13"/>
      <c r="AI600" s="13"/>
      <c r="AJ600" s="13"/>
    </row>
    <row r="601" spans="1:36" ht="16.5" customHeight="1">
      <c r="A601" s="9"/>
      <c r="B601" s="9"/>
      <c r="AE601" s="13"/>
      <c r="AF601" s="13"/>
      <c r="AG601" s="13"/>
      <c r="AH601" s="13"/>
      <c r="AI601" s="13"/>
      <c r="AJ601" s="13"/>
    </row>
    <row r="602" spans="1:36" ht="16.5" customHeight="1">
      <c r="A602" s="9"/>
      <c r="B602" s="9"/>
      <c r="AE602" s="13"/>
      <c r="AF602" s="13"/>
      <c r="AG602" s="13"/>
      <c r="AH602" s="13"/>
      <c r="AI602" s="13"/>
      <c r="AJ602" s="13"/>
    </row>
    <row r="603" spans="1:36" ht="16.5" customHeight="1">
      <c r="A603" s="9"/>
      <c r="B603" s="9"/>
      <c r="AE603" s="13"/>
      <c r="AF603" s="13"/>
      <c r="AG603" s="13"/>
      <c r="AH603" s="13"/>
      <c r="AI603" s="13"/>
      <c r="AJ603" s="13"/>
    </row>
    <row r="604" spans="1:36" ht="16.5" customHeight="1">
      <c r="A604" s="9"/>
      <c r="B604" s="9"/>
      <c r="AE604" s="13"/>
      <c r="AF604" s="13"/>
      <c r="AG604" s="13"/>
      <c r="AH604" s="13"/>
      <c r="AI604" s="13"/>
      <c r="AJ604" s="13"/>
    </row>
    <row r="605" spans="1:36" ht="16.5" customHeight="1">
      <c r="A605" s="9"/>
      <c r="B605" s="9"/>
      <c r="AE605" s="13"/>
      <c r="AF605" s="13"/>
      <c r="AG605" s="13"/>
      <c r="AH605" s="13"/>
      <c r="AI605" s="13"/>
      <c r="AJ605" s="13"/>
    </row>
    <row r="606" spans="1:36" ht="16.5" customHeight="1">
      <c r="A606" s="9"/>
      <c r="B606" s="9"/>
      <c r="AE606" s="13"/>
      <c r="AF606" s="13"/>
      <c r="AG606" s="13"/>
      <c r="AH606" s="13"/>
      <c r="AI606" s="13"/>
      <c r="AJ606" s="13"/>
    </row>
    <row r="607" spans="1:36" ht="16.5" customHeight="1">
      <c r="A607" s="9"/>
      <c r="B607" s="9"/>
      <c r="AE607" s="13"/>
      <c r="AF607" s="13"/>
      <c r="AG607" s="13"/>
      <c r="AH607" s="13"/>
      <c r="AI607" s="13"/>
      <c r="AJ607" s="13"/>
    </row>
    <row r="608" spans="1:36" ht="16.5" customHeight="1">
      <c r="A608" s="9"/>
      <c r="B608" s="9"/>
      <c r="AE608" s="13"/>
      <c r="AF608" s="13"/>
      <c r="AG608" s="13"/>
      <c r="AH608" s="13"/>
      <c r="AI608" s="13"/>
      <c r="AJ608" s="13"/>
    </row>
    <row r="609" spans="1:36" ht="16.5" customHeight="1">
      <c r="A609" s="9"/>
      <c r="B609" s="9"/>
      <c r="AE609" s="13"/>
      <c r="AF609" s="13"/>
      <c r="AG609" s="13"/>
      <c r="AH609" s="13"/>
      <c r="AI609" s="13"/>
      <c r="AJ609" s="13"/>
    </row>
    <row r="610" spans="1:36" ht="16.5" customHeight="1">
      <c r="A610" s="9"/>
      <c r="B610" s="9"/>
      <c r="AE610" s="13"/>
      <c r="AF610" s="13"/>
      <c r="AG610" s="13"/>
      <c r="AH610" s="13"/>
      <c r="AI610" s="13"/>
      <c r="AJ610" s="13"/>
    </row>
    <row r="611" spans="1:36" ht="16.5" customHeight="1">
      <c r="A611" s="9"/>
      <c r="B611" s="9"/>
      <c r="AE611" s="13"/>
      <c r="AF611" s="13"/>
      <c r="AG611" s="13"/>
      <c r="AH611" s="13"/>
      <c r="AI611" s="13"/>
      <c r="AJ611" s="13"/>
    </row>
    <row r="612" spans="1:36" ht="16.5" customHeight="1">
      <c r="A612" s="9"/>
      <c r="B612" s="9"/>
      <c r="AE612" s="13"/>
      <c r="AF612" s="13"/>
      <c r="AG612" s="13"/>
      <c r="AH612" s="13"/>
      <c r="AI612" s="13"/>
      <c r="AJ612" s="13"/>
    </row>
    <row r="613" spans="1:36" ht="16.5" customHeight="1">
      <c r="A613" s="9"/>
      <c r="B613" s="9"/>
      <c r="AE613" s="13"/>
      <c r="AF613" s="13"/>
      <c r="AG613" s="13"/>
      <c r="AH613" s="13"/>
      <c r="AI613" s="13"/>
      <c r="AJ613" s="13"/>
    </row>
    <row r="614" spans="1:36" ht="16.5" customHeight="1">
      <c r="A614" s="9"/>
      <c r="B614" s="9"/>
      <c r="AE614" s="13"/>
      <c r="AF614" s="13"/>
      <c r="AG614" s="13"/>
      <c r="AH614" s="13"/>
      <c r="AI614" s="13"/>
      <c r="AJ614" s="13"/>
    </row>
    <row r="615" spans="1:36" ht="16.5" customHeight="1">
      <c r="A615" s="9"/>
      <c r="B615" s="9"/>
      <c r="AE615" s="13"/>
      <c r="AF615" s="13"/>
      <c r="AG615" s="13"/>
      <c r="AH615" s="13"/>
      <c r="AI615" s="13"/>
      <c r="AJ615" s="13"/>
    </row>
    <row r="616" spans="1:36" ht="16.5" customHeight="1">
      <c r="A616" s="9"/>
      <c r="B616" s="9"/>
      <c r="AE616" s="13"/>
      <c r="AF616" s="13"/>
      <c r="AG616" s="13"/>
      <c r="AH616" s="13"/>
      <c r="AI616" s="13"/>
      <c r="AJ616" s="13"/>
    </row>
    <row r="617" spans="1:36" ht="16.5" customHeight="1">
      <c r="A617" s="9"/>
      <c r="B617" s="9"/>
      <c r="AE617" s="13"/>
      <c r="AF617" s="13"/>
      <c r="AG617" s="13"/>
      <c r="AH617" s="13"/>
      <c r="AI617" s="13"/>
      <c r="AJ617" s="13"/>
    </row>
    <row r="618" spans="1:36" ht="16.5" customHeight="1">
      <c r="A618" s="9"/>
      <c r="B618" s="9"/>
      <c r="AE618" s="13"/>
      <c r="AF618" s="13"/>
      <c r="AG618" s="13"/>
      <c r="AH618" s="13"/>
      <c r="AI618" s="13"/>
      <c r="AJ618" s="13"/>
    </row>
    <row r="619" spans="1:36" ht="16.5" customHeight="1">
      <c r="A619" s="9"/>
      <c r="B619" s="9"/>
      <c r="AE619" s="13"/>
      <c r="AF619" s="13"/>
      <c r="AG619" s="13"/>
      <c r="AH619" s="13"/>
      <c r="AI619" s="13"/>
      <c r="AJ619" s="13"/>
    </row>
    <row r="620" spans="1:36" ht="16.5" customHeight="1">
      <c r="A620" s="9"/>
      <c r="B620" s="9"/>
      <c r="AE620" s="13"/>
      <c r="AF620" s="13"/>
      <c r="AG620" s="13"/>
      <c r="AH620" s="13"/>
      <c r="AI620" s="13"/>
      <c r="AJ620" s="13"/>
    </row>
    <row r="621" spans="1:36" ht="16.5" customHeight="1">
      <c r="A621" s="9"/>
      <c r="B621" s="9"/>
      <c r="AE621" s="13"/>
      <c r="AF621" s="13"/>
      <c r="AG621" s="13"/>
      <c r="AH621" s="13"/>
      <c r="AI621" s="13"/>
      <c r="AJ621" s="13"/>
    </row>
    <row r="622" spans="1:36" ht="16.5" customHeight="1">
      <c r="A622" s="9"/>
      <c r="B622" s="9"/>
      <c r="AE622" s="13"/>
      <c r="AF622" s="13"/>
      <c r="AG622" s="13"/>
      <c r="AH622" s="13"/>
      <c r="AI622" s="13"/>
      <c r="AJ622" s="13"/>
    </row>
    <row r="623" spans="1:36" ht="16.5" customHeight="1">
      <c r="A623" s="9"/>
      <c r="B623" s="9"/>
      <c r="AE623" s="13"/>
      <c r="AF623" s="13"/>
      <c r="AG623" s="13"/>
      <c r="AH623" s="13"/>
      <c r="AI623" s="13"/>
      <c r="AJ623" s="13"/>
    </row>
    <row r="624" spans="1:36" ht="16.5" customHeight="1">
      <c r="A624" s="9"/>
      <c r="B624" s="9"/>
      <c r="AE624" s="13"/>
      <c r="AF624" s="13"/>
      <c r="AG624" s="13"/>
      <c r="AH624" s="13"/>
      <c r="AI624" s="13"/>
      <c r="AJ624" s="13"/>
    </row>
    <row r="625" spans="1:36" ht="16.5" customHeight="1">
      <c r="A625" s="9"/>
      <c r="B625" s="9"/>
      <c r="AE625" s="13"/>
      <c r="AF625" s="13"/>
      <c r="AG625" s="13"/>
      <c r="AH625" s="13"/>
      <c r="AI625" s="13"/>
      <c r="AJ625" s="13"/>
    </row>
    <row r="626" spans="1:36" ht="16.5" customHeight="1">
      <c r="A626" s="9"/>
      <c r="B626" s="9"/>
      <c r="AE626" s="13"/>
      <c r="AF626" s="13"/>
      <c r="AG626" s="13"/>
      <c r="AH626" s="13"/>
      <c r="AI626" s="13"/>
      <c r="AJ626" s="13"/>
    </row>
    <row r="627" spans="1:36" ht="16.5" customHeight="1">
      <c r="A627" s="9"/>
      <c r="B627" s="9"/>
      <c r="AE627" s="13"/>
      <c r="AF627" s="13"/>
      <c r="AG627" s="13"/>
      <c r="AH627" s="13"/>
      <c r="AI627" s="13"/>
      <c r="AJ627" s="13"/>
    </row>
    <row r="628" spans="1:36" ht="16.5" customHeight="1">
      <c r="A628" s="9"/>
      <c r="B628" s="9"/>
      <c r="AE628" s="13"/>
      <c r="AF628" s="13"/>
      <c r="AG628" s="13"/>
      <c r="AH628" s="13"/>
      <c r="AI628" s="13"/>
      <c r="AJ628" s="13"/>
    </row>
    <row r="629" spans="1:36" ht="16.5" customHeight="1">
      <c r="A629" s="9"/>
      <c r="B629" s="9"/>
      <c r="AE629" s="13"/>
      <c r="AF629" s="13"/>
      <c r="AG629" s="13"/>
      <c r="AH629" s="13"/>
      <c r="AI629" s="13"/>
      <c r="AJ629" s="13"/>
    </row>
    <row r="630" spans="1:36" ht="16.5" customHeight="1">
      <c r="A630" s="9"/>
      <c r="B630" s="9"/>
      <c r="AE630" s="13"/>
      <c r="AF630" s="13"/>
      <c r="AG630" s="13"/>
      <c r="AH630" s="13"/>
      <c r="AI630" s="13"/>
      <c r="AJ630" s="13"/>
    </row>
    <row r="631" spans="1:36" ht="16.5" customHeight="1">
      <c r="A631" s="9"/>
      <c r="B631" s="9"/>
      <c r="AE631" s="13"/>
      <c r="AF631" s="13"/>
      <c r="AG631" s="13"/>
      <c r="AH631" s="13"/>
      <c r="AI631" s="13"/>
      <c r="AJ631" s="13"/>
    </row>
    <row r="632" spans="1:36" ht="16.5" customHeight="1">
      <c r="A632" s="9"/>
      <c r="B632" s="9"/>
      <c r="AE632" s="13"/>
      <c r="AF632" s="13"/>
      <c r="AG632" s="13"/>
      <c r="AH632" s="13"/>
      <c r="AI632" s="13"/>
      <c r="AJ632" s="13"/>
    </row>
    <row r="633" spans="1:36" ht="16.5" customHeight="1">
      <c r="A633" s="9"/>
      <c r="B633" s="9"/>
      <c r="AE633" s="13"/>
      <c r="AF633" s="13"/>
      <c r="AG633" s="13"/>
      <c r="AH633" s="13"/>
      <c r="AI633" s="13"/>
      <c r="AJ633" s="13"/>
    </row>
    <row r="634" spans="1:36" ht="16.5" customHeight="1">
      <c r="A634" s="9"/>
      <c r="B634" s="9"/>
      <c r="AE634" s="13"/>
      <c r="AF634" s="13"/>
      <c r="AG634" s="13"/>
      <c r="AH634" s="13"/>
      <c r="AI634" s="13"/>
      <c r="AJ634" s="13"/>
    </row>
    <row r="635" spans="1:36" ht="16.5" customHeight="1">
      <c r="A635" s="9"/>
      <c r="B635" s="9"/>
      <c r="AE635" s="13"/>
      <c r="AF635" s="13"/>
      <c r="AG635" s="13"/>
      <c r="AH635" s="13"/>
      <c r="AI635" s="13"/>
      <c r="AJ635" s="13"/>
    </row>
    <row r="636" spans="1:36" ht="16.5" customHeight="1">
      <c r="A636" s="9"/>
      <c r="B636" s="9"/>
      <c r="AE636" s="13"/>
      <c r="AF636" s="13"/>
      <c r="AG636" s="13"/>
      <c r="AH636" s="13"/>
      <c r="AI636" s="13"/>
      <c r="AJ636" s="13"/>
    </row>
    <row r="637" spans="1:36" ht="16.5" customHeight="1">
      <c r="A637" s="9"/>
      <c r="B637" s="9"/>
      <c r="AE637" s="13"/>
      <c r="AF637" s="13"/>
      <c r="AG637" s="13"/>
      <c r="AH637" s="13"/>
      <c r="AI637" s="13"/>
      <c r="AJ637" s="13"/>
    </row>
    <row r="638" spans="1:36" ht="16.5" customHeight="1">
      <c r="A638" s="9"/>
      <c r="B638" s="9"/>
      <c r="AE638" s="13"/>
      <c r="AF638" s="13"/>
      <c r="AG638" s="13"/>
      <c r="AH638" s="13"/>
      <c r="AI638" s="13"/>
      <c r="AJ638" s="13"/>
    </row>
    <row r="639" spans="1:36" ht="16.5" customHeight="1">
      <c r="A639" s="9"/>
      <c r="B639" s="9"/>
      <c r="AE639" s="13"/>
      <c r="AF639" s="13"/>
      <c r="AG639" s="13"/>
      <c r="AH639" s="13"/>
      <c r="AI639" s="13"/>
      <c r="AJ639" s="13"/>
    </row>
    <row r="640" spans="1:36" ht="16.5" customHeight="1">
      <c r="A640" s="9"/>
      <c r="B640" s="9"/>
      <c r="AE640" s="13"/>
      <c r="AF640" s="13"/>
      <c r="AG640" s="13"/>
      <c r="AH640" s="13"/>
      <c r="AI640" s="13"/>
      <c r="AJ640" s="13"/>
    </row>
    <row r="641" spans="1:36" ht="16.5" customHeight="1">
      <c r="A641" s="9"/>
      <c r="B641" s="9"/>
      <c r="AE641" s="13"/>
      <c r="AF641" s="13"/>
      <c r="AG641" s="13"/>
      <c r="AH641" s="13"/>
      <c r="AI641" s="13"/>
      <c r="AJ641" s="13"/>
    </row>
    <row r="642" spans="1:36" ht="16.5" customHeight="1">
      <c r="A642" s="9"/>
      <c r="B642" s="9"/>
      <c r="AE642" s="13"/>
      <c r="AF642" s="13"/>
      <c r="AG642" s="13"/>
      <c r="AH642" s="13"/>
      <c r="AI642" s="13"/>
      <c r="AJ642" s="13"/>
    </row>
    <row r="643" spans="1:36" ht="16.5" customHeight="1">
      <c r="A643" s="9"/>
      <c r="B643" s="9"/>
      <c r="AE643" s="13"/>
      <c r="AF643" s="13"/>
      <c r="AG643" s="13"/>
      <c r="AH643" s="13"/>
      <c r="AI643" s="13"/>
      <c r="AJ643" s="13"/>
    </row>
    <row r="644" spans="1:36" ht="16.5" customHeight="1">
      <c r="A644" s="9"/>
      <c r="B644" s="9"/>
      <c r="AE644" s="13"/>
      <c r="AF644" s="13"/>
      <c r="AG644" s="13"/>
      <c r="AH644" s="13"/>
      <c r="AI644" s="13"/>
      <c r="AJ644" s="13"/>
    </row>
    <row r="645" spans="1:36" ht="16.5" customHeight="1">
      <c r="A645" s="9"/>
      <c r="B645" s="9"/>
      <c r="AE645" s="13"/>
      <c r="AF645" s="13"/>
      <c r="AG645" s="13"/>
      <c r="AH645" s="13"/>
      <c r="AI645" s="13"/>
      <c r="AJ645" s="13"/>
    </row>
    <row r="646" spans="1:36" ht="16.5" customHeight="1">
      <c r="A646" s="9"/>
      <c r="B646" s="9"/>
      <c r="AE646" s="13"/>
      <c r="AF646" s="13"/>
      <c r="AG646" s="13"/>
      <c r="AH646" s="13"/>
      <c r="AI646" s="13"/>
      <c r="AJ646" s="13"/>
    </row>
    <row r="647" spans="1:36" ht="16.5" customHeight="1">
      <c r="A647" s="9"/>
      <c r="B647" s="9"/>
      <c r="AE647" s="13"/>
      <c r="AF647" s="13"/>
      <c r="AG647" s="13"/>
      <c r="AH647" s="13"/>
      <c r="AI647" s="13"/>
      <c r="AJ647" s="13"/>
    </row>
    <row r="648" spans="1:36" ht="16.5" customHeight="1">
      <c r="A648" s="9"/>
      <c r="B648" s="9"/>
      <c r="AE648" s="13"/>
      <c r="AF648" s="13"/>
      <c r="AG648" s="13"/>
      <c r="AH648" s="13"/>
      <c r="AI648" s="13"/>
      <c r="AJ648" s="13"/>
    </row>
    <row r="649" spans="1:36" ht="16.5" customHeight="1">
      <c r="A649" s="9"/>
      <c r="B649" s="9"/>
      <c r="AE649" s="13"/>
      <c r="AF649" s="13"/>
      <c r="AG649" s="13"/>
      <c r="AH649" s="13"/>
      <c r="AI649" s="13"/>
      <c r="AJ649" s="13"/>
    </row>
    <row r="650" spans="1:36" ht="16.5" customHeight="1">
      <c r="A650" s="9"/>
      <c r="B650" s="9"/>
      <c r="AE650" s="13"/>
      <c r="AF650" s="13"/>
      <c r="AG650" s="13"/>
      <c r="AH650" s="13"/>
      <c r="AI650" s="13"/>
      <c r="AJ650" s="13"/>
    </row>
    <row r="651" spans="1:36" ht="16.5" customHeight="1">
      <c r="A651" s="9"/>
      <c r="B651" s="9"/>
      <c r="AE651" s="13"/>
      <c r="AF651" s="13"/>
      <c r="AG651" s="13"/>
      <c r="AH651" s="13"/>
      <c r="AI651" s="13"/>
      <c r="AJ651" s="13"/>
    </row>
    <row r="652" spans="1:36" ht="16.5" customHeight="1">
      <c r="A652" s="9"/>
      <c r="B652" s="9"/>
      <c r="AE652" s="13"/>
      <c r="AF652" s="13"/>
      <c r="AG652" s="13"/>
      <c r="AH652" s="13"/>
      <c r="AI652" s="13"/>
      <c r="AJ652" s="13"/>
    </row>
    <row r="653" spans="1:36" ht="16.5" customHeight="1">
      <c r="A653" s="9"/>
      <c r="B653" s="9"/>
      <c r="AE653" s="13"/>
      <c r="AF653" s="13"/>
      <c r="AG653" s="13"/>
      <c r="AH653" s="13"/>
      <c r="AI653" s="13"/>
      <c r="AJ653" s="13"/>
    </row>
    <row r="654" spans="1:36" ht="16.5" customHeight="1">
      <c r="A654" s="9"/>
      <c r="B654" s="9"/>
      <c r="AE654" s="13"/>
      <c r="AF654" s="13"/>
      <c r="AG654" s="13"/>
      <c r="AH654" s="13"/>
      <c r="AI654" s="13"/>
      <c r="AJ654" s="13"/>
    </row>
    <row r="655" spans="1:36" ht="16.5" customHeight="1">
      <c r="A655" s="9"/>
      <c r="B655" s="9"/>
      <c r="AE655" s="13"/>
      <c r="AF655" s="13"/>
      <c r="AG655" s="13"/>
      <c r="AH655" s="13"/>
      <c r="AI655" s="13"/>
      <c r="AJ655" s="13"/>
    </row>
    <row r="656" spans="1:36" ht="16.5" customHeight="1">
      <c r="A656" s="9"/>
      <c r="B656" s="9"/>
      <c r="AE656" s="13"/>
      <c r="AF656" s="13"/>
      <c r="AG656" s="13"/>
      <c r="AH656" s="13"/>
      <c r="AI656" s="13"/>
      <c r="AJ656" s="13"/>
    </row>
    <row r="657" spans="1:36" ht="16.5" customHeight="1">
      <c r="A657" s="9"/>
      <c r="B657" s="9"/>
      <c r="AE657" s="13"/>
      <c r="AF657" s="13"/>
      <c r="AG657" s="13"/>
      <c r="AH657" s="13"/>
      <c r="AI657" s="13"/>
      <c r="AJ657" s="13"/>
    </row>
    <row r="658" spans="1:36" ht="16.5" customHeight="1">
      <c r="A658" s="9"/>
      <c r="B658" s="9"/>
      <c r="AE658" s="13"/>
      <c r="AF658" s="13"/>
      <c r="AG658" s="13"/>
      <c r="AH658" s="13"/>
      <c r="AI658" s="13"/>
      <c r="AJ658" s="13"/>
    </row>
    <row r="659" spans="1:36" ht="16.5" customHeight="1">
      <c r="A659" s="9"/>
      <c r="B659" s="9"/>
      <c r="AE659" s="13"/>
      <c r="AF659" s="13"/>
      <c r="AG659" s="13"/>
      <c r="AH659" s="13"/>
      <c r="AI659" s="13"/>
      <c r="AJ659" s="13"/>
    </row>
    <row r="660" spans="1:36" ht="16.5" customHeight="1">
      <c r="A660" s="9"/>
      <c r="B660" s="9"/>
      <c r="AE660" s="13"/>
      <c r="AF660" s="13"/>
      <c r="AG660" s="13"/>
      <c r="AH660" s="13"/>
      <c r="AI660" s="13"/>
      <c r="AJ660" s="13"/>
    </row>
    <row r="661" spans="1:36" ht="16.5" customHeight="1">
      <c r="A661" s="9"/>
      <c r="B661" s="9"/>
      <c r="AE661" s="13"/>
      <c r="AF661" s="13"/>
      <c r="AG661" s="13"/>
      <c r="AH661" s="13"/>
      <c r="AI661" s="13"/>
      <c r="AJ661" s="13"/>
    </row>
    <row r="662" spans="1:36" ht="16.5" customHeight="1">
      <c r="A662" s="9"/>
      <c r="B662" s="9"/>
      <c r="AE662" s="13"/>
      <c r="AF662" s="13"/>
      <c r="AG662" s="13"/>
      <c r="AH662" s="13"/>
      <c r="AI662" s="13"/>
      <c r="AJ662" s="13"/>
    </row>
    <row r="663" spans="1:36" ht="16.5" customHeight="1">
      <c r="A663" s="9"/>
      <c r="B663" s="9"/>
      <c r="AE663" s="13"/>
      <c r="AF663" s="13"/>
      <c r="AG663" s="13"/>
      <c r="AH663" s="13"/>
      <c r="AI663" s="13"/>
      <c r="AJ663" s="13"/>
    </row>
    <row r="664" spans="1:36" ht="16.5" customHeight="1">
      <c r="A664" s="9"/>
      <c r="B664" s="9"/>
      <c r="AE664" s="13"/>
      <c r="AF664" s="13"/>
      <c r="AG664" s="13"/>
      <c r="AH664" s="13"/>
      <c r="AI664" s="13"/>
      <c r="AJ664" s="13"/>
    </row>
    <row r="665" spans="1:36" ht="16.5" customHeight="1">
      <c r="A665" s="9"/>
      <c r="B665" s="9"/>
      <c r="AE665" s="13"/>
      <c r="AF665" s="13"/>
      <c r="AG665" s="13"/>
      <c r="AH665" s="13"/>
      <c r="AI665" s="13"/>
      <c r="AJ665" s="13"/>
    </row>
    <row r="666" spans="1:36" ht="16.5" customHeight="1">
      <c r="A666" s="9"/>
      <c r="B666" s="9"/>
      <c r="AE666" s="13"/>
      <c r="AF666" s="13"/>
      <c r="AG666" s="13"/>
      <c r="AH666" s="13"/>
      <c r="AI666" s="13"/>
      <c r="AJ666" s="13"/>
    </row>
    <row r="667" spans="1:36" ht="16.5" customHeight="1">
      <c r="A667" s="9"/>
      <c r="B667" s="9"/>
      <c r="AE667" s="13"/>
      <c r="AF667" s="13"/>
      <c r="AG667" s="13"/>
      <c r="AH667" s="13"/>
      <c r="AI667" s="13"/>
      <c r="AJ667" s="13"/>
    </row>
    <row r="668" spans="1:36" ht="16.5" customHeight="1">
      <c r="A668" s="9"/>
      <c r="B668" s="9"/>
      <c r="AE668" s="13"/>
      <c r="AF668" s="13"/>
      <c r="AG668" s="13"/>
      <c r="AH668" s="13"/>
      <c r="AI668" s="13"/>
      <c r="AJ668" s="13"/>
    </row>
    <row r="669" spans="1:36" ht="16.5" customHeight="1">
      <c r="A669" s="9"/>
      <c r="B669" s="9"/>
      <c r="AE669" s="13"/>
      <c r="AF669" s="13"/>
      <c r="AG669" s="13"/>
      <c r="AH669" s="13"/>
      <c r="AI669" s="13"/>
      <c r="AJ669" s="13"/>
    </row>
    <row r="670" spans="1:36" ht="16.5" customHeight="1">
      <c r="A670" s="9"/>
      <c r="B670" s="9"/>
      <c r="AE670" s="13"/>
      <c r="AF670" s="13"/>
      <c r="AG670" s="13"/>
      <c r="AH670" s="13"/>
      <c r="AI670" s="13"/>
      <c r="AJ670" s="13"/>
    </row>
    <row r="671" spans="1:36" ht="16.5" customHeight="1">
      <c r="A671" s="9"/>
      <c r="B671" s="9"/>
      <c r="AE671" s="13"/>
      <c r="AF671" s="13"/>
      <c r="AG671" s="13"/>
      <c r="AH671" s="13"/>
      <c r="AI671" s="13"/>
      <c r="AJ671" s="13"/>
    </row>
    <row r="672" spans="1:36" ht="16.5" customHeight="1">
      <c r="A672" s="9"/>
      <c r="B672" s="9"/>
      <c r="AE672" s="13"/>
      <c r="AF672" s="13"/>
      <c r="AG672" s="13"/>
      <c r="AH672" s="13"/>
      <c r="AI672" s="13"/>
      <c r="AJ672" s="13"/>
    </row>
    <row r="673" spans="1:36" ht="16.5" customHeight="1">
      <c r="A673" s="9"/>
      <c r="B673" s="9"/>
      <c r="AE673" s="13"/>
      <c r="AF673" s="13"/>
      <c r="AG673" s="13"/>
      <c r="AH673" s="13"/>
      <c r="AI673" s="13"/>
      <c r="AJ673" s="13"/>
    </row>
    <row r="674" spans="1:36" ht="16.5" customHeight="1">
      <c r="A674" s="9"/>
      <c r="B674" s="9"/>
      <c r="AE674" s="13"/>
      <c r="AF674" s="13"/>
      <c r="AG674" s="13"/>
      <c r="AH674" s="13"/>
      <c r="AI674" s="13"/>
      <c r="AJ674" s="13"/>
    </row>
    <row r="675" spans="1:36" ht="16.5" customHeight="1">
      <c r="A675" s="9"/>
      <c r="B675" s="9"/>
      <c r="AE675" s="13"/>
      <c r="AF675" s="13"/>
      <c r="AG675" s="13"/>
      <c r="AH675" s="13"/>
      <c r="AI675" s="13"/>
      <c r="AJ675" s="13"/>
    </row>
    <row r="676" spans="1:36" ht="16.5" customHeight="1">
      <c r="A676" s="9"/>
      <c r="B676" s="9"/>
      <c r="AE676" s="13"/>
      <c r="AF676" s="13"/>
      <c r="AG676" s="13"/>
      <c r="AH676" s="13"/>
      <c r="AI676" s="13"/>
      <c r="AJ676" s="13"/>
    </row>
    <row r="677" spans="1:36" ht="16.5" customHeight="1">
      <c r="A677" s="9"/>
      <c r="B677" s="9"/>
      <c r="AE677" s="13"/>
      <c r="AF677" s="13"/>
      <c r="AG677" s="13"/>
      <c r="AH677" s="13"/>
      <c r="AI677" s="13"/>
      <c r="AJ677" s="13"/>
    </row>
    <row r="678" spans="1:36" ht="16.5" customHeight="1">
      <c r="A678" s="9"/>
      <c r="B678" s="9"/>
      <c r="AE678" s="13"/>
      <c r="AF678" s="13"/>
      <c r="AG678" s="13"/>
      <c r="AH678" s="13"/>
      <c r="AI678" s="13"/>
      <c r="AJ678" s="13"/>
    </row>
    <row r="679" spans="1:36" ht="16.5" customHeight="1">
      <c r="A679" s="9"/>
      <c r="B679" s="9"/>
      <c r="AE679" s="13"/>
      <c r="AF679" s="13"/>
      <c r="AG679" s="13"/>
      <c r="AH679" s="13"/>
      <c r="AI679" s="13"/>
      <c r="AJ679" s="13"/>
    </row>
    <row r="680" spans="1:36" ht="16.5" customHeight="1">
      <c r="A680" s="9"/>
      <c r="B680" s="9"/>
      <c r="AE680" s="13"/>
      <c r="AF680" s="13"/>
      <c r="AG680" s="13"/>
      <c r="AH680" s="13"/>
      <c r="AI680" s="13"/>
      <c r="AJ680" s="13"/>
    </row>
    <row r="681" spans="1:36" ht="16.5" customHeight="1">
      <c r="A681" s="9"/>
      <c r="B681" s="9"/>
      <c r="AE681" s="13"/>
      <c r="AF681" s="13"/>
      <c r="AG681" s="13"/>
      <c r="AH681" s="13"/>
      <c r="AI681" s="13"/>
      <c r="AJ681" s="13"/>
    </row>
    <row r="682" spans="1:36" ht="16.5" customHeight="1">
      <c r="A682" s="9"/>
      <c r="B682" s="9"/>
      <c r="AE682" s="13"/>
      <c r="AF682" s="13"/>
      <c r="AG682" s="13"/>
      <c r="AH682" s="13"/>
      <c r="AI682" s="13"/>
      <c r="AJ682" s="13"/>
    </row>
    <row r="683" spans="1:36" ht="16.5" customHeight="1">
      <c r="A683" s="9"/>
      <c r="B683" s="9"/>
      <c r="AE683" s="13"/>
      <c r="AF683" s="13"/>
      <c r="AG683" s="13"/>
      <c r="AH683" s="13"/>
      <c r="AI683" s="13"/>
      <c r="AJ683" s="13"/>
    </row>
    <row r="684" spans="1:36" ht="16.5" customHeight="1">
      <c r="A684" s="9"/>
      <c r="B684" s="9"/>
      <c r="AE684" s="13"/>
      <c r="AF684" s="13"/>
      <c r="AG684" s="13"/>
      <c r="AH684" s="13"/>
      <c r="AI684" s="13"/>
      <c r="AJ684" s="13"/>
    </row>
    <row r="685" spans="1:36" ht="16.5" customHeight="1">
      <c r="A685" s="9"/>
      <c r="B685" s="9"/>
      <c r="AE685" s="13"/>
      <c r="AF685" s="13"/>
      <c r="AG685" s="13"/>
      <c r="AH685" s="13"/>
      <c r="AI685" s="13"/>
      <c r="AJ685" s="13"/>
    </row>
    <row r="686" spans="1:36" ht="16.5" customHeight="1">
      <c r="A686" s="9"/>
      <c r="B686" s="9"/>
      <c r="AE686" s="13"/>
      <c r="AF686" s="13"/>
      <c r="AG686" s="13"/>
      <c r="AH686" s="13"/>
      <c r="AI686" s="13"/>
      <c r="AJ686" s="13"/>
    </row>
    <row r="687" spans="1:36" ht="16.5" customHeight="1">
      <c r="A687" s="9"/>
      <c r="B687" s="9"/>
      <c r="AE687" s="13"/>
      <c r="AF687" s="13"/>
      <c r="AG687" s="13"/>
      <c r="AH687" s="13"/>
      <c r="AI687" s="13"/>
      <c r="AJ687" s="13"/>
    </row>
    <row r="688" spans="1:36" ht="16.5" customHeight="1">
      <c r="A688" s="9"/>
      <c r="B688" s="9"/>
      <c r="AE688" s="13"/>
      <c r="AF688" s="13"/>
      <c r="AG688" s="13"/>
      <c r="AH688" s="13"/>
      <c r="AI688" s="13"/>
      <c r="AJ688" s="13"/>
    </row>
    <row r="689" spans="1:36" ht="16.5" customHeight="1">
      <c r="A689" s="9"/>
      <c r="B689" s="9"/>
      <c r="AE689" s="13"/>
      <c r="AF689" s="13"/>
      <c r="AG689" s="13"/>
      <c r="AH689" s="13"/>
      <c r="AI689" s="13"/>
      <c r="AJ689" s="13"/>
    </row>
    <row r="690" spans="1:36" ht="16.5" customHeight="1">
      <c r="A690" s="9"/>
      <c r="B690" s="9"/>
      <c r="AE690" s="13"/>
      <c r="AF690" s="13"/>
      <c r="AG690" s="13"/>
      <c r="AH690" s="13"/>
      <c r="AI690" s="13"/>
      <c r="AJ690" s="13"/>
    </row>
    <row r="691" spans="1:36" ht="16.5" customHeight="1">
      <c r="A691" s="9"/>
      <c r="B691" s="9"/>
      <c r="AE691" s="13"/>
      <c r="AF691" s="13"/>
      <c r="AG691" s="13"/>
      <c r="AH691" s="13"/>
      <c r="AI691" s="13"/>
      <c r="AJ691" s="13"/>
    </row>
    <row r="692" spans="1:36" ht="16.5" customHeight="1">
      <c r="A692" s="9"/>
      <c r="B692" s="9"/>
      <c r="AE692" s="13"/>
      <c r="AF692" s="13"/>
      <c r="AG692" s="13"/>
      <c r="AH692" s="13"/>
      <c r="AI692" s="13"/>
      <c r="AJ692" s="13"/>
    </row>
    <row r="693" spans="1:36" ht="16.5" customHeight="1">
      <c r="A693" s="9"/>
      <c r="B693" s="9"/>
      <c r="AE693" s="13"/>
      <c r="AF693" s="13"/>
      <c r="AG693" s="13"/>
      <c r="AH693" s="13"/>
      <c r="AI693" s="13"/>
      <c r="AJ693" s="13"/>
    </row>
    <row r="694" spans="1:36" ht="16.5" customHeight="1">
      <c r="A694" s="9"/>
      <c r="B694" s="9"/>
      <c r="AE694" s="13"/>
      <c r="AF694" s="13"/>
      <c r="AG694" s="13"/>
      <c r="AH694" s="13"/>
      <c r="AI694" s="13"/>
      <c r="AJ694" s="13"/>
    </row>
    <row r="695" spans="1:36" ht="16.5" customHeight="1">
      <c r="A695" s="9"/>
      <c r="B695" s="9"/>
      <c r="AE695" s="13"/>
      <c r="AF695" s="13"/>
      <c r="AG695" s="13"/>
      <c r="AH695" s="13"/>
      <c r="AI695" s="13"/>
      <c r="AJ695" s="13"/>
    </row>
    <row r="696" spans="1:36" ht="16.5" customHeight="1">
      <c r="A696" s="9"/>
      <c r="B696" s="9"/>
      <c r="AE696" s="13"/>
      <c r="AF696" s="13"/>
      <c r="AG696" s="13"/>
      <c r="AH696" s="13"/>
      <c r="AI696" s="13"/>
      <c r="AJ696" s="13"/>
    </row>
    <row r="697" spans="1:36" ht="16.5" customHeight="1">
      <c r="A697" s="9"/>
      <c r="B697" s="9"/>
      <c r="AE697" s="13"/>
      <c r="AF697" s="13"/>
      <c r="AG697" s="13"/>
      <c r="AH697" s="13"/>
      <c r="AI697" s="13"/>
      <c r="AJ697" s="13"/>
    </row>
    <row r="698" spans="1:36" ht="16.5" customHeight="1">
      <c r="A698" s="9"/>
      <c r="B698" s="9"/>
      <c r="AE698" s="13"/>
      <c r="AF698" s="13"/>
      <c r="AG698" s="13"/>
      <c r="AH698" s="13"/>
      <c r="AI698" s="13"/>
      <c r="AJ698" s="13"/>
    </row>
    <row r="699" spans="1:36" ht="16.5" customHeight="1">
      <c r="A699" s="9"/>
      <c r="B699" s="9"/>
      <c r="AE699" s="13"/>
      <c r="AF699" s="13"/>
      <c r="AG699" s="13"/>
      <c r="AH699" s="13"/>
      <c r="AI699" s="13"/>
      <c r="AJ699" s="13"/>
    </row>
    <row r="700" spans="1:36" ht="16.5" customHeight="1">
      <c r="A700" s="9"/>
      <c r="B700" s="9"/>
      <c r="AE700" s="13"/>
      <c r="AF700" s="13"/>
      <c r="AG700" s="13"/>
      <c r="AH700" s="13"/>
      <c r="AI700" s="13"/>
      <c r="AJ700" s="13"/>
    </row>
    <row r="701" spans="1:36" ht="16.5" customHeight="1">
      <c r="A701" s="9"/>
      <c r="B701" s="9"/>
      <c r="AE701" s="13"/>
      <c r="AF701" s="13"/>
      <c r="AG701" s="13"/>
      <c r="AH701" s="13"/>
      <c r="AI701" s="13"/>
      <c r="AJ701" s="13"/>
    </row>
    <row r="702" spans="1:36" ht="16.5" customHeight="1">
      <c r="A702" s="9"/>
      <c r="B702" s="9"/>
      <c r="AE702" s="13"/>
      <c r="AF702" s="13"/>
      <c r="AG702" s="13"/>
      <c r="AH702" s="13"/>
      <c r="AI702" s="13"/>
      <c r="AJ702" s="13"/>
    </row>
    <row r="703" spans="1:36" ht="16.5" customHeight="1">
      <c r="A703" s="9"/>
      <c r="B703" s="9"/>
      <c r="AE703" s="13"/>
      <c r="AF703" s="13"/>
      <c r="AG703" s="13"/>
      <c r="AH703" s="13"/>
      <c r="AI703" s="13"/>
      <c r="AJ703" s="13"/>
    </row>
    <row r="704" spans="1:36" ht="16.5" customHeight="1">
      <c r="A704" s="9"/>
      <c r="B704" s="9"/>
      <c r="AE704" s="13"/>
      <c r="AF704" s="13"/>
      <c r="AG704" s="13"/>
      <c r="AH704" s="13"/>
      <c r="AI704" s="13"/>
      <c r="AJ704" s="13"/>
    </row>
    <row r="705" spans="1:36" ht="16.5" customHeight="1">
      <c r="A705" s="9"/>
      <c r="B705" s="9"/>
      <c r="AE705" s="13"/>
      <c r="AF705" s="13"/>
      <c r="AG705" s="13"/>
      <c r="AH705" s="13"/>
      <c r="AI705" s="13"/>
      <c r="AJ705" s="13"/>
    </row>
    <row r="706" spans="1:36" ht="16.5" customHeight="1">
      <c r="A706" s="9"/>
      <c r="B706" s="9"/>
      <c r="AE706" s="13"/>
      <c r="AF706" s="13"/>
      <c r="AG706" s="13"/>
      <c r="AH706" s="13"/>
      <c r="AI706" s="13"/>
      <c r="AJ706" s="13"/>
    </row>
    <row r="707" spans="1:36" ht="16.5" customHeight="1">
      <c r="A707" s="9"/>
      <c r="B707" s="9"/>
      <c r="AE707" s="13"/>
      <c r="AF707" s="13"/>
      <c r="AG707" s="13"/>
      <c r="AH707" s="13"/>
      <c r="AI707" s="13"/>
      <c r="AJ707" s="13"/>
    </row>
    <row r="708" spans="1:36" ht="16.5" customHeight="1">
      <c r="A708" s="9"/>
      <c r="B708" s="9"/>
      <c r="AE708" s="13"/>
      <c r="AF708" s="13"/>
      <c r="AG708" s="13"/>
      <c r="AH708" s="13"/>
      <c r="AI708" s="13"/>
      <c r="AJ708" s="13"/>
    </row>
    <row r="709" spans="1:36" ht="16.5" customHeight="1">
      <c r="A709" s="9"/>
      <c r="B709" s="9"/>
      <c r="AE709" s="13"/>
      <c r="AF709" s="13"/>
      <c r="AG709" s="13"/>
      <c r="AH709" s="13"/>
      <c r="AI709" s="13"/>
      <c r="AJ709" s="13"/>
    </row>
    <row r="710" spans="1:36" ht="16.5" customHeight="1">
      <c r="A710" s="9"/>
      <c r="B710" s="9"/>
      <c r="AE710" s="13"/>
      <c r="AF710" s="13"/>
      <c r="AG710" s="13"/>
      <c r="AH710" s="13"/>
      <c r="AI710" s="13"/>
      <c r="AJ710" s="13"/>
    </row>
    <row r="711" spans="1:36" ht="16.5" customHeight="1">
      <c r="A711" s="9"/>
      <c r="B711" s="9"/>
      <c r="AE711" s="13"/>
      <c r="AF711" s="13"/>
      <c r="AG711" s="13"/>
      <c r="AH711" s="13"/>
      <c r="AI711" s="13"/>
      <c r="AJ711" s="13"/>
    </row>
    <row r="712" spans="1:36" ht="16.5" customHeight="1">
      <c r="A712" s="9"/>
      <c r="B712" s="9"/>
      <c r="AE712" s="13"/>
      <c r="AF712" s="13"/>
      <c r="AG712" s="13"/>
      <c r="AH712" s="13"/>
      <c r="AI712" s="13"/>
      <c r="AJ712" s="13"/>
    </row>
    <row r="713" spans="1:36" ht="16.5" customHeight="1">
      <c r="A713" s="9"/>
      <c r="B713" s="9"/>
      <c r="AE713" s="13"/>
      <c r="AF713" s="13"/>
      <c r="AG713" s="13"/>
      <c r="AH713" s="13"/>
      <c r="AI713" s="13"/>
      <c r="AJ713" s="13"/>
    </row>
    <row r="714" spans="1:36" ht="16.5" customHeight="1">
      <c r="A714" s="9"/>
      <c r="B714" s="9"/>
      <c r="AE714" s="13"/>
      <c r="AF714" s="13"/>
      <c r="AG714" s="13"/>
      <c r="AH714" s="13"/>
      <c r="AI714" s="13"/>
      <c r="AJ714" s="13"/>
    </row>
    <row r="715" spans="1:36" ht="16.5" customHeight="1">
      <c r="A715" s="9"/>
      <c r="B715" s="9"/>
      <c r="AE715" s="13"/>
      <c r="AF715" s="13"/>
      <c r="AG715" s="13"/>
      <c r="AH715" s="13"/>
      <c r="AI715" s="13"/>
      <c r="AJ715" s="13"/>
    </row>
    <row r="716" spans="1:36" ht="16.5" customHeight="1">
      <c r="A716" s="9"/>
      <c r="B716" s="9"/>
      <c r="AE716" s="13"/>
      <c r="AF716" s="13"/>
      <c r="AG716" s="13"/>
      <c r="AH716" s="13"/>
      <c r="AI716" s="13"/>
      <c r="AJ716" s="13"/>
    </row>
    <row r="717" spans="1:36" ht="16.5" customHeight="1">
      <c r="A717" s="9"/>
      <c r="B717" s="9"/>
      <c r="AE717" s="13"/>
      <c r="AF717" s="13"/>
      <c r="AG717" s="13"/>
      <c r="AH717" s="13"/>
      <c r="AI717" s="13"/>
      <c r="AJ717" s="13"/>
    </row>
    <row r="718" spans="1:36" ht="16.5" customHeight="1">
      <c r="A718" s="9"/>
      <c r="B718" s="9"/>
      <c r="AE718" s="13"/>
      <c r="AF718" s="13"/>
      <c r="AG718" s="13"/>
      <c r="AH718" s="13"/>
      <c r="AI718" s="13"/>
      <c r="AJ718" s="13"/>
    </row>
    <row r="719" spans="1:36" ht="16.5" customHeight="1">
      <c r="A719" s="9"/>
      <c r="B719" s="9"/>
      <c r="AE719" s="13"/>
      <c r="AF719" s="13"/>
      <c r="AG719" s="13"/>
      <c r="AH719" s="13"/>
      <c r="AI719" s="13"/>
      <c r="AJ719" s="13"/>
    </row>
    <row r="720" spans="1:36" ht="16.5" customHeight="1">
      <c r="A720" s="9"/>
      <c r="B720" s="9"/>
      <c r="AE720" s="13"/>
      <c r="AF720" s="13"/>
      <c r="AG720" s="13"/>
      <c r="AH720" s="13"/>
      <c r="AI720" s="13"/>
      <c r="AJ720" s="13"/>
    </row>
    <row r="721" spans="1:36" ht="16.5" customHeight="1">
      <c r="A721" s="9"/>
      <c r="B721" s="9"/>
      <c r="AE721" s="13"/>
      <c r="AF721" s="13"/>
      <c r="AG721" s="13"/>
      <c r="AH721" s="13"/>
      <c r="AI721" s="13"/>
      <c r="AJ721" s="13"/>
    </row>
    <row r="722" spans="1:36" ht="16.5" customHeight="1">
      <c r="A722" s="9"/>
      <c r="B722" s="9"/>
      <c r="AE722" s="13"/>
      <c r="AF722" s="13"/>
      <c r="AG722" s="13"/>
      <c r="AH722" s="13"/>
      <c r="AI722" s="13"/>
      <c r="AJ722" s="13"/>
    </row>
    <row r="723" spans="1:36" ht="16.5" customHeight="1">
      <c r="A723" s="9"/>
      <c r="B723" s="9"/>
      <c r="AE723" s="13"/>
      <c r="AF723" s="13"/>
      <c r="AG723" s="13"/>
      <c r="AH723" s="13"/>
      <c r="AI723" s="13"/>
      <c r="AJ723" s="13"/>
    </row>
    <row r="724" spans="1:36" ht="16.5" customHeight="1">
      <c r="A724" s="9"/>
      <c r="B724" s="9"/>
      <c r="AE724" s="13"/>
      <c r="AF724" s="13"/>
      <c r="AG724" s="13"/>
      <c r="AH724" s="13"/>
      <c r="AI724" s="13"/>
      <c r="AJ724" s="13"/>
    </row>
    <row r="725" spans="1:36" ht="16.5" customHeight="1">
      <c r="A725" s="9"/>
      <c r="B725" s="9"/>
      <c r="AE725" s="13"/>
      <c r="AF725" s="13"/>
      <c r="AG725" s="13"/>
      <c r="AH725" s="13"/>
      <c r="AI725" s="13"/>
      <c r="AJ725" s="13"/>
    </row>
    <row r="726" spans="1:36" ht="16.5" customHeight="1">
      <c r="A726" s="9"/>
      <c r="B726" s="9"/>
      <c r="AE726" s="13"/>
      <c r="AF726" s="13"/>
      <c r="AG726" s="13"/>
      <c r="AH726" s="13"/>
      <c r="AI726" s="13"/>
      <c r="AJ726" s="13"/>
    </row>
    <row r="727" spans="1:36" ht="16.5" customHeight="1">
      <c r="A727" s="9"/>
      <c r="B727" s="9"/>
      <c r="AE727" s="13"/>
      <c r="AF727" s="13"/>
      <c r="AG727" s="13"/>
      <c r="AH727" s="13"/>
      <c r="AI727" s="13"/>
      <c r="AJ727" s="13"/>
    </row>
    <row r="728" spans="1:36" ht="16.5" customHeight="1">
      <c r="A728" s="9"/>
      <c r="B728" s="9"/>
      <c r="AE728" s="13"/>
      <c r="AF728" s="13"/>
      <c r="AG728" s="13"/>
      <c r="AH728" s="13"/>
      <c r="AI728" s="13"/>
      <c r="AJ728" s="13"/>
    </row>
    <row r="729" spans="1:36" ht="16.5" customHeight="1">
      <c r="A729" s="9"/>
      <c r="B729" s="9"/>
      <c r="AE729" s="13"/>
      <c r="AF729" s="13"/>
      <c r="AG729" s="13"/>
      <c r="AH729" s="13"/>
      <c r="AI729" s="13"/>
      <c r="AJ729" s="13"/>
    </row>
    <row r="730" spans="1:36" ht="16.5" customHeight="1">
      <c r="A730" s="9"/>
      <c r="B730" s="9"/>
      <c r="AE730" s="13"/>
      <c r="AF730" s="13"/>
      <c r="AG730" s="13"/>
      <c r="AH730" s="13"/>
      <c r="AI730" s="13"/>
      <c r="AJ730" s="13"/>
    </row>
    <row r="731" spans="1:36" ht="16.5" customHeight="1">
      <c r="A731" s="9"/>
      <c r="B731" s="9"/>
      <c r="AE731" s="13"/>
      <c r="AF731" s="13"/>
      <c r="AG731" s="13"/>
      <c r="AH731" s="13"/>
      <c r="AI731" s="13"/>
      <c r="AJ731" s="13"/>
    </row>
    <row r="732" spans="1:36" ht="16.5" customHeight="1">
      <c r="A732" s="9"/>
      <c r="B732" s="9"/>
      <c r="AE732" s="13"/>
      <c r="AF732" s="13"/>
      <c r="AG732" s="13"/>
      <c r="AH732" s="13"/>
      <c r="AI732" s="13"/>
      <c r="AJ732" s="13"/>
    </row>
    <row r="733" spans="1:36" ht="16.5" customHeight="1">
      <c r="A733" s="9"/>
      <c r="B733" s="9"/>
      <c r="AE733" s="13"/>
      <c r="AF733" s="13"/>
      <c r="AG733" s="13"/>
      <c r="AH733" s="13"/>
      <c r="AI733" s="13"/>
      <c r="AJ733" s="13"/>
    </row>
    <row r="734" spans="1:36" ht="16.5" customHeight="1">
      <c r="A734" s="9"/>
      <c r="B734" s="9"/>
      <c r="AE734" s="13"/>
      <c r="AF734" s="13"/>
      <c r="AG734" s="13"/>
      <c r="AH734" s="13"/>
      <c r="AI734" s="13"/>
      <c r="AJ734" s="13"/>
    </row>
    <row r="735" spans="1:36" ht="16.5" customHeight="1">
      <c r="A735" s="9"/>
      <c r="B735" s="9"/>
      <c r="AE735" s="13"/>
      <c r="AF735" s="13"/>
      <c r="AG735" s="13"/>
      <c r="AH735" s="13"/>
      <c r="AI735" s="13"/>
      <c r="AJ735" s="13"/>
    </row>
    <row r="736" spans="1:36" ht="16.5" customHeight="1">
      <c r="A736" s="9"/>
      <c r="B736" s="9"/>
      <c r="AE736" s="13"/>
      <c r="AF736" s="13"/>
      <c r="AG736" s="13"/>
      <c r="AH736" s="13"/>
      <c r="AI736" s="13"/>
      <c r="AJ736" s="13"/>
    </row>
    <row r="737" spans="1:36" ht="16.5" customHeight="1">
      <c r="A737" s="9"/>
      <c r="B737" s="9"/>
      <c r="AE737" s="13"/>
      <c r="AF737" s="13"/>
      <c r="AG737" s="13"/>
      <c r="AH737" s="13"/>
      <c r="AI737" s="13"/>
      <c r="AJ737" s="13"/>
    </row>
    <row r="738" spans="1:36" ht="16.5" customHeight="1">
      <c r="A738" s="9"/>
      <c r="B738" s="9"/>
      <c r="AE738" s="13"/>
      <c r="AF738" s="13"/>
      <c r="AG738" s="13"/>
      <c r="AH738" s="13"/>
      <c r="AI738" s="13"/>
      <c r="AJ738" s="13"/>
    </row>
    <row r="739" spans="1:36" ht="16.5" customHeight="1">
      <c r="A739" s="9"/>
      <c r="B739" s="9"/>
      <c r="AE739" s="13"/>
      <c r="AF739" s="13"/>
      <c r="AG739" s="13"/>
      <c r="AH739" s="13"/>
      <c r="AI739" s="13"/>
      <c r="AJ739" s="13"/>
    </row>
    <row r="740" spans="1:36" ht="16.5" customHeight="1">
      <c r="A740" s="9"/>
      <c r="B740" s="9"/>
      <c r="AE740" s="13"/>
      <c r="AF740" s="13"/>
      <c r="AG740" s="13"/>
      <c r="AH740" s="13"/>
      <c r="AI740" s="13"/>
      <c r="AJ740" s="13"/>
    </row>
    <row r="741" spans="1:36" ht="16.5" customHeight="1">
      <c r="A741" s="9"/>
      <c r="B741" s="9"/>
      <c r="AE741" s="13"/>
      <c r="AF741" s="13"/>
      <c r="AG741" s="13"/>
      <c r="AH741" s="13"/>
      <c r="AI741" s="13"/>
      <c r="AJ741" s="13"/>
    </row>
    <row r="742" spans="1:36" ht="16.5" customHeight="1">
      <c r="A742" s="9"/>
      <c r="B742" s="9"/>
      <c r="AE742" s="13"/>
      <c r="AF742" s="13"/>
      <c r="AG742" s="13"/>
      <c r="AH742" s="13"/>
      <c r="AI742" s="13"/>
      <c r="AJ742" s="13"/>
    </row>
    <row r="743" spans="1:36" ht="16.5" customHeight="1">
      <c r="A743" s="9"/>
      <c r="B743" s="9"/>
      <c r="AE743" s="13"/>
      <c r="AF743" s="13"/>
      <c r="AG743" s="13"/>
      <c r="AH743" s="13"/>
      <c r="AI743" s="13"/>
      <c r="AJ743" s="13"/>
    </row>
    <row r="744" spans="1:36" ht="16.5" customHeight="1">
      <c r="A744" s="9"/>
      <c r="B744" s="9"/>
      <c r="AE744" s="13"/>
      <c r="AF744" s="13"/>
      <c r="AG744" s="13"/>
      <c r="AH744" s="13"/>
      <c r="AI744" s="13"/>
      <c r="AJ744" s="13"/>
    </row>
    <row r="745" spans="1:36" ht="16.5" customHeight="1">
      <c r="A745" s="9"/>
      <c r="B745" s="9"/>
      <c r="AE745" s="13"/>
      <c r="AF745" s="13"/>
      <c r="AG745" s="13"/>
      <c r="AH745" s="13"/>
      <c r="AI745" s="13"/>
      <c r="AJ745" s="13"/>
    </row>
    <row r="746" spans="1:36" ht="16.5" customHeight="1">
      <c r="A746" s="9"/>
      <c r="B746" s="9"/>
      <c r="AE746" s="13"/>
      <c r="AF746" s="13"/>
      <c r="AG746" s="13"/>
      <c r="AH746" s="13"/>
      <c r="AI746" s="13"/>
      <c r="AJ746" s="13"/>
    </row>
    <row r="747" spans="1:36" ht="16.5" customHeight="1">
      <c r="A747" s="9"/>
      <c r="B747" s="9"/>
      <c r="AE747" s="13"/>
      <c r="AF747" s="13"/>
      <c r="AG747" s="13"/>
      <c r="AH747" s="13"/>
      <c r="AI747" s="13"/>
      <c r="AJ747" s="13"/>
    </row>
    <row r="748" spans="1:36" ht="16.5" customHeight="1">
      <c r="A748" s="9"/>
      <c r="B748" s="9"/>
      <c r="AE748" s="13"/>
      <c r="AF748" s="13"/>
      <c r="AG748" s="13"/>
      <c r="AH748" s="13"/>
      <c r="AI748" s="13"/>
      <c r="AJ748" s="13"/>
    </row>
    <row r="749" spans="1:36" ht="16.5" customHeight="1">
      <c r="A749" s="9"/>
      <c r="B749" s="9"/>
      <c r="AE749" s="13"/>
      <c r="AF749" s="13"/>
      <c r="AG749" s="13"/>
      <c r="AH749" s="13"/>
      <c r="AI749" s="13"/>
      <c r="AJ749" s="13"/>
    </row>
    <row r="750" spans="1:36" ht="16.5" customHeight="1">
      <c r="A750" s="9"/>
      <c r="B750" s="9"/>
      <c r="AE750" s="13"/>
      <c r="AF750" s="13"/>
      <c r="AG750" s="13"/>
      <c r="AH750" s="13"/>
      <c r="AI750" s="13"/>
      <c r="AJ750" s="13"/>
    </row>
    <row r="751" spans="1:36" ht="16.5" customHeight="1">
      <c r="A751" s="9"/>
      <c r="B751" s="9"/>
      <c r="AE751" s="13"/>
      <c r="AF751" s="13"/>
      <c r="AG751" s="13"/>
      <c r="AH751" s="13"/>
      <c r="AI751" s="13"/>
      <c r="AJ751" s="13"/>
    </row>
    <row r="752" spans="1:36" ht="16.5" customHeight="1">
      <c r="A752" s="9"/>
      <c r="B752" s="9"/>
      <c r="AE752" s="13"/>
      <c r="AF752" s="13"/>
      <c r="AG752" s="13"/>
      <c r="AH752" s="13"/>
      <c r="AI752" s="13"/>
      <c r="AJ752" s="13"/>
    </row>
    <row r="753" spans="1:36" ht="16.5" customHeight="1">
      <c r="A753" s="9"/>
      <c r="B753" s="9"/>
      <c r="AE753" s="13"/>
      <c r="AF753" s="13"/>
      <c r="AG753" s="13"/>
      <c r="AH753" s="13"/>
      <c r="AI753" s="13"/>
      <c r="AJ753" s="13"/>
    </row>
    <row r="754" spans="1:36" ht="16.5" customHeight="1">
      <c r="A754" s="9"/>
      <c r="B754" s="9"/>
      <c r="AE754" s="13"/>
      <c r="AF754" s="13"/>
      <c r="AG754" s="13"/>
      <c r="AH754" s="13"/>
      <c r="AI754" s="13"/>
      <c r="AJ754" s="13"/>
    </row>
    <row r="755" spans="1:36" ht="16.5" customHeight="1">
      <c r="A755" s="9"/>
      <c r="B755" s="9"/>
      <c r="AE755" s="13"/>
      <c r="AF755" s="13"/>
      <c r="AG755" s="13"/>
      <c r="AH755" s="13"/>
      <c r="AI755" s="13"/>
      <c r="AJ755" s="13"/>
    </row>
    <row r="756" spans="1:36" ht="16.5" customHeight="1">
      <c r="A756" s="9"/>
      <c r="B756" s="9"/>
      <c r="AE756" s="13"/>
      <c r="AF756" s="13"/>
      <c r="AG756" s="13"/>
      <c r="AH756" s="13"/>
      <c r="AI756" s="13"/>
      <c r="AJ756" s="13"/>
    </row>
    <row r="757" spans="1:36" ht="16.5" customHeight="1">
      <c r="A757" s="9"/>
      <c r="B757" s="9"/>
      <c r="AE757" s="13"/>
      <c r="AF757" s="13"/>
      <c r="AG757" s="13"/>
      <c r="AH757" s="13"/>
      <c r="AI757" s="13"/>
      <c r="AJ757" s="13"/>
    </row>
    <row r="758" spans="1:36" ht="16.5" customHeight="1">
      <c r="A758" s="9"/>
      <c r="B758" s="9"/>
      <c r="AE758" s="13"/>
      <c r="AF758" s="13"/>
      <c r="AG758" s="13"/>
      <c r="AH758" s="13"/>
      <c r="AI758" s="13"/>
      <c r="AJ758" s="13"/>
    </row>
    <row r="759" spans="1:36" ht="16.5" customHeight="1">
      <c r="A759" s="9"/>
      <c r="B759" s="9"/>
      <c r="AE759" s="13"/>
      <c r="AF759" s="13"/>
      <c r="AG759" s="13"/>
      <c r="AH759" s="13"/>
      <c r="AI759" s="13"/>
      <c r="AJ759" s="13"/>
    </row>
    <row r="760" spans="1:36" ht="16.5" customHeight="1">
      <c r="A760" s="9"/>
      <c r="B760" s="9"/>
      <c r="AE760" s="13"/>
      <c r="AF760" s="13"/>
      <c r="AG760" s="13"/>
      <c r="AH760" s="13"/>
      <c r="AI760" s="13"/>
      <c r="AJ760" s="13"/>
    </row>
    <row r="761" spans="1:36" ht="16.5" customHeight="1">
      <c r="A761" s="9"/>
      <c r="B761" s="9"/>
      <c r="AE761" s="13"/>
      <c r="AF761" s="13"/>
      <c r="AG761" s="13"/>
      <c r="AH761" s="13"/>
      <c r="AI761" s="13"/>
      <c r="AJ761" s="13"/>
    </row>
    <row r="762" spans="1:36" ht="16.5" customHeight="1">
      <c r="A762" s="9"/>
      <c r="B762" s="9"/>
      <c r="AE762" s="13"/>
      <c r="AF762" s="13"/>
      <c r="AG762" s="13"/>
      <c r="AH762" s="13"/>
      <c r="AI762" s="13"/>
      <c r="AJ762" s="13"/>
    </row>
    <row r="763" spans="1:36" ht="16.5" customHeight="1">
      <c r="A763" s="9"/>
      <c r="B763" s="9"/>
      <c r="AE763" s="13"/>
      <c r="AF763" s="13"/>
      <c r="AG763" s="13"/>
      <c r="AH763" s="13"/>
      <c r="AI763" s="13"/>
      <c r="AJ763" s="13"/>
    </row>
    <row r="764" spans="1:36" ht="16.5" customHeight="1">
      <c r="A764" s="9"/>
      <c r="B764" s="9"/>
      <c r="AE764" s="13"/>
      <c r="AF764" s="13"/>
      <c r="AG764" s="13"/>
      <c r="AH764" s="13"/>
      <c r="AI764" s="13"/>
      <c r="AJ764" s="13"/>
    </row>
    <row r="765" spans="1:36" ht="16.5" customHeight="1">
      <c r="A765" s="9"/>
      <c r="B765" s="9"/>
      <c r="AE765" s="13"/>
      <c r="AF765" s="13"/>
      <c r="AG765" s="13"/>
      <c r="AH765" s="13"/>
      <c r="AI765" s="13"/>
      <c r="AJ765" s="13"/>
    </row>
    <row r="766" spans="1:36" ht="16.5" customHeight="1">
      <c r="A766" s="9"/>
      <c r="B766" s="9"/>
      <c r="AE766" s="13"/>
      <c r="AF766" s="13"/>
      <c r="AG766" s="13"/>
      <c r="AH766" s="13"/>
      <c r="AI766" s="13"/>
      <c r="AJ766" s="13"/>
    </row>
    <row r="767" spans="1:36" ht="16.5" customHeight="1">
      <c r="A767" s="9"/>
      <c r="B767" s="9"/>
      <c r="AE767" s="13"/>
      <c r="AF767" s="13"/>
      <c r="AG767" s="13"/>
      <c r="AH767" s="13"/>
      <c r="AI767" s="13"/>
      <c r="AJ767" s="13"/>
    </row>
    <row r="768" spans="1:36" ht="16.5" customHeight="1">
      <c r="A768" s="9"/>
      <c r="B768" s="9"/>
      <c r="AE768" s="13"/>
      <c r="AF768" s="13"/>
      <c r="AG768" s="13"/>
      <c r="AH768" s="13"/>
      <c r="AI768" s="13"/>
      <c r="AJ768" s="13"/>
    </row>
    <row r="769" spans="1:36" ht="16.5" customHeight="1">
      <c r="A769" s="9"/>
      <c r="B769" s="9"/>
      <c r="AE769" s="13"/>
      <c r="AF769" s="13"/>
      <c r="AG769" s="13"/>
      <c r="AH769" s="13"/>
      <c r="AI769" s="13"/>
      <c r="AJ769" s="13"/>
    </row>
    <row r="770" spans="1:36" ht="16.5" customHeight="1">
      <c r="A770" s="9"/>
      <c r="B770" s="9"/>
      <c r="AE770" s="13"/>
      <c r="AF770" s="13"/>
      <c r="AG770" s="13"/>
      <c r="AH770" s="13"/>
      <c r="AI770" s="13"/>
      <c r="AJ770" s="13"/>
    </row>
    <row r="771" spans="1:36" ht="16.5" customHeight="1">
      <c r="A771" s="9"/>
      <c r="B771" s="9"/>
      <c r="AE771" s="13"/>
      <c r="AF771" s="13"/>
      <c r="AG771" s="13"/>
      <c r="AH771" s="13"/>
      <c r="AI771" s="13"/>
      <c r="AJ771" s="13"/>
    </row>
    <row r="772" spans="1:36" ht="16.5" customHeight="1">
      <c r="A772" s="9"/>
      <c r="B772" s="9"/>
      <c r="AE772" s="13"/>
      <c r="AF772" s="13"/>
      <c r="AG772" s="13"/>
      <c r="AH772" s="13"/>
      <c r="AI772" s="13"/>
      <c r="AJ772" s="13"/>
    </row>
    <row r="773" spans="1:36" ht="16.5" customHeight="1">
      <c r="A773" s="9"/>
      <c r="B773" s="9"/>
      <c r="AE773" s="13"/>
      <c r="AF773" s="13"/>
      <c r="AG773" s="13"/>
      <c r="AH773" s="13"/>
      <c r="AI773" s="13"/>
      <c r="AJ773" s="13"/>
    </row>
    <row r="774" spans="1:36" ht="16.5" customHeight="1">
      <c r="A774" s="9"/>
      <c r="B774" s="9"/>
      <c r="AE774" s="13"/>
      <c r="AF774" s="13"/>
      <c r="AG774" s="13"/>
      <c r="AH774" s="13"/>
      <c r="AI774" s="13"/>
      <c r="AJ774" s="13"/>
    </row>
    <row r="775" spans="1:36" ht="16.5" customHeight="1">
      <c r="A775" s="9"/>
      <c r="B775" s="9"/>
      <c r="AE775" s="13"/>
      <c r="AF775" s="13"/>
      <c r="AG775" s="13"/>
      <c r="AH775" s="13"/>
      <c r="AI775" s="13"/>
      <c r="AJ775" s="13"/>
    </row>
    <row r="776" spans="1:36" ht="16.5" customHeight="1">
      <c r="A776" s="9"/>
      <c r="B776" s="9"/>
      <c r="AE776" s="13"/>
      <c r="AF776" s="13"/>
      <c r="AG776" s="13"/>
      <c r="AH776" s="13"/>
      <c r="AI776" s="13"/>
      <c r="AJ776" s="13"/>
    </row>
    <row r="777" spans="1:36" ht="16.5" customHeight="1">
      <c r="A777" s="9"/>
      <c r="B777" s="9"/>
      <c r="AE777" s="13"/>
      <c r="AF777" s="13"/>
      <c r="AG777" s="13"/>
      <c r="AH777" s="13"/>
      <c r="AI777" s="13"/>
      <c r="AJ777" s="13"/>
    </row>
    <row r="778" spans="1:36" ht="16.5" customHeight="1">
      <c r="A778" s="9"/>
      <c r="B778" s="9"/>
      <c r="AE778" s="13"/>
      <c r="AF778" s="13"/>
      <c r="AG778" s="13"/>
      <c r="AH778" s="13"/>
      <c r="AI778" s="13"/>
      <c r="AJ778" s="13"/>
    </row>
    <row r="779" spans="1:36" ht="16.5" customHeight="1">
      <c r="A779" s="9"/>
      <c r="B779" s="9"/>
      <c r="AE779" s="13"/>
      <c r="AF779" s="13"/>
      <c r="AG779" s="13"/>
      <c r="AH779" s="13"/>
      <c r="AI779" s="13"/>
      <c r="AJ779" s="13"/>
    </row>
    <row r="780" spans="1:36" ht="16.5" customHeight="1">
      <c r="A780" s="9"/>
      <c r="B780" s="9"/>
      <c r="AE780" s="13"/>
      <c r="AF780" s="13"/>
      <c r="AG780" s="13"/>
      <c r="AH780" s="13"/>
      <c r="AI780" s="13"/>
      <c r="AJ780" s="13"/>
    </row>
    <row r="781" spans="1:36" ht="16.5" customHeight="1">
      <c r="A781" s="9"/>
      <c r="B781" s="9"/>
      <c r="AE781" s="13"/>
      <c r="AF781" s="13"/>
      <c r="AG781" s="13"/>
      <c r="AH781" s="13"/>
      <c r="AI781" s="13"/>
      <c r="AJ781" s="13"/>
    </row>
    <row r="782" spans="1:36" ht="16.5" customHeight="1">
      <c r="A782" s="9"/>
      <c r="B782" s="9"/>
      <c r="AE782" s="13"/>
      <c r="AF782" s="13"/>
      <c r="AG782" s="13"/>
      <c r="AH782" s="13"/>
      <c r="AI782" s="13"/>
      <c r="AJ782" s="13"/>
    </row>
    <row r="783" spans="1:36" ht="16.5" customHeight="1">
      <c r="A783" s="9"/>
      <c r="B783" s="9"/>
      <c r="AE783" s="13"/>
      <c r="AF783" s="13"/>
      <c r="AG783" s="13"/>
      <c r="AH783" s="13"/>
      <c r="AI783" s="13"/>
      <c r="AJ783" s="13"/>
    </row>
    <row r="784" spans="1:36" ht="16.5" customHeight="1">
      <c r="A784" s="9"/>
      <c r="B784" s="9"/>
      <c r="AE784" s="13"/>
      <c r="AF784" s="13"/>
      <c r="AG784" s="13"/>
      <c r="AH784" s="13"/>
      <c r="AI784" s="13"/>
      <c r="AJ784" s="13"/>
    </row>
    <row r="785" spans="1:36" ht="16.5" customHeight="1">
      <c r="A785" s="9"/>
      <c r="B785" s="9"/>
      <c r="AE785" s="13"/>
      <c r="AF785" s="13"/>
      <c r="AG785" s="13"/>
      <c r="AH785" s="13"/>
      <c r="AI785" s="13"/>
      <c r="AJ785" s="13"/>
    </row>
    <row r="786" spans="1:36" ht="16.5" customHeight="1">
      <c r="A786" s="9"/>
      <c r="B786" s="9"/>
      <c r="AE786" s="13"/>
      <c r="AF786" s="13"/>
      <c r="AG786" s="13"/>
      <c r="AH786" s="13"/>
      <c r="AI786" s="13"/>
      <c r="AJ786" s="13"/>
    </row>
    <row r="787" spans="1:36" ht="16.5" customHeight="1">
      <c r="A787" s="9"/>
      <c r="B787" s="9"/>
      <c r="AE787" s="13"/>
      <c r="AF787" s="13"/>
      <c r="AG787" s="13"/>
      <c r="AH787" s="13"/>
      <c r="AI787" s="13"/>
      <c r="AJ787" s="13"/>
    </row>
    <row r="788" spans="1:36" ht="16.5" customHeight="1">
      <c r="A788" s="9"/>
      <c r="B788" s="9"/>
      <c r="AE788" s="13"/>
      <c r="AF788" s="13"/>
      <c r="AG788" s="13"/>
      <c r="AH788" s="13"/>
      <c r="AI788" s="13"/>
      <c r="AJ788" s="13"/>
    </row>
    <row r="789" spans="1:36" ht="16.5" customHeight="1">
      <c r="A789" s="9"/>
      <c r="B789" s="9"/>
      <c r="AE789" s="13"/>
      <c r="AF789" s="13"/>
      <c r="AG789" s="13"/>
      <c r="AH789" s="13"/>
      <c r="AI789" s="13"/>
      <c r="AJ789" s="13"/>
    </row>
    <row r="790" spans="1:36" ht="16.5" customHeight="1">
      <c r="A790" s="9"/>
      <c r="B790" s="9"/>
      <c r="AE790" s="13"/>
      <c r="AF790" s="13"/>
      <c r="AG790" s="13"/>
      <c r="AH790" s="13"/>
      <c r="AI790" s="13"/>
      <c r="AJ790" s="13"/>
    </row>
    <row r="791" spans="1:36" ht="16.5" customHeight="1">
      <c r="A791" s="9"/>
      <c r="B791" s="9"/>
      <c r="AE791" s="13"/>
      <c r="AF791" s="13"/>
      <c r="AG791" s="13"/>
      <c r="AH791" s="13"/>
      <c r="AI791" s="13"/>
      <c r="AJ791" s="13"/>
    </row>
    <row r="792" spans="1:36" ht="16.5" customHeight="1">
      <c r="A792" s="9"/>
      <c r="B792" s="9"/>
      <c r="AE792" s="13"/>
      <c r="AF792" s="13"/>
      <c r="AG792" s="13"/>
      <c r="AH792" s="13"/>
      <c r="AI792" s="13"/>
      <c r="AJ792" s="13"/>
    </row>
    <row r="793" spans="1:36" ht="16.5" customHeight="1">
      <c r="A793" s="9"/>
      <c r="B793" s="9"/>
      <c r="AE793" s="13"/>
      <c r="AF793" s="13"/>
      <c r="AG793" s="13"/>
      <c r="AH793" s="13"/>
      <c r="AI793" s="13"/>
      <c r="AJ793" s="13"/>
    </row>
    <row r="794" spans="1:36" ht="16.5" customHeight="1">
      <c r="A794" s="9"/>
      <c r="B794" s="9"/>
      <c r="AE794" s="13"/>
      <c r="AF794" s="13"/>
      <c r="AG794" s="13"/>
      <c r="AH794" s="13"/>
      <c r="AI794" s="13"/>
      <c r="AJ794" s="13"/>
    </row>
    <row r="795" spans="1:36" ht="16.5" customHeight="1">
      <c r="A795" s="9"/>
      <c r="B795" s="9"/>
      <c r="AE795" s="13"/>
      <c r="AF795" s="13"/>
      <c r="AG795" s="13"/>
      <c r="AH795" s="13"/>
      <c r="AI795" s="13"/>
      <c r="AJ795" s="13"/>
    </row>
    <row r="796" spans="1:36" ht="16.5" customHeight="1">
      <c r="A796" s="9"/>
      <c r="B796" s="9"/>
      <c r="AE796" s="13"/>
      <c r="AF796" s="13"/>
      <c r="AG796" s="13"/>
      <c r="AH796" s="13"/>
      <c r="AI796" s="13"/>
      <c r="AJ796" s="13"/>
    </row>
    <row r="797" spans="1:36" ht="16.5" customHeight="1">
      <c r="A797" s="9"/>
      <c r="B797" s="9"/>
      <c r="AE797" s="13"/>
      <c r="AF797" s="13"/>
      <c r="AG797" s="13"/>
      <c r="AH797" s="13"/>
      <c r="AI797" s="13"/>
      <c r="AJ797" s="13"/>
    </row>
    <row r="798" spans="1:36" ht="16.5" customHeight="1">
      <c r="A798" s="9"/>
      <c r="B798" s="9"/>
      <c r="AE798" s="13"/>
      <c r="AF798" s="13"/>
      <c r="AG798" s="13"/>
      <c r="AH798" s="13"/>
      <c r="AI798" s="13"/>
      <c r="AJ798" s="13"/>
    </row>
    <row r="799" spans="1:36" ht="16.5" customHeight="1">
      <c r="A799" s="9"/>
      <c r="B799" s="9"/>
      <c r="AE799" s="13"/>
      <c r="AF799" s="13"/>
      <c r="AG799" s="13"/>
      <c r="AH799" s="13"/>
      <c r="AI799" s="13"/>
      <c r="AJ799" s="13"/>
    </row>
    <row r="800" spans="1:36" ht="16.5" customHeight="1">
      <c r="A800" s="9"/>
      <c r="B800" s="9"/>
      <c r="AE800" s="13"/>
      <c r="AF800" s="13"/>
      <c r="AG800" s="13"/>
      <c r="AH800" s="13"/>
      <c r="AI800" s="13"/>
      <c r="AJ800" s="13"/>
    </row>
    <row r="801" spans="1:36" ht="16.5" customHeight="1">
      <c r="A801" s="9"/>
      <c r="B801" s="9"/>
      <c r="AE801" s="13"/>
      <c r="AF801" s="13"/>
      <c r="AG801" s="13"/>
      <c r="AH801" s="13"/>
      <c r="AI801" s="13"/>
      <c r="AJ801" s="13"/>
    </row>
    <row r="802" spans="1:36" ht="16.5" customHeight="1">
      <c r="A802" s="9"/>
      <c r="B802" s="9"/>
      <c r="AE802" s="13"/>
      <c r="AF802" s="13"/>
      <c r="AG802" s="13"/>
      <c r="AH802" s="13"/>
      <c r="AI802" s="13"/>
      <c r="AJ802" s="13"/>
    </row>
    <row r="803" spans="1:36" ht="16.5" customHeight="1">
      <c r="A803" s="9"/>
      <c r="B803" s="9"/>
      <c r="AE803" s="13"/>
      <c r="AF803" s="13"/>
      <c r="AG803" s="13"/>
      <c r="AH803" s="13"/>
      <c r="AI803" s="13"/>
      <c r="AJ803" s="13"/>
    </row>
    <row r="804" spans="1:36" ht="16.5" customHeight="1">
      <c r="A804" s="9"/>
      <c r="B804" s="9"/>
      <c r="AE804" s="13"/>
      <c r="AF804" s="13"/>
      <c r="AG804" s="13"/>
      <c r="AH804" s="13"/>
      <c r="AI804" s="13"/>
      <c r="AJ804" s="13"/>
    </row>
    <row r="805" spans="1:36" ht="16.5" customHeight="1">
      <c r="A805" s="9"/>
      <c r="B805" s="9"/>
      <c r="AE805" s="13"/>
      <c r="AF805" s="13"/>
      <c r="AG805" s="13"/>
      <c r="AH805" s="13"/>
      <c r="AI805" s="13"/>
      <c r="AJ805" s="13"/>
    </row>
    <row r="806" spans="1:36" ht="16.5" customHeight="1">
      <c r="A806" s="9"/>
      <c r="B806" s="9"/>
      <c r="AE806" s="13"/>
      <c r="AF806" s="13"/>
      <c r="AG806" s="13"/>
      <c r="AH806" s="13"/>
      <c r="AI806" s="13"/>
      <c r="AJ806" s="13"/>
    </row>
    <row r="807" spans="1:36" ht="16.5" customHeight="1">
      <c r="A807" s="9"/>
      <c r="B807" s="9"/>
      <c r="AE807" s="13"/>
      <c r="AF807" s="13"/>
      <c r="AG807" s="13"/>
      <c r="AH807" s="13"/>
      <c r="AI807" s="13"/>
      <c r="AJ807" s="13"/>
    </row>
    <row r="808" spans="1:36" ht="16.5" customHeight="1">
      <c r="A808" s="9"/>
      <c r="B808" s="9"/>
      <c r="AE808" s="13"/>
      <c r="AF808" s="13"/>
      <c r="AG808" s="13"/>
      <c r="AH808" s="13"/>
      <c r="AI808" s="13"/>
      <c r="AJ808" s="13"/>
    </row>
    <row r="809" spans="1:36" ht="16.5" customHeight="1">
      <c r="A809" s="9"/>
      <c r="B809" s="9"/>
      <c r="AE809" s="13"/>
      <c r="AF809" s="13"/>
      <c r="AG809" s="13"/>
      <c r="AH809" s="13"/>
      <c r="AI809" s="13"/>
      <c r="AJ809" s="13"/>
    </row>
    <row r="810" spans="1:36" ht="16.5" customHeight="1">
      <c r="A810" s="9"/>
      <c r="B810" s="9"/>
      <c r="AE810" s="13"/>
      <c r="AF810" s="13"/>
      <c r="AG810" s="13"/>
      <c r="AH810" s="13"/>
      <c r="AI810" s="13"/>
      <c r="AJ810" s="13"/>
    </row>
    <row r="811" spans="1:36" ht="16.5" customHeight="1">
      <c r="A811" s="9"/>
      <c r="B811" s="9"/>
      <c r="AE811" s="13"/>
      <c r="AF811" s="13"/>
      <c r="AG811" s="13"/>
      <c r="AH811" s="13"/>
      <c r="AI811" s="13"/>
      <c r="AJ811" s="13"/>
    </row>
    <row r="812" spans="1:36" ht="16.5" customHeight="1">
      <c r="A812" s="9"/>
      <c r="B812" s="9"/>
      <c r="AE812" s="13"/>
      <c r="AF812" s="13"/>
      <c r="AG812" s="13"/>
      <c r="AH812" s="13"/>
      <c r="AI812" s="13"/>
      <c r="AJ812" s="13"/>
    </row>
    <row r="813" spans="1:36" ht="16.5" customHeight="1">
      <c r="A813" s="9"/>
      <c r="B813" s="9"/>
      <c r="AE813" s="13"/>
      <c r="AF813" s="13"/>
      <c r="AG813" s="13"/>
      <c r="AH813" s="13"/>
      <c r="AI813" s="13"/>
      <c r="AJ813" s="13"/>
    </row>
    <row r="814" spans="1:36" ht="16.5" customHeight="1">
      <c r="A814" s="9"/>
      <c r="B814" s="9"/>
      <c r="AE814" s="13"/>
      <c r="AF814" s="13"/>
      <c r="AG814" s="13"/>
      <c r="AH814" s="13"/>
      <c r="AI814" s="13"/>
      <c r="AJ814" s="13"/>
    </row>
    <row r="815" spans="1:36" ht="16.5" customHeight="1">
      <c r="A815" s="9"/>
      <c r="B815" s="9"/>
      <c r="AE815" s="13"/>
      <c r="AF815" s="13"/>
      <c r="AG815" s="13"/>
      <c r="AH815" s="13"/>
      <c r="AI815" s="13"/>
      <c r="AJ815" s="13"/>
    </row>
    <row r="816" spans="1:36" ht="16.5" customHeight="1">
      <c r="A816" s="9"/>
      <c r="B816" s="9"/>
      <c r="AE816" s="13"/>
      <c r="AF816" s="13"/>
      <c r="AG816" s="13"/>
      <c r="AH816" s="13"/>
      <c r="AI816" s="13"/>
      <c r="AJ816" s="13"/>
    </row>
    <row r="817" spans="1:36" ht="16.5" customHeight="1">
      <c r="A817" s="9"/>
      <c r="B817" s="9"/>
      <c r="AE817" s="13"/>
      <c r="AF817" s="13"/>
      <c r="AG817" s="13"/>
      <c r="AH817" s="13"/>
      <c r="AI817" s="13"/>
      <c r="AJ817" s="13"/>
    </row>
    <row r="818" spans="1:36" ht="16.5" customHeight="1">
      <c r="A818" s="9"/>
      <c r="B818" s="9"/>
      <c r="AE818" s="13"/>
      <c r="AF818" s="13"/>
      <c r="AG818" s="13"/>
      <c r="AH818" s="13"/>
      <c r="AI818" s="13"/>
      <c r="AJ818" s="13"/>
    </row>
    <row r="819" spans="1:36" ht="16.5" customHeight="1">
      <c r="A819" s="9"/>
      <c r="B819" s="9"/>
      <c r="AE819" s="13"/>
      <c r="AF819" s="13"/>
      <c r="AG819" s="13"/>
      <c r="AH819" s="13"/>
      <c r="AI819" s="13"/>
      <c r="AJ819" s="13"/>
    </row>
    <row r="820" spans="1:36" ht="16.5" customHeight="1">
      <c r="A820" s="9"/>
      <c r="B820" s="9"/>
      <c r="AE820" s="13"/>
      <c r="AF820" s="13"/>
      <c r="AG820" s="13"/>
      <c r="AH820" s="13"/>
      <c r="AI820" s="13"/>
      <c r="AJ820" s="13"/>
    </row>
    <row r="821" spans="1:36" ht="16.5" customHeight="1">
      <c r="A821" s="9"/>
      <c r="B821" s="9"/>
      <c r="AE821" s="13"/>
      <c r="AF821" s="13"/>
      <c r="AG821" s="13"/>
      <c r="AH821" s="13"/>
      <c r="AI821" s="13"/>
      <c r="AJ821" s="13"/>
    </row>
    <row r="822" spans="1:36" ht="16.5" customHeight="1">
      <c r="A822" s="9"/>
      <c r="B822" s="9"/>
      <c r="AE822" s="13"/>
      <c r="AF822" s="13"/>
      <c r="AG822" s="13"/>
      <c r="AH822" s="13"/>
      <c r="AI822" s="13"/>
      <c r="AJ822" s="13"/>
    </row>
    <row r="823" spans="1:36" ht="16.5" customHeight="1">
      <c r="A823" s="9"/>
      <c r="B823" s="9"/>
      <c r="AE823" s="13"/>
      <c r="AF823" s="13"/>
      <c r="AG823" s="13"/>
      <c r="AH823" s="13"/>
      <c r="AI823" s="13"/>
      <c r="AJ823" s="13"/>
    </row>
    <row r="824" spans="1:36" ht="16.5" customHeight="1">
      <c r="A824" s="9"/>
      <c r="B824" s="9"/>
      <c r="AE824" s="13"/>
      <c r="AF824" s="13"/>
      <c r="AG824" s="13"/>
      <c r="AH824" s="13"/>
      <c r="AI824" s="13"/>
      <c r="AJ824" s="13"/>
    </row>
    <row r="825" spans="1:36" ht="16.5" customHeight="1">
      <c r="A825" s="9"/>
      <c r="B825" s="9"/>
      <c r="AE825" s="13"/>
      <c r="AF825" s="13"/>
      <c r="AG825" s="13"/>
      <c r="AH825" s="13"/>
      <c r="AI825" s="13"/>
      <c r="AJ825" s="13"/>
    </row>
    <row r="826" spans="1:36" ht="16.5" customHeight="1">
      <c r="A826" s="9"/>
      <c r="B826" s="9"/>
      <c r="AE826" s="13"/>
      <c r="AF826" s="13"/>
      <c r="AG826" s="13"/>
      <c r="AH826" s="13"/>
      <c r="AI826" s="13"/>
      <c r="AJ826" s="13"/>
    </row>
    <row r="827" spans="1:36" ht="16.5" customHeight="1">
      <c r="A827" s="9"/>
      <c r="B827" s="9"/>
      <c r="AE827" s="13"/>
      <c r="AF827" s="13"/>
      <c r="AG827" s="13"/>
      <c r="AH827" s="13"/>
      <c r="AI827" s="13"/>
      <c r="AJ827" s="13"/>
    </row>
    <row r="828" spans="1:36" ht="16.5" customHeight="1">
      <c r="A828" s="9"/>
      <c r="B828" s="9"/>
      <c r="AE828" s="13"/>
      <c r="AF828" s="13"/>
      <c r="AG828" s="13"/>
      <c r="AH828" s="13"/>
      <c r="AI828" s="13"/>
      <c r="AJ828" s="13"/>
    </row>
    <row r="829" spans="1:36" ht="16.5" customHeight="1">
      <c r="A829" s="9"/>
      <c r="B829" s="9"/>
      <c r="AE829" s="13"/>
      <c r="AF829" s="13"/>
      <c r="AG829" s="13"/>
      <c r="AH829" s="13"/>
      <c r="AI829" s="13"/>
      <c r="AJ829" s="13"/>
    </row>
    <row r="830" spans="1:36" ht="16.5" customHeight="1">
      <c r="A830" s="9"/>
      <c r="B830" s="9"/>
      <c r="AE830" s="13"/>
      <c r="AF830" s="13"/>
      <c r="AG830" s="13"/>
      <c r="AH830" s="13"/>
      <c r="AI830" s="13"/>
      <c r="AJ830" s="13"/>
    </row>
    <row r="831" spans="1:36" ht="16.5" customHeight="1">
      <c r="A831" s="9"/>
      <c r="B831" s="9"/>
      <c r="AE831" s="13"/>
      <c r="AF831" s="13"/>
      <c r="AG831" s="13"/>
      <c r="AH831" s="13"/>
      <c r="AI831" s="13"/>
      <c r="AJ831" s="13"/>
    </row>
    <row r="832" spans="1:36" ht="16.5" customHeight="1">
      <c r="A832" s="9"/>
      <c r="B832" s="9"/>
      <c r="AE832" s="13"/>
      <c r="AF832" s="13"/>
      <c r="AG832" s="13"/>
      <c r="AH832" s="13"/>
      <c r="AI832" s="13"/>
      <c r="AJ832" s="13"/>
    </row>
    <row r="833" spans="1:36" ht="16.5" customHeight="1">
      <c r="A833" s="9"/>
      <c r="B833" s="9"/>
      <c r="AE833" s="13"/>
      <c r="AF833" s="13"/>
      <c r="AG833" s="13"/>
      <c r="AH833" s="13"/>
      <c r="AI833" s="13"/>
      <c r="AJ833" s="13"/>
    </row>
    <row r="834" spans="1:36" ht="16.5" customHeight="1">
      <c r="A834" s="9"/>
      <c r="B834" s="9"/>
      <c r="AE834" s="13"/>
      <c r="AF834" s="13"/>
      <c r="AG834" s="13"/>
      <c r="AH834" s="13"/>
      <c r="AI834" s="13"/>
      <c r="AJ834" s="13"/>
    </row>
    <row r="835" spans="1:36" ht="16.5" customHeight="1">
      <c r="A835" s="9"/>
      <c r="B835" s="9"/>
      <c r="AE835" s="13"/>
      <c r="AF835" s="13"/>
      <c r="AG835" s="13"/>
      <c r="AH835" s="13"/>
      <c r="AI835" s="13"/>
      <c r="AJ835" s="13"/>
    </row>
    <row r="836" spans="1:36" ht="16.5" customHeight="1">
      <c r="A836" s="9"/>
      <c r="B836" s="9"/>
      <c r="AE836" s="13"/>
      <c r="AF836" s="13"/>
      <c r="AG836" s="13"/>
      <c r="AH836" s="13"/>
      <c r="AI836" s="13"/>
      <c r="AJ836" s="13"/>
    </row>
    <row r="837" spans="1:36" ht="16.5" customHeight="1">
      <c r="A837" s="9"/>
      <c r="B837" s="9"/>
      <c r="AE837" s="13"/>
      <c r="AF837" s="13"/>
      <c r="AG837" s="13"/>
      <c r="AH837" s="13"/>
      <c r="AI837" s="13"/>
      <c r="AJ837" s="13"/>
    </row>
    <row r="838" spans="1:36" ht="16.5" customHeight="1">
      <c r="A838" s="9"/>
      <c r="B838" s="9"/>
      <c r="AE838" s="13"/>
      <c r="AF838" s="13"/>
      <c r="AG838" s="13"/>
      <c r="AH838" s="13"/>
      <c r="AI838" s="13"/>
      <c r="AJ838" s="13"/>
    </row>
    <row r="839" spans="1:36" ht="16.5" customHeight="1">
      <c r="A839" s="9"/>
      <c r="B839" s="9"/>
      <c r="AE839" s="13"/>
      <c r="AF839" s="13"/>
      <c r="AG839" s="13"/>
      <c r="AH839" s="13"/>
      <c r="AI839" s="13"/>
      <c r="AJ839" s="13"/>
    </row>
    <row r="840" spans="1:36" ht="16.5" customHeight="1">
      <c r="A840" s="9"/>
      <c r="B840" s="9"/>
      <c r="AE840" s="13"/>
      <c r="AF840" s="13"/>
      <c r="AG840" s="13"/>
      <c r="AH840" s="13"/>
      <c r="AI840" s="13"/>
      <c r="AJ840" s="13"/>
    </row>
    <row r="841" spans="1:36" ht="16.5" customHeight="1">
      <c r="A841" s="9"/>
      <c r="B841" s="9"/>
      <c r="AE841" s="13"/>
      <c r="AF841" s="13"/>
      <c r="AG841" s="13"/>
      <c r="AH841" s="13"/>
      <c r="AI841" s="13"/>
      <c r="AJ841" s="13"/>
    </row>
    <row r="842" spans="1:36" ht="16.5" customHeight="1">
      <c r="A842" s="9"/>
      <c r="B842" s="9"/>
      <c r="AE842" s="13"/>
      <c r="AF842" s="13"/>
      <c r="AG842" s="13"/>
      <c r="AH842" s="13"/>
      <c r="AI842" s="13"/>
      <c r="AJ842" s="13"/>
    </row>
    <row r="843" spans="1:36" ht="16.5" customHeight="1">
      <c r="A843" s="9"/>
      <c r="B843" s="9"/>
      <c r="AE843" s="13"/>
      <c r="AF843" s="13"/>
      <c r="AG843" s="13"/>
      <c r="AH843" s="13"/>
      <c r="AI843" s="13"/>
      <c r="AJ843" s="13"/>
    </row>
    <row r="844" spans="1:36" ht="16.5" customHeight="1">
      <c r="A844" s="9"/>
      <c r="B844" s="9"/>
      <c r="AE844" s="13"/>
      <c r="AF844" s="13"/>
      <c r="AG844" s="13"/>
      <c r="AH844" s="13"/>
      <c r="AI844" s="13"/>
      <c r="AJ844" s="13"/>
    </row>
    <row r="845" spans="1:36" ht="16.5" customHeight="1">
      <c r="A845" s="9"/>
      <c r="B845" s="9"/>
      <c r="AE845" s="13"/>
      <c r="AF845" s="13"/>
      <c r="AG845" s="13"/>
      <c r="AH845" s="13"/>
      <c r="AI845" s="13"/>
      <c r="AJ845" s="13"/>
    </row>
    <row r="846" spans="1:36" ht="16.5" customHeight="1">
      <c r="A846" s="9"/>
      <c r="B846" s="9"/>
      <c r="AE846" s="13"/>
      <c r="AF846" s="13"/>
      <c r="AG846" s="13"/>
      <c r="AH846" s="13"/>
      <c r="AI846" s="13"/>
      <c r="AJ846" s="13"/>
    </row>
    <row r="847" spans="1:36" ht="16.5" customHeight="1">
      <c r="A847" s="9"/>
      <c r="B847" s="9"/>
      <c r="AE847" s="13"/>
      <c r="AF847" s="13"/>
      <c r="AG847" s="13"/>
      <c r="AH847" s="13"/>
      <c r="AI847" s="13"/>
      <c r="AJ847" s="13"/>
    </row>
    <row r="848" spans="1:36" ht="16.5" customHeight="1">
      <c r="A848" s="9"/>
      <c r="B848" s="9"/>
      <c r="AE848" s="13"/>
      <c r="AF848" s="13"/>
      <c r="AG848" s="13"/>
      <c r="AH848" s="13"/>
      <c r="AI848" s="13"/>
      <c r="AJ848" s="13"/>
    </row>
    <row r="849" spans="1:36" ht="16.5" customHeight="1">
      <c r="A849" s="9"/>
      <c r="B849" s="9"/>
      <c r="AE849" s="13"/>
      <c r="AF849" s="13"/>
      <c r="AG849" s="13"/>
      <c r="AH849" s="13"/>
      <c r="AI849" s="13"/>
      <c r="AJ849" s="13"/>
    </row>
    <row r="850" spans="1:36" ht="16.5" customHeight="1">
      <c r="A850" s="9"/>
      <c r="B850" s="9"/>
      <c r="AE850" s="13"/>
      <c r="AF850" s="13"/>
      <c r="AG850" s="13"/>
      <c r="AH850" s="13"/>
      <c r="AI850" s="13"/>
      <c r="AJ850" s="13"/>
    </row>
    <row r="851" spans="1:36" ht="16.5" customHeight="1">
      <c r="A851" s="9"/>
      <c r="B851" s="9"/>
      <c r="AE851" s="13"/>
      <c r="AF851" s="13"/>
      <c r="AG851" s="13"/>
      <c r="AH851" s="13"/>
      <c r="AI851" s="13"/>
      <c r="AJ851" s="13"/>
    </row>
    <row r="852" spans="1:36" ht="16.5" customHeight="1">
      <c r="A852" s="9"/>
      <c r="B852" s="9"/>
      <c r="AE852" s="13"/>
      <c r="AF852" s="13"/>
      <c r="AG852" s="13"/>
      <c r="AH852" s="13"/>
      <c r="AI852" s="13"/>
      <c r="AJ852" s="13"/>
    </row>
    <row r="853" spans="1:36" ht="16.5" customHeight="1">
      <c r="A853" s="9"/>
      <c r="B853" s="9"/>
      <c r="AE853" s="13"/>
      <c r="AF853" s="13"/>
      <c r="AG853" s="13"/>
      <c r="AH853" s="13"/>
      <c r="AI853" s="13"/>
      <c r="AJ853" s="13"/>
    </row>
    <row r="854" spans="1:36" ht="16.5" customHeight="1">
      <c r="A854" s="9"/>
      <c r="B854" s="9"/>
      <c r="AE854" s="13"/>
      <c r="AF854" s="13"/>
      <c r="AG854" s="13"/>
      <c r="AH854" s="13"/>
      <c r="AI854" s="13"/>
      <c r="AJ854" s="13"/>
    </row>
    <row r="855" spans="1:36" ht="16.5" customHeight="1">
      <c r="A855" s="9"/>
      <c r="B855" s="9"/>
      <c r="AE855" s="13"/>
      <c r="AF855" s="13"/>
      <c r="AG855" s="13"/>
      <c r="AH855" s="13"/>
      <c r="AI855" s="13"/>
      <c r="AJ855" s="13"/>
    </row>
    <row r="856" spans="1:36" ht="16.5" customHeight="1">
      <c r="A856" s="9"/>
      <c r="B856" s="9"/>
      <c r="AE856" s="13"/>
      <c r="AF856" s="13"/>
      <c r="AG856" s="13"/>
      <c r="AH856" s="13"/>
      <c r="AI856" s="13"/>
      <c r="AJ856" s="13"/>
    </row>
    <row r="857" spans="1:36" ht="16.5" customHeight="1">
      <c r="A857" s="9"/>
      <c r="B857" s="9"/>
      <c r="AE857" s="13"/>
      <c r="AF857" s="13"/>
      <c r="AG857" s="13"/>
      <c r="AH857" s="13"/>
      <c r="AI857" s="13"/>
      <c r="AJ857" s="13"/>
    </row>
    <row r="858" spans="1:36" ht="16.5" customHeight="1">
      <c r="A858" s="9"/>
      <c r="B858" s="9"/>
      <c r="AE858" s="13"/>
      <c r="AF858" s="13"/>
      <c r="AG858" s="13"/>
      <c r="AH858" s="13"/>
      <c r="AI858" s="13"/>
      <c r="AJ858" s="13"/>
    </row>
    <row r="859" spans="1:36" ht="16.5" customHeight="1">
      <c r="A859" s="9"/>
      <c r="B859" s="9"/>
      <c r="AE859" s="13"/>
      <c r="AF859" s="13"/>
      <c r="AG859" s="13"/>
      <c r="AH859" s="13"/>
      <c r="AI859" s="13"/>
      <c r="AJ859" s="13"/>
    </row>
    <row r="860" spans="1:36" ht="16.5" customHeight="1">
      <c r="A860" s="9"/>
      <c r="B860" s="9"/>
      <c r="AE860" s="13"/>
      <c r="AF860" s="13"/>
      <c r="AG860" s="13"/>
      <c r="AH860" s="13"/>
      <c r="AI860" s="13"/>
      <c r="AJ860" s="13"/>
    </row>
    <row r="861" spans="1:36" ht="16.5" customHeight="1">
      <c r="A861" s="9"/>
      <c r="B861" s="9"/>
      <c r="AE861" s="13"/>
      <c r="AF861" s="13"/>
      <c r="AG861" s="13"/>
      <c r="AH861" s="13"/>
      <c r="AI861" s="13"/>
      <c r="AJ861" s="13"/>
    </row>
    <row r="862" spans="1:36" ht="16.5" customHeight="1">
      <c r="A862" s="9"/>
      <c r="B862" s="9"/>
      <c r="AE862" s="13"/>
      <c r="AF862" s="13"/>
      <c r="AG862" s="13"/>
      <c r="AH862" s="13"/>
      <c r="AI862" s="13"/>
      <c r="AJ862" s="13"/>
    </row>
    <row r="863" spans="1:36" ht="16.5" customHeight="1">
      <c r="A863" s="9"/>
      <c r="B863" s="9"/>
      <c r="AE863" s="13"/>
      <c r="AF863" s="13"/>
      <c r="AG863" s="13"/>
      <c r="AH863" s="13"/>
      <c r="AI863" s="13"/>
      <c r="AJ863" s="13"/>
    </row>
    <row r="864" spans="1:36" ht="16.5" customHeight="1">
      <c r="A864" s="9"/>
      <c r="B864" s="9"/>
      <c r="AE864" s="13"/>
      <c r="AF864" s="13"/>
      <c r="AG864" s="13"/>
      <c r="AH864" s="13"/>
      <c r="AI864" s="13"/>
      <c r="AJ864" s="13"/>
    </row>
    <row r="865" spans="1:36" ht="16.5" customHeight="1">
      <c r="A865" s="9"/>
      <c r="B865" s="9"/>
      <c r="AE865" s="13"/>
      <c r="AF865" s="13"/>
      <c r="AG865" s="13"/>
      <c r="AH865" s="13"/>
      <c r="AI865" s="13"/>
      <c r="AJ865" s="13"/>
    </row>
    <row r="866" spans="1:36" ht="16.5" customHeight="1">
      <c r="A866" s="9"/>
      <c r="B866" s="9"/>
      <c r="AE866" s="13"/>
      <c r="AF866" s="13"/>
      <c r="AG866" s="13"/>
      <c r="AH866" s="13"/>
      <c r="AI866" s="13"/>
      <c r="AJ866" s="13"/>
    </row>
    <row r="867" spans="1:36" ht="16.5" customHeight="1">
      <c r="A867" s="9"/>
      <c r="B867" s="9"/>
      <c r="AE867" s="13"/>
      <c r="AF867" s="13"/>
      <c r="AG867" s="13"/>
      <c r="AH867" s="13"/>
      <c r="AI867" s="13"/>
      <c r="AJ867" s="13"/>
    </row>
    <row r="868" spans="1:36" ht="16.5" customHeight="1">
      <c r="A868" s="9"/>
      <c r="B868" s="9"/>
      <c r="AE868" s="13"/>
      <c r="AF868" s="13"/>
      <c r="AG868" s="13"/>
      <c r="AH868" s="13"/>
      <c r="AI868" s="13"/>
      <c r="AJ868" s="13"/>
    </row>
    <row r="869" spans="1:36" ht="16.5" customHeight="1">
      <c r="A869" s="9"/>
      <c r="B869" s="9"/>
      <c r="AE869" s="13"/>
      <c r="AF869" s="13"/>
      <c r="AG869" s="13"/>
      <c r="AH869" s="13"/>
      <c r="AI869" s="13"/>
      <c r="AJ869" s="13"/>
    </row>
    <row r="870" spans="1:36" ht="16.5" customHeight="1">
      <c r="A870" s="9"/>
      <c r="B870" s="9"/>
      <c r="AE870" s="13"/>
      <c r="AF870" s="13"/>
      <c r="AG870" s="13"/>
      <c r="AH870" s="13"/>
      <c r="AI870" s="13"/>
      <c r="AJ870" s="13"/>
    </row>
    <row r="871" spans="1:36" ht="16.5" customHeight="1">
      <c r="A871" s="9"/>
      <c r="B871" s="9"/>
      <c r="AE871" s="13"/>
      <c r="AF871" s="13"/>
      <c r="AG871" s="13"/>
      <c r="AH871" s="13"/>
      <c r="AI871" s="13"/>
      <c r="AJ871" s="13"/>
    </row>
    <row r="872" spans="1:36" ht="16.5" customHeight="1">
      <c r="A872" s="9"/>
      <c r="B872" s="9"/>
      <c r="AE872" s="13"/>
      <c r="AF872" s="13"/>
      <c r="AG872" s="13"/>
      <c r="AH872" s="13"/>
      <c r="AI872" s="13"/>
      <c r="AJ872" s="13"/>
    </row>
    <row r="873" spans="1:36" ht="16.5" customHeight="1">
      <c r="A873" s="9"/>
      <c r="B873" s="9"/>
      <c r="AE873" s="13"/>
      <c r="AF873" s="13"/>
      <c r="AG873" s="13"/>
      <c r="AH873" s="13"/>
      <c r="AI873" s="13"/>
      <c r="AJ873" s="13"/>
    </row>
    <row r="874" spans="1:36" ht="16.5" customHeight="1">
      <c r="A874" s="9"/>
      <c r="B874" s="9"/>
      <c r="AE874" s="13"/>
      <c r="AF874" s="13"/>
      <c r="AG874" s="13"/>
      <c r="AH874" s="13"/>
      <c r="AI874" s="13"/>
      <c r="AJ874" s="13"/>
    </row>
    <row r="875" spans="1:36" ht="16.5" customHeight="1">
      <c r="A875" s="9"/>
      <c r="B875" s="9"/>
      <c r="AE875" s="13"/>
      <c r="AF875" s="13"/>
      <c r="AG875" s="13"/>
      <c r="AH875" s="13"/>
      <c r="AI875" s="13"/>
      <c r="AJ875" s="13"/>
    </row>
    <row r="876" spans="1:36" ht="16.5" customHeight="1">
      <c r="A876" s="9"/>
      <c r="B876" s="9"/>
      <c r="AE876" s="13"/>
      <c r="AF876" s="13"/>
      <c r="AG876" s="13"/>
      <c r="AH876" s="13"/>
      <c r="AI876" s="13"/>
      <c r="AJ876" s="13"/>
    </row>
    <row r="877" spans="1:36" ht="16.5" customHeight="1">
      <c r="A877" s="9"/>
      <c r="B877" s="9"/>
      <c r="AE877" s="13"/>
      <c r="AF877" s="13"/>
      <c r="AG877" s="13"/>
      <c r="AH877" s="13"/>
      <c r="AI877" s="13"/>
      <c r="AJ877" s="13"/>
    </row>
    <row r="878" spans="1:36" ht="16.5" customHeight="1">
      <c r="A878" s="9"/>
      <c r="B878" s="9"/>
      <c r="AE878" s="13"/>
      <c r="AF878" s="13"/>
      <c r="AG878" s="13"/>
      <c r="AH878" s="13"/>
      <c r="AI878" s="13"/>
      <c r="AJ878" s="13"/>
    </row>
    <row r="879" spans="1:36" ht="16.5" customHeight="1">
      <c r="A879" s="9"/>
      <c r="B879" s="9"/>
      <c r="AE879" s="13"/>
      <c r="AF879" s="13"/>
      <c r="AG879" s="13"/>
      <c r="AH879" s="13"/>
      <c r="AI879" s="13"/>
      <c r="AJ879" s="13"/>
    </row>
    <row r="880" spans="1:36" ht="16.5" customHeight="1">
      <c r="A880" s="9"/>
      <c r="B880" s="9"/>
      <c r="AE880" s="13"/>
      <c r="AF880" s="13"/>
      <c r="AG880" s="13"/>
      <c r="AH880" s="13"/>
      <c r="AI880" s="13"/>
      <c r="AJ880" s="13"/>
    </row>
    <row r="881" spans="1:36" ht="16.5" customHeight="1">
      <c r="A881" s="9"/>
      <c r="B881" s="9"/>
      <c r="AE881" s="13"/>
      <c r="AF881" s="13"/>
      <c r="AG881" s="13"/>
      <c r="AH881" s="13"/>
      <c r="AI881" s="13"/>
      <c r="AJ881" s="13"/>
    </row>
    <row r="882" spans="1:36" ht="16.5" customHeight="1">
      <c r="A882" s="9"/>
      <c r="B882" s="9"/>
      <c r="AE882" s="13"/>
      <c r="AF882" s="13"/>
      <c r="AG882" s="13"/>
      <c r="AH882" s="13"/>
      <c r="AI882" s="13"/>
      <c r="AJ882" s="13"/>
    </row>
    <row r="883" spans="1:36" ht="16.5" customHeight="1">
      <c r="A883" s="9"/>
      <c r="B883" s="9"/>
      <c r="AE883" s="13"/>
      <c r="AF883" s="13"/>
      <c r="AG883" s="13"/>
      <c r="AH883" s="13"/>
      <c r="AI883" s="13"/>
      <c r="AJ883" s="13"/>
    </row>
    <row r="884" spans="1:36" ht="16.5" customHeight="1">
      <c r="A884" s="9"/>
      <c r="B884" s="9"/>
      <c r="AE884" s="13"/>
      <c r="AF884" s="13"/>
      <c r="AG884" s="13"/>
      <c r="AH884" s="13"/>
      <c r="AI884" s="13"/>
      <c r="AJ884" s="13"/>
    </row>
    <row r="885" spans="1:36" ht="16.5" customHeight="1">
      <c r="A885" s="9"/>
      <c r="B885" s="9"/>
      <c r="AE885" s="13"/>
      <c r="AF885" s="13"/>
      <c r="AG885" s="13"/>
      <c r="AH885" s="13"/>
      <c r="AI885" s="13"/>
      <c r="AJ885" s="13"/>
    </row>
    <row r="886" spans="1:36" ht="16.5" customHeight="1">
      <c r="A886" s="9"/>
      <c r="B886" s="9"/>
      <c r="AE886" s="13"/>
      <c r="AF886" s="13"/>
      <c r="AG886" s="13"/>
      <c r="AH886" s="13"/>
      <c r="AI886" s="13"/>
      <c r="AJ886" s="13"/>
    </row>
    <row r="887" spans="1:36" ht="16.5" customHeight="1">
      <c r="A887" s="9"/>
      <c r="B887" s="9"/>
      <c r="AE887" s="13"/>
      <c r="AF887" s="13"/>
      <c r="AG887" s="13"/>
      <c r="AH887" s="13"/>
      <c r="AI887" s="13"/>
      <c r="AJ887" s="13"/>
    </row>
    <row r="888" spans="1:36" ht="16.5" customHeight="1">
      <c r="A888" s="9"/>
      <c r="B888" s="9"/>
      <c r="AE888" s="13"/>
      <c r="AF888" s="13"/>
      <c r="AG888" s="13"/>
      <c r="AH888" s="13"/>
      <c r="AI888" s="13"/>
      <c r="AJ888" s="13"/>
    </row>
    <row r="889" spans="1:36" ht="16.5" customHeight="1">
      <c r="A889" s="9"/>
      <c r="B889" s="9"/>
      <c r="AE889" s="13"/>
      <c r="AF889" s="13"/>
      <c r="AG889" s="13"/>
      <c r="AH889" s="13"/>
      <c r="AI889" s="13"/>
      <c r="AJ889" s="13"/>
    </row>
    <row r="890" spans="1:36" ht="16.5" customHeight="1">
      <c r="A890" s="9"/>
      <c r="B890" s="9"/>
      <c r="AE890" s="13"/>
      <c r="AF890" s="13"/>
      <c r="AG890" s="13"/>
      <c r="AH890" s="13"/>
      <c r="AI890" s="13"/>
      <c r="AJ890" s="13"/>
    </row>
    <row r="891" spans="1:36" ht="16.5" customHeight="1">
      <c r="A891" s="9"/>
      <c r="B891" s="9"/>
      <c r="AE891" s="13"/>
      <c r="AF891" s="13"/>
      <c r="AG891" s="13"/>
      <c r="AH891" s="13"/>
      <c r="AI891" s="13"/>
      <c r="AJ891" s="13"/>
    </row>
    <row r="892" spans="1:36" ht="16.5" customHeight="1">
      <c r="A892" s="9"/>
      <c r="B892" s="9"/>
      <c r="AE892" s="13"/>
      <c r="AF892" s="13"/>
      <c r="AG892" s="13"/>
      <c r="AH892" s="13"/>
      <c r="AI892" s="13"/>
      <c r="AJ892" s="13"/>
    </row>
    <row r="893" spans="1:36" ht="16.5" customHeight="1">
      <c r="A893" s="9"/>
      <c r="B893" s="9"/>
      <c r="AE893" s="13"/>
      <c r="AF893" s="13"/>
      <c r="AG893" s="13"/>
      <c r="AH893" s="13"/>
      <c r="AI893" s="13"/>
      <c r="AJ893" s="13"/>
    </row>
    <row r="894" spans="1:36" ht="16.5" customHeight="1">
      <c r="A894" s="9"/>
      <c r="B894" s="9"/>
      <c r="AE894" s="13"/>
      <c r="AF894" s="13"/>
      <c r="AG894" s="13"/>
      <c r="AH894" s="13"/>
      <c r="AI894" s="13"/>
      <c r="AJ894" s="13"/>
    </row>
    <row r="895" spans="1:36" ht="16.5" customHeight="1">
      <c r="A895" s="9"/>
      <c r="B895" s="9"/>
      <c r="AE895" s="13"/>
      <c r="AF895" s="13"/>
      <c r="AG895" s="13"/>
      <c r="AH895" s="13"/>
      <c r="AI895" s="13"/>
      <c r="AJ895" s="13"/>
    </row>
    <row r="896" spans="1:36" ht="16.5" customHeight="1">
      <c r="A896" s="9"/>
      <c r="B896" s="9"/>
      <c r="AE896" s="13"/>
      <c r="AF896" s="13"/>
      <c r="AG896" s="13"/>
      <c r="AH896" s="13"/>
      <c r="AI896" s="13"/>
      <c r="AJ896" s="13"/>
    </row>
    <row r="897" spans="1:36" ht="16.5" customHeight="1">
      <c r="A897" s="9"/>
      <c r="B897" s="9"/>
      <c r="AE897" s="13"/>
      <c r="AF897" s="13"/>
      <c r="AG897" s="13"/>
      <c r="AH897" s="13"/>
      <c r="AI897" s="13"/>
      <c r="AJ897" s="13"/>
    </row>
    <row r="898" spans="1:36" ht="16.5" customHeight="1">
      <c r="A898" s="9"/>
      <c r="B898" s="9"/>
      <c r="AE898" s="13"/>
      <c r="AF898" s="13"/>
      <c r="AG898" s="13"/>
      <c r="AH898" s="13"/>
      <c r="AI898" s="13"/>
      <c r="AJ898" s="13"/>
    </row>
    <row r="899" spans="1:36" ht="16.5" customHeight="1">
      <c r="A899" s="9"/>
      <c r="B899" s="9"/>
      <c r="AE899" s="13"/>
      <c r="AF899" s="13"/>
      <c r="AG899" s="13"/>
      <c r="AH899" s="13"/>
      <c r="AI899" s="13"/>
      <c r="AJ899" s="13"/>
    </row>
    <row r="900" spans="1:36" ht="16.5" customHeight="1">
      <c r="A900" s="9"/>
      <c r="B900" s="9"/>
      <c r="AE900" s="13"/>
      <c r="AF900" s="13"/>
      <c r="AG900" s="13"/>
      <c r="AH900" s="13"/>
      <c r="AI900" s="13"/>
      <c r="AJ900" s="13"/>
    </row>
    <row r="901" spans="1:36" ht="16.5" customHeight="1">
      <c r="A901" s="9"/>
      <c r="B901" s="9"/>
      <c r="AE901" s="13"/>
      <c r="AF901" s="13"/>
      <c r="AG901" s="13"/>
      <c r="AH901" s="13"/>
      <c r="AI901" s="13"/>
      <c r="AJ901" s="13"/>
    </row>
    <row r="902" spans="1:36" ht="16.5" customHeight="1">
      <c r="A902" s="9"/>
      <c r="B902" s="9"/>
      <c r="AE902" s="13"/>
      <c r="AF902" s="13"/>
      <c r="AG902" s="13"/>
      <c r="AH902" s="13"/>
      <c r="AI902" s="13"/>
      <c r="AJ902" s="13"/>
    </row>
    <row r="903" spans="1:36" ht="16.5" customHeight="1">
      <c r="A903" s="9"/>
      <c r="B903" s="9"/>
      <c r="AE903" s="13"/>
      <c r="AF903" s="13"/>
      <c r="AG903" s="13"/>
      <c r="AH903" s="13"/>
      <c r="AI903" s="13"/>
      <c r="AJ903" s="13"/>
    </row>
    <row r="904" spans="1:36" ht="16.5" customHeight="1">
      <c r="A904" s="9"/>
      <c r="B904" s="9"/>
      <c r="AE904" s="13"/>
      <c r="AF904" s="13"/>
      <c r="AG904" s="13"/>
      <c r="AH904" s="13"/>
      <c r="AI904" s="13"/>
      <c r="AJ904" s="13"/>
    </row>
    <row r="905" spans="1:36" ht="16.5" customHeight="1">
      <c r="A905" s="9"/>
      <c r="B905" s="9"/>
      <c r="AE905" s="13"/>
      <c r="AF905" s="13"/>
      <c r="AG905" s="13"/>
      <c r="AH905" s="13"/>
      <c r="AI905" s="13"/>
      <c r="AJ905" s="13"/>
    </row>
    <row r="906" spans="1:36" ht="16.5" customHeight="1">
      <c r="A906" s="9"/>
      <c r="B906" s="9"/>
      <c r="AE906" s="13"/>
      <c r="AF906" s="13"/>
      <c r="AG906" s="13"/>
      <c r="AH906" s="13"/>
      <c r="AI906" s="13"/>
      <c r="AJ906" s="13"/>
    </row>
    <row r="907" spans="1:36" ht="16.5" customHeight="1">
      <c r="A907" s="9"/>
      <c r="B907" s="9"/>
      <c r="AE907" s="13"/>
      <c r="AF907" s="13"/>
      <c r="AG907" s="13"/>
      <c r="AH907" s="13"/>
      <c r="AI907" s="13"/>
      <c r="AJ907" s="13"/>
    </row>
    <row r="908" spans="1:36" ht="16.5" customHeight="1">
      <c r="A908" s="9"/>
      <c r="B908" s="9"/>
      <c r="AE908" s="13"/>
      <c r="AF908" s="13"/>
      <c r="AG908" s="13"/>
      <c r="AH908" s="13"/>
      <c r="AI908" s="13"/>
      <c r="AJ908" s="13"/>
    </row>
    <row r="909" spans="1:36" ht="16.5" customHeight="1">
      <c r="A909" s="9"/>
      <c r="B909" s="9"/>
      <c r="AE909" s="13"/>
      <c r="AF909" s="13"/>
      <c r="AG909" s="13"/>
      <c r="AH909" s="13"/>
      <c r="AI909" s="13"/>
      <c r="AJ909" s="13"/>
    </row>
    <row r="910" spans="1:36" ht="16.5" customHeight="1">
      <c r="A910" s="9"/>
      <c r="B910" s="9"/>
      <c r="AE910" s="13"/>
      <c r="AF910" s="13"/>
      <c r="AG910" s="13"/>
      <c r="AH910" s="13"/>
      <c r="AI910" s="13"/>
      <c r="AJ910" s="13"/>
    </row>
    <row r="911" spans="1:36" ht="16.5" customHeight="1">
      <c r="A911" s="9"/>
      <c r="B911" s="9"/>
      <c r="AE911" s="13"/>
      <c r="AF911" s="13"/>
      <c r="AG911" s="13"/>
      <c r="AH911" s="13"/>
      <c r="AI911" s="13"/>
      <c r="AJ911" s="13"/>
    </row>
    <row r="912" spans="1:36" ht="16.5" customHeight="1">
      <c r="A912" s="9"/>
      <c r="B912" s="9"/>
      <c r="AE912" s="13"/>
      <c r="AF912" s="13"/>
      <c r="AG912" s="13"/>
      <c r="AH912" s="13"/>
      <c r="AI912" s="13"/>
      <c r="AJ912" s="13"/>
    </row>
    <row r="913" spans="1:36" ht="16.5" customHeight="1">
      <c r="A913" s="9"/>
      <c r="B913" s="9"/>
      <c r="AE913" s="13"/>
      <c r="AF913" s="13"/>
      <c r="AG913" s="13"/>
      <c r="AH913" s="13"/>
      <c r="AI913" s="13"/>
      <c r="AJ913" s="13"/>
    </row>
    <row r="914" spans="1:36" ht="16.5" customHeight="1">
      <c r="A914" s="9"/>
      <c r="B914" s="9"/>
      <c r="AE914" s="13"/>
      <c r="AF914" s="13"/>
      <c r="AG914" s="13"/>
      <c r="AH914" s="13"/>
      <c r="AI914" s="13"/>
      <c r="AJ914" s="13"/>
    </row>
    <row r="915" spans="1:36" ht="16.5" customHeight="1">
      <c r="A915" s="9"/>
      <c r="B915" s="9"/>
      <c r="AE915" s="13"/>
      <c r="AF915" s="13"/>
      <c r="AG915" s="13"/>
      <c r="AH915" s="13"/>
      <c r="AI915" s="13"/>
      <c r="AJ915" s="13"/>
    </row>
    <row r="916" spans="1:36" ht="16.5" customHeight="1">
      <c r="A916" s="9"/>
      <c r="B916" s="9"/>
      <c r="AE916" s="13"/>
      <c r="AF916" s="13"/>
      <c r="AG916" s="13"/>
      <c r="AH916" s="13"/>
      <c r="AI916" s="13"/>
      <c r="AJ916" s="13"/>
    </row>
    <row r="917" spans="1:36" ht="16.5" customHeight="1">
      <c r="A917" s="9"/>
      <c r="B917" s="9"/>
      <c r="AE917" s="13"/>
      <c r="AF917" s="13"/>
      <c r="AG917" s="13"/>
      <c r="AH917" s="13"/>
      <c r="AI917" s="13"/>
      <c r="AJ917" s="13"/>
    </row>
    <row r="918" spans="1:36" ht="16.5" customHeight="1">
      <c r="A918" s="9"/>
      <c r="B918" s="9"/>
      <c r="AE918" s="13"/>
      <c r="AF918" s="13"/>
      <c r="AG918" s="13"/>
      <c r="AH918" s="13"/>
      <c r="AI918" s="13"/>
      <c r="AJ918" s="13"/>
    </row>
    <row r="919" spans="1:36" ht="16.5" customHeight="1">
      <c r="A919" s="9"/>
      <c r="B919" s="9"/>
      <c r="AE919" s="13"/>
      <c r="AF919" s="13"/>
      <c r="AG919" s="13"/>
      <c r="AH919" s="13"/>
      <c r="AI919" s="13"/>
      <c r="AJ919" s="13"/>
    </row>
    <row r="920" spans="1:36" ht="16.5" customHeight="1">
      <c r="A920" s="9"/>
      <c r="B920" s="9"/>
      <c r="AE920" s="13"/>
      <c r="AF920" s="13"/>
      <c r="AG920" s="13"/>
      <c r="AH920" s="13"/>
      <c r="AI920" s="13"/>
      <c r="AJ920" s="13"/>
    </row>
    <row r="921" spans="1:36" ht="16.5" customHeight="1">
      <c r="A921" s="9"/>
      <c r="B921" s="9"/>
      <c r="AE921" s="13"/>
      <c r="AF921" s="13"/>
      <c r="AG921" s="13"/>
      <c r="AH921" s="13"/>
      <c r="AI921" s="13"/>
      <c r="AJ921" s="13"/>
    </row>
    <row r="922" spans="1:36" ht="16.5" customHeight="1">
      <c r="A922" s="9"/>
      <c r="B922" s="9"/>
      <c r="AE922" s="13"/>
      <c r="AF922" s="13"/>
      <c r="AG922" s="13"/>
      <c r="AH922" s="13"/>
      <c r="AI922" s="13"/>
      <c r="AJ922" s="13"/>
    </row>
    <row r="923" spans="1:36" ht="16.5" customHeight="1">
      <c r="A923" s="9"/>
      <c r="B923" s="9"/>
      <c r="AE923" s="13"/>
      <c r="AF923" s="13"/>
      <c r="AG923" s="13"/>
      <c r="AH923" s="13"/>
      <c r="AI923" s="13"/>
      <c r="AJ923" s="13"/>
    </row>
    <row r="924" spans="1:36" ht="16.5" customHeight="1">
      <c r="A924" s="9"/>
      <c r="B924" s="9"/>
      <c r="AE924" s="13"/>
      <c r="AF924" s="13"/>
      <c r="AG924" s="13"/>
      <c r="AH924" s="13"/>
      <c r="AI924" s="13"/>
      <c r="AJ924" s="13"/>
    </row>
    <row r="925" spans="1:36" ht="16.5" customHeight="1">
      <c r="A925" s="9"/>
      <c r="B925" s="9"/>
      <c r="AE925" s="13"/>
      <c r="AF925" s="13"/>
      <c r="AG925" s="13"/>
      <c r="AH925" s="13"/>
      <c r="AI925" s="13"/>
      <c r="AJ925" s="13"/>
    </row>
    <row r="926" spans="1:36" ht="16.5" customHeight="1">
      <c r="A926" s="9"/>
      <c r="B926" s="9"/>
      <c r="AE926" s="13"/>
      <c r="AF926" s="13"/>
      <c r="AG926" s="13"/>
      <c r="AH926" s="13"/>
      <c r="AI926" s="13"/>
      <c r="AJ926" s="13"/>
    </row>
    <row r="927" spans="1:36" ht="16.5" customHeight="1">
      <c r="A927" s="9"/>
      <c r="B927" s="9"/>
      <c r="AE927" s="13"/>
      <c r="AF927" s="13"/>
      <c r="AG927" s="13"/>
      <c r="AH927" s="13"/>
      <c r="AI927" s="13"/>
      <c r="AJ927" s="13"/>
    </row>
    <row r="928" spans="1:36" ht="16.5" customHeight="1">
      <c r="A928" s="9"/>
      <c r="B928" s="9"/>
      <c r="AE928" s="13"/>
      <c r="AF928" s="13"/>
      <c r="AG928" s="13"/>
      <c r="AH928" s="13"/>
      <c r="AI928" s="13"/>
      <c r="AJ928" s="13"/>
    </row>
    <row r="929" spans="1:36" ht="16.5" customHeight="1">
      <c r="A929" s="9"/>
      <c r="B929" s="9"/>
      <c r="AE929" s="13"/>
      <c r="AF929" s="13"/>
      <c r="AG929" s="13"/>
      <c r="AH929" s="13"/>
      <c r="AI929" s="13"/>
      <c r="AJ929" s="13"/>
    </row>
    <row r="930" spans="1:36" ht="16.5" customHeight="1">
      <c r="AE930" s="13"/>
      <c r="AF930" s="13"/>
      <c r="AG930" s="13"/>
      <c r="AH930" s="13"/>
      <c r="AI930" s="13"/>
      <c r="AJ930" s="13"/>
    </row>
    <row r="931" spans="1:36" ht="16.5" customHeight="1">
      <c r="AE931" s="13"/>
      <c r="AF931" s="13"/>
      <c r="AG931" s="13"/>
      <c r="AH931" s="13"/>
      <c r="AI931" s="13"/>
      <c r="AJ931" s="13"/>
    </row>
    <row r="932" spans="1:36" ht="16.5" customHeight="1">
      <c r="AE932" s="13"/>
      <c r="AF932" s="13"/>
      <c r="AG932" s="13"/>
      <c r="AH932" s="13"/>
      <c r="AI932" s="13"/>
      <c r="AJ932" s="13"/>
    </row>
    <row r="933" spans="1:36" ht="16.5" customHeight="1">
      <c r="AE933" s="13"/>
      <c r="AF933" s="13"/>
      <c r="AG933" s="13"/>
      <c r="AH933" s="13"/>
      <c r="AI933" s="13"/>
      <c r="AJ933" s="13"/>
    </row>
    <row r="934" spans="1:36" ht="15" customHeight="1">
      <c r="AE934" s="13"/>
      <c r="AF934" s="13"/>
      <c r="AG934" s="13"/>
      <c r="AH934" s="13"/>
      <c r="AI934" s="13"/>
      <c r="AJ934" s="13"/>
    </row>
  </sheetData>
  <mergeCells count="7">
    <mergeCell ref="A14:B14"/>
    <mergeCell ref="A23:B23"/>
    <mergeCell ref="A13:B13"/>
    <mergeCell ref="A8:E8"/>
    <mergeCell ref="A9:E9"/>
    <mergeCell ref="A10:E10"/>
    <mergeCell ref="A11:E11"/>
  </mergeCells>
  <phoneticPr fontId="143"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7F4E4-0691-4A07-85C2-25FF20ADE29E}">
  <sheetPr>
    <tabColor theme="4" tint="0.59999389629810485"/>
  </sheetPr>
  <dimension ref="A1:E38"/>
  <sheetViews>
    <sheetView workbookViewId="0">
      <selection activeCell="A12" sqref="A12:C12"/>
    </sheetView>
  </sheetViews>
  <sheetFormatPr defaultColWidth="8.75" defaultRowHeight="15.75" outlineLevelRow="1"/>
  <cols>
    <col min="1" max="1" width="37" style="175" customWidth="1"/>
    <col min="2" max="2" width="32.25" style="175" customWidth="1"/>
    <col min="3" max="3" width="38.25" style="175" customWidth="1"/>
    <col min="4" max="16384" width="8.75" style="175"/>
  </cols>
  <sheetData>
    <row r="1" spans="1:5" ht="25.5">
      <c r="A1" s="352" t="s">
        <v>705</v>
      </c>
      <c r="B1" s="352"/>
      <c r="C1" s="352"/>
      <c r="D1" s="364"/>
      <c r="E1" s="364"/>
    </row>
    <row r="2" spans="1:5" s="177" customFormat="1" ht="20.25">
      <c r="A2" s="501" t="s">
        <v>414</v>
      </c>
      <c r="B2" s="502"/>
      <c r="C2" s="503"/>
      <c r="D2" s="227"/>
      <c r="E2" s="227"/>
    </row>
    <row r="3" spans="1:5" s="177" customFormat="1" ht="12.75" hidden="1" outlineLevel="1">
      <c r="A3" s="535" t="s">
        <v>64</v>
      </c>
      <c r="B3" s="536">
        <f>B28</f>
        <v>23250.329158333334</v>
      </c>
      <c r="C3" s="373"/>
      <c r="D3" s="227"/>
      <c r="E3" s="227"/>
    </row>
    <row r="4" spans="1:5" s="177" customFormat="1" ht="12.75" hidden="1" outlineLevel="1">
      <c r="A4" s="365" t="s">
        <v>66</v>
      </c>
      <c r="B4" s="366" t="s">
        <v>63</v>
      </c>
      <c r="C4" s="374"/>
      <c r="D4" s="227"/>
      <c r="E4" s="227"/>
    </row>
    <row r="5" spans="1:5" s="177" customFormat="1" ht="12.75" hidden="1" outlineLevel="1">
      <c r="A5" s="365" t="s">
        <v>67</v>
      </c>
      <c r="B5" s="366" t="s">
        <v>63</v>
      </c>
      <c r="C5" s="374"/>
      <c r="D5" s="227"/>
      <c r="E5" s="227"/>
    </row>
    <row r="6" spans="1:5" s="177" customFormat="1" ht="12.75" hidden="1" outlineLevel="1">
      <c r="A6" s="368" t="s">
        <v>78</v>
      </c>
      <c r="B6" s="369">
        <f>SUM(B3:B5)</f>
        <v>23250.329158333334</v>
      </c>
      <c r="C6" s="375"/>
      <c r="D6" s="227"/>
    </row>
    <row r="7" spans="1:5" s="177" customFormat="1" ht="20.25" collapsed="1">
      <c r="A7" s="501" t="s">
        <v>630</v>
      </c>
      <c r="B7" s="502"/>
      <c r="C7" s="503"/>
      <c r="D7" s="367"/>
      <c r="E7" s="367"/>
    </row>
    <row r="8" spans="1:5" s="177" customFormat="1" ht="55.15" customHeight="1" outlineLevel="1">
      <c r="A8" s="1209" t="s">
        <v>1268</v>
      </c>
      <c r="B8" s="1209"/>
      <c r="C8" s="1209"/>
      <c r="D8" s="227"/>
      <c r="E8" s="227"/>
    </row>
    <row r="9" spans="1:5" s="177" customFormat="1" ht="33.4" customHeight="1" outlineLevel="1">
      <c r="A9" s="1209" t="s">
        <v>706</v>
      </c>
      <c r="B9" s="1209"/>
      <c r="C9" s="1209"/>
      <c r="D9" s="227"/>
      <c r="E9" s="227"/>
    </row>
    <row r="10" spans="1:5" s="177" customFormat="1" ht="12.75" outlineLevel="1">
      <c r="A10" s="1209" t="s">
        <v>725</v>
      </c>
      <c r="B10" s="1209"/>
      <c r="C10" s="1209"/>
      <c r="D10" s="227"/>
      <c r="E10" s="227"/>
    </row>
    <row r="11" spans="1:5" s="177" customFormat="1" ht="56.65" customHeight="1" outlineLevel="1">
      <c r="A11" s="1209" t="s">
        <v>707</v>
      </c>
      <c r="B11" s="1209"/>
      <c r="C11" s="1209"/>
      <c r="D11" s="227"/>
      <c r="E11" s="227"/>
    </row>
    <row r="12" spans="1:5" s="177" customFormat="1" ht="25.9" customHeight="1" outlineLevel="1">
      <c r="A12" s="1209" t="s">
        <v>726</v>
      </c>
      <c r="B12" s="1209"/>
      <c r="C12" s="1209"/>
      <c r="D12" s="227"/>
      <c r="E12" s="227"/>
    </row>
    <row r="13" spans="1:5" s="177" customFormat="1" ht="20.25">
      <c r="A13" s="501" t="s">
        <v>0</v>
      </c>
      <c r="B13" s="502"/>
      <c r="C13" s="503"/>
      <c r="D13" s="227"/>
    </row>
    <row r="14" spans="1:5" s="177" customFormat="1" hidden="1" outlineLevel="1">
      <c r="A14" s="594" t="s">
        <v>719</v>
      </c>
      <c r="B14" s="595"/>
      <c r="C14" s="596"/>
      <c r="D14" s="227"/>
    </row>
    <row r="15" spans="1:5" s="177" customFormat="1" ht="14.25" hidden="1" outlineLevel="1">
      <c r="A15" s="509" t="s">
        <v>518</v>
      </c>
      <c r="B15" s="499" t="s">
        <v>56</v>
      </c>
      <c r="C15" s="510" t="s">
        <v>517</v>
      </c>
      <c r="D15" s="227"/>
    </row>
    <row r="16" spans="1:5" s="177" customFormat="1" ht="12.75" hidden="1" outlineLevel="1">
      <c r="A16" s="376" t="s">
        <v>720</v>
      </c>
      <c r="B16" s="834">
        <v>300</v>
      </c>
      <c r="C16" s="1270" t="s">
        <v>724</v>
      </c>
      <c r="D16" s="227"/>
    </row>
    <row r="17" spans="1:4" s="177" customFormat="1" ht="12.75" hidden="1" outlineLevel="1">
      <c r="A17" s="376" t="s">
        <v>721</v>
      </c>
      <c r="B17" s="834">
        <v>1</v>
      </c>
      <c r="C17" s="1270"/>
      <c r="D17" s="227"/>
    </row>
    <row r="18" spans="1:4" s="177" customFormat="1" ht="12.75" hidden="1" outlineLevel="1">
      <c r="A18" s="376" t="s">
        <v>722</v>
      </c>
      <c r="B18" s="835">
        <v>0.05</v>
      </c>
      <c r="C18" s="1270"/>
      <c r="D18" s="227"/>
    </row>
    <row r="19" spans="1:4" s="177" customFormat="1" ht="12.75" hidden="1" outlineLevel="1">
      <c r="A19" s="1002" t="s">
        <v>1371</v>
      </c>
      <c r="B19" s="835">
        <v>0.25</v>
      </c>
      <c r="C19" s="1001" t="s">
        <v>1370</v>
      </c>
      <c r="D19" s="227"/>
    </row>
    <row r="20" spans="1:4" s="177" customFormat="1" ht="20.25" collapsed="1">
      <c r="A20" s="501" t="s">
        <v>631</v>
      </c>
      <c r="B20" s="502"/>
      <c r="C20" s="503"/>
      <c r="D20" s="46"/>
    </row>
    <row r="21" spans="1:4" s="177" customFormat="1" outlineLevel="1">
      <c r="A21" s="594" t="s">
        <v>708</v>
      </c>
      <c r="B21" s="596"/>
      <c r="C21" s="373"/>
      <c r="D21" s="46"/>
    </row>
    <row r="22" spans="1:4" s="177" customFormat="1" ht="14.25" outlineLevel="1">
      <c r="A22" s="523"/>
      <c r="B22" s="534" t="s">
        <v>56</v>
      </c>
      <c r="C22" s="46"/>
    </row>
    <row r="23" spans="1:4" s="177" customFormat="1" ht="12.75" outlineLevel="1">
      <c r="A23" s="370" t="s">
        <v>952</v>
      </c>
      <c r="B23" s="372">
        <f>'Community Indicators'!B28</f>
        <v>429236846</v>
      </c>
      <c r="C23" s="73"/>
    </row>
    <row r="24" spans="1:4" s="177" customFormat="1" ht="12.75" outlineLevel="1">
      <c r="A24" s="370" t="s">
        <v>709</v>
      </c>
      <c r="B24" s="372">
        <f>B23*B19</f>
        <v>107309211.5</v>
      </c>
      <c r="C24" s="73"/>
    </row>
    <row r="25" spans="1:4" s="177" customFormat="1" ht="12.75" outlineLevel="1">
      <c r="A25" s="370" t="s">
        <v>710</v>
      </c>
      <c r="B25" s="372">
        <f>B24/$B$16</f>
        <v>357697.37166666664</v>
      </c>
      <c r="C25" s="46"/>
    </row>
    <row r="26" spans="1:4" s="177" customFormat="1" ht="12.75" outlineLevel="1">
      <c r="A26" s="370" t="s">
        <v>711</v>
      </c>
      <c r="B26" s="372">
        <f>B25*$B$17</f>
        <v>357697.37166666664</v>
      </c>
      <c r="C26" s="46"/>
    </row>
    <row r="27" spans="1:4" s="177" customFormat="1" ht="12.75" outlineLevel="1">
      <c r="A27" s="370" t="s">
        <v>712</v>
      </c>
      <c r="B27" s="372">
        <f>B26*$B$18</f>
        <v>17884.868583333333</v>
      </c>
      <c r="C27" s="46"/>
    </row>
    <row r="28" spans="1:4" s="177" customFormat="1" ht="14.25" outlineLevel="1">
      <c r="A28" s="368" t="s">
        <v>713</v>
      </c>
      <c r="B28" s="369">
        <f>B27/'Conversion Factors and GWPs'!A7*'Conversion Factors and GWPs'!C16</f>
        <v>23250.329158333334</v>
      </c>
    </row>
    <row r="29" spans="1:4" s="177" customFormat="1" ht="12.75" outlineLevel="1"/>
    <row r="30" spans="1:4" s="177" customFormat="1" outlineLevel="1">
      <c r="A30" s="672" t="s">
        <v>1182</v>
      </c>
      <c r="B30" s="673"/>
    </row>
    <row r="31" spans="1:4" s="177" customFormat="1" ht="18.75" outlineLevel="1">
      <c r="A31" s="523" t="s">
        <v>714</v>
      </c>
      <c r="B31" s="534" t="s">
        <v>1108</v>
      </c>
    </row>
    <row r="32" spans="1:4" s="177" customFormat="1" ht="25.5" outlineLevel="1">
      <c r="A32" s="370" t="s">
        <v>715</v>
      </c>
      <c r="B32" s="371">
        <v>122533</v>
      </c>
    </row>
    <row r="33" spans="1:3" s="177" customFormat="1" ht="12.75" outlineLevel="1">
      <c r="A33" s="370" t="s">
        <v>1140</v>
      </c>
      <c r="B33" s="371">
        <v>1744827</v>
      </c>
    </row>
    <row r="34" spans="1:3" s="177" customFormat="1" ht="12.75" outlineLevel="1">
      <c r="A34" s="370" t="s">
        <v>206</v>
      </c>
      <c r="B34" s="371">
        <v>28778</v>
      </c>
    </row>
    <row r="35" spans="1:3" ht="25.5" outlineLevel="1">
      <c r="A35" s="370" t="s">
        <v>716</v>
      </c>
      <c r="B35" s="371">
        <v>44715</v>
      </c>
      <c r="C35" s="177"/>
    </row>
    <row r="36" spans="1:3" ht="25.5" outlineLevel="1">
      <c r="A36" s="370" t="s">
        <v>717</v>
      </c>
      <c r="B36" s="371">
        <v>141197</v>
      </c>
      <c r="C36" s="177"/>
    </row>
    <row r="37" spans="1:3" outlineLevel="1">
      <c r="A37" s="370" t="s">
        <v>718</v>
      </c>
      <c r="B37" s="371">
        <v>16708</v>
      </c>
      <c r="C37" s="177"/>
    </row>
    <row r="38" spans="1:3" outlineLevel="1">
      <c r="A38" s="368" t="s">
        <v>713</v>
      </c>
      <c r="B38" s="369">
        <f>SUM(B32:B37)</f>
        <v>2098758</v>
      </c>
      <c r="C38" s="177"/>
    </row>
  </sheetData>
  <mergeCells count="6">
    <mergeCell ref="C16:C18"/>
    <mergeCell ref="A8:C8"/>
    <mergeCell ref="A9:C9"/>
    <mergeCell ref="A10:C10"/>
    <mergeCell ref="A11:C11"/>
    <mergeCell ref="A12:C1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DCC86-B9EB-4B29-A7BD-B05A5DCA64C4}">
  <sheetPr>
    <tabColor theme="4" tint="-0.499984740745262"/>
  </sheetPr>
  <dimension ref="A1:AH161"/>
  <sheetViews>
    <sheetView workbookViewId="0">
      <selection activeCell="I5" sqref="I5:K5"/>
    </sheetView>
  </sheetViews>
  <sheetFormatPr defaultColWidth="8.75" defaultRowHeight="15.75" outlineLevelRow="1"/>
  <cols>
    <col min="1" max="1" width="34.5" style="205" customWidth="1"/>
    <col min="2" max="5" width="31.75" style="205" customWidth="1"/>
    <col min="6" max="6" width="10.25" style="205" bestFit="1" customWidth="1"/>
    <col min="7" max="16384" width="8.75" style="205"/>
  </cols>
  <sheetData>
    <row r="1" spans="1:34" ht="25.5">
      <c r="A1" s="875" t="s">
        <v>557</v>
      </c>
      <c r="B1" s="875"/>
      <c r="C1" s="875"/>
      <c r="D1" s="875"/>
      <c r="E1" s="875"/>
    </row>
    <row r="2" spans="1:34" s="958" customFormat="1" ht="20.25">
      <c r="A2" s="517" t="s">
        <v>414</v>
      </c>
      <c r="B2" s="532"/>
      <c r="C2" s="532"/>
      <c r="D2" s="532"/>
      <c r="E2" s="533"/>
    </row>
    <row r="3" spans="1:34" s="958" customFormat="1" ht="12.75" outlineLevel="1">
      <c r="A3" s="959" t="s">
        <v>64</v>
      </c>
      <c r="B3" s="960" t="s">
        <v>63</v>
      </c>
    </row>
    <row r="4" spans="1:34" s="958" customFormat="1" ht="12.75" outlineLevel="1">
      <c r="A4" s="961" t="s">
        <v>66</v>
      </c>
      <c r="B4" s="962" t="s">
        <v>63</v>
      </c>
    </row>
    <row r="5" spans="1:34" s="958" customFormat="1" ht="12.75" outlineLevel="1">
      <c r="A5" s="963" t="s">
        <v>67</v>
      </c>
      <c r="B5" s="964">
        <f>E26+E27+E28</f>
        <v>2403340.6631482961</v>
      </c>
    </row>
    <row r="6" spans="1:34" s="958" customFormat="1" ht="12.75" outlineLevel="1">
      <c r="A6" s="180" t="s">
        <v>78</v>
      </c>
      <c r="B6" s="181">
        <f>SUM(B3:B5)</f>
        <v>2403340.6631482961</v>
      </c>
    </row>
    <row r="7" spans="1:34" s="958" customFormat="1" ht="20.25">
      <c r="A7" s="911" t="s">
        <v>630</v>
      </c>
      <c r="B7" s="912"/>
      <c r="C7" s="532"/>
      <c r="D7" s="532"/>
      <c r="E7" s="533"/>
    </row>
    <row r="8" spans="1:34" s="958" customFormat="1" ht="27.75" hidden="1" customHeight="1" outlineLevel="1">
      <c r="A8" s="1209" t="s">
        <v>1367</v>
      </c>
      <c r="B8" s="1209"/>
      <c r="C8" s="1209"/>
      <c r="D8" s="1209"/>
      <c r="E8" s="1209"/>
      <c r="F8" s="452"/>
      <c r="G8" s="452"/>
      <c r="H8" s="452"/>
      <c r="I8" s="452"/>
      <c r="J8" s="452"/>
      <c r="K8" s="452"/>
    </row>
    <row r="9" spans="1:34" s="958" customFormat="1" ht="35.25" hidden="1" customHeight="1" outlineLevel="1">
      <c r="A9" s="1209" t="s">
        <v>1376</v>
      </c>
      <c r="B9" s="1209"/>
      <c r="C9" s="1209"/>
      <c r="D9" s="1209"/>
      <c r="E9" s="1209"/>
      <c r="F9" s="1280"/>
      <c r="G9" s="1280"/>
      <c r="H9" s="1280"/>
      <c r="I9" s="1280"/>
      <c r="J9" s="1280"/>
      <c r="K9" s="918"/>
    </row>
    <row r="10" spans="1:34" s="958" customFormat="1" ht="26.25" hidden="1" customHeight="1" outlineLevel="1">
      <c r="A10" s="1209" t="s">
        <v>1275</v>
      </c>
      <c r="B10" s="1209"/>
      <c r="C10" s="1209"/>
      <c r="D10" s="1209"/>
      <c r="E10" s="1209"/>
      <c r="F10" s="1280"/>
      <c r="G10" s="1280"/>
      <c r="H10" s="1280"/>
      <c r="I10" s="1280"/>
      <c r="J10" s="1280"/>
      <c r="K10" s="918"/>
    </row>
    <row r="11" spans="1:34" s="958" customFormat="1" ht="39.75" hidden="1" customHeight="1" outlineLevel="1">
      <c r="A11" s="1209" t="s">
        <v>823</v>
      </c>
      <c r="B11" s="1209"/>
      <c r="C11" s="1209"/>
      <c r="D11" s="1209"/>
      <c r="E11" s="1209"/>
      <c r="F11" s="1280"/>
      <c r="G11" s="1280"/>
      <c r="H11" s="1280"/>
      <c r="I11" s="1280"/>
      <c r="J11" s="1280"/>
      <c r="K11" s="918"/>
    </row>
    <row r="12" spans="1:34" s="958" customFormat="1" ht="20.25" collapsed="1">
      <c r="A12" s="911" t="s">
        <v>0</v>
      </c>
      <c r="B12" s="912"/>
      <c r="C12" s="532"/>
      <c r="D12" s="532"/>
      <c r="E12" s="533"/>
      <c r="F12" s="2"/>
      <c r="G12" s="2"/>
      <c r="H12" s="2"/>
      <c r="I12" s="2"/>
      <c r="J12" s="2"/>
      <c r="K12" s="2"/>
    </row>
    <row r="13" spans="1:34" s="1" customFormat="1" hidden="1" outlineLevel="1">
      <c r="A13" s="965" t="s">
        <v>559</v>
      </c>
      <c r="B13" s="568"/>
      <c r="C13" s="568"/>
      <c r="D13" s="568"/>
      <c r="E13" s="966"/>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row>
    <row r="14" spans="1:34" s="1" customFormat="1" ht="14.25" hidden="1" outlineLevel="1">
      <c r="A14" s="919" t="s">
        <v>518</v>
      </c>
      <c r="B14" s="919" t="s">
        <v>56</v>
      </c>
      <c r="C14" s="1276" t="s">
        <v>517</v>
      </c>
      <c r="D14" s="1276"/>
      <c r="E14" s="1276"/>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row>
    <row r="15" spans="1:34" s="1" customFormat="1" ht="51.75" hidden="1" customHeight="1" outlineLevel="1">
      <c r="A15" s="196" t="s">
        <v>1183</v>
      </c>
      <c r="B15" s="207">
        <v>1.34</v>
      </c>
      <c r="C15" s="1277" t="s">
        <v>676</v>
      </c>
      <c r="D15" s="1278"/>
      <c r="E15" s="1279"/>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row>
    <row r="16" spans="1:34" s="1" customFormat="1" hidden="1" outlineLevel="1">
      <c r="A16" s="965" t="s">
        <v>583</v>
      </c>
      <c r="B16" s="568"/>
      <c r="C16" s="568"/>
      <c r="D16" s="568"/>
      <c r="E16" s="966"/>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row>
    <row r="17" spans="1:34" s="1" customFormat="1" ht="14.25" hidden="1" outlineLevel="1">
      <c r="A17" s="919" t="s">
        <v>518</v>
      </c>
      <c r="B17" s="919" t="s">
        <v>56</v>
      </c>
      <c r="C17" s="1276" t="s">
        <v>517</v>
      </c>
      <c r="D17" s="1276"/>
      <c r="E17" s="1276"/>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row>
    <row r="18" spans="1:34" s="1" customFormat="1" ht="14.25" hidden="1" outlineLevel="1">
      <c r="A18" s="179" t="s">
        <v>1184</v>
      </c>
      <c r="B18" s="207">
        <v>0.66</v>
      </c>
      <c r="C18" s="1271" t="s">
        <v>581</v>
      </c>
      <c r="D18" s="127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row>
    <row r="19" spans="1:34" s="1" customFormat="1" hidden="1" outlineLevel="1">
      <c r="A19" s="965" t="s">
        <v>493</v>
      </c>
      <c r="B19" s="568"/>
      <c r="C19" s="568"/>
      <c r="D19" s="568"/>
      <c r="E19" s="966"/>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spans="1:34" s="1" customFormat="1" ht="14.25" hidden="1" outlineLevel="1">
      <c r="A20" s="919" t="s">
        <v>518</v>
      </c>
      <c r="B20" s="919" t="s">
        <v>56</v>
      </c>
      <c r="C20" s="1276" t="s">
        <v>517</v>
      </c>
      <c r="D20" s="1276"/>
      <c r="E20" s="1276"/>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row>
    <row r="21" spans="1:34" s="1" customFormat="1" ht="30" hidden="1" customHeight="1" outlineLevel="1">
      <c r="A21" s="179" t="s">
        <v>670</v>
      </c>
      <c r="B21" s="207">
        <v>1.6</v>
      </c>
      <c r="C21" s="1277" t="s">
        <v>677</v>
      </c>
      <c r="D21" s="1278"/>
      <c r="E21" s="1279"/>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row>
    <row r="22" spans="1:34" s="958" customFormat="1" ht="12.75" hidden="1" outlineLevel="1">
      <c r="A22" s="227"/>
      <c r="B22" s="227"/>
    </row>
    <row r="23" spans="1:34" s="958" customFormat="1" ht="20.25" collapsed="1">
      <c r="A23" s="911" t="s">
        <v>631</v>
      </c>
      <c r="B23" s="912"/>
      <c r="C23" s="532"/>
      <c r="D23" s="532"/>
      <c r="E23" s="533"/>
    </row>
    <row r="24" spans="1:34" s="958" customFormat="1" hidden="1" outlineLevel="1">
      <c r="A24" s="965" t="s">
        <v>558</v>
      </c>
      <c r="B24" s="568"/>
      <c r="C24" s="568"/>
      <c r="D24" s="568"/>
      <c r="E24" s="966"/>
      <c r="F24" s="393"/>
    </row>
    <row r="25" spans="1:34" s="958" customFormat="1" ht="18.75" hidden="1" outlineLevel="1">
      <c r="A25" s="917" t="s">
        <v>41</v>
      </c>
      <c r="B25" s="915" t="s">
        <v>1105</v>
      </c>
      <c r="C25" s="915" t="s">
        <v>1106</v>
      </c>
      <c r="D25" s="915" t="s">
        <v>1107</v>
      </c>
      <c r="E25" s="916" t="s">
        <v>1108</v>
      </c>
      <c r="F25" s="393"/>
    </row>
    <row r="26" spans="1:34" s="958" customFormat="1" ht="12.75" hidden="1" outlineLevel="1">
      <c r="A26" s="408" t="s">
        <v>562</v>
      </c>
      <c r="B26" s="967" t="s">
        <v>1285</v>
      </c>
      <c r="C26" s="968" t="s">
        <v>1285</v>
      </c>
      <c r="D26" s="968" t="s">
        <v>1285</v>
      </c>
      <c r="E26" s="969">
        <f>B47</f>
        <v>1425725.4103752396</v>
      </c>
      <c r="F26" s="199" t="s">
        <v>595</v>
      </c>
    </row>
    <row r="27" spans="1:34" s="958" customFormat="1" ht="12.75" hidden="1" outlineLevel="1">
      <c r="A27" s="408" t="s">
        <v>561</v>
      </c>
      <c r="B27" s="967" t="s">
        <v>1285</v>
      </c>
      <c r="C27" s="968" t="s">
        <v>1285</v>
      </c>
      <c r="D27" s="968" t="s">
        <v>1285</v>
      </c>
      <c r="E27" s="969">
        <f>(B42*B15*'Conversion Factors and GWPs'!A5/'Conversion Factors and GWPs'!A4)</f>
        <v>958724.90635305655</v>
      </c>
      <c r="F27" s="199" t="s">
        <v>595</v>
      </c>
    </row>
    <row r="28" spans="1:34" s="958" customFormat="1" ht="12.75" hidden="1" outlineLevel="1">
      <c r="A28" s="408" t="s">
        <v>560</v>
      </c>
      <c r="B28" s="967" t="s">
        <v>1285</v>
      </c>
      <c r="C28" s="968" t="s">
        <v>1285</v>
      </c>
      <c r="D28" s="968" t="s">
        <v>1285</v>
      </c>
      <c r="E28" s="969">
        <f>(B35/1000000)*B18</f>
        <v>18890.346420000002</v>
      </c>
      <c r="F28" s="393"/>
    </row>
    <row r="29" spans="1:34" s="958" customFormat="1" ht="12.75" hidden="1" outlineLevel="1">
      <c r="A29" s="73"/>
      <c r="B29" s="412"/>
      <c r="C29" s="970"/>
      <c r="D29" s="970"/>
      <c r="E29" s="412"/>
      <c r="F29" s="393"/>
    </row>
    <row r="30" spans="1:34" s="958" customFormat="1" hidden="1" outlineLevel="1">
      <c r="A30" s="965" t="s">
        <v>560</v>
      </c>
      <c r="B30" s="966"/>
      <c r="C30" s="970"/>
      <c r="D30" s="970"/>
      <c r="E30" s="412"/>
      <c r="F30" s="393"/>
    </row>
    <row r="31" spans="1:34" s="958" customFormat="1" ht="14.25" hidden="1" outlineLevel="1">
      <c r="A31" s="917" t="s">
        <v>565</v>
      </c>
      <c r="B31" s="916" t="s">
        <v>56</v>
      </c>
      <c r="C31" s="970"/>
      <c r="D31" s="970"/>
      <c r="E31" s="412"/>
      <c r="F31" s="393"/>
    </row>
    <row r="32" spans="1:34" s="958" customFormat="1" ht="12.75" hidden="1" outlineLevel="1">
      <c r="A32" s="376" t="s">
        <v>824</v>
      </c>
      <c r="B32" s="371">
        <f>12140925*1000</f>
        <v>12140925000</v>
      </c>
      <c r="C32" s="970"/>
      <c r="D32" s="970"/>
      <c r="E32" s="412"/>
      <c r="F32" s="393"/>
    </row>
    <row r="33" spans="1:6" s="958" customFormat="1" ht="12.75" hidden="1" outlineLevel="1">
      <c r="A33" s="408" t="s">
        <v>825</v>
      </c>
      <c r="B33" s="371">
        <f>956174*1000</f>
        <v>956174000</v>
      </c>
      <c r="C33" s="970"/>
      <c r="D33" s="970"/>
      <c r="E33" s="412"/>
      <c r="F33" s="393"/>
    </row>
    <row r="34" spans="1:6" s="958" customFormat="1" ht="12.75" hidden="1" outlineLevel="1">
      <c r="A34" s="408" t="s">
        <v>826</v>
      </c>
      <c r="B34" s="371">
        <f>15524638*1000</f>
        <v>15524638000</v>
      </c>
      <c r="C34" s="970"/>
      <c r="D34" s="970"/>
      <c r="E34" s="412"/>
      <c r="F34" s="393"/>
    </row>
    <row r="35" spans="1:6" s="958" customFormat="1" ht="15" hidden="1" outlineLevel="1">
      <c r="A35" s="633" t="s">
        <v>78</v>
      </c>
      <c r="B35" s="641">
        <f>SUM(B32:B34)</f>
        <v>28621737000</v>
      </c>
      <c r="C35" s="970"/>
      <c r="D35" s="970"/>
      <c r="E35" s="412"/>
      <c r="F35" s="393"/>
    </row>
    <row r="36" spans="1:6" s="958" customFormat="1" ht="12.75" hidden="1" outlineLevel="1">
      <c r="A36" s="73"/>
      <c r="B36" s="971"/>
      <c r="C36" s="970"/>
      <c r="D36" s="970"/>
      <c r="E36" s="412"/>
      <c r="F36" s="393"/>
    </row>
    <row r="37" spans="1:6" s="958" customFormat="1" hidden="1" outlineLevel="1">
      <c r="A37" s="965" t="s">
        <v>559</v>
      </c>
      <c r="B37" s="966"/>
      <c r="C37" s="970"/>
      <c r="D37" s="970"/>
      <c r="E37" s="412"/>
      <c r="F37" s="393"/>
    </row>
    <row r="38" spans="1:6" s="958" customFormat="1" ht="14.25" hidden="1" outlineLevel="1">
      <c r="A38" s="917" t="s">
        <v>565</v>
      </c>
      <c r="B38" s="916" t="s">
        <v>56</v>
      </c>
      <c r="C38" s="970"/>
      <c r="D38" s="970"/>
      <c r="E38" s="412"/>
      <c r="F38" s="393"/>
    </row>
    <row r="39" spans="1:6" s="958" customFormat="1" ht="12.75" hidden="1" outlineLevel="1">
      <c r="A39" s="408" t="s">
        <v>827</v>
      </c>
      <c r="B39" s="461">
        <f>'Community Indicators'!$B$17</f>
        <v>727211</v>
      </c>
      <c r="C39" s="970"/>
      <c r="D39" s="970"/>
      <c r="E39" s="412"/>
      <c r="F39" s="393"/>
    </row>
    <row r="40" spans="1:6" s="958" customFormat="1" ht="12.75" hidden="1" outlineLevel="1">
      <c r="A40" s="1027" t="s">
        <v>1375</v>
      </c>
      <c r="B40" s="1026">
        <v>5607154</v>
      </c>
      <c r="C40" s="970"/>
      <c r="D40" s="970"/>
      <c r="E40" s="412"/>
      <c r="F40" s="393"/>
    </row>
    <row r="41" spans="1:6" s="958" customFormat="1" ht="12.75" hidden="1" outlineLevel="1">
      <c r="A41" s="1027" t="s">
        <v>1374</v>
      </c>
      <c r="B41" s="1028">
        <f>(2024*1000)+(4057*1000)</f>
        <v>6081000</v>
      </c>
      <c r="C41" s="970"/>
      <c r="D41" s="970"/>
      <c r="E41" s="412"/>
      <c r="F41" s="393"/>
    </row>
    <row r="42" spans="1:6" s="958" customFormat="1" ht="12.75" hidden="1" outlineLevel="1">
      <c r="A42" s="408" t="s">
        <v>828</v>
      </c>
      <c r="B42" s="461">
        <f>(B41/B40)*B39</f>
        <v>788665.71009107295</v>
      </c>
      <c r="C42" s="970"/>
      <c r="D42" s="970"/>
      <c r="E42" s="412"/>
      <c r="F42" s="393"/>
    </row>
    <row r="43" spans="1:6" s="958" customFormat="1" ht="12.75" hidden="1" outlineLevel="1">
      <c r="A43" s="73"/>
      <c r="B43" s="971"/>
      <c r="C43" s="970"/>
      <c r="D43" s="970"/>
      <c r="E43" s="412"/>
      <c r="F43" s="393"/>
    </row>
    <row r="44" spans="1:6" s="958" customFormat="1" hidden="1" outlineLevel="1">
      <c r="A44" s="965" t="s">
        <v>493</v>
      </c>
      <c r="B44" s="966"/>
      <c r="C44" s="970"/>
      <c r="D44" s="412"/>
      <c r="E44" s="393"/>
    </row>
    <row r="45" spans="1:6" s="958" customFormat="1" ht="14.25" hidden="1" outlineLevel="1">
      <c r="A45" s="917" t="s">
        <v>565</v>
      </c>
      <c r="B45" s="916" t="s">
        <v>56</v>
      </c>
      <c r="C45" s="970"/>
      <c r="D45" s="412"/>
      <c r="E45" s="393"/>
    </row>
    <row r="46" spans="1:6" s="958" customFormat="1" ht="12.75" hidden="1" outlineLevel="1">
      <c r="A46" s="376" t="s">
        <v>827</v>
      </c>
      <c r="B46" s="461">
        <f>'Community Indicators'!B17</f>
        <v>727211</v>
      </c>
      <c r="C46" s="394"/>
      <c r="D46" s="394"/>
      <c r="E46" s="394"/>
    </row>
    <row r="47" spans="1:6" s="958" customFormat="1" ht="14.25" hidden="1" outlineLevel="1">
      <c r="A47" s="376" t="s">
        <v>829</v>
      </c>
      <c r="B47" s="461">
        <f>B160/'Conversion Factors and GWPs'!A7</f>
        <v>1425725.4103752396</v>
      </c>
      <c r="C47" s="394"/>
      <c r="D47" s="394"/>
      <c r="E47" s="394"/>
    </row>
    <row r="48" spans="1:6" s="958" customFormat="1" ht="12.75" hidden="1" outlineLevel="1"/>
    <row r="49" spans="1:4" s="958" customFormat="1" hidden="1" outlineLevel="1">
      <c r="A49" s="965" t="s">
        <v>493</v>
      </c>
      <c r="B49" s="568"/>
      <c r="C49" s="568"/>
      <c r="D49" s="966"/>
    </row>
    <row r="50" spans="1:4" s="958" customFormat="1" ht="84" hidden="1" customHeight="1" outlineLevel="1">
      <c r="A50" s="917" t="s">
        <v>830</v>
      </c>
      <c r="B50" s="915" t="s">
        <v>831</v>
      </c>
      <c r="C50" s="915" t="s">
        <v>1131</v>
      </c>
      <c r="D50" s="916" t="s">
        <v>1132</v>
      </c>
    </row>
    <row r="51" spans="1:4" s="958" customFormat="1" ht="12.75" hidden="1" outlineLevel="1">
      <c r="A51" s="972" t="s">
        <v>832</v>
      </c>
      <c r="B51" s="973">
        <v>88.47</v>
      </c>
      <c r="C51" s="973">
        <f>AVERAGE(C52:C57)</f>
        <v>0.76900000000000002</v>
      </c>
      <c r="D51" s="451">
        <f>SUM(D52:D57)</f>
        <v>38364103.570319995</v>
      </c>
    </row>
    <row r="52" spans="1:4" s="958" customFormat="1" ht="12.75" hidden="1" outlineLevel="1">
      <c r="A52" s="974" t="s">
        <v>833</v>
      </c>
      <c r="B52" s="975">
        <v>61.15</v>
      </c>
      <c r="C52" s="975">
        <v>0.4</v>
      </c>
      <c r="D52" s="377">
        <f>B52*C52*$B$46</f>
        <v>17787581.060000002</v>
      </c>
    </row>
    <row r="53" spans="1:4" s="958" customFormat="1" ht="12.75" hidden="1" outlineLevel="1">
      <c r="A53" s="974" t="s">
        <v>1273</v>
      </c>
      <c r="B53" s="975">
        <v>9.6199999999999992</v>
      </c>
      <c r="C53" s="975">
        <v>1.87</v>
      </c>
      <c r="D53" s="377">
        <f t="shared" ref="D53:D57" si="0">B53*C53*$B$46</f>
        <v>13082089.5634</v>
      </c>
    </row>
    <row r="54" spans="1:4" s="958" customFormat="1" ht="12.75" hidden="1" outlineLevel="1">
      <c r="A54" s="974" t="s">
        <v>834</v>
      </c>
      <c r="B54" s="975">
        <v>0.23</v>
      </c>
      <c r="C54" s="975">
        <v>0.36</v>
      </c>
      <c r="D54" s="377">
        <f t="shared" si="0"/>
        <v>60213.070800000001</v>
      </c>
    </row>
    <row r="55" spans="1:4" s="958" customFormat="1" ht="12.75" hidden="1" outlineLevel="1">
      <c r="A55" s="974" t="s">
        <v>835</v>
      </c>
      <c r="B55" s="975">
        <v>15.03</v>
      </c>
      <c r="C55" s="975">
        <v>0.55000000000000004</v>
      </c>
      <c r="D55" s="377">
        <f t="shared" si="0"/>
        <v>6011489.7315000007</v>
      </c>
    </row>
    <row r="56" spans="1:4" s="958" customFormat="1" ht="12.75" hidden="1" outlineLevel="1">
      <c r="A56" s="974" t="s">
        <v>836</v>
      </c>
      <c r="B56" s="975">
        <v>0.3</v>
      </c>
      <c r="C56" s="975">
        <v>0.6</v>
      </c>
      <c r="D56" s="377">
        <f t="shared" si="0"/>
        <v>130897.98</v>
      </c>
    </row>
    <row r="57" spans="1:4" s="958" customFormat="1" ht="12.75" hidden="1" outlineLevel="1">
      <c r="A57" s="974" t="s">
        <v>837</v>
      </c>
      <c r="B57" s="975">
        <v>2.13</v>
      </c>
      <c r="C57" s="975">
        <v>0.83399999999999996</v>
      </c>
      <c r="D57" s="377">
        <f t="shared" si="0"/>
        <v>1291832.1646199999</v>
      </c>
    </row>
    <row r="58" spans="1:4" s="958" customFormat="1" ht="12.75" hidden="1" outlineLevel="1">
      <c r="A58" s="972" t="s">
        <v>838</v>
      </c>
      <c r="B58" s="973">
        <v>55.17</v>
      </c>
      <c r="C58" s="973">
        <f>AVERAGE(C59:C79)</f>
        <v>1.0056666666666665</v>
      </c>
      <c r="D58" s="451">
        <f>SUM(D59:D79)</f>
        <v>30440267.072120007</v>
      </c>
    </row>
    <row r="59" spans="1:4" s="958" customFormat="1" ht="12.75" hidden="1" outlineLevel="1">
      <c r="A59" s="974" t="s">
        <v>839</v>
      </c>
      <c r="B59" s="975">
        <v>9.44</v>
      </c>
      <c r="C59" s="975">
        <v>0.41</v>
      </c>
      <c r="D59" s="377">
        <f>B59*C59*$B$46</f>
        <v>2814597.4543999997</v>
      </c>
    </row>
    <row r="60" spans="1:4" s="958" customFormat="1" ht="12.75" hidden="1" outlineLevel="1">
      <c r="A60" s="974" t="s">
        <v>840</v>
      </c>
      <c r="B60" s="975">
        <v>6.73</v>
      </c>
      <c r="C60" s="975">
        <v>1.35</v>
      </c>
      <c r="D60" s="377">
        <f t="shared" ref="D60:D79" si="1">B60*C60*$B$46</f>
        <v>6607075.5405000011</v>
      </c>
    </row>
    <row r="61" spans="1:4" s="958" customFormat="1" ht="12.75" hidden="1" outlineLevel="1">
      <c r="A61" s="974" t="s">
        <v>841</v>
      </c>
      <c r="B61" s="975">
        <v>0.05</v>
      </c>
      <c r="C61" s="975">
        <v>0.36</v>
      </c>
      <c r="D61" s="377">
        <f t="shared" si="1"/>
        <v>13089.797999999999</v>
      </c>
    </row>
    <row r="62" spans="1:4" s="958" customFormat="1" ht="12.75" hidden="1" outlineLevel="1">
      <c r="A62" s="974" t="s">
        <v>842</v>
      </c>
      <c r="B62" s="975">
        <v>1.48</v>
      </c>
      <c r="C62" s="975">
        <v>1.27</v>
      </c>
      <c r="D62" s="377">
        <f t="shared" si="1"/>
        <v>1366865.7956000001</v>
      </c>
    </row>
    <row r="63" spans="1:4" s="958" customFormat="1" ht="12.75" hidden="1" outlineLevel="1">
      <c r="A63" s="974" t="s">
        <v>843</v>
      </c>
      <c r="B63" s="975">
        <v>11.63</v>
      </c>
      <c r="C63" s="975">
        <v>0.86799999999999999</v>
      </c>
      <c r="D63" s="377">
        <f t="shared" si="1"/>
        <v>7341078.6912400005</v>
      </c>
    </row>
    <row r="64" spans="1:4" s="958" customFormat="1" ht="12.75" hidden="1" outlineLevel="1">
      <c r="A64" s="974" t="s">
        <v>844</v>
      </c>
      <c r="B64" s="975">
        <v>0.47</v>
      </c>
      <c r="C64" s="975">
        <v>0.46</v>
      </c>
      <c r="D64" s="377">
        <f t="shared" si="1"/>
        <v>157223.01819999999</v>
      </c>
    </row>
    <row r="65" spans="1:4" s="958" customFormat="1" ht="12.75" hidden="1" outlineLevel="1">
      <c r="A65" s="974" t="s">
        <v>1274</v>
      </c>
      <c r="B65" s="975">
        <v>3.57</v>
      </c>
      <c r="C65" s="975">
        <v>0.71</v>
      </c>
      <c r="D65" s="377">
        <f t="shared" si="1"/>
        <v>1843261.7216999999</v>
      </c>
    </row>
    <row r="66" spans="1:4" s="958" customFormat="1" ht="12.75" hidden="1" outlineLevel="1">
      <c r="A66" s="974" t="s">
        <v>845</v>
      </c>
      <c r="B66" s="975">
        <v>0.56000000000000005</v>
      </c>
      <c r="C66" s="975">
        <v>4.4169999999999998</v>
      </c>
      <c r="D66" s="377">
        <f t="shared" si="1"/>
        <v>1798770.9527200002</v>
      </c>
    </row>
    <row r="67" spans="1:4" s="958" customFormat="1" ht="12.75" hidden="1" outlineLevel="1">
      <c r="A67" s="974" t="s">
        <v>846</v>
      </c>
      <c r="B67" s="975">
        <v>0.03</v>
      </c>
      <c r="C67" s="975">
        <v>0.33</v>
      </c>
      <c r="D67" s="377">
        <f t="shared" si="1"/>
        <v>7199.3889000000008</v>
      </c>
    </row>
    <row r="68" spans="1:4" s="958" customFormat="1" ht="12.75" hidden="1" outlineLevel="1">
      <c r="A68" s="974" t="s">
        <v>847</v>
      </c>
      <c r="B68" s="975">
        <v>3.38</v>
      </c>
      <c r="C68" s="975">
        <v>0.28999999999999998</v>
      </c>
      <c r="D68" s="377">
        <f t="shared" si="1"/>
        <v>712812.22219999984</v>
      </c>
    </row>
    <row r="69" spans="1:4" s="958" customFormat="1" ht="12.75" hidden="1" outlineLevel="1">
      <c r="A69" s="974" t="s">
        <v>848</v>
      </c>
      <c r="B69" s="975">
        <v>0.62</v>
      </c>
      <c r="C69" s="975">
        <v>0.27</v>
      </c>
      <c r="D69" s="377">
        <f t="shared" si="1"/>
        <v>121735.12140000002</v>
      </c>
    </row>
    <row r="70" spans="1:4" s="958" customFormat="1" ht="12.75" hidden="1" outlineLevel="1">
      <c r="A70" s="974" t="s">
        <v>849</v>
      </c>
      <c r="B70" s="975">
        <v>0.2</v>
      </c>
      <c r="C70" s="975">
        <v>0.6</v>
      </c>
      <c r="D70" s="377">
        <f t="shared" si="1"/>
        <v>87265.319999999992</v>
      </c>
    </row>
    <row r="71" spans="1:4" s="958" customFormat="1" ht="12.75" hidden="1" outlineLevel="1">
      <c r="A71" s="974" t="s">
        <v>850</v>
      </c>
      <c r="B71" s="975">
        <v>0.96</v>
      </c>
      <c r="C71" s="975">
        <v>0.97</v>
      </c>
      <c r="D71" s="377">
        <f t="shared" si="1"/>
        <v>677178.88319999992</v>
      </c>
    </row>
    <row r="72" spans="1:4" s="958" customFormat="1" ht="12.75" hidden="1" outlineLevel="1">
      <c r="A72" s="974" t="s">
        <v>851</v>
      </c>
      <c r="B72" s="975">
        <v>0.5</v>
      </c>
      <c r="C72" s="975">
        <v>0.97</v>
      </c>
      <c r="D72" s="377">
        <f t="shared" si="1"/>
        <v>352697.33499999996</v>
      </c>
    </row>
    <row r="73" spans="1:4" s="958" customFormat="1" ht="12.75" hidden="1" outlineLevel="1">
      <c r="A73" s="974" t="s">
        <v>852</v>
      </c>
      <c r="B73" s="975">
        <v>2.04</v>
      </c>
      <c r="C73" s="975">
        <v>0.23400000000000001</v>
      </c>
      <c r="D73" s="377">
        <f t="shared" si="1"/>
        <v>347141.44296000007</v>
      </c>
    </row>
    <row r="74" spans="1:4" s="958" customFormat="1" ht="12.75" hidden="1" outlineLevel="1">
      <c r="A74" s="974" t="s">
        <v>853</v>
      </c>
      <c r="B74" s="975">
        <v>1.25</v>
      </c>
      <c r="C74" s="975">
        <v>0.28999999999999998</v>
      </c>
      <c r="D74" s="377">
        <f t="shared" si="1"/>
        <v>263613.98749999999</v>
      </c>
    </row>
    <row r="75" spans="1:4" s="958" customFormat="1" ht="12.75" hidden="1" outlineLevel="1">
      <c r="A75" s="974" t="s">
        <v>854</v>
      </c>
      <c r="B75" s="975">
        <v>2.46</v>
      </c>
      <c r="C75" s="975">
        <v>0.44</v>
      </c>
      <c r="D75" s="377">
        <f t="shared" si="1"/>
        <v>787133.18640000001</v>
      </c>
    </row>
    <row r="76" spans="1:4" s="958" customFormat="1" ht="12.75" hidden="1" outlineLevel="1">
      <c r="A76" s="974" t="s">
        <v>855</v>
      </c>
      <c r="B76" s="975">
        <v>0.34</v>
      </c>
      <c r="C76" s="975">
        <v>0.36</v>
      </c>
      <c r="D76" s="377">
        <f t="shared" si="1"/>
        <v>89010.626400000008</v>
      </c>
    </row>
    <row r="77" spans="1:4" s="958" customFormat="1" ht="12.75" hidden="1" outlineLevel="1">
      <c r="A77" s="974" t="s">
        <v>856</v>
      </c>
      <c r="B77" s="975">
        <v>0.08</v>
      </c>
      <c r="C77" s="975">
        <v>4.6500000000000004</v>
      </c>
      <c r="D77" s="377">
        <f t="shared" si="1"/>
        <v>270522.49200000003</v>
      </c>
    </row>
    <row r="78" spans="1:4" s="958" customFormat="1" ht="12.75" hidden="1" outlineLevel="1">
      <c r="A78" s="974" t="s">
        <v>857</v>
      </c>
      <c r="B78" s="975">
        <v>3.04</v>
      </c>
      <c r="C78" s="975">
        <v>1.6</v>
      </c>
      <c r="D78" s="377">
        <f t="shared" si="1"/>
        <v>3537154.3040000005</v>
      </c>
    </row>
    <row r="79" spans="1:4" s="958" customFormat="1" ht="12.75" hidden="1" outlineLevel="1">
      <c r="A79" s="974" t="s">
        <v>858</v>
      </c>
      <c r="B79" s="975">
        <v>6.34</v>
      </c>
      <c r="C79" s="975">
        <v>0.27</v>
      </c>
      <c r="D79" s="377">
        <f t="shared" si="1"/>
        <v>1244839.7897999999</v>
      </c>
    </row>
    <row r="80" spans="1:4" s="958" customFormat="1" ht="12.75" hidden="1" outlineLevel="1">
      <c r="A80" s="972" t="s">
        <v>859</v>
      </c>
      <c r="B80" s="973">
        <v>39.1</v>
      </c>
      <c r="C80" s="973">
        <f>AVERAGE(C81:C84)</f>
        <v>1.0350000000000001</v>
      </c>
      <c r="D80" s="451">
        <f>SUM(D81:D84)</f>
        <v>29363616.642400004</v>
      </c>
    </row>
    <row r="81" spans="1:4" s="958" customFormat="1" ht="12.75" hidden="1" outlineLevel="1">
      <c r="A81" s="974" t="s">
        <v>860</v>
      </c>
      <c r="B81" s="975">
        <v>5.27</v>
      </c>
      <c r="C81" s="975">
        <v>1.05</v>
      </c>
      <c r="D81" s="377">
        <f>B81*C81*$B$46</f>
        <v>4024022.0685000001</v>
      </c>
    </row>
    <row r="82" spans="1:4" s="958" customFormat="1" ht="12.75" hidden="1" outlineLevel="1">
      <c r="A82" s="974" t="s">
        <v>861</v>
      </c>
      <c r="B82" s="975">
        <v>2.2400000000000002</v>
      </c>
      <c r="C82" s="975">
        <v>1.03</v>
      </c>
      <c r="D82" s="377">
        <f t="shared" ref="D82:D84" si="2">B82*C82*$B$46</f>
        <v>1677821.2192000002</v>
      </c>
    </row>
    <row r="83" spans="1:4" s="958" customFormat="1" ht="12.75" hidden="1" outlineLevel="1">
      <c r="A83" s="974" t="s">
        <v>862</v>
      </c>
      <c r="B83" s="975">
        <v>1.02</v>
      </c>
      <c r="C83" s="975">
        <v>1.03</v>
      </c>
      <c r="D83" s="377">
        <f t="shared" si="2"/>
        <v>764007.87659999996</v>
      </c>
    </row>
    <row r="84" spans="1:4" s="958" customFormat="1" ht="12.75" hidden="1" outlineLevel="1">
      <c r="A84" s="974" t="s">
        <v>863</v>
      </c>
      <c r="B84" s="975">
        <v>30.57</v>
      </c>
      <c r="C84" s="975">
        <v>1.03</v>
      </c>
      <c r="D84" s="377">
        <f t="shared" si="2"/>
        <v>22897765.478100002</v>
      </c>
    </row>
    <row r="85" spans="1:4" s="958" customFormat="1" ht="12.75" hidden="1" outlineLevel="1">
      <c r="A85" s="972" t="s">
        <v>864</v>
      </c>
      <c r="B85" s="973">
        <v>78.36</v>
      </c>
      <c r="C85" s="973">
        <f>AVERAGE(C86:C117)</f>
        <v>1.0673437499999998</v>
      </c>
      <c r="D85" s="451">
        <f>SUM(D86:D117)</f>
        <v>42009495.959559992</v>
      </c>
    </row>
    <row r="86" spans="1:4" s="958" customFormat="1" ht="12.75" hidden="1" outlineLevel="1">
      <c r="A86" s="974" t="s">
        <v>865</v>
      </c>
      <c r="B86" s="975">
        <v>0.24</v>
      </c>
      <c r="C86" s="975">
        <v>0.73</v>
      </c>
      <c r="D86" s="377">
        <f>B86*C86*$B$46</f>
        <v>127407.36719999999</v>
      </c>
    </row>
    <row r="87" spans="1:4" s="958" customFormat="1" ht="12.75" hidden="1" outlineLevel="1">
      <c r="A87" s="974" t="s">
        <v>866</v>
      </c>
      <c r="B87" s="975">
        <v>0.56000000000000005</v>
      </c>
      <c r="C87" s="975">
        <v>8.8699999999999992</v>
      </c>
      <c r="D87" s="377">
        <f t="shared" ref="D87:D117" si="3">B87*C87*$B$46</f>
        <v>3612202.4791999999</v>
      </c>
    </row>
    <row r="88" spans="1:4" s="958" customFormat="1" ht="12.75" hidden="1" outlineLevel="1">
      <c r="A88" s="974" t="s">
        <v>867</v>
      </c>
      <c r="B88" s="975">
        <v>4.1399999999999997</v>
      </c>
      <c r="C88" s="975">
        <v>0.88</v>
      </c>
      <c r="D88" s="377">
        <f t="shared" si="3"/>
        <v>2649375.1151999999</v>
      </c>
    </row>
    <row r="89" spans="1:4" s="958" customFormat="1" ht="12.75" hidden="1" outlineLevel="1">
      <c r="A89" s="974" t="s">
        <v>868</v>
      </c>
      <c r="B89" s="975">
        <v>2.33</v>
      </c>
      <c r="C89" s="975">
        <v>1.24</v>
      </c>
      <c r="D89" s="377">
        <f t="shared" si="3"/>
        <v>2101058.0212000003</v>
      </c>
    </row>
    <row r="90" spans="1:4" s="958" customFormat="1" ht="12.75" hidden="1" outlineLevel="1">
      <c r="A90" s="974" t="s">
        <v>869</v>
      </c>
      <c r="B90" s="975">
        <v>0.13</v>
      </c>
      <c r="C90" s="975">
        <v>0.33</v>
      </c>
      <c r="D90" s="377">
        <f t="shared" si="3"/>
        <v>31197.351900000001</v>
      </c>
    </row>
    <row r="91" spans="1:4" s="958" customFormat="1" ht="12.75" hidden="1" outlineLevel="1">
      <c r="A91" s="974" t="s">
        <v>870</v>
      </c>
      <c r="B91" s="975">
        <v>3.15</v>
      </c>
      <c r="C91" s="975">
        <v>0.12</v>
      </c>
      <c r="D91" s="377">
        <f t="shared" si="3"/>
        <v>274885.75800000003</v>
      </c>
    </row>
    <row r="92" spans="1:4" s="958" customFormat="1" ht="12.75" hidden="1" outlineLevel="1">
      <c r="A92" s="974" t="s">
        <v>871</v>
      </c>
      <c r="B92" s="975">
        <v>3.35</v>
      </c>
      <c r="C92" s="975">
        <v>0.18</v>
      </c>
      <c r="D92" s="377">
        <f t="shared" si="3"/>
        <v>438508.23300000001</v>
      </c>
    </row>
    <row r="93" spans="1:4" s="958" customFormat="1" ht="12.75" hidden="1" outlineLevel="1">
      <c r="A93" s="974" t="s">
        <v>872</v>
      </c>
      <c r="B93" s="975">
        <v>0.56000000000000005</v>
      </c>
      <c r="C93" s="975">
        <v>0.39</v>
      </c>
      <c r="D93" s="377">
        <f t="shared" si="3"/>
        <v>158822.88240000003</v>
      </c>
    </row>
    <row r="94" spans="1:4" s="958" customFormat="1" ht="12.75" hidden="1" outlineLevel="1">
      <c r="A94" s="974" t="s">
        <v>873</v>
      </c>
      <c r="B94" s="975">
        <v>2.64</v>
      </c>
      <c r="C94" s="975">
        <v>0.73</v>
      </c>
      <c r="D94" s="377">
        <f t="shared" si="3"/>
        <v>1401481.0392</v>
      </c>
    </row>
    <row r="95" spans="1:4" s="958" customFormat="1" ht="12.75" hidden="1" outlineLevel="1">
      <c r="A95" s="974" t="s">
        <v>874</v>
      </c>
      <c r="B95" s="975">
        <v>0.25</v>
      </c>
      <c r="C95" s="975">
        <v>0.33</v>
      </c>
      <c r="D95" s="377">
        <f t="shared" si="3"/>
        <v>59994.907500000001</v>
      </c>
    </row>
    <row r="96" spans="1:4" s="958" customFormat="1" ht="12.75" hidden="1" outlineLevel="1">
      <c r="A96" s="974" t="s">
        <v>875</v>
      </c>
      <c r="B96" s="975">
        <v>3.86</v>
      </c>
      <c r="C96" s="975">
        <v>0.73</v>
      </c>
      <c r="D96" s="377">
        <f t="shared" si="3"/>
        <v>2049135.1557999998</v>
      </c>
    </row>
    <row r="97" spans="1:4" s="958" customFormat="1" ht="12.75" hidden="1" outlineLevel="1">
      <c r="A97" s="974" t="s">
        <v>876</v>
      </c>
      <c r="B97" s="975">
        <v>2.83</v>
      </c>
      <c r="C97" s="975">
        <v>0.66</v>
      </c>
      <c r="D97" s="377">
        <f t="shared" si="3"/>
        <v>1358284.7058000001</v>
      </c>
    </row>
    <row r="98" spans="1:4" s="958" customFormat="1" ht="12.75" hidden="1" outlineLevel="1">
      <c r="A98" s="974" t="s">
        <v>877</v>
      </c>
      <c r="B98" s="975">
        <v>0.37</v>
      </c>
      <c r="C98" s="975">
        <v>1.3</v>
      </c>
      <c r="D98" s="377">
        <f t="shared" si="3"/>
        <v>349788.49099999998</v>
      </c>
    </row>
    <row r="99" spans="1:4" s="958" customFormat="1" ht="12.75" hidden="1" outlineLevel="1">
      <c r="A99" s="974" t="s">
        <v>878</v>
      </c>
      <c r="B99" s="975">
        <v>0.1</v>
      </c>
      <c r="C99" s="975">
        <v>1.46</v>
      </c>
      <c r="D99" s="377">
        <f t="shared" si="3"/>
        <v>106172.806</v>
      </c>
    </row>
    <row r="100" spans="1:4" s="958" customFormat="1" ht="12.75" hidden="1" outlineLevel="1">
      <c r="A100" s="974" t="s">
        <v>879</v>
      </c>
      <c r="B100" s="975">
        <v>0.86</v>
      </c>
      <c r="C100" s="975">
        <v>4.32</v>
      </c>
      <c r="D100" s="377">
        <f t="shared" si="3"/>
        <v>2701734.3072000002</v>
      </c>
    </row>
    <row r="101" spans="1:4" s="958" customFormat="1" ht="12.75" hidden="1" outlineLevel="1">
      <c r="A101" s="974" t="s">
        <v>880</v>
      </c>
      <c r="B101" s="975">
        <v>0.12</v>
      </c>
      <c r="C101" s="975">
        <v>0.33</v>
      </c>
      <c r="D101" s="377">
        <f t="shared" si="3"/>
        <v>28797.555600000003</v>
      </c>
    </row>
    <row r="102" spans="1:4" s="958" customFormat="1" ht="12.75" hidden="1" outlineLevel="1">
      <c r="A102" s="974" t="s">
        <v>881</v>
      </c>
      <c r="B102" s="975">
        <v>6.81</v>
      </c>
      <c r="C102" s="975">
        <v>1.08</v>
      </c>
      <c r="D102" s="377">
        <f t="shared" si="3"/>
        <v>5348491.4627999999</v>
      </c>
    </row>
    <row r="103" spans="1:4" s="958" customFormat="1" ht="12.75" hidden="1" outlineLevel="1">
      <c r="A103" s="974" t="s">
        <v>882</v>
      </c>
      <c r="B103" s="975">
        <v>4.53</v>
      </c>
      <c r="C103" s="975">
        <v>0.85599999999999998</v>
      </c>
      <c r="D103" s="377">
        <f t="shared" si="3"/>
        <v>2819891.5504800002</v>
      </c>
    </row>
    <row r="104" spans="1:4" s="958" customFormat="1" ht="12.75" hidden="1" outlineLevel="1">
      <c r="A104" s="974" t="s">
        <v>883</v>
      </c>
      <c r="B104" s="975">
        <v>0.01</v>
      </c>
      <c r="C104" s="975">
        <v>0.73</v>
      </c>
      <c r="D104" s="377">
        <f t="shared" si="3"/>
        <v>5308.6403</v>
      </c>
    </row>
    <row r="105" spans="1:4" s="958" customFormat="1" ht="12.75" hidden="1" outlineLevel="1">
      <c r="A105" s="974" t="s">
        <v>884</v>
      </c>
      <c r="B105" s="975">
        <v>1.07</v>
      </c>
      <c r="C105" s="975">
        <v>2.76</v>
      </c>
      <c r="D105" s="377">
        <f t="shared" si="3"/>
        <v>2147599.5252</v>
      </c>
    </row>
    <row r="106" spans="1:4" s="958" customFormat="1" ht="12.75" hidden="1" outlineLevel="1">
      <c r="A106" s="974" t="s">
        <v>885</v>
      </c>
      <c r="B106" s="975">
        <v>0.15</v>
      </c>
      <c r="C106" s="975">
        <v>0.33</v>
      </c>
      <c r="D106" s="377">
        <f t="shared" si="3"/>
        <v>35996.944500000005</v>
      </c>
    </row>
    <row r="107" spans="1:4" s="958" customFormat="1" ht="12.75" hidden="1" outlineLevel="1">
      <c r="A107" s="974" t="s">
        <v>886</v>
      </c>
      <c r="B107" s="975">
        <v>0.15</v>
      </c>
      <c r="C107" s="975">
        <v>0.73</v>
      </c>
      <c r="D107" s="377">
        <f t="shared" si="3"/>
        <v>79629.604500000001</v>
      </c>
    </row>
    <row r="108" spans="1:4" s="958" customFormat="1" ht="12.75" hidden="1" outlineLevel="1">
      <c r="A108" s="974" t="s">
        <v>887</v>
      </c>
      <c r="B108" s="975">
        <v>8.49</v>
      </c>
      <c r="C108" s="975">
        <v>0.107</v>
      </c>
      <c r="D108" s="377">
        <f t="shared" si="3"/>
        <v>660620.28872999991</v>
      </c>
    </row>
    <row r="109" spans="1:4" s="958" customFormat="1" ht="12.75" hidden="1" outlineLevel="1">
      <c r="A109" s="974" t="s">
        <v>888</v>
      </c>
      <c r="B109" s="975">
        <v>15.53</v>
      </c>
      <c r="C109" s="975">
        <v>0.49399999999999999</v>
      </c>
      <c r="D109" s="377">
        <f t="shared" si="3"/>
        <v>5579031.8940199995</v>
      </c>
    </row>
    <row r="110" spans="1:4" s="958" customFormat="1" ht="12.75" hidden="1" outlineLevel="1">
      <c r="A110" s="974" t="s">
        <v>889</v>
      </c>
      <c r="B110" s="975">
        <v>1.83</v>
      </c>
      <c r="C110" s="975">
        <v>0.41899999999999998</v>
      </c>
      <c r="D110" s="377">
        <f t="shared" si="3"/>
        <v>557603.57846999995</v>
      </c>
    </row>
    <row r="111" spans="1:4" s="958" customFormat="1" ht="12.75" hidden="1" outlineLevel="1">
      <c r="A111" s="974" t="s">
        <v>890</v>
      </c>
      <c r="B111" s="975">
        <v>0.25</v>
      </c>
      <c r="C111" s="975">
        <v>0.33</v>
      </c>
      <c r="D111" s="377">
        <f t="shared" si="3"/>
        <v>59994.907500000001</v>
      </c>
    </row>
    <row r="112" spans="1:4" s="958" customFormat="1" ht="12.75" hidden="1" outlineLevel="1">
      <c r="A112" s="974" t="s">
        <v>891</v>
      </c>
      <c r="B112" s="975">
        <v>0.8</v>
      </c>
      <c r="C112" s="975">
        <v>1.75</v>
      </c>
      <c r="D112" s="377">
        <f t="shared" si="3"/>
        <v>1018095.4000000001</v>
      </c>
    </row>
    <row r="113" spans="1:4" s="958" customFormat="1" ht="12.75" hidden="1" outlineLevel="1">
      <c r="A113" s="974" t="s">
        <v>892</v>
      </c>
      <c r="B113" s="975">
        <v>0.74</v>
      </c>
      <c r="C113" s="975">
        <v>0.13</v>
      </c>
      <c r="D113" s="377">
        <f t="shared" si="3"/>
        <v>69957.698199999999</v>
      </c>
    </row>
    <row r="114" spans="1:4" s="958" customFormat="1" ht="12.75" hidden="1" outlineLevel="1">
      <c r="A114" s="974" t="s">
        <v>893</v>
      </c>
      <c r="B114" s="975">
        <v>1.76</v>
      </c>
      <c r="C114" s="975">
        <v>0.3</v>
      </c>
      <c r="D114" s="377">
        <f t="shared" si="3"/>
        <v>383967.408</v>
      </c>
    </row>
    <row r="115" spans="1:4" s="958" customFormat="1" ht="12.75" hidden="1" outlineLevel="1">
      <c r="A115" s="974" t="s">
        <v>894</v>
      </c>
      <c r="B115" s="975">
        <v>2.57</v>
      </c>
      <c r="C115" s="975">
        <v>0.33</v>
      </c>
      <c r="D115" s="377">
        <f t="shared" si="3"/>
        <v>616747.64909999992</v>
      </c>
    </row>
    <row r="116" spans="1:4" s="958" customFormat="1" ht="12.75" hidden="1" outlineLevel="1">
      <c r="A116" s="974" t="s">
        <v>895</v>
      </c>
      <c r="B116" s="975">
        <v>8.0399999999999991</v>
      </c>
      <c r="C116" s="975">
        <v>0.879</v>
      </c>
      <c r="D116" s="377">
        <f t="shared" si="3"/>
        <v>5139316.4907599995</v>
      </c>
    </row>
    <row r="117" spans="1:4" s="958" customFormat="1" ht="12.75" hidden="1" outlineLevel="1">
      <c r="A117" s="974" t="s">
        <v>896</v>
      </c>
      <c r="B117" s="975">
        <v>0.16</v>
      </c>
      <c r="C117" s="975">
        <v>0.33</v>
      </c>
      <c r="D117" s="377">
        <f t="shared" si="3"/>
        <v>38396.740800000007</v>
      </c>
    </row>
    <row r="118" spans="1:4" s="958" customFormat="1" ht="12.75" hidden="1" outlineLevel="1">
      <c r="A118" s="972" t="s">
        <v>897</v>
      </c>
      <c r="B118" s="973">
        <v>44.54</v>
      </c>
      <c r="C118" s="973">
        <f>AVERAGE(C119:C122)</f>
        <v>1.5074999999999998</v>
      </c>
      <c r="D118" s="451">
        <f>SUM(D120:D122)</f>
        <v>25945943.105699997</v>
      </c>
    </row>
    <row r="119" spans="1:4" s="958" customFormat="1" ht="12.75" hidden="1" outlineLevel="1">
      <c r="A119" s="974" t="s">
        <v>898</v>
      </c>
      <c r="B119" s="975">
        <v>21.62</v>
      </c>
      <c r="C119" s="975">
        <v>1.1000000000000001</v>
      </c>
      <c r="D119" s="377">
        <f>B119*C119*$B$46</f>
        <v>17294532.002000004</v>
      </c>
    </row>
    <row r="120" spans="1:4" s="958" customFormat="1" ht="12.75" hidden="1" outlineLevel="1">
      <c r="A120" s="974" t="s">
        <v>899</v>
      </c>
      <c r="B120" s="975">
        <v>16.399999999999999</v>
      </c>
      <c r="C120" s="975">
        <v>1.44</v>
      </c>
      <c r="D120" s="377">
        <f t="shared" ref="D120:D122" si="4">B120*C120*$B$46</f>
        <v>17173814.975999996</v>
      </c>
    </row>
    <row r="121" spans="1:4" s="958" customFormat="1" ht="12.75" hidden="1" outlineLevel="1">
      <c r="A121" s="974" t="s">
        <v>900</v>
      </c>
      <c r="B121" s="975">
        <v>2.4900000000000002</v>
      </c>
      <c r="C121" s="975">
        <v>1.3</v>
      </c>
      <c r="D121" s="377">
        <f t="shared" si="4"/>
        <v>2353982.0070000002</v>
      </c>
    </row>
    <row r="122" spans="1:4" s="958" customFormat="1" ht="12.75" hidden="1" outlineLevel="1">
      <c r="A122" s="974" t="s">
        <v>901</v>
      </c>
      <c r="B122" s="975">
        <v>4.03</v>
      </c>
      <c r="C122" s="975">
        <v>2.19</v>
      </c>
      <c r="D122" s="377">
        <f t="shared" si="4"/>
        <v>6418146.1227000011</v>
      </c>
    </row>
    <row r="123" spans="1:4" s="958" customFormat="1" ht="12.75" hidden="1" outlineLevel="1">
      <c r="A123" s="972" t="s">
        <v>902</v>
      </c>
      <c r="B123" s="973">
        <v>78.91</v>
      </c>
      <c r="C123" s="973">
        <v>1.4350000000000001</v>
      </c>
      <c r="D123" s="451">
        <f>B123*C123*B46</f>
        <v>82346355.71435</v>
      </c>
    </row>
    <row r="124" spans="1:4" s="958" customFormat="1" ht="12.75" hidden="1" outlineLevel="1">
      <c r="A124" s="972" t="s">
        <v>903</v>
      </c>
      <c r="B124" s="973">
        <v>45.87</v>
      </c>
      <c r="C124" s="973">
        <v>4.7</v>
      </c>
      <c r="D124" s="451">
        <f>SUM(D125:D136)</f>
        <v>159350255.81720003</v>
      </c>
    </row>
    <row r="125" spans="1:4" s="958" customFormat="1" ht="12.75" hidden="1" outlineLevel="1">
      <c r="A125" s="974" t="s">
        <v>904</v>
      </c>
      <c r="B125" s="975">
        <v>6.14</v>
      </c>
      <c r="C125" s="975">
        <v>1.72</v>
      </c>
      <c r="D125" s="377">
        <f>B125*C125*$B$46</f>
        <v>7679929.9287999989</v>
      </c>
    </row>
    <row r="126" spans="1:4" s="958" customFormat="1" ht="12.75" hidden="1" outlineLevel="1">
      <c r="A126" s="974" t="s">
        <v>905</v>
      </c>
      <c r="B126" s="975">
        <v>14.16</v>
      </c>
      <c r="C126" s="975">
        <v>8.89</v>
      </c>
      <c r="D126" s="377">
        <f t="shared" ref="D126:D136" si="5">B126*C126*$B$46</f>
        <v>91543065.986400008</v>
      </c>
    </row>
    <row r="127" spans="1:4" s="958" customFormat="1" ht="12.75" hidden="1" outlineLevel="1">
      <c r="A127" s="974" t="s">
        <v>906</v>
      </c>
      <c r="B127" s="975">
        <v>1.04</v>
      </c>
      <c r="C127" s="975">
        <v>1.8</v>
      </c>
      <c r="D127" s="377">
        <f t="shared" si="5"/>
        <v>1361338.9920000001</v>
      </c>
    </row>
    <row r="128" spans="1:4" s="958" customFormat="1" ht="12.75" hidden="1" outlineLevel="1">
      <c r="A128" s="974" t="s">
        <v>907</v>
      </c>
      <c r="B128" s="975">
        <v>8.67</v>
      </c>
      <c r="C128" s="975">
        <v>2.1</v>
      </c>
      <c r="D128" s="377">
        <f t="shared" si="5"/>
        <v>13240330.677000001</v>
      </c>
    </row>
    <row r="129" spans="1:4" s="958" customFormat="1" ht="12.75" hidden="1" outlineLevel="1">
      <c r="A129" s="974" t="s">
        <v>908</v>
      </c>
      <c r="B129" s="975">
        <v>1</v>
      </c>
      <c r="C129" s="975">
        <v>2.1</v>
      </c>
      <c r="D129" s="377">
        <f t="shared" si="5"/>
        <v>1527143.1</v>
      </c>
    </row>
    <row r="130" spans="1:4" s="958" customFormat="1" ht="12.75" hidden="1" outlineLevel="1">
      <c r="A130" s="974" t="s">
        <v>909</v>
      </c>
      <c r="B130" s="975">
        <v>3.18</v>
      </c>
      <c r="C130" s="975">
        <v>3.2</v>
      </c>
      <c r="D130" s="377">
        <f t="shared" si="5"/>
        <v>7400099.1360000018</v>
      </c>
    </row>
    <row r="131" spans="1:4" s="958" customFormat="1" ht="12.75" hidden="1" outlineLevel="1">
      <c r="A131" s="974" t="s">
        <v>910</v>
      </c>
      <c r="B131" s="975">
        <v>1.68</v>
      </c>
      <c r="C131" s="975">
        <v>10.1</v>
      </c>
      <c r="D131" s="377">
        <f t="shared" si="5"/>
        <v>12339316.248</v>
      </c>
    </row>
    <row r="132" spans="1:4" s="958" customFormat="1" ht="12.75" hidden="1" outlineLevel="1">
      <c r="A132" s="974" t="s">
        <v>911</v>
      </c>
      <c r="B132" s="975">
        <v>2.1800000000000002</v>
      </c>
      <c r="C132" s="975">
        <v>3.77</v>
      </c>
      <c r="D132" s="377">
        <f t="shared" si="5"/>
        <v>5976656.3245999999</v>
      </c>
    </row>
    <row r="133" spans="1:4" s="958" customFormat="1" ht="12.75" hidden="1" outlineLevel="1">
      <c r="A133" s="974" t="s">
        <v>912</v>
      </c>
      <c r="B133" s="975">
        <v>0.2</v>
      </c>
      <c r="C133" s="975">
        <v>3.77</v>
      </c>
      <c r="D133" s="377">
        <f t="shared" si="5"/>
        <v>548317.09400000004</v>
      </c>
    </row>
    <row r="134" spans="1:4" s="958" customFormat="1" ht="12.75" hidden="1" outlineLevel="1">
      <c r="A134" s="974" t="s">
        <v>913</v>
      </c>
      <c r="B134" s="975">
        <v>4.68</v>
      </c>
      <c r="C134" s="975">
        <v>3.77</v>
      </c>
      <c r="D134" s="377">
        <f t="shared" si="5"/>
        <v>12830619.999599999</v>
      </c>
    </row>
    <row r="135" spans="1:4" s="958" customFormat="1" ht="12.75" hidden="1" outlineLevel="1">
      <c r="A135" s="974" t="s">
        <v>914</v>
      </c>
      <c r="B135" s="975">
        <v>1.86</v>
      </c>
      <c r="C135" s="975">
        <v>2.5</v>
      </c>
      <c r="D135" s="377">
        <f t="shared" si="5"/>
        <v>3381531.1500000004</v>
      </c>
    </row>
    <row r="136" spans="1:4" s="958" customFormat="1" ht="12.75" hidden="1" outlineLevel="1">
      <c r="A136" s="974" t="s">
        <v>915</v>
      </c>
      <c r="B136" s="975">
        <v>1.0900000000000001</v>
      </c>
      <c r="C136" s="975">
        <v>1.92</v>
      </c>
      <c r="D136" s="377">
        <f t="shared" si="5"/>
        <v>1521907.1808</v>
      </c>
    </row>
    <row r="137" spans="1:4" s="958" customFormat="1" ht="12.75" hidden="1" outlineLevel="1">
      <c r="A137" s="972" t="s">
        <v>916</v>
      </c>
      <c r="B137" s="973">
        <v>46.31</v>
      </c>
      <c r="C137" s="973">
        <v>15.07</v>
      </c>
      <c r="D137" s="451">
        <f>SUM(D138:D141)</f>
        <v>715166422.37029994</v>
      </c>
    </row>
    <row r="138" spans="1:4" s="958" customFormat="1" ht="12.75" hidden="1" outlineLevel="1">
      <c r="A138" s="974" t="s">
        <v>917</v>
      </c>
      <c r="B138" s="975">
        <v>25.74</v>
      </c>
      <c r="C138" s="975">
        <v>33.1</v>
      </c>
      <c r="D138" s="377">
        <f>B138*C138*$B$46</f>
        <v>619579408.73399997</v>
      </c>
    </row>
    <row r="139" spans="1:4" s="958" customFormat="1" ht="12.75" hidden="1" outlineLevel="1">
      <c r="A139" s="974" t="s">
        <v>918</v>
      </c>
      <c r="B139" s="975">
        <v>0.14000000000000001</v>
      </c>
      <c r="C139" s="975">
        <v>18.93</v>
      </c>
      <c r="D139" s="377">
        <f t="shared" ref="D139:D141" si="6">B139*C139*$B$46</f>
        <v>1927254.5922000003</v>
      </c>
    </row>
    <row r="140" spans="1:4" s="958" customFormat="1" ht="12.75" hidden="1" outlineLevel="1">
      <c r="A140" s="974" t="s">
        <v>919</v>
      </c>
      <c r="B140" s="975">
        <v>20.11</v>
      </c>
      <c r="C140" s="975">
        <v>6.09</v>
      </c>
      <c r="D140" s="377">
        <f t="shared" si="6"/>
        <v>89061458.448899999</v>
      </c>
    </row>
    <row r="141" spans="1:4" s="958" customFormat="1" ht="12.75" hidden="1" outlineLevel="1">
      <c r="A141" s="974" t="s">
        <v>920</v>
      </c>
      <c r="B141" s="975">
        <v>0.32</v>
      </c>
      <c r="C141" s="975">
        <v>19.760000000000002</v>
      </c>
      <c r="D141" s="377">
        <f t="shared" si="6"/>
        <v>4598300.5952000003</v>
      </c>
    </row>
    <row r="142" spans="1:4" s="958" customFormat="1" ht="12.75" hidden="1" outlineLevel="1">
      <c r="A142" s="972" t="s">
        <v>921</v>
      </c>
      <c r="B142" s="973">
        <v>32.19</v>
      </c>
      <c r="C142" s="973">
        <v>4.25</v>
      </c>
      <c r="D142" s="451">
        <f>B142*C142*$B$46</f>
        <v>99487918.882500008</v>
      </c>
    </row>
    <row r="143" spans="1:4" s="958" customFormat="1" ht="12.75" hidden="1" outlineLevel="1">
      <c r="A143" s="972" t="s">
        <v>922</v>
      </c>
      <c r="B143" s="973">
        <v>7.04</v>
      </c>
      <c r="C143" s="973">
        <v>7.62</v>
      </c>
      <c r="D143" s="451">
        <f>SUM(D144:D147)</f>
        <v>47802080.635839991</v>
      </c>
    </row>
    <row r="144" spans="1:4" s="958" customFormat="1" ht="12.75" hidden="1" outlineLevel="1">
      <c r="A144" s="974" t="s">
        <v>923</v>
      </c>
      <c r="B144" s="975">
        <v>2.81</v>
      </c>
      <c r="C144" s="975">
        <v>2.25</v>
      </c>
      <c r="D144" s="377">
        <f>B144*C144*$B$46</f>
        <v>4597791.5474999994</v>
      </c>
    </row>
    <row r="145" spans="1:5" s="958" customFormat="1" ht="12.75" hidden="1" outlineLevel="1">
      <c r="A145" s="974" t="s">
        <v>924</v>
      </c>
      <c r="B145" s="975">
        <v>2.3199999999999998</v>
      </c>
      <c r="C145" s="975">
        <f>AVERAGE(7.169,37.28)</f>
        <v>22.224499999999999</v>
      </c>
      <c r="D145" s="377">
        <f t="shared" ref="D145:D147" si="7">B145*C145*$B$46</f>
        <v>37495610.017239995</v>
      </c>
    </row>
    <row r="146" spans="1:5" s="958" customFormat="1" ht="12.75" hidden="1" outlineLevel="1">
      <c r="A146" s="974" t="s">
        <v>925</v>
      </c>
      <c r="B146" s="975">
        <v>1.77</v>
      </c>
      <c r="C146" s="975">
        <v>4.1100000000000003</v>
      </c>
      <c r="D146" s="377">
        <f t="shared" si="7"/>
        <v>5290241.8617000012</v>
      </c>
    </row>
    <row r="147" spans="1:5" s="958" customFormat="1" ht="12.75" hidden="1" outlineLevel="1">
      <c r="A147" s="974" t="s">
        <v>926</v>
      </c>
      <c r="B147" s="975">
        <v>0.14000000000000001</v>
      </c>
      <c r="C147" s="975">
        <v>4.1100000000000003</v>
      </c>
      <c r="D147" s="377">
        <f t="shared" si="7"/>
        <v>418437.20940000011</v>
      </c>
    </row>
    <row r="148" spans="1:5" s="958" customFormat="1" ht="12.75" hidden="1" outlineLevel="1">
      <c r="A148" s="972" t="s">
        <v>927</v>
      </c>
      <c r="B148" s="973">
        <v>14.39</v>
      </c>
      <c r="C148" s="973">
        <v>4.21</v>
      </c>
      <c r="D148" s="451">
        <f>B148*C148*$B$46</f>
        <v>44055824.080900006</v>
      </c>
    </row>
    <row r="149" spans="1:5" s="958" customFormat="1" ht="12.75" hidden="1" outlineLevel="1">
      <c r="A149" s="972" t="s">
        <v>928</v>
      </c>
      <c r="B149" s="973">
        <v>4.9000000000000004</v>
      </c>
      <c r="C149" s="973">
        <v>2.19</v>
      </c>
      <c r="D149" s="451">
        <f>SUM(D150:D151)</f>
        <v>4601573.0447000004</v>
      </c>
    </row>
    <row r="150" spans="1:5" s="958" customFormat="1" ht="12.75" hidden="1" outlineLevel="1">
      <c r="A150" s="974" t="s">
        <v>929</v>
      </c>
      <c r="B150" s="975">
        <v>3.13</v>
      </c>
      <c r="C150" s="975">
        <v>1.36</v>
      </c>
      <c r="D150" s="377">
        <f>B150*C150*$B$46</f>
        <v>3095591.7848</v>
      </c>
    </row>
    <row r="151" spans="1:5" s="958" customFormat="1" ht="12.75" hidden="1" outlineLevel="1">
      <c r="A151" s="974" t="s">
        <v>930</v>
      </c>
      <c r="B151" s="975">
        <v>1.77</v>
      </c>
      <c r="C151" s="975">
        <v>1.17</v>
      </c>
      <c r="D151" s="377">
        <f>B151*C151*$B$46</f>
        <v>1505981.2598999999</v>
      </c>
    </row>
    <row r="152" spans="1:5" s="958" customFormat="1" ht="12.75" hidden="1" outlineLevel="1">
      <c r="A152" s="972" t="s">
        <v>931</v>
      </c>
      <c r="B152" s="973">
        <v>59.75</v>
      </c>
      <c r="C152" s="973">
        <v>0.60899999999999999</v>
      </c>
      <c r="D152" s="451">
        <f>B152*C152*$B$46</f>
        <v>26461572.065249998</v>
      </c>
    </row>
    <row r="153" spans="1:5" s="958" customFormat="1" ht="12.75" hidden="1" outlineLevel="1">
      <c r="A153" s="972" t="s">
        <v>932</v>
      </c>
      <c r="B153" s="973">
        <v>38.04</v>
      </c>
      <c r="C153" s="973">
        <f>AVERAGE(C154:C159)</f>
        <v>5.53</v>
      </c>
      <c r="D153" s="451">
        <f>SUM(D154:D159)</f>
        <v>80329981.414100006</v>
      </c>
    </row>
    <row r="154" spans="1:5" s="958" customFormat="1" ht="12.75" hidden="1" outlineLevel="1">
      <c r="A154" s="974" t="s">
        <v>933</v>
      </c>
      <c r="B154" s="975">
        <v>2.2200000000000002</v>
      </c>
      <c r="C154" s="975">
        <v>9.57</v>
      </c>
      <c r="D154" s="377">
        <f>B154*C154*$B$46</f>
        <v>15449888.579400003</v>
      </c>
    </row>
    <row r="155" spans="1:5" s="958" customFormat="1" ht="12.75" hidden="1" outlineLevel="1">
      <c r="A155" s="974" t="s">
        <v>934</v>
      </c>
      <c r="B155" s="975">
        <v>1.59</v>
      </c>
      <c r="C155" s="975">
        <v>1.36</v>
      </c>
      <c r="D155" s="377">
        <f t="shared" ref="D155:D159" si="8">B155*C155*$B$46</f>
        <v>1572521.0664000001</v>
      </c>
    </row>
    <row r="156" spans="1:5" s="958" customFormat="1" ht="12.75" hidden="1" outlineLevel="1">
      <c r="A156" s="974" t="s">
        <v>935</v>
      </c>
      <c r="B156" s="975">
        <v>2.17</v>
      </c>
      <c r="C156" s="975">
        <v>11.92</v>
      </c>
      <c r="D156" s="377">
        <f t="shared" si="8"/>
        <v>18810330.610399999</v>
      </c>
    </row>
    <row r="157" spans="1:5" s="958" customFormat="1" ht="12.75" hidden="1" outlineLevel="1">
      <c r="A157" s="974" t="s">
        <v>936</v>
      </c>
      <c r="B157" s="975">
        <v>6.95</v>
      </c>
      <c r="C157" s="975">
        <v>2.4</v>
      </c>
      <c r="D157" s="377">
        <f t="shared" si="8"/>
        <v>12129879.48</v>
      </c>
    </row>
    <row r="158" spans="1:5" s="958" customFormat="1" ht="12.75" hidden="1" outlineLevel="1">
      <c r="A158" s="974" t="s">
        <v>937</v>
      </c>
      <c r="B158" s="975">
        <v>24.33</v>
      </c>
      <c r="C158" s="975">
        <v>1.63</v>
      </c>
      <c r="D158" s="377">
        <f t="shared" si="8"/>
        <v>28839661.116899997</v>
      </c>
    </row>
    <row r="159" spans="1:5" s="958" customFormat="1" ht="12.75" hidden="1" outlineLevel="1">
      <c r="A159" s="974" t="s">
        <v>938</v>
      </c>
      <c r="B159" s="975">
        <v>0.77</v>
      </c>
      <c r="C159" s="975">
        <v>6.3</v>
      </c>
      <c r="D159" s="377">
        <f t="shared" si="8"/>
        <v>3527700.5609999998</v>
      </c>
    </row>
    <row r="160" spans="1:5" s="958" customFormat="1" ht="14.25" hidden="1" outlineLevel="1">
      <c r="A160" s="976" t="s">
        <v>939</v>
      </c>
      <c r="B160" s="1273">
        <f>D51+D58+D80+D85+D118+D123+D124+D137+D142+D143+D148+D149+D152+D153</f>
        <v>1425725410.3752396</v>
      </c>
      <c r="C160" s="1274"/>
      <c r="D160" s="1275"/>
      <c r="E160" s="977"/>
    </row>
    <row r="161" s="958" customFormat="1" ht="12.75" collapsed="1"/>
  </sheetData>
  <mergeCells count="14">
    <mergeCell ref="F9:J9"/>
    <mergeCell ref="A11:E11"/>
    <mergeCell ref="F11:J11"/>
    <mergeCell ref="F10:J10"/>
    <mergeCell ref="C15:E15"/>
    <mergeCell ref="C14:E14"/>
    <mergeCell ref="A8:E8"/>
    <mergeCell ref="C18:D18"/>
    <mergeCell ref="A9:E9"/>
    <mergeCell ref="A10:E10"/>
    <mergeCell ref="B160:D160"/>
    <mergeCell ref="C17:E17"/>
    <mergeCell ref="C20:E20"/>
    <mergeCell ref="C21:E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1" tint="0.499984740745262"/>
  </sheetPr>
  <dimension ref="A1:AM1010"/>
  <sheetViews>
    <sheetView topLeftCell="A19" workbookViewId="0">
      <selection activeCell="B28" sqref="B28"/>
    </sheetView>
  </sheetViews>
  <sheetFormatPr defaultColWidth="11.125" defaultRowHeight="15" customHeight="1" outlineLevelRow="1"/>
  <cols>
    <col min="1" max="1" width="42.625" style="13" customWidth="1"/>
    <col min="2" max="2" width="17.75" style="13" customWidth="1"/>
    <col min="3" max="13" width="15.25" style="13" customWidth="1"/>
    <col min="14" max="14" width="10.625" style="13" customWidth="1"/>
    <col min="15" max="15" width="13" style="13" customWidth="1"/>
    <col min="16" max="16" width="23.25" style="13" customWidth="1"/>
    <col min="17" max="17" width="21.75" style="13" customWidth="1"/>
    <col min="18" max="16384" width="11.125" style="13"/>
  </cols>
  <sheetData>
    <row r="1" spans="1:39" s="221" customFormat="1" ht="24" customHeight="1">
      <c r="A1" s="225" t="s">
        <v>394</v>
      </c>
      <c r="B1" s="225"/>
      <c r="C1" s="225"/>
      <c r="D1" s="225"/>
      <c r="E1" s="225"/>
      <c r="F1" s="225"/>
      <c r="G1" s="225"/>
      <c r="H1" s="225"/>
      <c r="I1" s="225"/>
      <c r="J1" s="225"/>
      <c r="K1" s="225"/>
      <c r="L1" s="225"/>
      <c r="M1" s="225"/>
    </row>
    <row r="2" spans="1:39" ht="21" customHeight="1">
      <c r="A2" s="1101" t="s">
        <v>611</v>
      </c>
      <c r="B2" s="1102"/>
      <c r="C2" s="1102"/>
      <c r="D2" s="1102"/>
      <c r="E2" s="1102"/>
      <c r="F2" s="1102"/>
      <c r="G2" s="1102"/>
      <c r="H2" s="1102"/>
      <c r="I2" s="1102"/>
      <c r="J2" s="1102"/>
      <c r="K2" s="1102"/>
      <c r="L2" s="1102"/>
      <c r="M2" s="1103"/>
      <c r="N2" s="9"/>
      <c r="O2" s="9"/>
      <c r="P2" s="9"/>
      <c r="Q2" s="9"/>
      <c r="R2" s="9"/>
      <c r="S2" s="9"/>
      <c r="T2" s="9"/>
      <c r="U2" s="9"/>
      <c r="V2" s="9"/>
      <c r="W2" s="9"/>
      <c r="X2" s="9"/>
      <c r="Y2" s="9"/>
      <c r="Z2" s="9"/>
      <c r="AA2" s="9"/>
      <c r="AB2" s="9"/>
      <c r="AC2" s="9"/>
      <c r="AD2" s="9"/>
      <c r="AE2" s="9"/>
      <c r="AF2" s="9"/>
      <c r="AG2" s="9"/>
      <c r="AH2" s="9"/>
      <c r="AI2" s="9"/>
      <c r="AJ2" s="9"/>
      <c r="AK2" s="9"/>
      <c r="AL2" s="9"/>
      <c r="AM2" s="9"/>
    </row>
    <row r="3" spans="1:39" ht="45.75" customHeight="1" outlineLevel="1">
      <c r="A3" s="678" t="s">
        <v>60</v>
      </c>
      <c r="B3" s="676" t="s">
        <v>1100</v>
      </c>
      <c r="C3" s="677" t="s">
        <v>59</v>
      </c>
      <c r="D3" s="6"/>
      <c r="E3" s="6"/>
      <c r="F3" s="6"/>
      <c r="G3" s="6"/>
      <c r="H3" s="6"/>
      <c r="I3" s="6"/>
      <c r="J3" s="6"/>
      <c r="K3" s="6"/>
      <c r="L3" s="6"/>
      <c r="M3" s="6"/>
      <c r="N3" s="9"/>
      <c r="O3" s="9"/>
      <c r="P3" s="9"/>
      <c r="Q3" s="9"/>
    </row>
    <row r="4" spans="1:39" ht="15" customHeight="1" outlineLevel="1">
      <c r="A4" s="715" t="s">
        <v>64</v>
      </c>
      <c r="B4" s="716">
        <f>'Emission Summary'!$B$4</f>
        <v>4825744.3665837971</v>
      </c>
      <c r="C4" s="717">
        <f>B4/$B$8</f>
        <v>0.41964077202147226</v>
      </c>
      <c r="D4" s="6"/>
      <c r="E4" s="6"/>
      <c r="F4" s="6"/>
      <c r="G4" s="6"/>
      <c r="H4" s="6"/>
      <c r="I4" s="6"/>
      <c r="J4" s="6"/>
      <c r="K4" s="6"/>
      <c r="L4" s="6"/>
      <c r="M4" s="6"/>
      <c r="N4" s="9"/>
      <c r="O4" s="9"/>
      <c r="P4" s="9"/>
      <c r="Q4" s="9"/>
    </row>
    <row r="5" spans="1:39" ht="15" customHeight="1" outlineLevel="1">
      <c r="A5" s="229" t="s">
        <v>66</v>
      </c>
      <c r="B5" s="230">
        <f>'Emission Summary'!$B$5</f>
        <v>3456616.461245128</v>
      </c>
      <c r="C5" s="231">
        <f>B5/$B$8</f>
        <v>0.30058309976454217</v>
      </c>
      <c r="D5" s="6"/>
      <c r="E5" s="6"/>
      <c r="F5" s="6"/>
      <c r="G5" s="6"/>
      <c r="H5" s="6"/>
      <c r="I5" s="6"/>
      <c r="J5" s="6"/>
      <c r="K5" s="6"/>
      <c r="L5" s="6"/>
      <c r="M5" s="6"/>
      <c r="N5" s="9"/>
      <c r="O5" s="9"/>
      <c r="P5" s="9"/>
      <c r="Q5" s="9"/>
    </row>
    <row r="6" spans="1:39" ht="15" customHeight="1" outlineLevel="1">
      <c r="A6" s="229" t="s">
        <v>67</v>
      </c>
      <c r="B6" s="230">
        <f>'Emission Summary'!$B$6</f>
        <v>814001.79890442197</v>
      </c>
      <c r="C6" s="231">
        <f>B6/$B$8</f>
        <v>7.0784591426862789E-2</v>
      </c>
      <c r="D6" s="6"/>
      <c r="E6" s="6"/>
      <c r="F6" s="6"/>
      <c r="G6" s="6"/>
      <c r="H6" s="6"/>
      <c r="I6" s="6"/>
      <c r="J6" s="6"/>
      <c r="K6" s="6"/>
      <c r="L6" s="6"/>
      <c r="M6" s="6"/>
      <c r="N6" s="9"/>
      <c r="O6" s="9"/>
      <c r="P6" s="9"/>
      <c r="Q6" s="9"/>
    </row>
    <row r="7" spans="1:39" ht="15" customHeight="1" outlineLevel="1">
      <c r="A7" s="232" t="s">
        <v>609</v>
      </c>
      <c r="B7" s="230">
        <f>'Emission Summary'!$B$7</f>
        <v>2403340.6631482961</v>
      </c>
      <c r="C7" s="231">
        <f>B7/$B$8</f>
        <v>0.20899153678712276</v>
      </c>
      <c r="D7" s="6"/>
      <c r="E7" s="6"/>
      <c r="F7" s="6"/>
      <c r="G7" s="6"/>
      <c r="H7" s="6"/>
      <c r="I7" s="6"/>
      <c r="J7" s="6"/>
      <c r="K7" s="6"/>
      <c r="L7" s="6"/>
      <c r="M7" s="6"/>
      <c r="N7" s="9"/>
      <c r="O7" s="9"/>
      <c r="P7" s="9"/>
      <c r="Q7" s="9"/>
    </row>
    <row r="8" spans="1:39" ht="15" customHeight="1" outlineLevel="1">
      <c r="A8" s="235" t="s">
        <v>69</v>
      </c>
      <c r="B8" s="233">
        <f>SUM(B4:B7)</f>
        <v>11499703.289881643</v>
      </c>
      <c r="C8" s="234">
        <f>SUM(C4:C7)</f>
        <v>1</v>
      </c>
      <c r="D8" s="6"/>
      <c r="E8" s="6"/>
      <c r="F8" s="6"/>
      <c r="G8" s="6"/>
      <c r="H8" s="6"/>
      <c r="I8" s="6"/>
      <c r="J8" s="6"/>
      <c r="K8" s="6"/>
      <c r="L8" s="6"/>
      <c r="M8" s="6"/>
      <c r="N8" s="9"/>
      <c r="O8" s="9"/>
      <c r="P8" s="9"/>
      <c r="Q8" s="9"/>
    </row>
    <row r="9" spans="1:39" ht="87" customHeight="1">
      <c r="A9" s="6"/>
      <c r="B9" s="1052"/>
      <c r="C9" s="6"/>
      <c r="D9" s="6"/>
      <c r="E9" s="6"/>
      <c r="F9" s="6"/>
      <c r="G9" s="6"/>
      <c r="H9" s="6"/>
      <c r="I9" s="6"/>
      <c r="J9" s="6"/>
      <c r="K9" s="6"/>
      <c r="L9" s="6"/>
      <c r="M9" s="6"/>
      <c r="N9" s="9"/>
      <c r="O9" s="9"/>
      <c r="P9" s="9"/>
      <c r="Q9" s="9"/>
    </row>
    <row r="10" spans="1:39" ht="19.5" customHeight="1">
      <c r="A10" s="1101" t="s">
        <v>51</v>
      </c>
      <c r="B10" s="1102"/>
      <c r="C10" s="1102"/>
      <c r="D10" s="1102"/>
      <c r="E10" s="1102"/>
      <c r="F10" s="1102"/>
      <c r="G10" s="1102"/>
      <c r="H10" s="1102"/>
      <c r="I10" s="1102"/>
      <c r="J10" s="1102"/>
      <c r="K10" s="1102"/>
      <c r="L10" s="1102"/>
      <c r="M10" s="1103"/>
      <c r="N10" s="8"/>
    </row>
    <row r="11" spans="1:39" ht="28.5" outlineLevel="1">
      <c r="A11" s="678" t="s">
        <v>58</v>
      </c>
      <c r="B11" s="676" t="s">
        <v>1100</v>
      </c>
      <c r="C11" s="677" t="s">
        <v>59</v>
      </c>
      <c r="D11" s="7"/>
      <c r="E11" s="8"/>
      <c r="F11" s="7"/>
      <c r="G11" s="9"/>
      <c r="H11" s="9"/>
      <c r="I11" s="7"/>
      <c r="J11" s="7"/>
      <c r="K11" s="7"/>
      <c r="L11" s="7"/>
      <c r="M11" s="7"/>
      <c r="N11" s="8"/>
    </row>
    <row r="12" spans="1:39" ht="15" customHeight="1" outlineLevel="1">
      <c r="A12" s="718" t="str">
        <f>'Emission Summary'!A22</f>
        <v>Buildings</v>
      </c>
      <c r="B12" s="716">
        <f>'Emission Summary'!B22</f>
        <v>5439797.1986313146</v>
      </c>
      <c r="C12" s="719">
        <f t="shared" ref="C12:C17" si="0">B12/$B$18</f>
        <v>0.47303804815709311</v>
      </c>
      <c r="D12" s="7"/>
      <c r="E12" s="8"/>
      <c r="F12" s="7"/>
      <c r="G12" s="9"/>
      <c r="H12" s="9"/>
      <c r="I12" s="7"/>
      <c r="J12" s="7"/>
      <c r="K12" s="7"/>
      <c r="L12" s="7"/>
      <c r="M12" s="7"/>
      <c r="N12" s="8"/>
    </row>
    <row r="13" spans="1:39" ht="15" customHeight="1" outlineLevel="1">
      <c r="A13" s="718" t="str">
        <f>'Emission Summary'!A23</f>
        <v>Transportation</v>
      </c>
      <c r="B13" s="716">
        <f>'Emission Summary'!B23</f>
        <v>3457799.1960392767</v>
      </c>
      <c r="C13" s="236">
        <f t="shared" si="0"/>
        <v>0.30068594892197997</v>
      </c>
      <c r="D13" s="7"/>
      <c r="E13" s="8"/>
      <c r="F13" s="7"/>
      <c r="G13" s="9"/>
      <c r="H13" s="9"/>
      <c r="I13" s="7"/>
      <c r="J13" s="7"/>
      <c r="K13" s="7"/>
      <c r="L13" s="7"/>
      <c r="M13" s="7"/>
      <c r="N13" s="8"/>
    </row>
    <row r="14" spans="1:39" ht="15" customHeight="1" outlineLevel="1">
      <c r="A14" s="718" t="str">
        <f>'Emission Summary'!A24</f>
        <v>Solid Waste</v>
      </c>
      <c r="B14" s="716">
        <f>'Emission Summary'!B24</f>
        <v>169849.90290442202</v>
      </c>
      <c r="C14" s="236">
        <f t="shared" si="0"/>
        <v>1.4769937851689577E-2</v>
      </c>
      <c r="D14" s="7"/>
      <c r="E14" s="8"/>
      <c r="F14" s="7"/>
      <c r="G14" s="9"/>
      <c r="H14" s="9"/>
      <c r="I14" s="7"/>
      <c r="J14" s="7"/>
      <c r="K14" s="7"/>
      <c r="L14" s="7"/>
      <c r="M14" s="7"/>
      <c r="N14" s="8"/>
    </row>
    <row r="15" spans="1:39" ht="15" customHeight="1" outlineLevel="1">
      <c r="A15" s="718" t="str">
        <f>'Emission Summary'!A25</f>
        <v>Wastewater Treatment</v>
      </c>
      <c r="B15" s="716">
        <f>'Emission Summary'!B25</f>
        <v>5666</v>
      </c>
      <c r="C15" s="725">
        <f t="shared" si="0"/>
        <v>4.9270836448322964E-4</v>
      </c>
      <c r="D15" s="7"/>
      <c r="E15" s="8"/>
      <c r="F15" s="7"/>
      <c r="G15" s="9"/>
      <c r="H15" s="9"/>
      <c r="I15" s="7"/>
      <c r="J15" s="7"/>
      <c r="K15" s="7"/>
      <c r="L15" s="7"/>
      <c r="M15" s="7"/>
      <c r="N15" s="7"/>
    </row>
    <row r="16" spans="1:39" ht="15" customHeight="1" outlineLevel="1">
      <c r="A16" s="718" t="str">
        <f>'Emission Summary'!A26</f>
        <v>IPPU</v>
      </c>
      <c r="B16" s="716">
        <f>'Emission Summary'!B26</f>
        <v>23250.329158333334</v>
      </c>
      <c r="C16" s="725">
        <f t="shared" si="0"/>
        <v>2.0218199176313383E-3</v>
      </c>
      <c r="D16" s="7"/>
      <c r="E16" s="8"/>
      <c r="F16" s="7"/>
      <c r="G16" s="9"/>
      <c r="H16" s="9"/>
      <c r="I16" s="7"/>
      <c r="J16" s="7"/>
      <c r="K16" s="7"/>
      <c r="L16" s="7"/>
      <c r="M16" s="7"/>
      <c r="N16" s="7"/>
    </row>
    <row r="17" spans="1:17" ht="15" customHeight="1" outlineLevel="1">
      <c r="A17" s="718" t="str">
        <f>'Emission Summary'!A27</f>
        <v>Consumption-Based</v>
      </c>
      <c r="B17" s="716">
        <f>'Emission Summary'!B27</f>
        <v>2403340.6631482961</v>
      </c>
      <c r="C17" s="236">
        <f t="shared" si="0"/>
        <v>0.20899153678712276</v>
      </c>
      <c r="D17" s="7"/>
      <c r="E17" s="8"/>
      <c r="F17" s="7"/>
      <c r="G17" s="9"/>
      <c r="H17" s="9"/>
      <c r="I17" s="7"/>
      <c r="J17" s="7"/>
      <c r="K17" s="7"/>
      <c r="L17" s="7"/>
      <c r="M17" s="7"/>
      <c r="N17" s="7"/>
      <c r="O17" s="7"/>
      <c r="P17" s="7"/>
      <c r="Q17" s="7"/>
    </row>
    <row r="18" spans="1:17" ht="15" customHeight="1" outlineLevel="1">
      <c r="A18" s="235" t="s">
        <v>69</v>
      </c>
      <c r="B18" s="233">
        <f>SUM(B12:B17)</f>
        <v>11499703.289881643</v>
      </c>
      <c r="C18" s="234">
        <f>SUM(C12:C17)</f>
        <v>0.99999999999999989</v>
      </c>
      <c r="D18" s="7"/>
      <c r="E18" s="8"/>
      <c r="F18" s="7"/>
      <c r="G18" s="7"/>
      <c r="H18" s="7"/>
      <c r="I18" s="7"/>
      <c r="J18" s="7"/>
      <c r="K18" s="7"/>
      <c r="L18" s="7"/>
      <c r="M18" s="7"/>
      <c r="N18" s="7"/>
      <c r="O18" s="7"/>
      <c r="P18" s="7"/>
      <c r="Q18" s="7"/>
    </row>
    <row r="19" spans="1:17" ht="63.75" customHeight="1">
      <c r="A19" s="27"/>
      <c r="B19" s="82"/>
      <c r="C19" s="83"/>
      <c r="D19" s="7"/>
      <c r="E19" s="8"/>
      <c r="F19" s="7"/>
      <c r="G19" s="7"/>
      <c r="H19" s="7"/>
      <c r="I19" s="7"/>
      <c r="J19" s="7"/>
      <c r="K19" s="7"/>
      <c r="L19" s="7"/>
      <c r="M19" s="7"/>
      <c r="N19" s="7"/>
      <c r="O19" s="7"/>
      <c r="P19" s="7"/>
      <c r="Q19" s="7"/>
    </row>
    <row r="20" spans="1:17" ht="18.600000000000001" customHeight="1">
      <c r="A20" s="1101" t="s">
        <v>73</v>
      </c>
      <c r="B20" s="1102"/>
      <c r="C20" s="1102"/>
      <c r="D20" s="1102"/>
      <c r="E20" s="1102"/>
      <c r="F20" s="1102"/>
      <c r="G20" s="1102"/>
      <c r="H20" s="1102"/>
      <c r="I20" s="1102"/>
      <c r="J20" s="1102"/>
      <c r="K20" s="1102"/>
      <c r="L20" s="1102"/>
      <c r="M20" s="1103"/>
      <c r="N20" s="7"/>
      <c r="O20" s="7"/>
      <c r="P20" s="7"/>
      <c r="Q20" s="7"/>
    </row>
    <row r="21" spans="1:17" ht="28.5" outlineLevel="1">
      <c r="A21" s="679" t="s">
        <v>74</v>
      </c>
      <c r="B21" s="680" t="s">
        <v>1100</v>
      </c>
      <c r="C21" s="681" t="s">
        <v>59</v>
      </c>
      <c r="D21" s="7"/>
      <c r="E21" s="7"/>
      <c r="F21" s="7"/>
      <c r="G21" s="7"/>
      <c r="H21" s="7"/>
      <c r="I21" s="7"/>
      <c r="J21" s="7"/>
      <c r="K21" s="7"/>
      <c r="L21" s="7"/>
      <c r="M21" s="7"/>
      <c r="N21" s="7"/>
      <c r="O21" s="7"/>
      <c r="P21" s="7"/>
      <c r="Q21" s="7"/>
    </row>
    <row r="22" spans="1:17" ht="15" customHeight="1" outlineLevel="1">
      <c r="A22" s="720" t="str">
        <f>'Emission Summary'!A31</f>
        <v>Building Electricity</v>
      </c>
      <c r="B22" s="716">
        <f>'Emission Summary'!B31</f>
        <v>3420518.2063317443</v>
      </c>
      <c r="C22" s="721">
        <f>B22/$B$39</f>
        <v>0.29744404008592024</v>
      </c>
      <c r="D22" s="7"/>
      <c r="E22" s="10"/>
      <c r="F22" s="11"/>
      <c r="G22" s="7"/>
      <c r="H22" s="7"/>
      <c r="I22" s="7"/>
      <c r="J22" s="7"/>
      <c r="K22" s="7"/>
      <c r="L22" s="7"/>
      <c r="M22" s="7"/>
      <c r="N22" s="7"/>
    </row>
    <row r="23" spans="1:17" ht="15" customHeight="1" outlineLevel="1">
      <c r="A23" s="720" t="str">
        <f>'Emission Summary'!A32</f>
        <v>Natural Gas (including fugitive emissions)</v>
      </c>
      <c r="B23" s="716">
        <f>'Emission Summary'!B32</f>
        <v>2001028.1893668587</v>
      </c>
      <c r="C23" s="721">
        <f t="shared" ref="C23:C38" si="1">B23/$B$39</f>
        <v>0.17400694078146547</v>
      </c>
      <c r="D23" s="7"/>
      <c r="E23" s="12"/>
      <c r="F23" s="12"/>
      <c r="G23" s="7"/>
      <c r="H23" s="7"/>
      <c r="I23" s="7"/>
      <c r="J23" s="7"/>
      <c r="K23" s="7"/>
      <c r="L23" s="7"/>
      <c r="M23" s="7"/>
      <c r="N23" s="7"/>
    </row>
    <row r="24" spans="1:17" ht="15" customHeight="1" outlineLevel="1">
      <c r="A24" s="720" t="str">
        <f>'Emission Summary'!A33</f>
        <v>Propane</v>
      </c>
      <c r="B24" s="716">
        <f>'Emission Summary'!B33</f>
        <v>3656.3364721118801</v>
      </c>
      <c r="C24" s="721">
        <f t="shared" si="1"/>
        <v>3.1795050532556059E-4</v>
      </c>
      <c r="D24" s="7"/>
      <c r="E24" s="7"/>
      <c r="F24" s="7"/>
      <c r="G24" s="7"/>
      <c r="H24" s="7"/>
      <c r="I24" s="7"/>
      <c r="J24" s="7"/>
      <c r="K24" s="7"/>
      <c r="L24" s="7"/>
      <c r="M24" s="7"/>
      <c r="N24" s="7"/>
    </row>
    <row r="25" spans="1:17" ht="15" customHeight="1" outlineLevel="1">
      <c r="A25" s="720" t="str">
        <f>'Emission Summary'!A34</f>
        <v>Stationary Diesel</v>
      </c>
      <c r="B25" s="716">
        <f>'Emission Summary'!B34</f>
        <v>14594.466460600002</v>
      </c>
      <c r="C25" s="721">
        <f t="shared" si="1"/>
        <v>1.2691167843818527E-3</v>
      </c>
      <c r="D25" s="7"/>
      <c r="E25" s="7"/>
      <c r="F25" s="7"/>
      <c r="G25" s="7"/>
      <c r="H25" s="7"/>
      <c r="I25" s="7"/>
      <c r="J25" s="7"/>
      <c r="K25" s="7"/>
      <c r="L25" s="7"/>
      <c r="M25" s="7"/>
      <c r="N25" s="7"/>
    </row>
    <row r="26" spans="1:17" ht="15" customHeight="1" outlineLevel="1">
      <c r="A26" s="720" t="str">
        <f>'Emission Summary'!A35</f>
        <v>On-Road Transportation including Electric Vehicles</v>
      </c>
      <c r="B26" s="716">
        <f>'Emission Summary'!B35</f>
        <v>2670048.0664684745</v>
      </c>
      <c r="C26" s="721">
        <f t="shared" si="1"/>
        <v>0.23218408329002679</v>
      </c>
      <c r="D26" s="7"/>
      <c r="E26" s="7"/>
      <c r="F26" s="7"/>
      <c r="G26" s="7"/>
      <c r="H26" s="7"/>
      <c r="I26" s="7"/>
      <c r="J26" s="7"/>
      <c r="K26" s="7"/>
      <c r="L26" s="7"/>
      <c r="M26" s="7"/>
      <c r="N26" s="7"/>
    </row>
    <row r="27" spans="1:17" outlineLevel="1">
      <c r="A27" s="720" t="str">
        <f>'Emission Summary'!A36</f>
        <v>Transit</v>
      </c>
      <c r="B27" s="716">
        <f>'Emission Summary'!B36</f>
        <v>36266.545636515635</v>
      </c>
      <c r="C27" s="721">
        <f t="shared" si="1"/>
        <v>3.153694032125667E-3</v>
      </c>
      <c r="D27" s="7"/>
      <c r="E27" s="7"/>
      <c r="F27" s="7"/>
      <c r="G27" s="7"/>
      <c r="H27" s="7"/>
      <c r="I27" s="7"/>
      <c r="J27" s="7"/>
      <c r="K27" s="7"/>
      <c r="L27" s="7"/>
      <c r="M27" s="7"/>
      <c r="N27" s="7"/>
    </row>
    <row r="28" spans="1:17" ht="15" customHeight="1" outlineLevel="1">
      <c r="A28" s="720" t="str">
        <f>'Emission Summary'!A37</f>
        <v xml:space="preserve">Rail and Light Rail </v>
      </c>
      <c r="B28" s="716">
        <f>'Emission Summary'!B37</f>
        <v>74171.870633112587</v>
      </c>
      <c r="C28" s="721">
        <f t="shared" si="1"/>
        <v>6.4498942940879982E-3</v>
      </c>
      <c r="D28" s="7"/>
      <c r="E28" s="7"/>
      <c r="F28" s="7"/>
      <c r="G28" s="7"/>
      <c r="H28" s="7"/>
      <c r="I28" s="7"/>
      <c r="J28" s="7"/>
      <c r="K28" s="7"/>
      <c r="L28" s="7"/>
      <c r="M28" s="7"/>
      <c r="N28" s="7"/>
    </row>
    <row r="29" spans="1:17" ht="15" customHeight="1" outlineLevel="1">
      <c r="A29" s="720" t="str">
        <f>'Emission Summary'!A38</f>
        <v>Transboundary Aviation</v>
      </c>
      <c r="B29" s="716">
        <f>'Emission Summary'!B38</f>
        <v>644264.09600000002</v>
      </c>
      <c r="C29" s="721">
        <f t="shared" si="1"/>
        <v>5.6024410348645692E-2</v>
      </c>
      <c r="D29" s="7"/>
      <c r="E29" s="7"/>
      <c r="F29" s="7"/>
      <c r="G29" s="7"/>
      <c r="H29" s="7"/>
      <c r="I29" s="7"/>
      <c r="J29" s="7"/>
      <c r="K29" s="7"/>
      <c r="L29" s="7"/>
      <c r="M29" s="7"/>
      <c r="N29" s="7"/>
    </row>
    <row r="30" spans="1:17" ht="15" customHeight="1" outlineLevel="1">
      <c r="A30" s="720" t="str">
        <f>'Emission Summary'!A39</f>
        <v>In-Boundary Aviation</v>
      </c>
      <c r="B30" s="716">
        <f>'Emission Summary'!B39</f>
        <v>82.521669299579969</v>
      </c>
      <c r="C30" s="721">
        <f t="shared" si="1"/>
        <v>7.1759824770600058E-6</v>
      </c>
      <c r="D30" s="7"/>
      <c r="E30" s="7"/>
      <c r="F30" s="7"/>
      <c r="G30" s="7"/>
      <c r="H30" s="7"/>
      <c r="I30" s="7"/>
      <c r="J30" s="7"/>
      <c r="K30" s="7"/>
      <c r="L30" s="7"/>
      <c r="M30" s="7"/>
      <c r="N30" s="7"/>
    </row>
    <row r="31" spans="1:17" ht="15" customHeight="1" outlineLevel="1">
      <c r="A31" s="720" t="str">
        <f>'Emission Summary'!A40</f>
        <v>Off-Road Vehicles and Equipment</v>
      </c>
      <c r="B31" s="716">
        <f>'Emission Summary'!B40</f>
        <v>32966.095631874356</v>
      </c>
      <c r="C31" s="721">
        <f t="shared" si="1"/>
        <v>2.8666909746167587E-3</v>
      </c>
      <c r="D31" s="7"/>
      <c r="E31" s="7"/>
      <c r="F31" s="7"/>
      <c r="G31" s="7"/>
      <c r="H31" s="7"/>
      <c r="I31" s="7"/>
      <c r="J31" s="7"/>
      <c r="K31" s="7"/>
      <c r="L31" s="7"/>
      <c r="M31" s="7"/>
      <c r="N31" s="7"/>
    </row>
    <row r="32" spans="1:17" ht="15" customHeight="1" outlineLevel="1">
      <c r="A32" s="720" t="str">
        <f>'Emission Summary'!A41</f>
        <v>Landfilled Waste</v>
      </c>
      <c r="B32" s="716">
        <f>'Emission Summary'!B41</f>
        <v>167488.42052842202</v>
      </c>
      <c r="C32" s="721">
        <f t="shared" si="1"/>
        <v>1.456458625987261E-2</v>
      </c>
      <c r="D32" s="7"/>
      <c r="E32" s="7"/>
      <c r="F32" s="7"/>
      <c r="G32" s="7"/>
      <c r="H32" s="7"/>
      <c r="I32" s="7"/>
      <c r="J32" s="7"/>
      <c r="K32" s="7"/>
      <c r="L32" s="7"/>
      <c r="M32" s="7"/>
      <c r="N32" s="7"/>
      <c r="O32" s="7"/>
      <c r="P32" s="7"/>
      <c r="Q32" s="7"/>
    </row>
    <row r="33" spans="1:17" ht="15" customHeight="1" outlineLevel="1">
      <c r="A33" s="720" t="str">
        <f>'Emission Summary'!A42</f>
        <v>Composted Waste</v>
      </c>
      <c r="B33" s="716">
        <f>'Emission Summary'!B42</f>
        <v>2361.4823759999999</v>
      </c>
      <c r="C33" s="721">
        <f t="shared" si="1"/>
        <v>2.0535159181696633E-4</v>
      </c>
      <c r="D33" s="7"/>
      <c r="E33" s="7"/>
      <c r="F33" s="7"/>
      <c r="G33" s="7"/>
      <c r="H33" s="7"/>
      <c r="I33" s="7"/>
      <c r="J33" s="7"/>
      <c r="K33" s="7"/>
      <c r="L33" s="7"/>
      <c r="M33" s="7"/>
      <c r="N33" s="7"/>
      <c r="O33" s="7"/>
      <c r="P33" s="7"/>
      <c r="Q33" s="7"/>
    </row>
    <row r="34" spans="1:17" ht="15" customHeight="1" outlineLevel="1">
      <c r="A34" s="720" t="str">
        <f>'Emission Summary'!A43</f>
        <v>Wastewater</v>
      </c>
      <c r="B34" s="716">
        <f>'Emission Summary'!B43</f>
        <v>5666</v>
      </c>
      <c r="C34" s="721">
        <f t="shared" si="1"/>
        <v>4.9270836448322964E-4</v>
      </c>
      <c r="D34" s="7"/>
      <c r="E34" s="7"/>
      <c r="F34" s="7"/>
      <c r="G34" s="7"/>
      <c r="H34" s="7"/>
      <c r="I34" s="7"/>
      <c r="J34" s="7"/>
      <c r="K34" s="7"/>
      <c r="L34" s="7"/>
      <c r="M34" s="7"/>
      <c r="N34" s="7"/>
      <c r="O34" s="7"/>
      <c r="P34" s="7"/>
      <c r="Q34" s="7"/>
    </row>
    <row r="35" spans="1:17" ht="15" customHeight="1" outlineLevel="1">
      <c r="A35" s="720" t="str">
        <f>'Emission Summary'!A44</f>
        <v>Refrigerants</v>
      </c>
      <c r="B35" s="716">
        <f>'Emission Summary'!B44</f>
        <v>23250.329158333334</v>
      </c>
      <c r="C35" s="721">
        <f t="shared" si="1"/>
        <v>2.0218199176313383E-3</v>
      </c>
      <c r="D35" s="7"/>
      <c r="E35" s="7"/>
      <c r="F35" s="7"/>
      <c r="G35" s="7"/>
      <c r="H35" s="7"/>
      <c r="I35" s="7"/>
      <c r="J35" s="7"/>
      <c r="K35" s="7"/>
      <c r="L35" s="7"/>
      <c r="M35" s="7"/>
      <c r="N35" s="7"/>
      <c r="O35" s="7"/>
      <c r="P35" s="7"/>
      <c r="Q35" s="7"/>
    </row>
    <row r="36" spans="1:17" ht="15" customHeight="1" outlineLevel="1">
      <c r="A36" s="720" t="str">
        <f>'Emission Summary'!A45</f>
        <v xml:space="preserve">Food </v>
      </c>
      <c r="B36" s="716">
        <f>'Emission Summary'!B45</f>
        <v>1425725.4103752396</v>
      </c>
      <c r="C36" s="721">
        <f t="shared" si="1"/>
        <v>0.12397932141690182</v>
      </c>
      <c r="D36" s="7"/>
      <c r="E36" s="7"/>
      <c r="F36" s="7"/>
      <c r="G36" s="7"/>
      <c r="H36" s="7"/>
      <c r="I36" s="7"/>
      <c r="J36" s="7"/>
      <c r="K36" s="7"/>
      <c r="L36" s="7"/>
      <c r="M36" s="7"/>
      <c r="N36" s="7"/>
      <c r="O36" s="7"/>
      <c r="P36" s="7"/>
      <c r="Q36" s="7"/>
    </row>
    <row r="37" spans="1:17" ht="15" customHeight="1" outlineLevel="1">
      <c r="A37" s="720" t="str">
        <f>'Emission Summary'!A46</f>
        <v>Cement</v>
      </c>
      <c r="B37" s="716">
        <f>'Emission Summary'!B46</f>
        <v>958724.90635305655</v>
      </c>
      <c r="C37" s="721">
        <f t="shared" si="1"/>
        <v>8.3369534168470177E-2</v>
      </c>
      <c r="D37" s="7"/>
      <c r="E37" s="7"/>
      <c r="F37" s="7"/>
      <c r="G37" s="7"/>
      <c r="H37" s="7"/>
      <c r="I37" s="7"/>
      <c r="J37" s="7"/>
      <c r="K37" s="7"/>
      <c r="L37" s="7"/>
      <c r="M37" s="7"/>
      <c r="N37" s="7"/>
      <c r="O37" s="7"/>
      <c r="P37" s="7"/>
      <c r="Q37" s="7"/>
    </row>
    <row r="38" spans="1:17" ht="15" customHeight="1" outlineLevel="1">
      <c r="A38" s="720" t="str">
        <f>'Emission Summary'!A47</f>
        <v>Water Delivery</v>
      </c>
      <c r="B38" s="716">
        <f>'Emission Summary'!B47</f>
        <v>18890.346420000002</v>
      </c>
      <c r="C38" s="721">
        <f t="shared" si="1"/>
        <v>1.642681201750765E-3</v>
      </c>
      <c r="D38" s="7"/>
      <c r="E38" s="7"/>
      <c r="F38" s="7"/>
      <c r="G38" s="7"/>
      <c r="H38" s="7"/>
      <c r="I38" s="7"/>
      <c r="J38" s="7"/>
      <c r="K38" s="7"/>
      <c r="L38" s="7"/>
      <c r="M38" s="7"/>
      <c r="N38" s="7"/>
      <c r="O38" s="7"/>
      <c r="P38" s="7"/>
      <c r="Q38" s="7"/>
    </row>
    <row r="39" spans="1:17" ht="15" customHeight="1" outlineLevel="1">
      <c r="A39" s="235" t="s">
        <v>78</v>
      </c>
      <c r="B39" s="233">
        <f>SUM(B22:B38)</f>
        <v>11499703.289881643</v>
      </c>
      <c r="C39" s="234">
        <f>SUM(C22:C38)</f>
        <v>0.99999999999999989</v>
      </c>
      <c r="D39" s="7"/>
      <c r="E39" s="7"/>
      <c r="F39" s="7"/>
      <c r="G39" s="7"/>
      <c r="H39" s="7"/>
      <c r="I39" s="9"/>
      <c r="J39" s="9"/>
      <c r="K39" s="9"/>
      <c r="L39" s="9"/>
      <c r="M39" s="9"/>
      <c r="N39" s="9"/>
      <c r="O39" s="9"/>
      <c r="P39" s="9"/>
      <c r="Q39" s="9"/>
    </row>
    <row r="40" spans="1:17" ht="15" customHeight="1">
      <c r="A40" s="6"/>
      <c r="B40" s="6"/>
      <c r="C40" s="6"/>
      <c r="D40" s="9"/>
      <c r="E40" s="9"/>
      <c r="F40" s="9"/>
      <c r="G40" s="9"/>
      <c r="H40" s="9"/>
      <c r="I40" s="9"/>
      <c r="J40" s="9"/>
      <c r="K40" s="9"/>
      <c r="L40" s="9"/>
      <c r="M40" s="9"/>
      <c r="N40" s="9"/>
      <c r="O40" s="9"/>
      <c r="P40" s="9"/>
      <c r="Q40" s="9"/>
    </row>
    <row r="41" spans="1:17" ht="18.600000000000001" customHeight="1">
      <c r="A41" s="1101" t="s">
        <v>1348</v>
      </c>
      <c r="B41" s="1102"/>
      <c r="C41" s="1102"/>
      <c r="D41" s="1102"/>
      <c r="E41" s="1102"/>
      <c r="F41" s="1102"/>
      <c r="G41" s="1102"/>
      <c r="H41" s="1102"/>
      <c r="I41" s="1102"/>
      <c r="J41" s="1102"/>
      <c r="K41" s="1102"/>
      <c r="L41" s="1102"/>
      <c r="M41" s="1103"/>
      <c r="N41" s="7"/>
      <c r="O41" s="7"/>
      <c r="P41" s="7"/>
      <c r="Q41" s="7"/>
    </row>
    <row r="42" spans="1:17" s="2" customFormat="1" ht="28.9" customHeight="1" outlineLevel="1">
      <c r="A42" s="908" t="s">
        <v>74</v>
      </c>
      <c r="B42" s="908" t="s">
        <v>1100</v>
      </c>
      <c r="C42" s="909" t="s">
        <v>59</v>
      </c>
      <c r="D42" s="75"/>
    </row>
    <row r="43" spans="1:17" s="2" customFormat="1" ht="15" customHeight="1" outlineLevel="1">
      <c r="A43" s="667" t="s">
        <v>1201</v>
      </c>
      <c r="B43" s="668">
        <f>'Emission Summary'!B51</f>
        <v>5350440.6138168564</v>
      </c>
      <c r="C43" s="669">
        <f>B43/$B$46</f>
        <v>0.64792524521663009</v>
      </c>
      <c r="D43" s="75"/>
    </row>
    <row r="44" spans="1:17" s="2" customFormat="1" ht="15" customHeight="1" outlineLevel="1">
      <c r="A44" s="262" t="s">
        <v>68</v>
      </c>
      <c r="B44" s="668">
        <f>'Emission Summary'!B52</f>
        <v>2737514.9219724517</v>
      </c>
      <c r="C44" s="669">
        <f t="shared" ref="C44:C45" si="2">B44/$B$46</f>
        <v>0.33150634781793653</v>
      </c>
      <c r="D44" s="76"/>
      <c r="H44" s="75"/>
      <c r="I44" s="75"/>
      <c r="J44" s="49"/>
    </row>
    <row r="45" spans="1:17" s="2" customFormat="1" ht="15" customHeight="1" outlineLevel="1">
      <c r="A45" s="265" t="s">
        <v>91</v>
      </c>
      <c r="B45" s="668">
        <f>'Emission Summary'!B53</f>
        <v>169849.90290442202</v>
      </c>
      <c r="C45" s="669">
        <f t="shared" si="2"/>
        <v>2.0568406965433411E-2</v>
      </c>
      <c r="D45" s="75"/>
      <c r="H45" s="75"/>
      <c r="I45" s="75"/>
      <c r="J45" s="49"/>
    </row>
    <row r="46" spans="1:17" s="2" customFormat="1" ht="15" customHeight="1" outlineLevel="1">
      <c r="A46" s="267" t="s">
        <v>157</v>
      </c>
      <c r="B46" s="268">
        <f>SUM(B43:B45)</f>
        <v>8257805.4386937302</v>
      </c>
      <c r="C46" s="269">
        <f>SUM(C43:C45)</f>
        <v>1</v>
      </c>
      <c r="D46" s="75"/>
      <c r="H46" s="75"/>
      <c r="I46" s="75"/>
      <c r="J46" s="49"/>
      <c r="L46" s="77"/>
      <c r="M46" s="78"/>
      <c r="N46" s="79"/>
    </row>
    <row r="47" spans="1:17" s="2" customFormat="1" ht="141" customHeight="1">
      <c r="A47" s="897"/>
      <c r="B47" s="898"/>
      <c r="C47" s="899"/>
      <c r="D47" s="75"/>
      <c r="H47" s="75"/>
      <c r="I47" s="75"/>
      <c r="J47" s="49"/>
      <c r="L47" s="77"/>
      <c r="M47" s="78"/>
      <c r="N47" s="79"/>
    </row>
    <row r="48" spans="1:17" ht="18.600000000000001" customHeight="1">
      <c r="A48" s="1101" t="s">
        <v>1349</v>
      </c>
      <c r="B48" s="1102"/>
      <c r="C48" s="1102"/>
      <c r="D48" s="1102"/>
      <c r="E48" s="1102"/>
      <c r="F48" s="1102"/>
      <c r="G48" s="1102"/>
      <c r="H48" s="1102"/>
      <c r="I48" s="1102"/>
      <c r="J48" s="1102"/>
      <c r="K48" s="1102"/>
      <c r="L48" s="1102"/>
      <c r="M48" s="1103"/>
      <c r="N48" s="7"/>
      <c r="O48" s="7"/>
      <c r="P48" s="7"/>
      <c r="Q48" s="7"/>
    </row>
    <row r="49" spans="1:17" s="2" customFormat="1" ht="28.5" outlineLevel="1">
      <c r="A49" s="908" t="s">
        <v>74</v>
      </c>
      <c r="B49" s="906" t="s">
        <v>1100</v>
      </c>
      <c r="C49" s="907" t="s">
        <v>59</v>
      </c>
      <c r="D49" s="75"/>
      <c r="E49" s="75"/>
      <c r="I49" s="75"/>
      <c r="J49" s="75"/>
      <c r="K49" s="49"/>
      <c r="M49" s="77"/>
      <c r="N49" s="78"/>
      <c r="O49" s="79"/>
    </row>
    <row r="50" spans="1:17" s="2" customFormat="1" ht="15" customHeight="1" outlineLevel="1">
      <c r="A50" s="659" t="s">
        <v>530</v>
      </c>
      <c r="B50" s="660">
        <f>'Emission Summary'!B57</f>
        <v>3420518.2063317443</v>
      </c>
      <c r="C50" s="661">
        <f>B50/$B$58</f>
        <v>0.41421637161662445</v>
      </c>
      <c r="D50" s="75"/>
      <c r="E50" s="75"/>
      <c r="I50" s="75"/>
      <c r="J50" s="75"/>
      <c r="K50" s="49"/>
      <c r="M50" s="77"/>
      <c r="N50" s="78"/>
      <c r="O50" s="79"/>
    </row>
    <row r="51" spans="1:17" s="2" customFormat="1" ht="15" customHeight="1" outlineLevel="1">
      <c r="A51" s="270" t="s">
        <v>623</v>
      </c>
      <c r="B51" s="660">
        <f>'Emission Summary'!B58</f>
        <v>1911671.6045524001</v>
      </c>
      <c r="C51" s="661">
        <f t="shared" ref="C51:C57" si="3">B51/$B$58</f>
        <v>0.23149874609479781</v>
      </c>
      <c r="D51" s="75"/>
      <c r="E51" s="75"/>
      <c r="I51" s="75"/>
      <c r="J51" s="75"/>
      <c r="K51" s="49"/>
      <c r="M51" s="77"/>
      <c r="N51" s="78"/>
      <c r="O51" s="79"/>
    </row>
    <row r="52" spans="1:17" s="2" customFormat="1" ht="15" customHeight="1" outlineLevel="1">
      <c r="A52" s="270" t="s">
        <v>432</v>
      </c>
      <c r="B52" s="660">
        <f>'Emission Summary'!B59</f>
        <v>3656.3364721118801</v>
      </c>
      <c r="C52" s="661">
        <f t="shared" si="3"/>
        <v>4.4277338564787766E-4</v>
      </c>
      <c r="D52" s="75"/>
      <c r="E52" s="75"/>
      <c r="I52" s="75"/>
      <c r="J52" s="75"/>
      <c r="K52" s="49"/>
      <c r="M52" s="77"/>
      <c r="N52" s="78"/>
      <c r="O52" s="79"/>
    </row>
    <row r="53" spans="1:17" s="2" customFormat="1" ht="15" customHeight="1" outlineLevel="1">
      <c r="A53" s="270" t="s">
        <v>158</v>
      </c>
      <c r="B53" s="660">
        <f>'Emission Summary'!B60</f>
        <v>14594.466460600002</v>
      </c>
      <c r="C53" s="661">
        <f t="shared" si="3"/>
        <v>1.7673541195599596E-3</v>
      </c>
      <c r="D53" s="75"/>
      <c r="E53" s="75"/>
      <c r="F53" s="75"/>
      <c r="G53" s="75"/>
      <c r="H53" s="75"/>
      <c r="I53" s="75"/>
      <c r="J53" s="75"/>
      <c r="K53" s="49"/>
      <c r="M53" s="77"/>
      <c r="N53" s="78"/>
      <c r="O53" s="79"/>
    </row>
    <row r="54" spans="1:17" s="2" customFormat="1" outlineLevel="1">
      <c r="A54" s="657" t="s">
        <v>1198</v>
      </c>
      <c r="B54" s="660">
        <f>'Emission Summary'!B61</f>
        <v>2670048.0664684745</v>
      </c>
      <c r="C54" s="661">
        <f t="shared" si="3"/>
        <v>0.32333627696741174</v>
      </c>
      <c r="D54" s="75"/>
      <c r="E54" s="75"/>
      <c r="F54" s="75"/>
      <c r="G54" s="75"/>
      <c r="H54" s="75"/>
      <c r="I54" s="75"/>
      <c r="J54" s="75"/>
      <c r="K54" s="49"/>
      <c r="M54" s="77"/>
      <c r="N54" s="78"/>
      <c r="O54" s="79"/>
    </row>
    <row r="55" spans="1:17" s="2" customFormat="1" outlineLevel="1">
      <c r="A55" s="910" t="s">
        <v>1350</v>
      </c>
      <c r="B55" s="660">
        <f>'Emission Summary'!B62</f>
        <v>67466.855503977218</v>
      </c>
      <c r="C55" s="661">
        <f t="shared" si="3"/>
        <v>8.1700708505248517E-3</v>
      </c>
      <c r="D55" s="75"/>
      <c r="E55" s="75"/>
      <c r="F55" s="75"/>
      <c r="G55" s="75"/>
      <c r="H55" s="75"/>
      <c r="I55" s="75"/>
      <c r="J55" s="75"/>
      <c r="K55" s="49"/>
      <c r="M55" s="77"/>
      <c r="N55" s="78"/>
      <c r="O55" s="79"/>
    </row>
    <row r="56" spans="1:17" s="2" customFormat="1" ht="15" customHeight="1" outlineLevel="1">
      <c r="A56" s="658" t="s">
        <v>1200</v>
      </c>
      <c r="B56" s="660">
        <f>'Emission Summary'!B63</f>
        <v>167488.42052842202</v>
      </c>
      <c r="C56" s="661">
        <f t="shared" si="3"/>
        <v>2.0282437237334132E-2</v>
      </c>
      <c r="D56" s="75"/>
      <c r="E56" s="75"/>
      <c r="F56" s="75"/>
      <c r="G56" s="75"/>
      <c r="H56" s="75"/>
      <c r="I56" s="75"/>
      <c r="J56" s="75"/>
      <c r="K56" s="49"/>
      <c r="M56" s="77"/>
      <c r="N56" s="78"/>
      <c r="O56" s="79"/>
    </row>
    <row r="57" spans="1:17" s="2" customFormat="1" ht="15" customHeight="1" outlineLevel="1">
      <c r="A57" s="658" t="s">
        <v>397</v>
      </c>
      <c r="B57" s="660">
        <f>'Emission Summary'!B64</f>
        <v>2361.4823759999999</v>
      </c>
      <c r="C57" s="661">
        <f t="shared" si="3"/>
        <v>2.8596972809927983E-4</v>
      </c>
      <c r="D57" s="75"/>
      <c r="E57" s="75"/>
      <c r="F57" s="75"/>
      <c r="G57" s="75"/>
      <c r="H57" s="75"/>
      <c r="I57" s="75"/>
      <c r="J57" s="75"/>
      <c r="K57" s="49"/>
      <c r="M57" s="77"/>
      <c r="N57" s="78"/>
      <c r="O57" s="79"/>
    </row>
    <row r="58" spans="1:17" s="2" customFormat="1" ht="15" customHeight="1" outlineLevel="1">
      <c r="A58" s="274" t="s">
        <v>157</v>
      </c>
      <c r="B58" s="275">
        <f>SUM(B50:B57)</f>
        <v>8257805.4386937292</v>
      </c>
      <c r="C58" s="276">
        <f>SUM(C50:C57)</f>
        <v>1.0000000000000002</v>
      </c>
      <c r="D58" s="75"/>
      <c r="E58" s="75"/>
      <c r="F58" s="75"/>
      <c r="G58" s="75"/>
      <c r="H58" s="75"/>
      <c r="I58" s="75"/>
      <c r="J58" s="75"/>
      <c r="K58" s="49"/>
      <c r="M58" s="77"/>
      <c r="N58" s="78"/>
      <c r="O58" s="79"/>
    </row>
    <row r="59" spans="1:17" s="2" customFormat="1" ht="103.5" customHeight="1">
      <c r="A59" s="900"/>
      <c r="B59" s="901"/>
      <c r="C59" s="902"/>
      <c r="D59" s="75"/>
      <c r="E59" s="75"/>
      <c r="F59" s="75"/>
      <c r="G59" s="75"/>
      <c r="H59" s="75"/>
      <c r="I59" s="75"/>
      <c r="J59" s="75"/>
      <c r="K59" s="49"/>
      <c r="M59" s="77"/>
      <c r="N59" s="78"/>
      <c r="O59" s="79"/>
    </row>
    <row r="60" spans="1:17" ht="18.600000000000001" customHeight="1">
      <c r="A60" s="1101" t="s">
        <v>140</v>
      </c>
      <c r="B60" s="1102"/>
      <c r="C60" s="1102"/>
      <c r="D60" s="1102"/>
      <c r="E60" s="1102"/>
      <c r="F60" s="1102"/>
      <c r="G60" s="1102"/>
      <c r="H60" s="1102"/>
      <c r="I60" s="1102"/>
      <c r="J60" s="1102"/>
      <c r="K60" s="1102"/>
      <c r="L60" s="1102"/>
      <c r="M60" s="1103"/>
      <c r="N60" s="7"/>
      <c r="O60" s="7"/>
      <c r="P60" s="7"/>
      <c r="Q60" s="7"/>
    </row>
    <row r="61" spans="1:17" ht="28.5" outlineLevel="1">
      <c r="A61" s="678" t="s">
        <v>74</v>
      </c>
      <c r="B61" s="676" t="s">
        <v>1100</v>
      </c>
      <c r="C61" s="677" t="s">
        <v>59</v>
      </c>
      <c r="D61" s="7"/>
      <c r="E61" s="7"/>
      <c r="F61" s="7"/>
      <c r="G61" s="7"/>
      <c r="H61" s="7"/>
      <c r="I61" s="7"/>
      <c r="J61" s="7"/>
      <c r="K61" s="7"/>
      <c r="L61" s="7"/>
      <c r="M61" s="7"/>
      <c r="N61" s="7"/>
      <c r="O61" s="7"/>
      <c r="P61" s="7"/>
      <c r="Q61" s="7"/>
    </row>
    <row r="62" spans="1:17" ht="15" customHeight="1" outlineLevel="1">
      <c r="A62" s="720" t="s">
        <v>141</v>
      </c>
      <c r="B62" s="716">
        <f>'Emission Summary'!$C$77</f>
        <v>479138.64189823944</v>
      </c>
      <c r="C62" s="722">
        <f>B62/$B$72</f>
        <v>8.808023983298377E-2</v>
      </c>
      <c r="D62" s="7"/>
      <c r="E62" s="7"/>
      <c r="F62" s="7"/>
      <c r="G62" s="7"/>
      <c r="H62" s="7"/>
      <c r="I62" s="9"/>
      <c r="J62" s="9"/>
      <c r="K62" s="9"/>
      <c r="L62" s="9"/>
      <c r="M62" s="9"/>
      <c r="N62" s="9"/>
      <c r="O62" s="9"/>
      <c r="P62" s="9"/>
      <c r="Q62" s="9"/>
    </row>
    <row r="63" spans="1:17" ht="15" customHeight="1" outlineLevel="1">
      <c r="A63" s="238" t="s">
        <v>143</v>
      </c>
      <c r="B63" s="230">
        <f>'Emission Summary'!$C$72</f>
        <v>763698.36901130015</v>
      </c>
      <c r="C63" s="237">
        <f>B63/$B$72</f>
        <v>0.1403909633255172</v>
      </c>
      <c r="D63" s="7"/>
      <c r="E63" s="7"/>
      <c r="F63" s="7"/>
      <c r="G63" s="7"/>
      <c r="H63" s="7"/>
      <c r="I63" s="9"/>
      <c r="J63" s="9"/>
      <c r="K63" s="9"/>
      <c r="L63" s="9"/>
      <c r="M63" s="9"/>
      <c r="N63" s="9"/>
      <c r="O63" s="9"/>
      <c r="P63" s="9"/>
      <c r="Q63" s="9"/>
    </row>
    <row r="64" spans="1:17" ht="15" customHeight="1" outlineLevel="1">
      <c r="A64" s="238" t="s">
        <v>440</v>
      </c>
      <c r="B64" s="230">
        <f>'Emission Summary'!$C$74</f>
        <v>4.494473739800001</v>
      </c>
      <c r="C64" s="237">
        <f>B64/$B$72</f>
        <v>8.2622082693281978E-7</v>
      </c>
      <c r="D64" s="7"/>
      <c r="E64" s="7"/>
      <c r="F64" s="7"/>
      <c r="G64" s="7"/>
      <c r="H64" s="7"/>
      <c r="I64" s="9"/>
      <c r="J64" s="9"/>
      <c r="K64" s="9"/>
      <c r="L64" s="9"/>
      <c r="M64" s="9"/>
      <c r="N64" s="9"/>
      <c r="O64" s="9"/>
      <c r="P64" s="1025"/>
      <c r="Q64" s="9"/>
    </row>
    <row r="65" spans="1:17" ht="15" customHeight="1" outlineLevel="1">
      <c r="A65" s="238" t="s">
        <v>1346</v>
      </c>
      <c r="B65" s="230">
        <f>'Emission Summary'!C76</f>
        <v>535380.81321295991</v>
      </c>
      <c r="C65" s="237">
        <f t="shared" ref="C65:C66" si="4">B65/$B$72</f>
        <v>9.8419259701016962E-2</v>
      </c>
      <c r="D65" s="7"/>
      <c r="E65" s="7"/>
      <c r="F65" s="7"/>
      <c r="G65" s="7"/>
      <c r="H65" s="7"/>
      <c r="I65" s="9"/>
      <c r="J65" s="9"/>
      <c r="K65" s="9"/>
      <c r="L65" s="9"/>
      <c r="M65" s="9"/>
      <c r="N65" s="9"/>
      <c r="O65" s="9"/>
      <c r="P65" s="1025"/>
      <c r="Q65" s="9"/>
    </row>
    <row r="66" spans="1:17" ht="15" customHeight="1" outlineLevel="1">
      <c r="A66" s="238" t="s">
        <v>1347</v>
      </c>
      <c r="B66" s="230">
        <f>'Emission Summary'!C73</f>
        <v>260220.60497495002</v>
      </c>
      <c r="C66" s="237">
        <f t="shared" si="4"/>
        <v>4.7836453359037551E-2</v>
      </c>
      <c r="D66" s="7"/>
      <c r="E66" s="7"/>
      <c r="F66" s="7"/>
      <c r="G66" s="7"/>
      <c r="H66" s="7"/>
      <c r="I66" s="9"/>
      <c r="J66" s="9"/>
      <c r="K66" s="9"/>
      <c r="L66" s="9"/>
      <c r="M66" s="9"/>
      <c r="N66" s="9"/>
      <c r="O66" s="9"/>
      <c r="P66" s="1025"/>
      <c r="Q66" s="9"/>
    </row>
    <row r="67" spans="1:17" ht="15" customHeight="1" outlineLevel="1">
      <c r="A67" s="238" t="s">
        <v>144</v>
      </c>
      <c r="B67" s="230">
        <f>'Emission Summary'!$C$75</f>
        <v>2405998.7512205448</v>
      </c>
      <c r="C67" s="237">
        <f>B67/$B$72</f>
        <v>0.44229567084337418</v>
      </c>
      <c r="D67" s="7"/>
      <c r="E67" s="7"/>
      <c r="F67" s="7"/>
      <c r="G67" s="7"/>
      <c r="H67" s="7"/>
      <c r="I67" s="9"/>
      <c r="J67" s="9"/>
      <c r="K67" s="9"/>
      <c r="L67" s="9"/>
      <c r="M67" s="9"/>
      <c r="N67" s="9"/>
      <c r="O67" s="9"/>
      <c r="P67" s="9"/>
      <c r="Q67" s="9"/>
    </row>
    <row r="68" spans="1:17" ht="15" customHeight="1" outlineLevel="1">
      <c r="A68" s="238" t="s">
        <v>146</v>
      </c>
      <c r="B68" s="230">
        <f>'Emission Summary'!$C$69</f>
        <v>887752.63056615007</v>
      </c>
      <c r="C68" s="237">
        <f>B68/$B$72</f>
        <v>0.16319590568367401</v>
      </c>
      <c r="D68" s="9"/>
      <c r="E68" s="9"/>
      <c r="F68" s="9"/>
      <c r="G68" s="9"/>
      <c r="H68" s="9"/>
      <c r="I68" s="9"/>
      <c r="J68" s="9"/>
      <c r="K68" s="9"/>
      <c r="L68" s="9"/>
      <c r="M68" s="9"/>
      <c r="N68" s="9"/>
      <c r="O68" s="9"/>
      <c r="P68" s="9"/>
      <c r="Q68" s="9"/>
    </row>
    <row r="69" spans="1:17" ht="15" customHeight="1" outlineLevel="1">
      <c r="A69" s="238" t="s">
        <v>441</v>
      </c>
      <c r="B69" s="230">
        <f>'Emission Summary'!$C$71</f>
        <v>3651.8419983720801</v>
      </c>
      <c r="C69" s="237">
        <f>B69/$B$72</f>
        <v>6.7131951156026645E-4</v>
      </c>
      <c r="D69" s="9"/>
      <c r="E69" s="9"/>
      <c r="F69" s="9"/>
      <c r="G69" s="9"/>
      <c r="H69" s="9"/>
      <c r="I69" s="9"/>
      <c r="J69" s="9"/>
      <c r="K69" s="9"/>
      <c r="L69" s="9"/>
      <c r="M69" s="9"/>
      <c r="N69" s="9"/>
      <c r="O69" s="9"/>
      <c r="P69" s="9"/>
      <c r="Q69" s="9"/>
    </row>
    <row r="70" spans="1:17" ht="15" customHeight="1" outlineLevel="1">
      <c r="A70" s="238" t="s">
        <v>393</v>
      </c>
      <c r="B70" s="230">
        <f>'Emission Summary'!$C$70</f>
        <v>14594.466460600002</v>
      </c>
      <c r="C70" s="237">
        <f>B70/$B$72</f>
        <v>2.6829063525147696E-3</v>
      </c>
      <c r="D70" s="9"/>
      <c r="E70" s="9"/>
      <c r="F70" s="9"/>
      <c r="G70" s="9"/>
      <c r="H70" s="9"/>
      <c r="I70" s="9"/>
      <c r="J70" s="9"/>
      <c r="K70" s="9"/>
      <c r="L70" s="9"/>
      <c r="M70" s="9"/>
      <c r="N70" s="9"/>
      <c r="O70" s="9"/>
      <c r="P70" s="9"/>
      <c r="Q70" s="9"/>
    </row>
    <row r="71" spans="1:17" ht="15" customHeight="1" outlineLevel="1">
      <c r="A71" s="238" t="s">
        <v>79</v>
      </c>
      <c r="B71" s="230">
        <f>'Emission Summary'!$C$80+'Emission Summary'!$C$81</f>
        <v>89356.58481445862</v>
      </c>
      <c r="C71" s="237">
        <f>B71/$B$72</f>
        <v>1.6426455169494418E-2</v>
      </c>
      <c r="D71" s="9"/>
      <c r="E71" s="9"/>
      <c r="F71" s="9"/>
      <c r="G71" s="9"/>
      <c r="H71" s="9"/>
      <c r="I71" s="9"/>
      <c r="J71" s="9"/>
      <c r="K71" s="9"/>
      <c r="L71" s="9"/>
      <c r="M71" s="9"/>
      <c r="N71" s="9"/>
      <c r="O71" s="9"/>
      <c r="P71" s="9"/>
      <c r="Q71" s="9"/>
    </row>
    <row r="72" spans="1:17" ht="15" customHeight="1" outlineLevel="1">
      <c r="A72" s="239" t="s">
        <v>78</v>
      </c>
      <c r="B72" s="240">
        <f>SUM(B62:B71)</f>
        <v>5439797.1986313146</v>
      </c>
      <c r="C72" s="241">
        <f>SUM(C62:C71)</f>
        <v>1.0000000000000002</v>
      </c>
      <c r="D72" s="9"/>
      <c r="E72" s="9"/>
      <c r="F72" s="9"/>
      <c r="G72" s="9"/>
      <c r="H72" s="9"/>
      <c r="I72" s="9"/>
      <c r="J72" s="9"/>
      <c r="K72" s="9"/>
      <c r="L72" s="9"/>
      <c r="M72" s="9"/>
      <c r="N72" s="9"/>
      <c r="O72" s="9"/>
      <c r="P72" s="9"/>
      <c r="Q72" s="9"/>
    </row>
    <row r="73" spans="1:17" ht="12.75">
      <c r="A73" s="6"/>
      <c r="B73" s="6"/>
      <c r="C73" s="6"/>
      <c r="D73" s="9"/>
      <c r="E73" s="9"/>
      <c r="F73" s="9"/>
      <c r="G73" s="9"/>
      <c r="H73" s="9"/>
      <c r="I73" s="9"/>
      <c r="J73" s="9"/>
      <c r="K73" s="9"/>
      <c r="L73" s="9"/>
      <c r="M73" s="9"/>
      <c r="N73" s="9"/>
      <c r="O73" s="9"/>
      <c r="P73" s="9"/>
      <c r="Q73" s="9"/>
    </row>
    <row r="74" spans="1:17" ht="16.899999999999999" customHeight="1">
      <c r="A74" s="1101" t="s">
        <v>151</v>
      </c>
      <c r="B74" s="1102"/>
      <c r="C74" s="1102"/>
      <c r="D74" s="1102"/>
      <c r="E74" s="1102"/>
      <c r="F74" s="1102"/>
      <c r="G74" s="1102"/>
      <c r="H74" s="1102"/>
      <c r="I74" s="1102"/>
      <c r="J74" s="1102"/>
      <c r="K74" s="1102"/>
      <c r="L74" s="1102"/>
      <c r="M74" s="1103"/>
      <c r="N74" s="9"/>
      <c r="O74" s="9"/>
      <c r="P74" s="9"/>
      <c r="Q74" s="9"/>
    </row>
    <row r="75" spans="1:17" ht="28.5" outlineLevel="1">
      <c r="A75" s="678" t="s">
        <v>74</v>
      </c>
      <c r="B75" s="676" t="s">
        <v>1100</v>
      </c>
      <c r="C75" s="677" t="s">
        <v>59</v>
      </c>
      <c r="D75" s="9"/>
      <c r="E75" s="9"/>
      <c r="F75" s="9"/>
      <c r="G75" s="9"/>
      <c r="H75" s="9"/>
      <c r="I75" s="9"/>
      <c r="J75" s="9"/>
      <c r="K75" s="9"/>
      <c r="L75" s="9"/>
      <c r="M75" s="9"/>
      <c r="N75" s="9"/>
      <c r="O75" s="9"/>
      <c r="P75" s="9"/>
      <c r="Q75" s="9"/>
    </row>
    <row r="76" spans="1:17" ht="15" customHeight="1" outlineLevel="1">
      <c r="A76" s="343" t="s">
        <v>682</v>
      </c>
      <c r="B76" s="1055">
        <f>'Emission Summary'!B86</f>
        <v>2665150.1214225525</v>
      </c>
      <c r="C76" s="344">
        <f>B76/$B$84</f>
        <v>0.54712415659137215</v>
      </c>
      <c r="D76" s="9"/>
      <c r="E76" s="9"/>
      <c r="F76" s="9"/>
      <c r="G76" s="9"/>
      <c r="H76" s="9"/>
      <c r="I76" s="9"/>
      <c r="J76" s="9"/>
      <c r="K76" s="9"/>
      <c r="L76" s="9"/>
      <c r="M76" s="9"/>
      <c r="N76" s="9"/>
      <c r="O76" s="9"/>
      <c r="P76" s="9"/>
      <c r="Q76" s="9"/>
    </row>
    <row r="77" spans="1:17" ht="15" customHeight="1" outlineLevel="1">
      <c r="A77" s="345" t="s">
        <v>24</v>
      </c>
      <c r="B77" s="1056">
        <f>'Emission Summary'!$B$90</f>
        <v>36266.545636515635</v>
      </c>
      <c r="C77" s="731">
        <f t="shared" ref="C77:C83" si="5">B77/$B$84</f>
        <v>7.4450977580467715E-3</v>
      </c>
      <c r="D77" s="9"/>
      <c r="E77" s="9"/>
      <c r="F77" s="9"/>
      <c r="G77" s="9"/>
      <c r="H77" s="9"/>
      <c r="I77" s="9"/>
      <c r="J77" s="9"/>
      <c r="K77" s="9"/>
      <c r="L77" s="9"/>
      <c r="M77" s="9"/>
      <c r="N77" s="9"/>
      <c r="O77" s="9"/>
      <c r="P77" s="9"/>
      <c r="Q77" s="9"/>
    </row>
    <row r="78" spans="1:17" ht="15" customHeight="1" outlineLevel="1">
      <c r="A78" s="345" t="s">
        <v>679</v>
      </c>
      <c r="B78" s="1056">
        <f>'Emission Summary'!$B$93</f>
        <v>31200.309867461583</v>
      </c>
      <c r="C78" s="731">
        <f t="shared" si="5"/>
        <v>6.4050587936535647E-3</v>
      </c>
      <c r="D78" s="9"/>
      <c r="E78" s="9"/>
      <c r="F78" s="9"/>
      <c r="G78" s="9"/>
      <c r="H78" s="9"/>
      <c r="I78" s="9"/>
      <c r="J78" s="9"/>
      <c r="K78" s="9"/>
      <c r="L78" s="9"/>
      <c r="M78" s="9"/>
      <c r="N78" s="9"/>
      <c r="O78" s="9"/>
      <c r="P78" s="9"/>
      <c r="Q78" s="9"/>
    </row>
    <row r="79" spans="1:17" ht="15" customHeight="1" outlineLevel="1">
      <c r="A79" s="345" t="s">
        <v>124</v>
      </c>
      <c r="B79" s="1056">
        <f>'Emission Summary'!B94</f>
        <v>42971.560765650996</v>
      </c>
      <c r="C79" s="731">
        <f t="shared" si="5"/>
        <v>8.8215589629797551E-3</v>
      </c>
      <c r="D79" s="9"/>
      <c r="E79" s="9"/>
      <c r="F79" s="9"/>
      <c r="G79" s="9"/>
      <c r="H79" s="9"/>
      <c r="I79" s="9"/>
      <c r="J79" s="9"/>
      <c r="K79" s="9"/>
      <c r="L79" s="9"/>
      <c r="M79" s="9"/>
      <c r="N79" s="9"/>
      <c r="O79" s="9"/>
      <c r="P79" s="9"/>
      <c r="Q79" s="9"/>
    </row>
    <row r="80" spans="1:17" ht="15" customHeight="1" outlineLevel="1">
      <c r="A80" s="345" t="s">
        <v>428</v>
      </c>
      <c r="B80" s="1056">
        <f>'Emission Summary'!B87</f>
        <v>4897.9450459217469</v>
      </c>
      <c r="C80" s="731">
        <f t="shared" si="5"/>
        <v>1.0054908467409191E-3</v>
      </c>
      <c r="D80" s="9"/>
      <c r="E80" s="9"/>
      <c r="F80" s="9"/>
      <c r="G80" s="9"/>
      <c r="H80" s="9"/>
      <c r="I80" s="9"/>
      <c r="J80" s="9"/>
      <c r="K80" s="9"/>
      <c r="L80" s="9"/>
      <c r="M80" s="9"/>
      <c r="N80" s="9"/>
      <c r="O80" s="9"/>
      <c r="P80" s="9"/>
      <c r="Q80" s="9"/>
    </row>
    <row r="81" spans="1:17" ht="15" customHeight="1" outlineLevel="1">
      <c r="A81" s="345" t="s">
        <v>576</v>
      </c>
      <c r="B81" s="1056">
        <f>'GPC Table 4.3'!L55</f>
        <v>2057662.9439781066</v>
      </c>
      <c r="C81" s="344">
        <f t="shared" si="5"/>
        <v>0.42241414234948804</v>
      </c>
      <c r="D81" s="9"/>
      <c r="E81" s="9"/>
      <c r="F81" s="9"/>
      <c r="G81" s="9"/>
      <c r="H81" s="9"/>
      <c r="I81" s="9"/>
      <c r="J81" s="9"/>
      <c r="K81" s="9"/>
      <c r="L81" s="9"/>
      <c r="M81" s="9"/>
      <c r="N81" s="9"/>
      <c r="O81" s="9"/>
      <c r="P81" s="9"/>
      <c r="Q81" s="9"/>
    </row>
    <row r="82" spans="1:17" ht="15" customHeight="1" outlineLevel="1">
      <c r="A82" s="726" t="s">
        <v>577</v>
      </c>
      <c r="B82" s="1057">
        <f>'Emission Summary'!B98</f>
        <v>82.521669299579969</v>
      </c>
      <c r="C82" s="732">
        <f t="shared" si="5"/>
        <v>1.6940733789489404E-5</v>
      </c>
      <c r="D82" s="9"/>
      <c r="E82" s="9"/>
      <c r="F82" s="9"/>
      <c r="G82" s="9"/>
      <c r="H82" s="9"/>
      <c r="I82" s="9"/>
      <c r="J82" s="9"/>
      <c r="K82" s="9"/>
      <c r="L82" s="9"/>
      <c r="M82" s="9"/>
      <c r="N82" s="9"/>
      <c r="O82" s="9"/>
      <c r="P82" s="9"/>
      <c r="Q82" s="9"/>
    </row>
    <row r="83" spans="1:17" ht="15" customHeight="1" outlineLevel="1">
      <c r="A83" s="730" t="s">
        <v>1195</v>
      </c>
      <c r="B83" s="1058">
        <f>'Emission Summary'!B102</f>
        <v>32966.095631874356</v>
      </c>
      <c r="C83" s="731">
        <f t="shared" si="5"/>
        <v>6.7675539639292723E-3</v>
      </c>
      <c r="D83" s="9"/>
      <c r="E83" s="9"/>
      <c r="F83" s="9"/>
      <c r="G83" s="9"/>
      <c r="H83" s="9"/>
      <c r="I83" s="9"/>
      <c r="J83" s="9"/>
      <c r="K83" s="9"/>
      <c r="L83" s="9"/>
      <c r="M83" s="9"/>
      <c r="N83" s="9"/>
      <c r="O83" s="9"/>
      <c r="P83" s="9"/>
      <c r="Q83" s="9"/>
    </row>
    <row r="84" spans="1:17" ht="15" customHeight="1" outlineLevel="1">
      <c r="A84" s="727" t="s">
        <v>78</v>
      </c>
      <c r="B84" s="728">
        <f>SUM(B76:B83)</f>
        <v>4871198.0440173829</v>
      </c>
      <c r="C84" s="729">
        <f>B84/$B$84</f>
        <v>1</v>
      </c>
      <c r="D84" s="9"/>
      <c r="E84" s="9"/>
      <c r="F84" s="9"/>
      <c r="G84" s="9"/>
      <c r="H84" s="9"/>
      <c r="I84" s="9"/>
      <c r="J84" s="9"/>
      <c r="K84" s="9"/>
      <c r="L84" s="9"/>
      <c r="M84" s="9"/>
      <c r="N84" s="9"/>
      <c r="O84" s="9"/>
      <c r="P84" s="9"/>
      <c r="Q84" s="9"/>
    </row>
    <row r="85" spans="1:17" ht="70.5" customHeight="1">
      <c r="A85" s="6"/>
      <c r="B85" s="6"/>
      <c r="C85" s="6"/>
      <c r="D85" s="9"/>
      <c r="E85" s="9"/>
      <c r="F85" s="9"/>
      <c r="G85" s="9"/>
      <c r="H85" s="9"/>
      <c r="I85" s="9"/>
      <c r="J85" s="9"/>
      <c r="K85" s="9"/>
      <c r="L85" s="9"/>
      <c r="M85" s="9"/>
      <c r="N85" s="9"/>
      <c r="O85" s="9"/>
      <c r="P85" s="9"/>
      <c r="Q85" s="9"/>
    </row>
    <row r="86" spans="1:17" ht="18" customHeight="1">
      <c r="A86" s="1101" t="s">
        <v>427</v>
      </c>
      <c r="B86" s="1102"/>
      <c r="C86" s="1102"/>
      <c r="D86" s="1102"/>
      <c r="E86" s="1102"/>
      <c r="F86" s="1102"/>
      <c r="G86" s="1102"/>
      <c r="H86" s="1102"/>
      <c r="I86" s="1102"/>
      <c r="J86" s="1102"/>
      <c r="K86" s="1102"/>
      <c r="L86" s="1102"/>
      <c r="M86" s="1103"/>
      <c r="N86" s="9"/>
      <c r="O86" s="9"/>
      <c r="P86" s="9"/>
      <c r="Q86" s="9"/>
    </row>
    <row r="87" spans="1:17" ht="28.5" outlineLevel="1">
      <c r="A87" s="678" t="s">
        <v>74</v>
      </c>
      <c r="B87" s="676" t="s">
        <v>1100</v>
      </c>
      <c r="C87" s="677" t="s">
        <v>59</v>
      </c>
      <c r="D87" s="9"/>
      <c r="E87" s="9"/>
      <c r="F87" s="9"/>
      <c r="G87" s="9"/>
      <c r="H87" s="9"/>
      <c r="I87" s="9"/>
      <c r="J87" s="9"/>
      <c r="K87" s="9"/>
      <c r="L87" s="9"/>
      <c r="M87" s="9"/>
      <c r="N87" s="9"/>
      <c r="O87" s="9"/>
      <c r="P87" s="9"/>
      <c r="Q87" s="9"/>
    </row>
    <row r="88" spans="1:17" ht="15" customHeight="1" outlineLevel="1">
      <c r="A88" s="723" t="s">
        <v>91</v>
      </c>
      <c r="B88" s="716">
        <f>SUM('Emission Summary'!$B$106:$B$108)</f>
        <v>169849.90290442202</v>
      </c>
      <c r="C88" s="724">
        <f>$B$88/$B$90</f>
        <v>0.96771802494110493</v>
      </c>
      <c r="D88" s="9"/>
      <c r="E88" s="9"/>
      <c r="F88" s="9"/>
      <c r="G88" s="9"/>
      <c r="H88" s="9"/>
      <c r="I88" s="9"/>
      <c r="J88" s="9"/>
      <c r="K88" s="9"/>
      <c r="L88" s="9"/>
      <c r="M88" s="9"/>
      <c r="N88" s="9"/>
      <c r="O88" s="9"/>
      <c r="P88" s="9"/>
      <c r="Q88" s="9"/>
    </row>
    <row r="89" spans="1:17" ht="15" customHeight="1" outlineLevel="1">
      <c r="A89" s="238" t="s">
        <v>92</v>
      </c>
      <c r="B89" s="230">
        <f>'Emission Summary'!B111+'Emission Summary'!B112</f>
        <v>5666</v>
      </c>
      <c r="C89" s="242">
        <f>$B$89/$B$90</f>
        <v>3.2281975058895067E-2</v>
      </c>
      <c r="D89" s="9"/>
      <c r="E89" s="9"/>
      <c r="F89" s="9"/>
      <c r="G89" s="9"/>
      <c r="H89" s="9"/>
      <c r="I89" s="9"/>
      <c r="J89" s="9"/>
      <c r="K89" s="9"/>
      <c r="L89" s="9"/>
      <c r="M89" s="9"/>
      <c r="N89" s="9"/>
      <c r="O89" s="9"/>
      <c r="P89" s="9"/>
      <c r="Q89" s="9"/>
    </row>
    <row r="90" spans="1:17" ht="15" customHeight="1" outlineLevel="1">
      <c r="A90" s="239" t="s">
        <v>78</v>
      </c>
      <c r="B90" s="240">
        <f t="shared" ref="B90:C90" si="6">SUM(B88:B89)</f>
        <v>175515.90290442202</v>
      </c>
      <c r="C90" s="243">
        <f t="shared" si="6"/>
        <v>1</v>
      </c>
      <c r="D90" s="9"/>
      <c r="E90" s="9"/>
      <c r="F90" s="9"/>
      <c r="G90" s="9"/>
      <c r="H90" s="9"/>
      <c r="I90" s="9"/>
      <c r="J90" s="9"/>
      <c r="K90" s="9"/>
      <c r="L90" s="9"/>
      <c r="M90" s="9"/>
      <c r="N90" s="9"/>
      <c r="O90" s="9"/>
      <c r="P90" s="9"/>
      <c r="Q90" s="9"/>
    </row>
    <row r="91" spans="1:17" ht="150" customHeight="1">
      <c r="A91" s="6"/>
      <c r="B91" s="6"/>
      <c r="C91" s="6"/>
      <c r="D91" s="9"/>
      <c r="E91" s="9"/>
      <c r="F91" s="9"/>
      <c r="G91" s="9"/>
      <c r="H91" s="9"/>
      <c r="I91" s="9"/>
      <c r="J91" s="9"/>
      <c r="K91" s="9"/>
      <c r="L91" s="9"/>
      <c r="M91" s="9"/>
      <c r="N91" s="9"/>
      <c r="O91" s="9"/>
      <c r="P91" s="9"/>
      <c r="Q91" s="9"/>
    </row>
    <row r="92" spans="1:17" ht="12.75">
      <c r="A92" s="6"/>
      <c r="B92" s="6"/>
      <c r="C92" s="6"/>
      <c r="D92" s="9"/>
      <c r="E92" s="9"/>
      <c r="F92" s="9"/>
      <c r="G92" s="9"/>
      <c r="H92" s="9"/>
      <c r="I92" s="9"/>
      <c r="J92" s="9"/>
      <c r="K92" s="9"/>
      <c r="L92" s="9"/>
      <c r="M92" s="9"/>
      <c r="N92" s="9"/>
      <c r="O92" s="9"/>
      <c r="P92" s="9"/>
      <c r="Q92" s="9"/>
    </row>
    <row r="93" spans="1:17" ht="12.75">
      <c r="A93" s="6"/>
      <c r="B93" s="6"/>
      <c r="C93" s="6"/>
      <c r="D93" s="9"/>
      <c r="E93" s="9"/>
      <c r="F93" s="9"/>
      <c r="G93" s="9"/>
      <c r="H93" s="9"/>
      <c r="I93" s="9"/>
      <c r="J93" s="9"/>
      <c r="K93" s="9"/>
      <c r="L93" s="9"/>
      <c r="M93" s="9"/>
      <c r="N93" s="9"/>
      <c r="O93" s="9"/>
      <c r="P93" s="9"/>
      <c r="Q93" s="9"/>
    </row>
    <row r="94" spans="1:17" ht="12.75">
      <c r="A94" s="6"/>
      <c r="B94" s="6"/>
      <c r="C94" s="6"/>
      <c r="D94" s="9"/>
      <c r="E94" s="9"/>
      <c r="F94" s="9"/>
      <c r="G94" s="9"/>
      <c r="H94" s="9"/>
      <c r="I94" s="9"/>
      <c r="J94" s="9"/>
      <c r="K94" s="9"/>
      <c r="L94" s="9"/>
      <c r="M94" s="9"/>
      <c r="N94" s="9"/>
      <c r="O94" s="9"/>
      <c r="P94" s="9"/>
      <c r="Q94" s="9"/>
    </row>
    <row r="95" spans="1:17" ht="12.75">
      <c r="A95" s="6"/>
      <c r="B95" s="6"/>
      <c r="C95" s="6"/>
      <c r="D95" s="9"/>
      <c r="E95" s="9"/>
      <c r="F95" s="9"/>
      <c r="G95" s="9"/>
      <c r="H95" s="9"/>
      <c r="I95" s="9"/>
      <c r="J95" s="9"/>
      <c r="K95" s="9"/>
      <c r="L95" s="9"/>
      <c r="M95" s="9"/>
      <c r="N95" s="9"/>
      <c r="O95" s="9"/>
      <c r="P95" s="9"/>
      <c r="Q95" s="9"/>
    </row>
    <row r="96" spans="1:17" ht="12.75">
      <c r="A96" s="6"/>
      <c r="B96" s="6"/>
      <c r="C96" s="6"/>
      <c r="D96" s="9"/>
      <c r="E96" s="9"/>
      <c r="F96" s="9"/>
      <c r="G96" s="9"/>
      <c r="H96" s="9"/>
      <c r="I96" s="9"/>
      <c r="J96" s="9"/>
      <c r="K96" s="9"/>
      <c r="L96" s="9"/>
      <c r="M96" s="9"/>
      <c r="N96" s="9"/>
      <c r="O96" s="9"/>
      <c r="P96" s="9"/>
      <c r="Q96" s="9"/>
    </row>
    <row r="97" spans="1:17" ht="12.75">
      <c r="A97" s="6"/>
      <c r="B97" s="6"/>
      <c r="C97" s="6"/>
      <c r="D97" s="9"/>
      <c r="E97" s="9"/>
      <c r="F97" s="9"/>
      <c r="G97" s="9"/>
      <c r="H97" s="9"/>
      <c r="I97" s="9"/>
      <c r="J97" s="9"/>
      <c r="K97" s="9"/>
      <c r="L97" s="9"/>
      <c r="M97" s="9"/>
      <c r="N97" s="9"/>
      <c r="O97" s="9"/>
      <c r="P97" s="9"/>
      <c r="Q97" s="9"/>
    </row>
    <row r="98" spans="1:17" ht="12.75">
      <c r="A98" s="6"/>
      <c r="B98" s="6"/>
      <c r="C98" s="6"/>
      <c r="D98" s="9"/>
      <c r="E98" s="9"/>
      <c r="F98" s="9"/>
      <c r="G98" s="9"/>
      <c r="H98" s="9"/>
      <c r="I98" s="9"/>
      <c r="J98" s="9"/>
      <c r="K98" s="9"/>
      <c r="L98" s="9"/>
      <c r="M98" s="9"/>
      <c r="N98" s="9"/>
      <c r="O98" s="9"/>
      <c r="P98" s="9"/>
      <c r="Q98" s="9"/>
    </row>
    <row r="99" spans="1:17" ht="12.75">
      <c r="A99" s="6"/>
      <c r="B99" s="6"/>
      <c r="C99" s="6"/>
      <c r="D99" s="9"/>
      <c r="E99" s="9"/>
      <c r="F99" s="9"/>
      <c r="G99" s="9"/>
      <c r="H99" s="9"/>
      <c r="I99" s="9"/>
      <c r="J99" s="9"/>
      <c r="K99" s="9"/>
      <c r="L99" s="9"/>
      <c r="M99" s="9"/>
      <c r="N99" s="9"/>
      <c r="O99" s="9"/>
      <c r="P99" s="9"/>
      <c r="Q99" s="9"/>
    </row>
    <row r="100" spans="1:17" ht="12.75">
      <c r="A100" s="6"/>
      <c r="B100" s="6"/>
      <c r="C100" s="6"/>
      <c r="D100" s="9"/>
      <c r="E100" s="9"/>
      <c r="F100" s="9"/>
      <c r="G100" s="9"/>
      <c r="H100" s="9"/>
      <c r="I100" s="9"/>
      <c r="J100" s="9"/>
      <c r="K100" s="9"/>
      <c r="L100" s="9"/>
      <c r="M100" s="9"/>
      <c r="N100" s="9"/>
      <c r="O100" s="9"/>
      <c r="P100" s="9"/>
      <c r="Q100" s="9"/>
    </row>
    <row r="101" spans="1:17" ht="12.75">
      <c r="A101" s="6"/>
      <c r="B101" s="6"/>
      <c r="C101" s="6"/>
      <c r="D101" s="9"/>
      <c r="E101" s="9"/>
      <c r="F101" s="9"/>
      <c r="G101" s="9"/>
      <c r="H101" s="9"/>
      <c r="I101" s="9"/>
      <c r="J101" s="9"/>
      <c r="K101" s="9"/>
      <c r="L101" s="9"/>
      <c r="M101" s="9"/>
      <c r="N101" s="9"/>
      <c r="O101" s="9"/>
      <c r="P101" s="9"/>
      <c r="Q101" s="9"/>
    </row>
    <row r="102" spans="1:17" ht="12.75">
      <c r="A102" s="6"/>
      <c r="B102" s="6"/>
      <c r="C102" s="6"/>
      <c r="D102" s="9"/>
      <c r="E102" s="9"/>
      <c r="F102" s="9"/>
      <c r="G102" s="9"/>
      <c r="H102" s="9"/>
      <c r="I102" s="9"/>
      <c r="J102" s="9"/>
      <c r="K102" s="9"/>
      <c r="L102" s="9"/>
      <c r="M102" s="9"/>
      <c r="N102" s="9"/>
      <c r="O102" s="9"/>
      <c r="P102" s="9"/>
      <c r="Q102" s="9"/>
    </row>
    <row r="103" spans="1:17" ht="12.75">
      <c r="A103" s="6"/>
      <c r="B103" s="6"/>
      <c r="C103" s="6"/>
      <c r="D103" s="9"/>
      <c r="E103" s="9"/>
      <c r="F103" s="9"/>
      <c r="G103" s="9"/>
      <c r="H103" s="9"/>
      <c r="I103" s="9"/>
      <c r="J103" s="9"/>
      <c r="K103" s="9"/>
      <c r="L103" s="9"/>
      <c r="M103" s="9"/>
      <c r="N103" s="9"/>
      <c r="O103" s="9"/>
      <c r="P103" s="9"/>
      <c r="Q103" s="9"/>
    </row>
    <row r="104" spans="1:17" ht="12.75">
      <c r="A104" s="6"/>
      <c r="B104" s="6"/>
      <c r="C104" s="6"/>
      <c r="D104" s="9"/>
      <c r="E104" s="9"/>
      <c r="F104" s="9"/>
      <c r="G104" s="9"/>
      <c r="H104" s="9"/>
      <c r="I104" s="9"/>
      <c r="J104" s="9"/>
      <c r="K104" s="9"/>
      <c r="L104" s="9"/>
      <c r="M104" s="9"/>
      <c r="N104" s="9"/>
      <c r="O104" s="9"/>
      <c r="P104" s="9"/>
      <c r="Q104" s="9"/>
    </row>
    <row r="105" spans="1:17" ht="12.75">
      <c r="A105" s="6"/>
      <c r="B105" s="6"/>
      <c r="C105" s="6"/>
      <c r="D105" s="9"/>
      <c r="E105" s="9"/>
      <c r="F105" s="9"/>
      <c r="G105" s="9"/>
      <c r="H105" s="9"/>
      <c r="I105" s="9"/>
      <c r="J105" s="9"/>
      <c r="K105" s="9"/>
      <c r="L105" s="9"/>
      <c r="M105" s="9"/>
      <c r="N105" s="9"/>
      <c r="O105" s="9"/>
      <c r="P105" s="9"/>
      <c r="Q105" s="9"/>
    </row>
    <row r="106" spans="1:17" ht="12.75">
      <c r="A106" s="6"/>
      <c r="B106" s="6"/>
      <c r="C106" s="6"/>
      <c r="D106" s="9"/>
      <c r="E106" s="9"/>
      <c r="F106" s="9"/>
      <c r="G106" s="9"/>
      <c r="H106" s="9"/>
      <c r="I106" s="9"/>
      <c r="J106" s="9"/>
      <c r="K106" s="9"/>
      <c r="L106" s="9"/>
      <c r="M106" s="9"/>
      <c r="N106" s="9"/>
      <c r="O106" s="9"/>
      <c r="P106" s="9"/>
      <c r="Q106" s="9"/>
    </row>
    <row r="107" spans="1:17" ht="12.75">
      <c r="A107" s="6"/>
      <c r="B107" s="6"/>
      <c r="C107" s="6"/>
      <c r="D107" s="9"/>
      <c r="E107" s="9"/>
      <c r="F107" s="9"/>
      <c r="G107" s="9"/>
      <c r="H107" s="9"/>
      <c r="I107" s="9"/>
      <c r="J107" s="9"/>
      <c r="K107" s="9"/>
      <c r="L107" s="9"/>
      <c r="M107" s="9"/>
      <c r="N107" s="9"/>
      <c r="O107" s="9"/>
      <c r="P107" s="9"/>
      <c r="Q107" s="9"/>
    </row>
    <row r="108" spans="1:17" ht="12.75">
      <c r="A108" s="6"/>
      <c r="B108" s="6"/>
      <c r="C108" s="6"/>
      <c r="D108" s="9"/>
      <c r="E108" s="9"/>
      <c r="F108" s="9"/>
      <c r="G108" s="9"/>
      <c r="H108" s="9"/>
      <c r="I108" s="9"/>
      <c r="J108" s="9"/>
      <c r="K108" s="9"/>
      <c r="L108" s="9"/>
      <c r="M108" s="9"/>
      <c r="N108" s="9"/>
      <c r="O108" s="9"/>
      <c r="P108" s="9"/>
      <c r="Q108" s="9"/>
    </row>
    <row r="109" spans="1:17" ht="12.75">
      <c r="A109" s="6"/>
      <c r="B109" s="6"/>
      <c r="C109" s="6"/>
      <c r="D109" s="9"/>
      <c r="E109" s="9"/>
      <c r="F109" s="9"/>
      <c r="G109" s="9"/>
      <c r="H109" s="9"/>
      <c r="I109" s="9"/>
      <c r="J109" s="9"/>
      <c r="K109" s="9"/>
      <c r="L109" s="9"/>
      <c r="M109" s="9"/>
      <c r="N109" s="9"/>
      <c r="O109" s="9"/>
      <c r="P109" s="9"/>
      <c r="Q109" s="9"/>
    </row>
    <row r="110" spans="1:17" ht="12.75">
      <c r="A110" s="6"/>
      <c r="B110" s="6"/>
      <c r="C110" s="6"/>
      <c r="D110" s="9"/>
      <c r="E110" s="9"/>
      <c r="F110" s="9"/>
      <c r="G110" s="9"/>
      <c r="H110" s="9"/>
      <c r="I110" s="9"/>
      <c r="J110" s="9"/>
      <c r="K110" s="9"/>
      <c r="L110" s="9"/>
      <c r="M110" s="9"/>
      <c r="N110" s="9"/>
      <c r="O110" s="9"/>
      <c r="P110" s="9"/>
      <c r="Q110" s="9"/>
    </row>
    <row r="111" spans="1:17" ht="12.75">
      <c r="A111" s="6"/>
      <c r="B111" s="6"/>
      <c r="C111" s="6"/>
      <c r="D111" s="9"/>
      <c r="E111" s="9"/>
      <c r="F111" s="9"/>
      <c r="G111" s="9"/>
      <c r="H111" s="9"/>
      <c r="I111" s="9"/>
      <c r="J111" s="9"/>
      <c r="K111" s="9"/>
      <c r="L111" s="9"/>
      <c r="M111" s="9"/>
      <c r="N111" s="9"/>
      <c r="O111" s="9"/>
      <c r="P111" s="9"/>
      <c r="Q111" s="9"/>
    </row>
    <row r="112" spans="1:17" ht="12.75">
      <c r="A112" s="6"/>
      <c r="B112" s="6"/>
      <c r="C112" s="6"/>
      <c r="D112" s="9"/>
      <c r="E112" s="9"/>
      <c r="F112" s="9"/>
      <c r="G112" s="9"/>
      <c r="H112" s="9"/>
      <c r="I112" s="9"/>
      <c r="J112" s="9"/>
      <c r="K112" s="9"/>
      <c r="L112" s="9"/>
      <c r="M112" s="9"/>
      <c r="N112" s="9"/>
      <c r="O112" s="9"/>
      <c r="P112" s="9"/>
      <c r="Q112" s="9"/>
    </row>
    <row r="113" spans="1:17" ht="12.75">
      <c r="A113" s="6"/>
      <c r="B113" s="6"/>
      <c r="C113" s="6"/>
      <c r="D113" s="9"/>
      <c r="E113" s="9"/>
      <c r="F113" s="9"/>
      <c r="G113" s="9"/>
      <c r="H113" s="9"/>
      <c r="I113" s="9"/>
      <c r="J113" s="9"/>
      <c r="K113" s="9"/>
      <c r="L113" s="9"/>
      <c r="M113" s="9"/>
      <c r="N113" s="9"/>
      <c r="O113" s="9"/>
      <c r="P113" s="9"/>
      <c r="Q113" s="9"/>
    </row>
    <row r="114" spans="1:17" ht="12.75">
      <c r="A114" s="6"/>
      <c r="B114" s="6"/>
      <c r="C114" s="6"/>
      <c r="D114" s="9"/>
      <c r="E114" s="9"/>
      <c r="F114" s="9"/>
      <c r="G114" s="9"/>
      <c r="H114" s="9"/>
      <c r="I114" s="9"/>
      <c r="J114" s="9"/>
      <c r="K114" s="9"/>
      <c r="L114" s="9"/>
      <c r="M114" s="9"/>
      <c r="N114" s="9"/>
      <c r="O114" s="9"/>
      <c r="P114" s="9"/>
      <c r="Q114" s="9"/>
    </row>
    <row r="115" spans="1:17" ht="12.75">
      <c r="A115" s="6"/>
      <c r="B115" s="6"/>
      <c r="C115" s="6"/>
      <c r="D115" s="9"/>
      <c r="E115" s="9"/>
      <c r="F115" s="9"/>
      <c r="G115" s="9"/>
      <c r="H115" s="9"/>
      <c r="I115" s="9"/>
      <c r="J115" s="9"/>
      <c r="K115" s="9"/>
      <c r="L115" s="9"/>
      <c r="M115" s="9"/>
      <c r="N115" s="9"/>
      <c r="O115" s="9"/>
      <c r="P115" s="9"/>
      <c r="Q115" s="9"/>
    </row>
    <row r="116" spans="1:17" ht="12.75">
      <c r="A116" s="6"/>
      <c r="B116" s="6"/>
      <c r="C116" s="6"/>
      <c r="D116" s="9"/>
      <c r="E116" s="9"/>
      <c r="F116" s="9"/>
      <c r="G116" s="9"/>
      <c r="H116" s="9"/>
      <c r="I116" s="9"/>
      <c r="J116" s="9"/>
      <c r="K116" s="9"/>
      <c r="L116" s="9"/>
      <c r="M116" s="9"/>
      <c r="N116" s="9"/>
      <c r="O116" s="9"/>
      <c r="P116" s="9"/>
      <c r="Q116" s="9"/>
    </row>
    <row r="117" spans="1:17" ht="12.75">
      <c r="A117" s="6"/>
      <c r="B117" s="6"/>
      <c r="C117" s="6"/>
      <c r="D117" s="9"/>
      <c r="E117" s="9"/>
      <c r="F117" s="9"/>
      <c r="G117" s="9"/>
      <c r="H117" s="9"/>
      <c r="I117" s="9"/>
      <c r="J117" s="9"/>
      <c r="K117" s="9"/>
      <c r="L117" s="9"/>
      <c r="M117" s="9"/>
      <c r="N117" s="9"/>
      <c r="O117" s="9"/>
      <c r="P117" s="9"/>
      <c r="Q117" s="9"/>
    </row>
    <row r="118" spans="1:17" ht="12.75">
      <c r="A118" s="6"/>
      <c r="B118" s="6"/>
      <c r="C118" s="6"/>
      <c r="D118" s="9"/>
      <c r="E118" s="9"/>
      <c r="F118" s="9"/>
      <c r="G118" s="9"/>
      <c r="H118" s="9"/>
      <c r="I118" s="9"/>
      <c r="J118" s="9"/>
      <c r="K118" s="9"/>
      <c r="L118" s="9"/>
      <c r="M118" s="9"/>
      <c r="N118" s="9"/>
      <c r="O118" s="9"/>
      <c r="P118" s="9"/>
      <c r="Q118" s="9"/>
    </row>
    <row r="119" spans="1:17" ht="12.75">
      <c r="A119" s="6"/>
      <c r="B119" s="6"/>
      <c r="C119" s="6"/>
      <c r="D119" s="9"/>
      <c r="E119" s="9"/>
      <c r="F119" s="9"/>
      <c r="G119" s="9"/>
      <c r="H119" s="9"/>
      <c r="I119" s="9"/>
      <c r="J119" s="9"/>
      <c r="K119" s="9"/>
      <c r="L119" s="9"/>
      <c r="M119" s="9"/>
      <c r="N119" s="9"/>
      <c r="O119" s="9"/>
      <c r="P119" s="9"/>
      <c r="Q119" s="9"/>
    </row>
    <row r="120" spans="1:17" ht="12.75">
      <c r="A120" s="6"/>
      <c r="B120" s="6"/>
      <c r="C120" s="6"/>
      <c r="D120" s="9"/>
      <c r="E120" s="9"/>
      <c r="F120" s="9"/>
      <c r="G120" s="9"/>
      <c r="H120" s="9"/>
      <c r="I120" s="9"/>
      <c r="J120" s="9"/>
      <c r="K120" s="9"/>
      <c r="L120" s="9"/>
      <c r="M120" s="9"/>
      <c r="N120" s="9"/>
      <c r="O120" s="9"/>
      <c r="P120" s="9"/>
      <c r="Q120" s="9"/>
    </row>
    <row r="121" spans="1:17" ht="12.75">
      <c r="A121" s="6"/>
      <c r="B121" s="6"/>
      <c r="C121" s="6"/>
      <c r="D121" s="9"/>
      <c r="E121" s="9"/>
      <c r="F121" s="9"/>
      <c r="G121" s="9"/>
      <c r="H121" s="9"/>
      <c r="I121" s="9"/>
      <c r="J121" s="9"/>
      <c r="K121" s="9"/>
      <c r="L121" s="9"/>
      <c r="M121" s="9"/>
      <c r="N121" s="9"/>
      <c r="O121" s="9"/>
      <c r="P121" s="9"/>
      <c r="Q121" s="9"/>
    </row>
    <row r="122" spans="1:17" ht="12.75">
      <c r="A122" s="6"/>
      <c r="B122" s="6"/>
      <c r="C122" s="6"/>
      <c r="D122" s="9"/>
      <c r="E122" s="9"/>
      <c r="F122" s="9"/>
      <c r="G122" s="9"/>
      <c r="H122" s="9"/>
      <c r="I122" s="9"/>
      <c r="J122" s="9"/>
      <c r="K122" s="9"/>
      <c r="L122" s="9"/>
      <c r="M122" s="9"/>
      <c r="N122" s="9"/>
      <c r="O122" s="9"/>
      <c r="P122" s="9"/>
      <c r="Q122" s="9"/>
    </row>
    <row r="123" spans="1:17" ht="12.75">
      <c r="A123" s="6"/>
      <c r="B123" s="6"/>
      <c r="C123" s="6"/>
      <c r="D123" s="9"/>
      <c r="E123" s="9"/>
      <c r="F123" s="9"/>
      <c r="G123" s="9"/>
      <c r="H123" s="9"/>
      <c r="I123" s="9"/>
      <c r="J123" s="9"/>
      <c r="K123" s="9"/>
      <c r="L123" s="9"/>
      <c r="M123" s="9"/>
      <c r="N123" s="9"/>
      <c r="O123" s="9"/>
      <c r="P123" s="9"/>
      <c r="Q123" s="9"/>
    </row>
    <row r="124" spans="1:17" ht="12.75">
      <c r="A124" s="6"/>
      <c r="B124" s="6"/>
      <c r="C124" s="6"/>
      <c r="D124" s="9"/>
      <c r="E124" s="9"/>
      <c r="F124" s="9"/>
      <c r="G124" s="9"/>
      <c r="H124" s="9"/>
      <c r="I124" s="9"/>
      <c r="J124" s="9"/>
      <c r="K124" s="9"/>
      <c r="L124" s="9"/>
      <c r="M124" s="9"/>
      <c r="N124" s="9"/>
      <c r="O124" s="9"/>
      <c r="P124" s="9"/>
      <c r="Q124" s="9"/>
    </row>
    <row r="125" spans="1:17" ht="12.75">
      <c r="A125" s="6"/>
      <c r="B125" s="6"/>
      <c r="C125" s="6"/>
      <c r="D125" s="9"/>
      <c r="E125" s="9"/>
      <c r="F125" s="9"/>
      <c r="G125" s="9"/>
      <c r="H125" s="9"/>
      <c r="I125" s="9"/>
      <c r="J125" s="9"/>
      <c r="K125" s="9"/>
      <c r="L125" s="9"/>
      <c r="M125" s="9"/>
      <c r="N125" s="9"/>
      <c r="O125" s="9"/>
      <c r="P125" s="9"/>
      <c r="Q125" s="9"/>
    </row>
    <row r="126" spans="1:17" ht="12.75">
      <c r="A126" s="6"/>
      <c r="B126" s="6"/>
      <c r="C126" s="6"/>
      <c r="D126" s="9"/>
      <c r="E126" s="9"/>
      <c r="F126" s="9"/>
      <c r="G126" s="9"/>
      <c r="H126" s="9"/>
      <c r="I126" s="9"/>
      <c r="J126" s="9"/>
      <c r="K126" s="9"/>
      <c r="L126" s="9"/>
      <c r="M126" s="9"/>
      <c r="N126" s="9"/>
      <c r="O126" s="9"/>
      <c r="P126" s="9"/>
      <c r="Q126" s="9"/>
    </row>
    <row r="127" spans="1:17" ht="12.75">
      <c r="A127" s="6"/>
      <c r="B127" s="6"/>
      <c r="C127" s="6"/>
      <c r="D127" s="9"/>
      <c r="E127" s="9"/>
      <c r="F127" s="9"/>
      <c r="G127" s="9"/>
      <c r="H127" s="9"/>
      <c r="I127" s="9"/>
      <c r="J127" s="9"/>
      <c r="K127" s="9"/>
      <c r="L127" s="9"/>
      <c r="M127" s="9"/>
      <c r="N127" s="9"/>
      <c r="O127" s="9"/>
      <c r="P127" s="9"/>
      <c r="Q127" s="9"/>
    </row>
    <row r="128" spans="1:17" ht="12.75">
      <c r="A128" s="6"/>
      <c r="B128" s="6"/>
      <c r="C128" s="6"/>
      <c r="D128" s="9"/>
      <c r="E128" s="9"/>
      <c r="F128" s="9"/>
      <c r="G128" s="9"/>
      <c r="H128" s="9"/>
      <c r="I128" s="9"/>
      <c r="J128" s="9"/>
      <c r="K128" s="9"/>
      <c r="L128" s="9"/>
      <c r="M128" s="9"/>
      <c r="N128" s="9"/>
      <c r="O128" s="9"/>
      <c r="P128" s="9"/>
      <c r="Q128" s="9"/>
    </row>
    <row r="129" spans="1:17" ht="12.75">
      <c r="A129" s="6"/>
      <c r="B129" s="6"/>
      <c r="C129" s="6"/>
      <c r="D129" s="9"/>
      <c r="E129" s="9"/>
      <c r="F129" s="9"/>
      <c r="G129" s="9"/>
      <c r="H129" s="9"/>
      <c r="I129" s="9"/>
      <c r="J129" s="9"/>
      <c r="K129" s="9"/>
      <c r="L129" s="9"/>
      <c r="M129" s="9"/>
      <c r="N129" s="9"/>
      <c r="O129" s="9"/>
      <c r="P129" s="9"/>
      <c r="Q129" s="9"/>
    </row>
    <row r="130" spans="1:17" ht="12.75">
      <c r="A130" s="6"/>
      <c r="B130" s="6"/>
      <c r="C130" s="6"/>
      <c r="D130" s="9"/>
      <c r="E130" s="9"/>
      <c r="F130" s="9"/>
      <c r="G130" s="9"/>
      <c r="H130" s="9"/>
      <c r="I130" s="9"/>
      <c r="J130" s="9"/>
      <c r="K130" s="9"/>
      <c r="L130" s="9"/>
      <c r="M130" s="9"/>
      <c r="N130" s="9"/>
      <c r="O130" s="9"/>
      <c r="P130" s="9"/>
      <c r="Q130" s="9"/>
    </row>
    <row r="131" spans="1:17" ht="12.75">
      <c r="A131" s="6"/>
      <c r="B131" s="6"/>
      <c r="C131" s="6"/>
      <c r="D131" s="9"/>
      <c r="E131" s="9"/>
      <c r="F131" s="9"/>
      <c r="G131" s="9"/>
      <c r="H131" s="9"/>
      <c r="I131" s="9"/>
      <c r="J131" s="9"/>
      <c r="K131" s="9"/>
      <c r="L131" s="9"/>
      <c r="M131" s="9"/>
      <c r="N131" s="9"/>
      <c r="O131" s="9"/>
      <c r="P131" s="9"/>
      <c r="Q131" s="9"/>
    </row>
    <row r="132" spans="1:17" ht="12.75">
      <c r="A132" s="6"/>
      <c r="B132" s="6"/>
      <c r="C132" s="6"/>
      <c r="D132" s="9"/>
      <c r="E132" s="9"/>
      <c r="F132" s="9"/>
      <c r="G132" s="9"/>
      <c r="H132" s="9"/>
      <c r="I132" s="9"/>
      <c r="J132" s="9"/>
      <c r="K132" s="9"/>
      <c r="L132" s="9"/>
      <c r="M132" s="9"/>
      <c r="N132" s="9"/>
      <c r="O132" s="9"/>
      <c r="P132" s="9"/>
      <c r="Q132" s="9"/>
    </row>
    <row r="133" spans="1:17" ht="12.75">
      <c r="A133" s="6"/>
      <c r="B133" s="6"/>
      <c r="C133" s="6"/>
      <c r="D133" s="9"/>
      <c r="E133" s="9"/>
      <c r="F133" s="9"/>
      <c r="G133" s="9"/>
      <c r="H133" s="9"/>
      <c r="I133" s="9"/>
      <c r="J133" s="9"/>
      <c r="K133" s="9"/>
      <c r="L133" s="9"/>
      <c r="M133" s="9"/>
      <c r="N133" s="9"/>
      <c r="O133" s="9"/>
      <c r="P133" s="9"/>
      <c r="Q133" s="9"/>
    </row>
    <row r="134" spans="1:17" ht="12.75">
      <c r="A134" s="6"/>
      <c r="B134" s="6"/>
      <c r="C134" s="6"/>
      <c r="D134" s="9"/>
      <c r="E134" s="9"/>
      <c r="F134" s="9"/>
      <c r="G134" s="9"/>
      <c r="H134" s="9"/>
      <c r="I134" s="9"/>
      <c r="J134" s="9"/>
      <c r="K134" s="9"/>
      <c r="L134" s="9"/>
      <c r="M134" s="9"/>
      <c r="N134" s="9"/>
      <c r="O134" s="9"/>
      <c r="P134" s="9"/>
      <c r="Q134" s="9"/>
    </row>
    <row r="135" spans="1:17" ht="12.75">
      <c r="A135" s="6"/>
      <c r="B135" s="6"/>
      <c r="C135" s="6"/>
      <c r="D135" s="9"/>
      <c r="E135" s="9"/>
      <c r="F135" s="9"/>
      <c r="G135" s="9"/>
      <c r="H135" s="9"/>
      <c r="I135" s="9"/>
      <c r="J135" s="9"/>
      <c r="K135" s="9"/>
      <c r="L135" s="9"/>
      <c r="M135" s="9"/>
      <c r="N135" s="9"/>
      <c r="O135" s="9"/>
      <c r="P135" s="9"/>
      <c r="Q135" s="9"/>
    </row>
    <row r="136" spans="1:17" ht="12.75">
      <c r="A136" s="6"/>
      <c r="B136" s="6"/>
      <c r="C136" s="6"/>
      <c r="D136" s="9"/>
      <c r="E136" s="9"/>
      <c r="F136" s="9"/>
      <c r="G136" s="9"/>
      <c r="H136" s="9"/>
      <c r="I136" s="9"/>
      <c r="J136" s="9"/>
      <c r="K136" s="9"/>
      <c r="L136" s="9"/>
      <c r="M136" s="9"/>
      <c r="N136" s="9"/>
      <c r="O136" s="9"/>
      <c r="P136" s="9"/>
      <c r="Q136" s="9"/>
    </row>
    <row r="137" spans="1:17" ht="12.75">
      <c r="A137" s="6"/>
      <c r="B137" s="6"/>
      <c r="C137" s="6"/>
      <c r="D137" s="9"/>
      <c r="E137" s="9"/>
      <c r="F137" s="9"/>
      <c r="G137" s="9"/>
      <c r="H137" s="9"/>
      <c r="I137" s="9"/>
      <c r="J137" s="9"/>
      <c r="K137" s="9"/>
      <c r="L137" s="9"/>
      <c r="M137" s="9"/>
      <c r="N137" s="9"/>
      <c r="O137" s="9"/>
      <c r="P137" s="9"/>
      <c r="Q137" s="9"/>
    </row>
    <row r="138" spans="1:17" ht="12.75">
      <c r="A138" s="6"/>
      <c r="B138" s="6"/>
      <c r="C138" s="6"/>
      <c r="D138" s="9"/>
      <c r="E138" s="9"/>
      <c r="F138" s="9"/>
      <c r="G138" s="9"/>
      <c r="H138" s="9"/>
      <c r="I138" s="9"/>
      <c r="J138" s="9"/>
      <c r="K138" s="9"/>
      <c r="L138" s="9"/>
      <c r="M138" s="9"/>
      <c r="N138" s="9"/>
      <c r="O138" s="9"/>
      <c r="P138" s="9"/>
      <c r="Q138" s="9"/>
    </row>
    <row r="139" spans="1:17" ht="12.75">
      <c r="A139" s="6"/>
      <c r="B139" s="6"/>
      <c r="C139" s="6"/>
      <c r="D139" s="9"/>
      <c r="E139" s="9"/>
      <c r="F139" s="9"/>
      <c r="G139" s="9"/>
      <c r="H139" s="9"/>
      <c r="I139" s="9"/>
      <c r="J139" s="9"/>
      <c r="K139" s="9"/>
      <c r="L139" s="9"/>
      <c r="M139" s="9"/>
      <c r="N139" s="9"/>
      <c r="O139" s="9"/>
      <c r="P139" s="9"/>
      <c r="Q139" s="9"/>
    </row>
    <row r="140" spans="1:17" ht="12.75">
      <c r="A140" s="6"/>
      <c r="B140" s="6"/>
      <c r="C140" s="6"/>
      <c r="D140" s="6"/>
      <c r="E140" s="6"/>
      <c r="F140" s="6"/>
      <c r="G140" s="6"/>
      <c r="H140" s="6"/>
      <c r="I140" s="6"/>
      <c r="J140" s="6"/>
      <c r="K140" s="6"/>
      <c r="L140" s="6"/>
      <c r="M140" s="6"/>
      <c r="N140" s="9"/>
      <c r="O140" s="9"/>
      <c r="P140" s="9"/>
      <c r="Q140" s="9"/>
    </row>
    <row r="141" spans="1:17" ht="12.75">
      <c r="A141" s="6"/>
      <c r="B141" s="6"/>
      <c r="C141" s="6"/>
      <c r="D141" s="6"/>
      <c r="E141" s="6"/>
      <c r="F141" s="6"/>
      <c r="G141" s="6"/>
      <c r="H141" s="6"/>
      <c r="I141" s="6"/>
      <c r="J141" s="6"/>
      <c r="K141" s="6"/>
      <c r="L141" s="6"/>
      <c r="M141" s="6"/>
      <c r="N141" s="9"/>
      <c r="O141" s="9"/>
      <c r="P141" s="9"/>
      <c r="Q141" s="9"/>
    </row>
    <row r="142" spans="1:17" ht="12.75">
      <c r="A142" s="6"/>
      <c r="B142" s="6"/>
      <c r="C142" s="6"/>
      <c r="D142" s="6"/>
      <c r="E142" s="6"/>
      <c r="F142" s="6"/>
      <c r="G142" s="6"/>
      <c r="H142" s="6"/>
      <c r="I142" s="6"/>
      <c r="J142" s="6"/>
      <c r="K142" s="6"/>
      <c r="L142" s="6"/>
      <c r="M142" s="6"/>
      <c r="N142" s="9"/>
      <c r="O142" s="9"/>
      <c r="P142" s="9"/>
      <c r="Q142" s="9"/>
    </row>
    <row r="143" spans="1:17" ht="12.75">
      <c r="A143" s="6"/>
      <c r="B143" s="6"/>
      <c r="C143" s="6"/>
      <c r="D143" s="6"/>
      <c r="E143" s="6"/>
      <c r="F143" s="6"/>
      <c r="G143" s="6"/>
      <c r="H143" s="6"/>
      <c r="I143" s="6"/>
      <c r="J143" s="6"/>
      <c r="K143" s="6"/>
      <c r="L143" s="6"/>
      <c r="M143" s="6"/>
      <c r="N143" s="9"/>
      <c r="O143" s="9"/>
      <c r="P143" s="9"/>
      <c r="Q143" s="9"/>
    </row>
    <row r="144" spans="1:17" ht="12.75">
      <c r="A144" s="6"/>
      <c r="B144" s="6"/>
      <c r="C144" s="6"/>
      <c r="D144" s="6"/>
      <c r="E144" s="6"/>
      <c r="F144" s="6"/>
      <c r="G144" s="6"/>
      <c r="H144" s="6"/>
      <c r="I144" s="6"/>
      <c r="J144" s="6"/>
      <c r="K144" s="6"/>
      <c r="L144" s="6"/>
      <c r="M144" s="6"/>
      <c r="N144" s="9"/>
      <c r="O144" s="9"/>
      <c r="P144" s="9"/>
      <c r="Q144" s="9"/>
    </row>
    <row r="145" spans="1:17" ht="12.75">
      <c r="A145" s="6"/>
      <c r="B145" s="6"/>
      <c r="C145" s="6"/>
      <c r="D145" s="6"/>
      <c r="E145" s="6"/>
      <c r="F145" s="6"/>
      <c r="G145" s="6"/>
      <c r="H145" s="6"/>
      <c r="I145" s="6"/>
      <c r="J145" s="6"/>
      <c r="K145" s="6"/>
      <c r="L145" s="6"/>
      <c r="M145" s="6"/>
      <c r="N145" s="9"/>
      <c r="O145" s="9"/>
      <c r="P145" s="9"/>
      <c r="Q145" s="9"/>
    </row>
    <row r="146" spans="1:17" ht="12.75">
      <c r="A146" s="6"/>
      <c r="B146" s="6"/>
      <c r="C146" s="6"/>
      <c r="D146" s="6"/>
      <c r="E146" s="6"/>
      <c r="F146" s="6"/>
      <c r="G146" s="6"/>
      <c r="H146" s="6"/>
      <c r="I146" s="6"/>
      <c r="J146" s="6"/>
      <c r="K146" s="6"/>
      <c r="L146" s="6"/>
      <c r="M146" s="6"/>
      <c r="N146" s="9"/>
      <c r="O146" s="9"/>
      <c r="P146" s="9"/>
      <c r="Q146" s="9"/>
    </row>
    <row r="147" spans="1:17" ht="12.75">
      <c r="A147" s="6"/>
      <c r="B147" s="6"/>
      <c r="C147" s="6"/>
      <c r="D147" s="6"/>
      <c r="E147" s="6"/>
      <c r="F147" s="6"/>
      <c r="G147" s="6"/>
      <c r="H147" s="6"/>
      <c r="I147" s="6"/>
      <c r="J147" s="6"/>
      <c r="K147" s="6"/>
      <c r="L147" s="6"/>
      <c r="M147" s="6"/>
      <c r="N147" s="9"/>
      <c r="O147" s="9"/>
      <c r="P147" s="9"/>
      <c r="Q147" s="9"/>
    </row>
    <row r="148" spans="1:17" ht="12.75">
      <c r="A148" s="6"/>
      <c r="B148" s="6"/>
      <c r="C148" s="6"/>
      <c r="D148" s="6"/>
      <c r="E148" s="6"/>
      <c r="F148" s="6"/>
      <c r="G148" s="6"/>
      <c r="H148" s="6"/>
      <c r="I148" s="6"/>
      <c r="J148" s="6"/>
      <c r="K148" s="6"/>
      <c r="L148" s="6"/>
      <c r="M148" s="6"/>
      <c r="N148" s="9"/>
      <c r="O148" s="9"/>
      <c r="P148" s="9"/>
      <c r="Q148" s="9"/>
    </row>
    <row r="149" spans="1:17" ht="12.75">
      <c r="A149" s="6"/>
      <c r="B149" s="6"/>
      <c r="C149" s="6"/>
      <c r="D149" s="6"/>
      <c r="E149" s="6"/>
      <c r="F149" s="6"/>
      <c r="G149" s="6"/>
      <c r="H149" s="6"/>
      <c r="I149" s="6"/>
      <c r="J149" s="6"/>
      <c r="K149" s="6"/>
      <c r="L149" s="6"/>
      <c r="M149" s="6"/>
      <c r="N149" s="9"/>
      <c r="O149" s="9"/>
      <c r="P149" s="9"/>
      <c r="Q149" s="9"/>
    </row>
    <row r="150" spans="1:17" ht="12.75">
      <c r="A150" s="6"/>
      <c r="B150" s="6"/>
      <c r="C150" s="6"/>
      <c r="D150" s="6"/>
      <c r="E150" s="6"/>
      <c r="F150" s="6"/>
      <c r="G150" s="6"/>
      <c r="H150" s="6"/>
      <c r="I150" s="6"/>
      <c r="J150" s="6"/>
      <c r="K150" s="6"/>
      <c r="L150" s="6"/>
      <c r="M150" s="6"/>
      <c r="N150" s="9"/>
      <c r="O150" s="9"/>
      <c r="P150" s="9"/>
      <c r="Q150" s="9"/>
    </row>
    <row r="151" spans="1:17" ht="12.75">
      <c r="A151" s="6"/>
      <c r="B151" s="6"/>
      <c r="C151" s="6"/>
      <c r="D151" s="6"/>
      <c r="E151" s="6"/>
      <c r="F151" s="6"/>
      <c r="G151" s="6"/>
      <c r="H151" s="6"/>
      <c r="I151" s="6"/>
      <c r="J151" s="6"/>
      <c r="K151" s="6"/>
      <c r="L151" s="6"/>
      <c r="M151" s="6"/>
      <c r="N151" s="9"/>
      <c r="O151" s="9"/>
      <c r="P151" s="9"/>
      <c r="Q151" s="9"/>
    </row>
    <row r="152" spans="1:17" ht="12.75">
      <c r="A152" s="6"/>
      <c r="B152" s="6"/>
      <c r="C152" s="6"/>
      <c r="D152" s="6"/>
      <c r="E152" s="6"/>
      <c r="F152" s="6"/>
      <c r="G152" s="6"/>
      <c r="H152" s="6"/>
      <c r="I152" s="6"/>
      <c r="J152" s="6"/>
      <c r="K152" s="6"/>
      <c r="L152" s="6"/>
      <c r="M152" s="6"/>
      <c r="N152" s="9"/>
      <c r="O152" s="9"/>
      <c r="P152" s="9"/>
      <c r="Q152" s="9"/>
    </row>
    <row r="153" spans="1:17" ht="12.75">
      <c r="A153" s="6"/>
      <c r="B153" s="6"/>
      <c r="C153" s="6"/>
      <c r="D153" s="6"/>
      <c r="E153" s="6"/>
      <c r="F153" s="6"/>
      <c r="G153" s="6"/>
      <c r="H153" s="6"/>
      <c r="I153" s="6"/>
      <c r="J153" s="6"/>
      <c r="K153" s="6"/>
      <c r="L153" s="6"/>
      <c r="M153" s="6"/>
      <c r="N153" s="9"/>
      <c r="O153" s="9"/>
      <c r="P153" s="9"/>
      <c r="Q153" s="9"/>
    </row>
    <row r="154" spans="1:17" ht="12.75">
      <c r="A154" s="6"/>
      <c r="B154" s="6"/>
      <c r="C154" s="6"/>
      <c r="D154" s="6"/>
      <c r="E154" s="6"/>
      <c r="F154" s="6"/>
      <c r="G154" s="6"/>
      <c r="H154" s="6"/>
      <c r="I154" s="6"/>
      <c r="J154" s="6"/>
      <c r="K154" s="6"/>
      <c r="L154" s="6"/>
      <c r="M154" s="6"/>
      <c r="N154" s="9"/>
      <c r="O154" s="9"/>
      <c r="P154" s="9"/>
      <c r="Q154" s="9"/>
    </row>
    <row r="155" spans="1:17" ht="12.75">
      <c r="A155" s="6"/>
      <c r="B155" s="6"/>
      <c r="C155" s="6"/>
      <c r="D155" s="6"/>
      <c r="E155" s="6"/>
      <c r="F155" s="6"/>
      <c r="G155" s="6"/>
      <c r="H155" s="6"/>
      <c r="I155" s="6"/>
      <c r="J155" s="6"/>
      <c r="K155" s="6"/>
      <c r="L155" s="6"/>
      <c r="M155" s="6"/>
      <c r="N155" s="9"/>
      <c r="O155" s="9"/>
      <c r="P155" s="9"/>
      <c r="Q155" s="9"/>
    </row>
    <row r="156" spans="1:17" ht="12.75">
      <c r="A156" s="6"/>
      <c r="B156" s="6"/>
      <c r="C156" s="6"/>
      <c r="D156" s="6"/>
      <c r="E156" s="6"/>
      <c r="F156" s="6"/>
      <c r="G156" s="6"/>
      <c r="H156" s="6"/>
      <c r="I156" s="6"/>
      <c r="J156" s="6"/>
      <c r="K156" s="6"/>
      <c r="L156" s="6"/>
      <c r="M156" s="6"/>
      <c r="N156" s="9"/>
      <c r="O156" s="9"/>
      <c r="P156" s="9"/>
      <c r="Q156" s="9"/>
    </row>
    <row r="157" spans="1:17" ht="12.75">
      <c r="A157" s="6"/>
      <c r="B157" s="6"/>
      <c r="C157" s="6"/>
      <c r="D157" s="6"/>
      <c r="E157" s="6"/>
      <c r="F157" s="6"/>
      <c r="G157" s="6"/>
      <c r="H157" s="6"/>
      <c r="I157" s="6"/>
      <c r="J157" s="6"/>
      <c r="K157" s="6"/>
      <c r="L157" s="6"/>
      <c r="M157" s="6"/>
      <c r="N157" s="9"/>
      <c r="O157" s="9"/>
      <c r="P157" s="9"/>
      <c r="Q157" s="9"/>
    </row>
    <row r="158" spans="1:17" ht="12.75">
      <c r="A158" s="6"/>
      <c r="B158" s="6"/>
      <c r="C158" s="6"/>
      <c r="D158" s="6"/>
      <c r="E158" s="6"/>
      <c r="F158" s="6"/>
      <c r="G158" s="6"/>
      <c r="H158" s="6"/>
      <c r="I158" s="6"/>
      <c r="J158" s="6"/>
      <c r="K158" s="6"/>
      <c r="L158" s="6"/>
      <c r="M158" s="6"/>
      <c r="N158" s="9"/>
      <c r="O158" s="9"/>
      <c r="P158" s="9"/>
      <c r="Q158" s="9"/>
    </row>
    <row r="159" spans="1:17" ht="12.75">
      <c r="A159" s="6"/>
      <c r="B159" s="6"/>
      <c r="C159" s="6"/>
      <c r="D159" s="6"/>
      <c r="E159" s="6"/>
      <c r="F159" s="6"/>
      <c r="G159" s="6"/>
      <c r="H159" s="6"/>
      <c r="I159" s="6"/>
      <c r="J159" s="6"/>
      <c r="K159" s="6"/>
      <c r="L159" s="6"/>
      <c r="M159" s="6"/>
      <c r="N159" s="9"/>
      <c r="O159" s="9"/>
      <c r="P159" s="9"/>
      <c r="Q159" s="9"/>
    </row>
    <row r="160" spans="1:17" ht="12.75">
      <c r="A160" s="6"/>
      <c r="B160" s="6"/>
      <c r="C160" s="6"/>
      <c r="D160" s="6"/>
      <c r="E160" s="6"/>
      <c r="F160" s="6"/>
      <c r="G160" s="6"/>
      <c r="H160" s="6"/>
      <c r="I160" s="6"/>
      <c r="J160" s="6"/>
      <c r="K160" s="6"/>
      <c r="L160" s="6"/>
      <c r="M160" s="6"/>
      <c r="N160" s="9"/>
      <c r="O160" s="9"/>
      <c r="P160" s="9"/>
      <c r="Q160" s="9"/>
    </row>
    <row r="161" spans="1:17" ht="12.75">
      <c r="A161" s="6"/>
      <c r="B161" s="6"/>
      <c r="C161" s="6"/>
      <c r="D161" s="6"/>
      <c r="E161" s="6"/>
      <c r="F161" s="6"/>
      <c r="G161" s="6"/>
      <c r="H161" s="6"/>
      <c r="I161" s="6"/>
      <c r="J161" s="6"/>
      <c r="K161" s="6"/>
      <c r="L161" s="6"/>
      <c r="M161" s="6"/>
      <c r="N161" s="9"/>
      <c r="O161" s="9"/>
      <c r="P161" s="9"/>
      <c r="Q161" s="9"/>
    </row>
    <row r="162" spans="1:17" ht="12.75">
      <c r="A162" s="6"/>
      <c r="B162" s="6"/>
      <c r="C162" s="6"/>
      <c r="D162" s="6"/>
      <c r="E162" s="6"/>
      <c r="F162" s="6"/>
      <c r="G162" s="6"/>
      <c r="H162" s="6"/>
      <c r="I162" s="6"/>
      <c r="J162" s="6"/>
      <c r="K162" s="6"/>
      <c r="L162" s="6"/>
      <c r="M162" s="6"/>
      <c r="N162" s="9"/>
      <c r="O162" s="9"/>
      <c r="P162" s="9"/>
      <c r="Q162" s="9"/>
    </row>
    <row r="163" spans="1:17" ht="12.75">
      <c r="A163" s="6"/>
      <c r="B163" s="6"/>
      <c r="C163" s="6"/>
      <c r="D163" s="6"/>
      <c r="E163" s="6"/>
      <c r="F163" s="6"/>
      <c r="G163" s="6"/>
      <c r="H163" s="6"/>
      <c r="I163" s="6"/>
      <c r="J163" s="6"/>
      <c r="K163" s="6"/>
      <c r="L163" s="6"/>
      <c r="M163" s="6"/>
      <c r="N163" s="9"/>
      <c r="O163" s="9"/>
      <c r="P163" s="9"/>
      <c r="Q163" s="9"/>
    </row>
    <row r="164" spans="1:17" ht="12.75">
      <c r="A164" s="6"/>
      <c r="B164" s="6"/>
      <c r="C164" s="6"/>
      <c r="D164" s="6"/>
      <c r="E164" s="6"/>
      <c r="F164" s="6"/>
      <c r="G164" s="6"/>
      <c r="H164" s="6"/>
      <c r="I164" s="6"/>
      <c r="J164" s="6"/>
      <c r="K164" s="6"/>
      <c r="L164" s="6"/>
      <c r="M164" s="6"/>
      <c r="N164" s="9"/>
      <c r="O164" s="9"/>
      <c r="P164" s="9"/>
      <c r="Q164" s="9"/>
    </row>
    <row r="165" spans="1:17" ht="12.75">
      <c r="A165" s="6"/>
      <c r="B165" s="6"/>
      <c r="C165" s="6"/>
      <c r="D165" s="6"/>
      <c r="E165" s="6"/>
      <c r="F165" s="6"/>
      <c r="G165" s="6"/>
      <c r="H165" s="6"/>
      <c r="I165" s="6"/>
      <c r="J165" s="6"/>
      <c r="K165" s="6"/>
      <c r="L165" s="6"/>
      <c r="M165" s="6"/>
      <c r="N165" s="9"/>
      <c r="O165" s="9"/>
      <c r="P165" s="9"/>
      <c r="Q165" s="9"/>
    </row>
    <row r="166" spans="1:17" ht="12.75">
      <c r="A166" s="6"/>
      <c r="B166" s="6"/>
      <c r="C166" s="6"/>
      <c r="D166" s="6"/>
      <c r="E166" s="6"/>
      <c r="F166" s="6"/>
      <c r="G166" s="6"/>
      <c r="H166" s="6"/>
      <c r="I166" s="6"/>
      <c r="J166" s="6"/>
      <c r="K166" s="6"/>
      <c r="L166" s="6"/>
      <c r="M166" s="6"/>
      <c r="N166" s="9"/>
      <c r="O166" s="9"/>
      <c r="P166" s="9"/>
      <c r="Q166" s="9"/>
    </row>
    <row r="167" spans="1:17" ht="12.75">
      <c r="A167" s="6"/>
      <c r="B167" s="6"/>
      <c r="C167" s="6"/>
      <c r="D167" s="6"/>
      <c r="E167" s="6"/>
      <c r="F167" s="6"/>
      <c r="G167" s="6"/>
      <c r="H167" s="6"/>
      <c r="I167" s="6"/>
      <c r="J167" s="6"/>
      <c r="K167" s="6"/>
      <c r="L167" s="6"/>
      <c r="M167" s="6"/>
      <c r="N167" s="9"/>
      <c r="O167" s="9"/>
      <c r="P167" s="9"/>
      <c r="Q167" s="9"/>
    </row>
    <row r="168" spans="1:17" ht="12.75">
      <c r="A168" s="6"/>
      <c r="B168" s="6"/>
      <c r="C168" s="6"/>
      <c r="D168" s="6"/>
      <c r="E168" s="6"/>
      <c r="F168" s="6"/>
      <c r="G168" s="6"/>
      <c r="H168" s="6"/>
      <c r="I168" s="6"/>
      <c r="J168" s="6"/>
      <c r="K168" s="6"/>
      <c r="L168" s="6"/>
      <c r="M168" s="6"/>
      <c r="N168" s="9"/>
      <c r="O168" s="9"/>
      <c r="P168" s="9"/>
      <c r="Q168" s="9"/>
    </row>
    <row r="169" spans="1:17" ht="12.75">
      <c r="A169" s="6"/>
      <c r="B169" s="6"/>
      <c r="C169" s="6"/>
      <c r="D169" s="6"/>
      <c r="E169" s="6"/>
      <c r="F169" s="6"/>
      <c r="G169" s="6"/>
      <c r="H169" s="6"/>
      <c r="I169" s="6"/>
      <c r="J169" s="6"/>
      <c r="K169" s="6"/>
      <c r="L169" s="6"/>
      <c r="M169" s="6"/>
      <c r="N169" s="9"/>
      <c r="O169" s="9"/>
      <c r="P169" s="9"/>
      <c r="Q169" s="9"/>
    </row>
    <row r="170" spans="1:17" ht="12.75">
      <c r="A170" s="6"/>
      <c r="B170" s="6"/>
      <c r="C170" s="6"/>
      <c r="D170" s="6"/>
      <c r="E170" s="6"/>
      <c r="F170" s="6"/>
      <c r="G170" s="6"/>
      <c r="H170" s="6"/>
      <c r="I170" s="6"/>
      <c r="J170" s="6"/>
      <c r="K170" s="6"/>
      <c r="L170" s="6"/>
      <c r="M170" s="6"/>
      <c r="N170" s="9"/>
      <c r="O170" s="9"/>
      <c r="P170" s="9"/>
      <c r="Q170" s="9"/>
    </row>
    <row r="171" spans="1:17" ht="12.75">
      <c r="A171" s="6"/>
      <c r="B171" s="6"/>
      <c r="C171" s="6"/>
      <c r="D171" s="6"/>
      <c r="E171" s="6"/>
      <c r="F171" s="6"/>
      <c r="G171" s="6"/>
      <c r="H171" s="6"/>
      <c r="I171" s="6"/>
      <c r="J171" s="6"/>
      <c r="K171" s="6"/>
      <c r="L171" s="6"/>
      <c r="M171" s="6"/>
      <c r="N171" s="9"/>
      <c r="O171" s="9"/>
      <c r="P171" s="9"/>
      <c r="Q171" s="9"/>
    </row>
    <row r="172" spans="1:17" ht="12.75">
      <c r="A172" s="6"/>
      <c r="B172" s="6"/>
      <c r="C172" s="6"/>
      <c r="D172" s="6"/>
      <c r="E172" s="6"/>
      <c r="F172" s="6"/>
      <c r="G172" s="6"/>
      <c r="H172" s="6"/>
      <c r="I172" s="6"/>
      <c r="J172" s="6"/>
      <c r="K172" s="6"/>
      <c r="L172" s="6"/>
      <c r="M172" s="6"/>
      <c r="N172" s="9"/>
      <c r="O172" s="9"/>
      <c r="P172" s="9"/>
      <c r="Q172" s="9"/>
    </row>
    <row r="173" spans="1:17" ht="12.75">
      <c r="A173" s="6"/>
      <c r="B173" s="6"/>
      <c r="C173" s="6"/>
      <c r="D173" s="6"/>
      <c r="E173" s="6"/>
      <c r="F173" s="6"/>
      <c r="G173" s="6"/>
      <c r="H173" s="6"/>
      <c r="I173" s="6"/>
      <c r="J173" s="6"/>
      <c r="K173" s="6"/>
      <c r="L173" s="6"/>
      <c r="M173" s="6"/>
      <c r="N173" s="9"/>
      <c r="O173" s="9"/>
      <c r="P173" s="9"/>
      <c r="Q173" s="9"/>
    </row>
    <row r="174" spans="1:17" ht="12.75">
      <c r="A174" s="6"/>
      <c r="B174" s="6"/>
      <c r="C174" s="6"/>
      <c r="D174" s="6"/>
      <c r="E174" s="6"/>
      <c r="F174" s="6"/>
      <c r="G174" s="6"/>
      <c r="H174" s="6"/>
      <c r="I174" s="6"/>
      <c r="J174" s="6"/>
      <c r="K174" s="6"/>
      <c r="L174" s="6"/>
      <c r="M174" s="6"/>
      <c r="N174" s="9"/>
      <c r="O174" s="9"/>
      <c r="P174" s="9"/>
      <c r="Q174" s="9"/>
    </row>
    <row r="175" spans="1:17" ht="12.75">
      <c r="A175" s="6"/>
      <c r="B175" s="6"/>
      <c r="C175" s="6"/>
      <c r="D175" s="6"/>
      <c r="E175" s="6"/>
      <c r="F175" s="6"/>
      <c r="G175" s="6"/>
      <c r="H175" s="6"/>
      <c r="I175" s="6"/>
      <c r="J175" s="6"/>
      <c r="K175" s="6"/>
      <c r="L175" s="6"/>
      <c r="M175" s="6"/>
      <c r="N175" s="9"/>
      <c r="O175" s="9"/>
      <c r="P175" s="9"/>
      <c r="Q175" s="9"/>
    </row>
    <row r="176" spans="1:17" ht="12.75">
      <c r="A176" s="6"/>
      <c r="B176" s="6"/>
      <c r="C176" s="6"/>
      <c r="D176" s="6"/>
      <c r="E176" s="6"/>
      <c r="F176" s="6"/>
      <c r="G176" s="6"/>
      <c r="H176" s="6"/>
      <c r="I176" s="6"/>
      <c r="J176" s="6"/>
      <c r="K176" s="6"/>
      <c r="L176" s="6"/>
      <c r="M176" s="6"/>
      <c r="N176" s="9"/>
      <c r="O176" s="9"/>
      <c r="P176" s="9"/>
      <c r="Q176" s="9"/>
    </row>
    <row r="177" spans="1:17" ht="12.75">
      <c r="A177" s="6"/>
      <c r="B177" s="6"/>
      <c r="C177" s="6"/>
      <c r="D177" s="6"/>
      <c r="E177" s="6"/>
      <c r="F177" s="6"/>
      <c r="G177" s="6"/>
      <c r="H177" s="6"/>
      <c r="I177" s="6"/>
      <c r="J177" s="6"/>
      <c r="K177" s="6"/>
      <c r="L177" s="6"/>
      <c r="M177" s="6"/>
      <c r="N177" s="9"/>
      <c r="O177" s="9"/>
      <c r="P177" s="9"/>
      <c r="Q177" s="9"/>
    </row>
    <row r="178" spans="1:17" ht="12.75">
      <c r="A178" s="6"/>
      <c r="B178" s="6"/>
      <c r="C178" s="6"/>
      <c r="D178" s="6"/>
      <c r="E178" s="6"/>
      <c r="F178" s="6"/>
      <c r="G178" s="6"/>
      <c r="H178" s="6"/>
      <c r="I178" s="6"/>
      <c r="J178" s="6"/>
      <c r="K178" s="6"/>
      <c r="L178" s="6"/>
      <c r="M178" s="6"/>
      <c r="N178" s="9"/>
      <c r="O178" s="9"/>
      <c r="P178" s="9"/>
      <c r="Q178" s="9"/>
    </row>
    <row r="179" spans="1:17" ht="12.75">
      <c r="A179" s="6"/>
      <c r="B179" s="6"/>
      <c r="C179" s="6"/>
      <c r="D179" s="6"/>
      <c r="E179" s="6"/>
      <c r="F179" s="6"/>
      <c r="G179" s="6"/>
      <c r="H179" s="6"/>
      <c r="I179" s="6"/>
      <c r="J179" s="6"/>
      <c r="K179" s="6"/>
      <c r="L179" s="6"/>
      <c r="M179" s="6"/>
      <c r="N179" s="9"/>
      <c r="O179" s="9"/>
      <c r="P179" s="9"/>
      <c r="Q179" s="9"/>
    </row>
    <row r="180" spans="1:17" ht="12.75">
      <c r="A180" s="6"/>
      <c r="B180" s="6"/>
      <c r="C180" s="6"/>
      <c r="D180" s="6"/>
      <c r="E180" s="6"/>
      <c r="F180" s="6"/>
      <c r="G180" s="6"/>
      <c r="H180" s="6"/>
      <c r="I180" s="6"/>
      <c r="J180" s="6"/>
      <c r="K180" s="6"/>
      <c r="L180" s="6"/>
      <c r="M180" s="6"/>
      <c r="N180" s="9"/>
      <c r="O180" s="9"/>
      <c r="P180" s="9"/>
      <c r="Q180" s="9"/>
    </row>
    <row r="181" spans="1:17" ht="12.75">
      <c r="A181" s="6"/>
      <c r="B181" s="6"/>
      <c r="C181" s="6"/>
      <c r="D181" s="6"/>
      <c r="E181" s="6"/>
      <c r="F181" s="6"/>
      <c r="G181" s="6"/>
      <c r="H181" s="6"/>
      <c r="I181" s="6"/>
      <c r="J181" s="6"/>
      <c r="K181" s="6"/>
      <c r="L181" s="6"/>
      <c r="M181" s="6"/>
      <c r="N181" s="9"/>
      <c r="O181" s="9"/>
      <c r="P181" s="9"/>
      <c r="Q181" s="9"/>
    </row>
    <row r="182" spans="1:17" ht="12.75">
      <c r="A182" s="6"/>
      <c r="B182" s="6"/>
      <c r="C182" s="6"/>
      <c r="D182" s="6"/>
      <c r="E182" s="6"/>
      <c r="F182" s="6"/>
      <c r="G182" s="6"/>
      <c r="H182" s="6"/>
      <c r="I182" s="6"/>
      <c r="J182" s="6"/>
      <c r="K182" s="6"/>
      <c r="L182" s="6"/>
      <c r="M182" s="6"/>
      <c r="N182" s="9"/>
      <c r="O182" s="9"/>
      <c r="P182" s="9"/>
      <c r="Q182" s="9"/>
    </row>
    <row r="183" spans="1:17" ht="12.75">
      <c r="A183" s="6"/>
      <c r="B183" s="6"/>
      <c r="C183" s="6"/>
      <c r="D183" s="6"/>
      <c r="E183" s="6"/>
      <c r="F183" s="6"/>
      <c r="G183" s="6"/>
      <c r="H183" s="6"/>
      <c r="I183" s="6"/>
      <c r="J183" s="6"/>
      <c r="K183" s="6"/>
      <c r="L183" s="6"/>
      <c r="M183" s="6"/>
      <c r="N183" s="9"/>
      <c r="O183" s="9"/>
      <c r="P183" s="9"/>
      <c r="Q183" s="9"/>
    </row>
    <row r="184" spans="1:17" ht="12.75">
      <c r="A184" s="6"/>
      <c r="B184" s="6"/>
      <c r="C184" s="6"/>
      <c r="D184" s="6"/>
      <c r="E184" s="6"/>
      <c r="F184" s="6"/>
      <c r="G184" s="6"/>
      <c r="H184" s="6"/>
      <c r="I184" s="6"/>
      <c r="J184" s="6"/>
      <c r="K184" s="6"/>
      <c r="L184" s="6"/>
      <c r="M184" s="6"/>
      <c r="N184" s="9"/>
      <c r="O184" s="9"/>
      <c r="P184" s="9"/>
      <c r="Q184" s="9"/>
    </row>
    <row r="185" spans="1:17" ht="12.75">
      <c r="A185" s="6"/>
      <c r="B185" s="6"/>
      <c r="C185" s="6"/>
      <c r="D185" s="6"/>
      <c r="E185" s="6"/>
      <c r="F185" s="6"/>
      <c r="G185" s="6"/>
      <c r="H185" s="6"/>
      <c r="I185" s="6"/>
      <c r="J185" s="6"/>
      <c r="K185" s="6"/>
      <c r="L185" s="6"/>
      <c r="M185" s="6"/>
      <c r="N185" s="9"/>
      <c r="O185" s="9"/>
      <c r="P185" s="9"/>
      <c r="Q185" s="9"/>
    </row>
    <row r="186" spans="1:17" ht="12.75">
      <c r="A186" s="6"/>
      <c r="B186" s="6"/>
      <c r="C186" s="6"/>
      <c r="D186" s="6"/>
      <c r="E186" s="6"/>
      <c r="F186" s="6"/>
      <c r="G186" s="6"/>
      <c r="H186" s="6"/>
      <c r="I186" s="6"/>
      <c r="J186" s="6"/>
      <c r="K186" s="6"/>
      <c r="L186" s="6"/>
      <c r="M186" s="6"/>
      <c r="N186" s="9"/>
      <c r="O186" s="9"/>
      <c r="P186" s="9"/>
      <c r="Q186" s="9"/>
    </row>
    <row r="187" spans="1:17" ht="12.75">
      <c r="A187" s="6"/>
      <c r="B187" s="6"/>
      <c r="C187" s="6"/>
      <c r="D187" s="6"/>
      <c r="E187" s="6"/>
      <c r="F187" s="6"/>
      <c r="G187" s="6"/>
      <c r="H187" s="6"/>
      <c r="I187" s="6"/>
      <c r="J187" s="6"/>
      <c r="K187" s="6"/>
      <c r="L187" s="6"/>
      <c r="M187" s="6"/>
      <c r="N187" s="9"/>
      <c r="O187" s="9"/>
      <c r="P187" s="9"/>
      <c r="Q187" s="9"/>
    </row>
    <row r="188" spans="1:17" ht="12.75">
      <c r="A188" s="6"/>
      <c r="B188" s="6"/>
      <c r="C188" s="6"/>
      <c r="D188" s="6"/>
      <c r="E188" s="6"/>
      <c r="F188" s="6"/>
      <c r="G188" s="6"/>
      <c r="H188" s="6"/>
      <c r="I188" s="6"/>
      <c r="J188" s="6"/>
      <c r="K188" s="6"/>
      <c r="L188" s="6"/>
      <c r="M188" s="6"/>
      <c r="N188" s="9"/>
      <c r="O188" s="9"/>
      <c r="P188" s="9"/>
      <c r="Q188" s="9"/>
    </row>
    <row r="189" spans="1:17" ht="12.75">
      <c r="A189" s="6"/>
      <c r="B189" s="6"/>
      <c r="C189" s="6"/>
      <c r="D189" s="6"/>
      <c r="E189" s="6"/>
      <c r="F189" s="6"/>
      <c r="G189" s="6"/>
      <c r="H189" s="6"/>
      <c r="I189" s="6"/>
      <c r="J189" s="6"/>
      <c r="K189" s="6"/>
      <c r="L189" s="6"/>
      <c r="M189" s="6"/>
      <c r="N189" s="9"/>
      <c r="O189" s="9"/>
      <c r="P189" s="9"/>
      <c r="Q189" s="9"/>
    </row>
    <row r="190" spans="1:17" ht="12.75">
      <c r="A190" s="6"/>
      <c r="B190" s="6"/>
      <c r="C190" s="6"/>
      <c r="D190" s="6"/>
      <c r="E190" s="6"/>
      <c r="F190" s="6"/>
      <c r="G190" s="6"/>
      <c r="H190" s="6"/>
      <c r="I190" s="6"/>
      <c r="J190" s="6"/>
      <c r="K190" s="6"/>
      <c r="L190" s="6"/>
      <c r="M190" s="6"/>
      <c r="N190" s="9"/>
      <c r="O190" s="9"/>
      <c r="P190" s="9"/>
      <c r="Q190" s="9"/>
    </row>
    <row r="191" spans="1:17" ht="12.75">
      <c r="A191" s="6"/>
      <c r="B191" s="6"/>
      <c r="C191" s="6"/>
      <c r="D191" s="6"/>
      <c r="E191" s="6"/>
      <c r="F191" s="6"/>
      <c r="G191" s="6"/>
      <c r="H191" s="6"/>
      <c r="I191" s="6"/>
      <c r="J191" s="6"/>
      <c r="K191" s="6"/>
      <c r="L191" s="6"/>
      <c r="M191" s="6"/>
      <c r="N191" s="9"/>
      <c r="O191" s="9"/>
      <c r="P191" s="9"/>
      <c r="Q191" s="9"/>
    </row>
    <row r="192" spans="1:17" ht="12.75">
      <c r="A192" s="6"/>
      <c r="B192" s="6"/>
      <c r="C192" s="6"/>
      <c r="D192" s="6"/>
      <c r="E192" s="6"/>
      <c r="F192" s="6"/>
      <c r="G192" s="6"/>
      <c r="H192" s="6"/>
      <c r="I192" s="6"/>
      <c r="J192" s="6"/>
      <c r="K192" s="6"/>
      <c r="L192" s="6"/>
      <c r="M192" s="6"/>
      <c r="N192" s="9"/>
      <c r="O192" s="9"/>
      <c r="P192" s="9"/>
      <c r="Q192" s="9"/>
    </row>
    <row r="193" spans="1:17" ht="12.75">
      <c r="A193" s="6"/>
      <c r="B193" s="6"/>
      <c r="C193" s="6"/>
      <c r="D193" s="6"/>
      <c r="E193" s="6"/>
      <c r="F193" s="6"/>
      <c r="G193" s="6"/>
      <c r="H193" s="6"/>
      <c r="I193" s="6"/>
      <c r="J193" s="6"/>
      <c r="K193" s="6"/>
      <c r="L193" s="6"/>
      <c r="M193" s="6"/>
      <c r="N193" s="9"/>
      <c r="O193" s="9"/>
      <c r="P193" s="9"/>
      <c r="Q193" s="9"/>
    </row>
    <row r="194" spans="1:17" ht="12.75">
      <c r="A194" s="6"/>
      <c r="B194" s="6"/>
      <c r="C194" s="6"/>
      <c r="D194" s="6"/>
      <c r="E194" s="6"/>
      <c r="F194" s="6"/>
      <c r="G194" s="6"/>
      <c r="H194" s="6"/>
      <c r="I194" s="6"/>
      <c r="J194" s="6"/>
      <c r="K194" s="6"/>
      <c r="L194" s="6"/>
      <c r="M194" s="6"/>
      <c r="N194" s="9"/>
      <c r="O194" s="9"/>
      <c r="P194" s="9"/>
      <c r="Q194" s="9"/>
    </row>
    <row r="195" spans="1:17" ht="12.75">
      <c r="A195" s="6"/>
      <c r="B195" s="6"/>
      <c r="C195" s="6"/>
      <c r="D195" s="6"/>
      <c r="E195" s="6"/>
      <c r="F195" s="6"/>
      <c r="G195" s="6"/>
      <c r="H195" s="6"/>
      <c r="I195" s="6"/>
      <c r="J195" s="6"/>
      <c r="K195" s="6"/>
      <c r="L195" s="6"/>
      <c r="M195" s="6"/>
      <c r="N195" s="9"/>
      <c r="O195" s="9"/>
      <c r="P195" s="9"/>
      <c r="Q195" s="9"/>
    </row>
    <row r="196" spans="1:17" ht="12.75">
      <c r="A196" s="6"/>
      <c r="B196" s="6"/>
      <c r="C196" s="6"/>
      <c r="D196" s="6"/>
      <c r="E196" s="6"/>
      <c r="F196" s="6"/>
      <c r="G196" s="6"/>
      <c r="H196" s="6"/>
      <c r="I196" s="6"/>
      <c r="J196" s="6"/>
      <c r="K196" s="6"/>
      <c r="L196" s="6"/>
      <c r="M196" s="6"/>
      <c r="N196" s="9"/>
      <c r="O196" s="9"/>
      <c r="P196" s="9"/>
      <c r="Q196" s="9"/>
    </row>
    <row r="197" spans="1:17" ht="12.75">
      <c r="A197" s="6"/>
      <c r="B197" s="6"/>
      <c r="C197" s="6"/>
      <c r="D197" s="6"/>
      <c r="E197" s="6"/>
      <c r="F197" s="6"/>
      <c r="G197" s="6"/>
      <c r="H197" s="6"/>
      <c r="I197" s="6"/>
      <c r="J197" s="6"/>
      <c r="K197" s="6"/>
      <c r="L197" s="6"/>
      <c r="M197" s="6"/>
      <c r="N197" s="9"/>
      <c r="O197" s="9"/>
      <c r="P197" s="9"/>
      <c r="Q197" s="9"/>
    </row>
    <row r="198" spans="1:17" ht="12.75">
      <c r="A198" s="6"/>
      <c r="B198" s="6"/>
      <c r="C198" s="6"/>
      <c r="D198" s="6"/>
      <c r="E198" s="6"/>
      <c r="F198" s="6"/>
      <c r="G198" s="6"/>
      <c r="H198" s="6"/>
      <c r="I198" s="6"/>
      <c r="J198" s="6"/>
      <c r="K198" s="6"/>
      <c r="L198" s="6"/>
      <c r="M198" s="6"/>
      <c r="N198" s="9"/>
      <c r="O198" s="9"/>
      <c r="P198" s="9"/>
      <c r="Q198" s="9"/>
    </row>
    <row r="199" spans="1:17" ht="12.75">
      <c r="A199" s="6"/>
      <c r="B199" s="6"/>
      <c r="C199" s="6"/>
      <c r="D199" s="6"/>
      <c r="E199" s="6"/>
      <c r="F199" s="6"/>
      <c r="G199" s="6"/>
      <c r="H199" s="6"/>
      <c r="I199" s="6"/>
      <c r="J199" s="6"/>
      <c r="K199" s="6"/>
      <c r="L199" s="6"/>
      <c r="M199" s="6"/>
      <c r="N199" s="9"/>
      <c r="O199" s="9"/>
      <c r="P199" s="9"/>
      <c r="Q199" s="9"/>
    </row>
    <row r="200" spans="1:17" ht="12.75">
      <c r="A200" s="6"/>
      <c r="B200" s="6"/>
      <c r="C200" s="6"/>
      <c r="D200" s="6"/>
      <c r="E200" s="6"/>
      <c r="F200" s="6"/>
      <c r="G200" s="6"/>
      <c r="H200" s="6"/>
      <c r="I200" s="6"/>
      <c r="J200" s="6"/>
      <c r="K200" s="6"/>
      <c r="L200" s="6"/>
      <c r="M200" s="6"/>
      <c r="N200" s="9"/>
      <c r="O200" s="9"/>
      <c r="P200" s="9"/>
      <c r="Q200" s="9"/>
    </row>
    <row r="201" spans="1:17" ht="12.75">
      <c r="A201" s="6"/>
      <c r="B201" s="6"/>
      <c r="C201" s="6"/>
      <c r="D201" s="6"/>
      <c r="E201" s="6"/>
      <c r="F201" s="6"/>
      <c r="G201" s="6"/>
      <c r="H201" s="6"/>
      <c r="I201" s="6"/>
      <c r="J201" s="6"/>
      <c r="K201" s="6"/>
      <c r="L201" s="6"/>
      <c r="M201" s="6"/>
      <c r="N201" s="9"/>
      <c r="O201" s="9"/>
      <c r="P201" s="9"/>
      <c r="Q201" s="9"/>
    </row>
    <row r="202" spans="1:17" ht="12.75">
      <c r="A202" s="6"/>
      <c r="B202" s="6"/>
      <c r="C202" s="6"/>
      <c r="D202" s="6"/>
      <c r="E202" s="6"/>
      <c r="F202" s="6"/>
      <c r="G202" s="6"/>
      <c r="H202" s="6"/>
      <c r="I202" s="6"/>
      <c r="J202" s="6"/>
      <c r="K202" s="6"/>
      <c r="L202" s="6"/>
      <c r="M202" s="6"/>
      <c r="N202" s="9"/>
      <c r="O202" s="9"/>
      <c r="P202" s="9"/>
      <c r="Q202" s="9"/>
    </row>
    <row r="203" spans="1:17" ht="12.75">
      <c r="A203" s="6"/>
      <c r="B203" s="6"/>
      <c r="C203" s="6"/>
      <c r="D203" s="6"/>
      <c r="E203" s="6"/>
      <c r="F203" s="6"/>
      <c r="G203" s="6"/>
      <c r="H203" s="6"/>
      <c r="I203" s="6"/>
      <c r="J203" s="6"/>
      <c r="K203" s="6"/>
      <c r="L203" s="6"/>
      <c r="M203" s="6"/>
      <c r="N203" s="9"/>
      <c r="O203" s="9"/>
      <c r="P203" s="9"/>
      <c r="Q203" s="9"/>
    </row>
    <row r="204" spans="1:17" ht="12.75">
      <c r="A204" s="6"/>
      <c r="B204" s="6"/>
      <c r="C204" s="6"/>
      <c r="D204" s="6"/>
      <c r="E204" s="6"/>
      <c r="F204" s="6"/>
      <c r="G204" s="6"/>
      <c r="H204" s="6"/>
      <c r="I204" s="6"/>
      <c r="J204" s="6"/>
      <c r="K204" s="6"/>
      <c r="L204" s="6"/>
      <c r="M204" s="6"/>
      <c r="N204" s="9"/>
      <c r="O204" s="9"/>
      <c r="P204" s="9"/>
      <c r="Q204" s="9"/>
    </row>
    <row r="205" spans="1:17" ht="12.75">
      <c r="A205" s="6"/>
      <c r="B205" s="6"/>
      <c r="C205" s="6"/>
      <c r="D205" s="6"/>
      <c r="E205" s="6"/>
      <c r="F205" s="6"/>
      <c r="G205" s="6"/>
      <c r="H205" s="6"/>
      <c r="I205" s="6"/>
      <c r="J205" s="6"/>
      <c r="K205" s="6"/>
      <c r="L205" s="6"/>
      <c r="M205" s="6"/>
      <c r="N205" s="9"/>
      <c r="O205" s="9"/>
      <c r="P205" s="9"/>
      <c r="Q205" s="9"/>
    </row>
    <row r="206" spans="1:17" ht="12.75">
      <c r="A206" s="6"/>
      <c r="B206" s="6"/>
      <c r="C206" s="6"/>
      <c r="D206" s="6"/>
      <c r="E206" s="6"/>
      <c r="F206" s="6"/>
      <c r="G206" s="6"/>
      <c r="H206" s="6"/>
      <c r="I206" s="6"/>
      <c r="J206" s="6"/>
      <c r="K206" s="6"/>
      <c r="L206" s="6"/>
      <c r="M206" s="6"/>
      <c r="N206" s="9"/>
      <c r="O206" s="9"/>
      <c r="P206" s="9"/>
      <c r="Q206" s="9"/>
    </row>
    <row r="207" spans="1:17" ht="12.75">
      <c r="A207" s="6"/>
      <c r="B207" s="6"/>
      <c r="C207" s="6"/>
      <c r="D207" s="6"/>
      <c r="E207" s="6"/>
      <c r="F207" s="6"/>
      <c r="G207" s="6"/>
      <c r="H207" s="6"/>
      <c r="I207" s="6"/>
      <c r="J207" s="6"/>
      <c r="K207" s="6"/>
      <c r="L207" s="6"/>
      <c r="M207" s="6"/>
      <c r="N207" s="9"/>
      <c r="O207" s="9"/>
      <c r="P207" s="9"/>
      <c r="Q207" s="9"/>
    </row>
    <row r="208" spans="1:17" ht="12.75">
      <c r="A208" s="6"/>
      <c r="B208" s="6"/>
      <c r="C208" s="6"/>
      <c r="D208" s="6"/>
      <c r="E208" s="6"/>
      <c r="F208" s="6"/>
      <c r="G208" s="6"/>
      <c r="H208" s="6"/>
      <c r="I208" s="6"/>
      <c r="J208" s="6"/>
      <c r="K208" s="6"/>
      <c r="L208" s="6"/>
      <c r="M208" s="6"/>
      <c r="N208" s="9"/>
      <c r="O208" s="9"/>
      <c r="P208" s="9"/>
      <c r="Q208" s="9"/>
    </row>
    <row r="209" spans="1:17" ht="12.75">
      <c r="A209" s="6"/>
      <c r="B209" s="6"/>
      <c r="C209" s="6"/>
      <c r="D209" s="6"/>
      <c r="E209" s="6"/>
      <c r="F209" s="6"/>
      <c r="G209" s="6"/>
      <c r="H209" s="6"/>
      <c r="I209" s="6"/>
      <c r="J209" s="6"/>
      <c r="K209" s="6"/>
      <c r="L209" s="6"/>
      <c r="M209" s="6"/>
      <c r="N209" s="9"/>
      <c r="O209" s="9"/>
      <c r="P209" s="9"/>
      <c r="Q209" s="9"/>
    </row>
    <row r="210" spans="1:17" ht="12.75">
      <c r="A210" s="6"/>
      <c r="B210" s="6"/>
      <c r="C210" s="6"/>
      <c r="D210" s="6"/>
      <c r="E210" s="6"/>
      <c r="F210" s="6"/>
      <c r="G210" s="6"/>
      <c r="H210" s="6"/>
      <c r="I210" s="6"/>
      <c r="J210" s="6"/>
      <c r="K210" s="6"/>
      <c r="L210" s="6"/>
      <c r="M210" s="6"/>
      <c r="N210" s="9"/>
      <c r="O210" s="9"/>
      <c r="P210" s="9"/>
      <c r="Q210" s="9"/>
    </row>
    <row r="211" spans="1:17" ht="12.75">
      <c r="A211" s="6"/>
      <c r="B211" s="6"/>
      <c r="C211" s="6"/>
      <c r="D211" s="6"/>
      <c r="E211" s="6"/>
      <c r="F211" s="6"/>
      <c r="G211" s="6"/>
      <c r="H211" s="6"/>
      <c r="I211" s="6"/>
      <c r="J211" s="6"/>
      <c r="K211" s="6"/>
      <c r="L211" s="6"/>
      <c r="M211" s="6"/>
      <c r="N211" s="9"/>
      <c r="O211" s="9"/>
      <c r="P211" s="9"/>
      <c r="Q211" s="9"/>
    </row>
    <row r="212" spans="1:17" ht="12.75">
      <c r="A212" s="6"/>
      <c r="B212" s="6"/>
      <c r="C212" s="6"/>
      <c r="D212" s="6"/>
      <c r="E212" s="6"/>
      <c r="F212" s="6"/>
      <c r="G212" s="6"/>
      <c r="H212" s="6"/>
      <c r="I212" s="6"/>
      <c r="J212" s="6"/>
      <c r="K212" s="6"/>
      <c r="L212" s="6"/>
      <c r="M212" s="6"/>
      <c r="N212" s="9"/>
      <c r="O212" s="9"/>
      <c r="P212" s="9"/>
      <c r="Q212" s="9"/>
    </row>
    <row r="213" spans="1:17" ht="12.75">
      <c r="A213" s="6"/>
      <c r="B213" s="6"/>
      <c r="C213" s="6"/>
      <c r="D213" s="6"/>
      <c r="E213" s="6"/>
      <c r="F213" s="6"/>
      <c r="G213" s="6"/>
      <c r="H213" s="6"/>
      <c r="I213" s="6"/>
      <c r="J213" s="6"/>
      <c r="K213" s="6"/>
      <c r="L213" s="6"/>
      <c r="M213" s="6"/>
      <c r="N213" s="9"/>
      <c r="O213" s="9"/>
      <c r="P213" s="9"/>
      <c r="Q213" s="9"/>
    </row>
    <row r="214" spans="1:17" ht="12.75">
      <c r="A214" s="6"/>
      <c r="B214" s="6"/>
      <c r="C214" s="6"/>
      <c r="D214" s="6"/>
      <c r="E214" s="6"/>
      <c r="F214" s="6"/>
      <c r="G214" s="6"/>
      <c r="H214" s="6"/>
      <c r="I214" s="6"/>
      <c r="J214" s="6"/>
      <c r="K214" s="6"/>
      <c r="L214" s="6"/>
      <c r="M214" s="6"/>
      <c r="N214" s="9"/>
      <c r="O214" s="9"/>
      <c r="P214" s="9"/>
      <c r="Q214" s="9"/>
    </row>
    <row r="215" spans="1:17" ht="12.75">
      <c r="A215" s="6"/>
      <c r="B215" s="6"/>
      <c r="C215" s="6"/>
      <c r="D215" s="6"/>
      <c r="E215" s="6"/>
      <c r="F215" s="6"/>
      <c r="G215" s="6"/>
      <c r="H215" s="6"/>
      <c r="I215" s="6"/>
      <c r="J215" s="6"/>
      <c r="K215" s="6"/>
      <c r="L215" s="6"/>
      <c r="M215" s="6"/>
      <c r="N215" s="9"/>
      <c r="O215" s="9"/>
      <c r="P215" s="9"/>
      <c r="Q215" s="9"/>
    </row>
    <row r="216" spans="1:17" ht="12.75">
      <c r="A216" s="6"/>
      <c r="B216" s="6"/>
      <c r="C216" s="6"/>
      <c r="D216" s="6"/>
      <c r="E216" s="6"/>
      <c r="F216" s="6"/>
      <c r="G216" s="6"/>
      <c r="H216" s="6"/>
      <c r="I216" s="6"/>
      <c r="J216" s="6"/>
      <c r="K216" s="6"/>
      <c r="L216" s="6"/>
      <c r="M216" s="6"/>
      <c r="N216" s="9"/>
      <c r="O216" s="9"/>
      <c r="P216" s="9"/>
      <c r="Q216" s="9"/>
    </row>
    <row r="217" spans="1:17" ht="12.75">
      <c r="A217" s="6"/>
      <c r="B217" s="6"/>
      <c r="C217" s="6"/>
      <c r="D217" s="6"/>
      <c r="E217" s="6"/>
      <c r="F217" s="6"/>
      <c r="G217" s="6"/>
      <c r="H217" s="6"/>
      <c r="I217" s="6"/>
      <c r="J217" s="6"/>
      <c r="K217" s="6"/>
      <c r="L217" s="6"/>
      <c r="M217" s="6"/>
      <c r="N217" s="9"/>
      <c r="O217" s="9"/>
      <c r="P217" s="9"/>
      <c r="Q217" s="9"/>
    </row>
    <row r="218" spans="1:17" ht="12.75">
      <c r="A218" s="6"/>
      <c r="B218" s="6"/>
      <c r="C218" s="6"/>
      <c r="D218" s="6"/>
      <c r="E218" s="6"/>
      <c r="F218" s="6"/>
      <c r="G218" s="6"/>
      <c r="H218" s="6"/>
      <c r="I218" s="6"/>
      <c r="J218" s="6"/>
      <c r="K218" s="6"/>
      <c r="L218" s="6"/>
      <c r="M218" s="6"/>
      <c r="N218" s="9"/>
      <c r="O218" s="9"/>
      <c r="P218" s="9"/>
      <c r="Q218" s="9"/>
    </row>
    <row r="219" spans="1:17" ht="12.75">
      <c r="A219" s="6"/>
      <c r="B219" s="6"/>
      <c r="C219" s="6"/>
      <c r="D219" s="6"/>
      <c r="E219" s="6"/>
      <c r="F219" s="6"/>
      <c r="G219" s="6"/>
      <c r="H219" s="6"/>
      <c r="I219" s="6"/>
      <c r="J219" s="6"/>
      <c r="K219" s="6"/>
      <c r="L219" s="6"/>
      <c r="M219" s="6"/>
      <c r="N219" s="9"/>
      <c r="O219" s="9"/>
      <c r="P219" s="9"/>
      <c r="Q219" s="9"/>
    </row>
    <row r="220" spans="1:17" ht="12.75">
      <c r="A220" s="6"/>
      <c r="B220" s="6"/>
      <c r="C220" s="6"/>
      <c r="D220" s="6"/>
      <c r="E220" s="6"/>
      <c r="F220" s="6"/>
      <c r="G220" s="6"/>
      <c r="H220" s="6"/>
      <c r="I220" s="6"/>
      <c r="J220" s="6"/>
      <c r="K220" s="6"/>
      <c r="L220" s="6"/>
      <c r="M220" s="6"/>
      <c r="N220" s="9"/>
      <c r="O220" s="9"/>
      <c r="P220" s="9"/>
      <c r="Q220" s="9"/>
    </row>
    <row r="221" spans="1:17" ht="12.75">
      <c r="A221" s="6"/>
      <c r="B221" s="6"/>
      <c r="C221" s="6"/>
      <c r="D221" s="6"/>
      <c r="E221" s="6"/>
      <c r="F221" s="6"/>
      <c r="G221" s="6"/>
      <c r="H221" s="6"/>
      <c r="I221" s="6"/>
      <c r="J221" s="6"/>
      <c r="K221" s="6"/>
      <c r="L221" s="6"/>
      <c r="M221" s="6"/>
      <c r="N221" s="9"/>
      <c r="O221" s="9"/>
      <c r="P221" s="9"/>
      <c r="Q221" s="9"/>
    </row>
    <row r="222" spans="1:17" ht="12.75">
      <c r="A222" s="6"/>
      <c r="B222" s="6"/>
      <c r="C222" s="6"/>
      <c r="D222" s="6"/>
      <c r="E222" s="6"/>
      <c r="F222" s="6"/>
      <c r="G222" s="6"/>
      <c r="H222" s="6"/>
      <c r="I222" s="6"/>
      <c r="J222" s="6"/>
      <c r="K222" s="6"/>
      <c r="L222" s="6"/>
      <c r="M222" s="6"/>
      <c r="N222" s="9"/>
      <c r="O222" s="9"/>
      <c r="P222" s="9"/>
      <c r="Q222" s="9"/>
    </row>
    <row r="223" spans="1:17" ht="12.75">
      <c r="A223" s="6"/>
      <c r="B223" s="6"/>
      <c r="C223" s="6"/>
      <c r="D223" s="6"/>
      <c r="E223" s="6"/>
      <c r="F223" s="6"/>
      <c r="G223" s="6"/>
      <c r="H223" s="6"/>
      <c r="I223" s="6"/>
      <c r="J223" s="6"/>
      <c r="K223" s="6"/>
      <c r="L223" s="6"/>
      <c r="M223" s="6"/>
      <c r="N223" s="9"/>
      <c r="O223" s="9"/>
      <c r="P223" s="9"/>
      <c r="Q223" s="9"/>
    </row>
    <row r="224" spans="1:17" ht="12.75">
      <c r="A224" s="6"/>
      <c r="B224" s="6"/>
      <c r="C224" s="6"/>
      <c r="D224" s="6"/>
      <c r="E224" s="6"/>
      <c r="F224" s="6"/>
      <c r="G224" s="6"/>
      <c r="H224" s="6"/>
      <c r="I224" s="6"/>
      <c r="J224" s="6"/>
      <c r="K224" s="6"/>
      <c r="L224" s="6"/>
      <c r="M224" s="6"/>
      <c r="N224" s="9"/>
      <c r="O224" s="9"/>
      <c r="P224" s="9"/>
      <c r="Q224" s="9"/>
    </row>
    <row r="225" spans="1:17" ht="12.75">
      <c r="A225" s="6"/>
      <c r="B225" s="6"/>
      <c r="C225" s="6"/>
      <c r="D225" s="6"/>
      <c r="E225" s="6"/>
      <c r="F225" s="6"/>
      <c r="G225" s="6"/>
      <c r="H225" s="6"/>
      <c r="I225" s="6"/>
      <c r="J225" s="6"/>
      <c r="K225" s="6"/>
      <c r="L225" s="6"/>
      <c r="M225" s="6"/>
      <c r="N225" s="9"/>
      <c r="O225" s="9"/>
      <c r="P225" s="9"/>
      <c r="Q225" s="9"/>
    </row>
    <row r="226" spans="1:17" ht="12.75">
      <c r="A226" s="6"/>
      <c r="B226" s="6"/>
      <c r="C226" s="6"/>
      <c r="D226" s="6"/>
      <c r="E226" s="6"/>
      <c r="F226" s="6"/>
      <c r="G226" s="6"/>
      <c r="H226" s="6"/>
      <c r="I226" s="6"/>
      <c r="J226" s="6"/>
      <c r="K226" s="6"/>
      <c r="L226" s="6"/>
      <c r="M226" s="6"/>
      <c r="N226" s="9"/>
      <c r="O226" s="9"/>
      <c r="P226" s="9"/>
      <c r="Q226" s="9"/>
    </row>
    <row r="227" spans="1:17" ht="12.75">
      <c r="A227" s="6"/>
      <c r="B227" s="6"/>
      <c r="C227" s="6"/>
      <c r="D227" s="6"/>
      <c r="E227" s="6"/>
      <c r="F227" s="6"/>
      <c r="G227" s="6"/>
      <c r="H227" s="6"/>
      <c r="I227" s="6"/>
      <c r="J227" s="6"/>
      <c r="K227" s="6"/>
      <c r="L227" s="6"/>
      <c r="M227" s="6"/>
      <c r="N227" s="9"/>
      <c r="O227" s="9"/>
      <c r="P227" s="9"/>
      <c r="Q227" s="9"/>
    </row>
    <row r="228" spans="1:17" ht="12.75">
      <c r="A228" s="6"/>
      <c r="B228" s="6"/>
      <c r="C228" s="6"/>
      <c r="D228" s="6"/>
      <c r="E228" s="6"/>
      <c r="F228" s="6"/>
      <c r="G228" s="6"/>
      <c r="H228" s="6"/>
      <c r="I228" s="6"/>
      <c r="J228" s="6"/>
      <c r="K228" s="6"/>
      <c r="L228" s="6"/>
      <c r="M228" s="6"/>
      <c r="N228" s="9"/>
      <c r="O228" s="9"/>
      <c r="P228" s="9"/>
      <c r="Q228" s="9"/>
    </row>
    <row r="229" spans="1:17" ht="12.75">
      <c r="A229" s="6"/>
      <c r="B229" s="6"/>
      <c r="C229" s="6"/>
      <c r="D229" s="6"/>
      <c r="E229" s="6"/>
      <c r="F229" s="6"/>
      <c r="G229" s="6"/>
      <c r="H229" s="6"/>
      <c r="I229" s="6"/>
      <c r="J229" s="6"/>
      <c r="K229" s="6"/>
      <c r="L229" s="6"/>
      <c r="M229" s="6"/>
      <c r="N229" s="9"/>
      <c r="O229" s="9"/>
      <c r="P229" s="9"/>
      <c r="Q229" s="9"/>
    </row>
    <row r="230" spans="1:17" ht="12.75">
      <c r="A230" s="6"/>
      <c r="B230" s="6"/>
      <c r="C230" s="6"/>
      <c r="D230" s="6"/>
      <c r="E230" s="6"/>
      <c r="F230" s="6"/>
      <c r="G230" s="6"/>
      <c r="H230" s="6"/>
      <c r="I230" s="6"/>
      <c r="J230" s="6"/>
      <c r="K230" s="6"/>
      <c r="L230" s="6"/>
      <c r="M230" s="6"/>
      <c r="N230" s="9"/>
      <c r="O230" s="9"/>
      <c r="P230" s="9"/>
      <c r="Q230" s="9"/>
    </row>
    <row r="231" spans="1:17" ht="12.75">
      <c r="A231" s="6"/>
      <c r="B231" s="6"/>
      <c r="C231" s="6"/>
      <c r="D231" s="6"/>
      <c r="E231" s="6"/>
      <c r="F231" s="6"/>
      <c r="G231" s="6"/>
      <c r="H231" s="6"/>
      <c r="I231" s="6"/>
      <c r="J231" s="6"/>
      <c r="K231" s="6"/>
      <c r="L231" s="6"/>
      <c r="M231" s="6"/>
      <c r="N231" s="9"/>
      <c r="O231" s="9"/>
      <c r="P231" s="9"/>
      <c r="Q231" s="9"/>
    </row>
    <row r="232" spans="1:17" ht="12.75">
      <c r="A232" s="6"/>
      <c r="B232" s="6"/>
      <c r="C232" s="6"/>
      <c r="D232" s="6"/>
      <c r="E232" s="6"/>
      <c r="F232" s="6"/>
      <c r="G232" s="6"/>
      <c r="H232" s="6"/>
      <c r="I232" s="6"/>
      <c r="J232" s="6"/>
      <c r="K232" s="6"/>
      <c r="L232" s="6"/>
      <c r="M232" s="6"/>
      <c r="N232" s="9"/>
      <c r="O232" s="9"/>
      <c r="P232" s="9"/>
      <c r="Q232" s="9"/>
    </row>
    <row r="233" spans="1:17" ht="12.75">
      <c r="A233" s="6"/>
      <c r="B233" s="6"/>
      <c r="C233" s="6"/>
      <c r="D233" s="6"/>
      <c r="E233" s="6"/>
      <c r="F233" s="6"/>
      <c r="G233" s="6"/>
      <c r="H233" s="6"/>
      <c r="I233" s="6"/>
      <c r="J233" s="6"/>
      <c r="K233" s="6"/>
      <c r="L233" s="6"/>
      <c r="M233" s="6"/>
      <c r="N233" s="9"/>
      <c r="O233" s="9"/>
      <c r="P233" s="9"/>
      <c r="Q233" s="9"/>
    </row>
    <row r="234" spans="1:17" ht="12.75">
      <c r="A234" s="6"/>
      <c r="B234" s="6"/>
      <c r="C234" s="6"/>
      <c r="D234" s="6"/>
      <c r="E234" s="6"/>
      <c r="F234" s="6"/>
      <c r="G234" s="6"/>
      <c r="H234" s="6"/>
      <c r="I234" s="6"/>
      <c r="J234" s="6"/>
      <c r="K234" s="6"/>
      <c r="L234" s="6"/>
      <c r="M234" s="6"/>
      <c r="N234" s="9"/>
      <c r="O234" s="9"/>
      <c r="P234" s="9"/>
      <c r="Q234" s="9"/>
    </row>
    <row r="235" spans="1:17" ht="12.75">
      <c r="A235" s="6"/>
      <c r="B235" s="6"/>
      <c r="C235" s="6"/>
      <c r="D235" s="6"/>
      <c r="E235" s="6"/>
      <c r="F235" s="6"/>
      <c r="G235" s="6"/>
      <c r="H235" s="6"/>
      <c r="I235" s="6"/>
      <c r="J235" s="6"/>
      <c r="K235" s="6"/>
      <c r="L235" s="6"/>
      <c r="M235" s="6"/>
      <c r="N235" s="9"/>
      <c r="O235" s="9"/>
      <c r="P235" s="9"/>
      <c r="Q235" s="9"/>
    </row>
    <row r="236" spans="1:17" ht="12.75">
      <c r="A236" s="6"/>
      <c r="B236" s="6"/>
      <c r="C236" s="6"/>
      <c r="D236" s="6"/>
      <c r="E236" s="6"/>
      <c r="F236" s="6"/>
      <c r="G236" s="6"/>
      <c r="H236" s="6"/>
      <c r="I236" s="6"/>
      <c r="J236" s="6"/>
      <c r="K236" s="6"/>
      <c r="L236" s="6"/>
      <c r="M236" s="6"/>
      <c r="N236" s="9"/>
      <c r="O236" s="9"/>
      <c r="P236" s="9"/>
      <c r="Q236" s="9"/>
    </row>
    <row r="237" spans="1:17" ht="12.75">
      <c r="A237" s="6"/>
      <c r="B237" s="6"/>
      <c r="C237" s="6"/>
      <c r="D237" s="6"/>
      <c r="E237" s="6"/>
      <c r="F237" s="6"/>
      <c r="G237" s="6"/>
      <c r="H237" s="6"/>
      <c r="I237" s="6"/>
      <c r="J237" s="6"/>
      <c r="K237" s="6"/>
      <c r="L237" s="6"/>
      <c r="M237" s="6"/>
      <c r="N237" s="9"/>
      <c r="O237" s="9"/>
      <c r="P237" s="9"/>
      <c r="Q237" s="9"/>
    </row>
    <row r="238" spans="1:17" ht="12.75">
      <c r="A238" s="6"/>
      <c r="B238" s="6"/>
      <c r="C238" s="6"/>
      <c r="D238" s="6"/>
      <c r="E238" s="6"/>
      <c r="F238" s="6"/>
      <c r="G238" s="6"/>
      <c r="H238" s="6"/>
      <c r="I238" s="6"/>
      <c r="J238" s="6"/>
      <c r="K238" s="6"/>
      <c r="L238" s="6"/>
      <c r="M238" s="6"/>
      <c r="N238" s="9"/>
      <c r="O238" s="9"/>
      <c r="P238" s="9"/>
      <c r="Q238" s="9"/>
    </row>
    <row r="239" spans="1:17" ht="12.75">
      <c r="A239" s="6"/>
      <c r="B239" s="6"/>
      <c r="C239" s="6"/>
      <c r="D239" s="6"/>
      <c r="E239" s="6"/>
      <c r="F239" s="6"/>
      <c r="G239" s="6"/>
      <c r="H239" s="6"/>
      <c r="I239" s="6"/>
      <c r="J239" s="6"/>
      <c r="K239" s="6"/>
      <c r="L239" s="6"/>
      <c r="M239" s="6"/>
      <c r="N239" s="9"/>
      <c r="O239" s="9"/>
      <c r="P239" s="9"/>
      <c r="Q239" s="9"/>
    </row>
    <row r="240" spans="1:17" ht="12.75">
      <c r="A240" s="6"/>
      <c r="B240" s="6"/>
      <c r="C240" s="6"/>
      <c r="D240" s="6"/>
      <c r="E240" s="6"/>
      <c r="F240" s="6"/>
      <c r="G240" s="6"/>
      <c r="H240" s="6"/>
      <c r="I240" s="6"/>
      <c r="J240" s="6"/>
      <c r="K240" s="6"/>
      <c r="L240" s="6"/>
      <c r="M240" s="6"/>
      <c r="N240" s="9"/>
      <c r="O240" s="9"/>
      <c r="P240" s="9"/>
      <c r="Q240" s="9"/>
    </row>
    <row r="241" spans="1:17" ht="12.75">
      <c r="A241" s="6"/>
      <c r="B241" s="6"/>
      <c r="C241" s="6"/>
      <c r="D241" s="6"/>
      <c r="E241" s="6"/>
      <c r="F241" s="6"/>
      <c r="G241" s="6"/>
      <c r="H241" s="6"/>
      <c r="I241" s="6"/>
      <c r="J241" s="6"/>
      <c r="K241" s="6"/>
      <c r="L241" s="6"/>
      <c r="M241" s="6"/>
      <c r="N241" s="9"/>
      <c r="O241" s="9"/>
      <c r="P241" s="9"/>
      <c r="Q241" s="9"/>
    </row>
    <row r="242" spans="1:17" ht="12.75">
      <c r="A242" s="6"/>
      <c r="B242" s="6"/>
      <c r="C242" s="6"/>
      <c r="D242" s="6"/>
      <c r="E242" s="6"/>
      <c r="F242" s="6"/>
      <c r="G242" s="6"/>
      <c r="H242" s="6"/>
      <c r="I242" s="6"/>
      <c r="J242" s="6"/>
      <c r="K242" s="6"/>
      <c r="L242" s="6"/>
      <c r="M242" s="6"/>
      <c r="N242" s="9"/>
      <c r="O242" s="9"/>
      <c r="P242" s="9"/>
      <c r="Q242" s="9"/>
    </row>
    <row r="243" spans="1:17" ht="12.75">
      <c r="A243" s="6"/>
      <c r="B243" s="6"/>
      <c r="C243" s="6"/>
      <c r="D243" s="6"/>
      <c r="E243" s="6"/>
      <c r="F243" s="6"/>
      <c r="G243" s="6"/>
      <c r="H243" s="6"/>
      <c r="I243" s="6"/>
      <c r="J243" s="6"/>
      <c r="K243" s="6"/>
      <c r="L243" s="6"/>
      <c r="M243" s="6"/>
      <c r="N243" s="9"/>
      <c r="O243" s="9"/>
      <c r="P243" s="9"/>
      <c r="Q243" s="9"/>
    </row>
    <row r="244" spans="1:17" ht="12.75">
      <c r="A244" s="6"/>
      <c r="B244" s="6"/>
      <c r="C244" s="6"/>
      <c r="D244" s="6"/>
      <c r="E244" s="6"/>
      <c r="F244" s="6"/>
      <c r="G244" s="6"/>
      <c r="H244" s="6"/>
      <c r="I244" s="6"/>
      <c r="J244" s="6"/>
      <c r="K244" s="6"/>
      <c r="L244" s="6"/>
      <c r="M244" s="6"/>
      <c r="N244" s="9"/>
      <c r="O244" s="9"/>
      <c r="P244" s="9"/>
      <c r="Q244" s="9"/>
    </row>
    <row r="245" spans="1:17" ht="12.75">
      <c r="A245" s="6"/>
      <c r="B245" s="6"/>
      <c r="C245" s="6"/>
      <c r="D245" s="6"/>
      <c r="E245" s="6"/>
      <c r="F245" s="6"/>
      <c r="G245" s="6"/>
      <c r="H245" s="6"/>
      <c r="I245" s="6"/>
      <c r="J245" s="6"/>
      <c r="K245" s="6"/>
      <c r="L245" s="6"/>
      <c r="M245" s="6"/>
      <c r="N245" s="9"/>
      <c r="O245" s="9"/>
      <c r="P245" s="9"/>
      <c r="Q245" s="9"/>
    </row>
    <row r="246" spans="1:17" ht="12.75">
      <c r="A246" s="6"/>
      <c r="B246" s="6"/>
      <c r="C246" s="6"/>
      <c r="D246" s="6"/>
      <c r="E246" s="6"/>
      <c r="F246" s="6"/>
      <c r="G246" s="6"/>
      <c r="H246" s="6"/>
      <c r="I246" s="6"/>
      <c r="J246" s="6"/>
      <c r="K246" s="6"/>
      <c r="L246" s="6"/>
      <c r="M246" s="6"/>
      <c r="N246" s="9"/>
      <c r="O246" s="9"/>
      <c r="P246" s="9"/>
      <c r="Q246" s="9"/>
    </row>
    <row r="247" spans="1:17" ht="12.75">
      <c r="A247" s="6"/>
      <c r="B247" s="6"/>
      <c r="C247" s="6"/>
      <c r="D247" s="6"/>
      <c r="E247" s="6"/>
      <c r="F247" s="6"/>
      <c r="G247" s="6"/>
      <c r="H247" s="6"/>
      <c r="I247" s="6"/>
      <c r="J247" s="6"/>
      <c r="K247" s="6"/>
      <c r="L247" s="6"/>
      <c r="M247" s="6"/>
      <c r="N247" s="9"/>
      <c r="O247" s="9"/>
      <c r="P247" s="9"/>
      <c r="Q247" s="9"/>
    </row>
    <row r="248" spans="1:17" ht="12.75">
      <c r="A248" s="6"/>
      <c r="B248" s="6"/>
      <c r="C248" s="6"/>
      <c r="D248" s="6"/>
      <c r="E248" s="6"/>
      <c r="F248" s="6"/>
      <c r="G248" s="6"/>
      <c r="H248" s="6"/>
      <c r="I248" s="6"/>
      <c r="J248" s="6"/>
      <c r="K248" s="6"/>
      <c r="L248" s="6"/>
      <c r="M248" s="6"/>
      <c r="N248" s="9"/>
      <c r="O248" s="9"/>
      <c r="P248" s="9"/>
      <c r="Q248" s="9"/>
    </row>
    <row r="249" spans="1:17" ht="12.75">
      <c r="A249" s="6"/>
      <c r="B249" s="6"/>
      <c r="C249" s="6"/>
      <c r="D249" s="6"/>
      <c r="E249" s="6"/>
      <c r="F249" s="6"/>
      <c r="G249" s="6"/>
      <c r="H249" s="6"/>
      <c r="I249" s="6"/>
      <c r="J249" s="6"/>
      <c r="K249" s="6"/>
      <c r="L249" s="6"/>
      <c r="M249" s="6"/>
      <c r="N249" s="9"/>
      <c r="O249" s="9"/>
      <c r="P249" s="9"/>
      <c r="Q249" s="9"/>
    </row>
    <row r="250" spans="1:17" ht="12.75">
      <c r="A250" s="6"/>
      <c r="B250" s="6"/>
      <c r="C250" s="6"/>
      <c r="D250" s="6"/>
      <c r="E250" s="6"/>
      <c r="F250" s="6"/>
      <c r="G250" s="6"/>
      <c r="H250" s="6"/>
      <c r="I250" s="6"/>
      <c r="J250" s="6"/>
      <c r="K250" s="6"/>
      <c r="L250" s="6"/>
      <c r="M250" s="6"/>
      <c r="N250" s="9"/>
      <c r="O250" s="9"/>
      <c r="P250" s="9"/>
      <c r="Q250" s="9"/>
    </row>
    <row r="251" spans="1:17" ht="12.75">
      <c r="A251" s="6"/>
      <c r="B251" s="6"/>
      <c r="C251" s="6"/>
      <c r="D251" s="6"/>
      <c r="E251" s="6"/>
      <c r="F251" s="6"/>
      <c r="G251" s="6"/>
      <c r="H251" s="6"/>
      <c r="I251" s="6"/>
      <c r="J251" s="6"/>
      <c r="K251" s="6"/>
      <c r="L251" s="6"/>
      <c r="M251" s="6"/>
      <c r="N251" s="9"/>
      <c r="O251" s="9"/>
      <c r="P251" s="9"/>
      <c r="Q251" s="9"/>
    </row>
    <row r="252" spans="1:17" ht="12.75">
      <c r="A252" s="6"/>
      <c r="B252" s="6"/>
      <c r="C252" s="6"/>
      <c r="D252" s="6"/>
      <c r="E252" s="6"/>
      <c r="F252" s="6"/>
      <c r="G252" s="6"/>
      <c r="H252" s="6"/>
      <c r="I252" s="6"/>
      <c r="J252" s="6"/>
      <c r="K252" s="6"/>
      <c r="L252" s="6"/>
      <c r="M252" s="6"/>
      <c r="N252" s="9"/>
      <c r="O252" s="9"/>
      <c r="P252" s="9"/>
      <c r="Q252" s="9"/>
    </row>
    <row r="253" spans="1:17" ht="12.75">
      <c r="A253" s="6"/>
      <c r="B253" s="6"/>
      <c r="C253" s="6"/>
      <c r="D253" s="6"/>
      <c r="E253" s="6"/>
      <c r="F253" s="6"/>
      <c r="G253" s="6"/>
      <c r="H253" s="6"/>
      <c r="I253" s="6"/>
      <c r="J253" s="6"/>
      <c r="K253" s="6"/>
      <c r="L253" s="6"/>
      <c r="M253" s="6"/>
      <c r="N253" s="9"/>
      <c r="O253" s="9"/>
      <c r="P253" s="9"/>
      <c r="Q253" s="9"/>
    </row>
    <row r="254" spans="1:17" ht="12.75">
      <c r="A254" s="6"/>
      <c r="B254" s="6"/>
      <c r="C254" s="6"/>
      <c r="D254" s="6"/>
      <c r="E254" s="6"/>
      <c r="F254" s="6"/>
      <c r="G254" s="6"/>
      <c r="H254" s="6"/>
      <c r="I254" s="6"/>
      <c r="J254" s="6"/>
      <c r="K254" s="6"/>
      <c r="L254" s="6"/>
      <c r="M254" s="6"/>
      <c r="N254" s="9"/>
      <c r="O254" s="9"/>
      <c r="P254" s="9"/>
      <c r="Q254" s="9"/>
    </row>
    <row r="255" spans="1:17" ht="12.75">
      <c r="A255" s="6"/>
      <c r="B255" s="6"/>
      <c r="C255" s="6"/>
      <c r="D255" s="6"/>
      <c r="E255" s="6"/>
      <c r="F255" s="6"/>
      <c r="G255" s="6"/>
      <c r="H255" s="6"/>
      <c r="I255" s="6"/>
      <c r="J255" s="6"/>
      <c r="K255" s="6"/>
      <c r="L255" s="6"/>
      <c r="M255" s="6"/>
      <c r="N255" s="9"/>
      <c r="O255" s="9"/>
      <c r="P255" s="9"/>
      <c r="Q255" s="9"/>
    </row>
    <row r="256" spans="1:17" ht="12.75">
      <c r="A256" s="6"/>
      <c r="B256" s="6"/>
      <c r="C256" s="6"/>
      <c r="D256" s="6"/>
      <c r="E256" s="6"/>
      <c r="F256" s="6"/>
      <c r="G256" s="6"/>
      <c r="H256" s="6"/>
      <c r="I256" s="6"/>
      <c r="J256" s="6"/>
      <c r="K256" s="6"/>
      <c r="L256" s="6"/>
      <c r="M256" s="6"/>
      <c r="N256" s="9"/>
      <c r="O256" s="9"/>
      <c r="P256" s="9"/>
      <c r="Q256" s="9"/>
    </row>
    <row r="257" spans="1:17" ht="12.75">
      <c r="A257" s="6"/>
      <c r="B257" s="6"/>
      <c r="C257" s="6"/>
      <c r="D257" s="6"/>
      <c r="E257" s="6"/>
      <c r="F257" s="6"/>
      <c r="G257" s="6"/>
      <c r="H257" s="6"/>
      <c r="I257" s="6"/>
      <c r="J257" s="6"/>
      <c r="K257" s="6"/>
      <c r="L257" s="6"/>
      <c r="M257" s="6"/>
      <c r="N257" s="9"/>
      <c r="O257" s="9"/>
      <c r="P257" s="9"/>
      <c r="Q257" s="9"/>
    </row>
    <row r="258" spans="1:17" ht="12.75">
      <c r="A258" s="6"/>
      <c r="B258" s="6"/>
      <c r="C258" s="6"/>
      <c r="D258" s="6"/>
      <c r="E258" s="6"/>
      <c r="F258" s="6"/>
      <c r="G258" s="6"/>
      <c r="H258" s="6"/>
      <c r="I258" s="6"/>
      <c r="J258" s="6"/>
      <c r="K258" s="6"/>
      <c r="L258" s="6"/>
      <c r="M258" s="6"/>
      <c r="N258" s="9"/>
      <c r="O258" s="9"/>
      <c r="P258" s="9"/>
      <c r="Q258" s="9"/>
    </row>
    <row r="259" spans="1:17" ht="12.75">
      <c r="A259" s="6"/>
      <c r="B259" s="6"/>
      <c r="C259" s="6"/>
      <c r="D259" s="6"/>
      <c r="E259" s="6"/>
      <c r="F259" s="6"/>
      <c r="G259" s="6"/>
      <c r="H259" s="6"/>
      <c r="I259" s="6"/>
      <c r="J259" s="6"/>
      <c r="K259" s="6"/>
      <c r="L259" s="6"/>
      <c r="M259" s="6"/>
      <c r="N259" s="9"/>
      <c r="O259" s="9"/>
      <c r="P259" s="9"/>
      <c r="Q259" s="9"/>
    </row>
    <row r="260" spans="1:17" ht="12.75">
      <c r="A260" s="6"/>
      <c r="B260" s="6"/>
      <c r="C260" s="6"/>
      <c r="D260" s="6"/>
      <c r="E260" s="6"/>
      <c r="F260" s="6"/>
      <c r="G260" s="6"/>
      <c r="H260" s="6"/>
      <c r="I260" s="6"/>
      <c r="J260" s="6"/>
      <c r="K260" s="6"/>
      <c r="L260" s="6"/>
      <c r="M260" s="6"/>
      <c r="N260" s="9"/>
      <c r="O260" s="9"/>
      <c r="P260" s="9"/>
      <c r="Q260" s="9"/>
    </row>
    <row r="261" spans="1:17" ht="12.75">
      <c r="A261" s="6"/>
      <c r="B261" s="6"/>
      <c r="C261" s="6"/>
      <c r="D261" s="6"/>
      <c r="E261" s="6"/>
      <c r="F261" s="6"/>
      <c r="G261" s="6"/>
      <c r="H261" s="6"/>
      <c r="I261" s="6"/>
      <c r="J261" s="6"/>
      <c r="K261" s="6"/>
      <c r="L261" s="6"/>
      <c r="M261" s="6"/>
      <c r="N261" s="9"/>
      <c r="O261" s="9"/>
      <c r="P261" s="9"/>
      <c r="Q261" s="9"/>
    </row>
    <row r="262" spans="1:17" ht="12.75">
      <c r="A262" s="6"/>
      <c r="B262" s="6"/>
      <c r="C262" s="6"/>
      <c r="D262" s="6"/>
      <c r="E262" s="6"/>
      <c r="F262" s="6"/>
      <c r="G262" s="6"/>
      <c r="H262" s="6"/>
      <c r="I262" s="6"/>
      <c r="J262" s="6"/>
      <c r="K262" s="6"/>
      <c r="L262" s="6"/>
      <c r="M262" s="6"/>
      <c r="N262" s="9"/>
      <c r="O262" s="9"/>
      <c r="P262" s="9"/>
      <c r="Q262" s="9"/>
    </row>
    <row r="263" spans="1:17" ht="12.75">
      <c r="A263" s="6"/>
      <c r="B263" s="6"/>
      <c r="C263" s="6"/>
      <c r="D263" s="6"/>
      <c r="E263" s="6"/>
      <c r="F263" s="6"/>
      <c r="G263" s="6"/>
      <c r="H263" s="6"/>
      <c r="I263" s="6"/>
      <c r="J263" s="6"/>
      <c r="K263" s="6"/>
      <c r="L263" s="6"/>
      <c r="M263" s="6"/>
      <c r="N263" s="9"/>
      <c r="O263" s="9"/>
      <c r="P263" s="9"/>
      <c r="Q263" s="9"/>
    </row>
    <row r="264" spans="1:17" ht="12.75">
      <c r="A264" s="6"/>
      <c r="B264" s="6"/>
      <c r="C264" s="6"/>
      <c r="D264" s="6"/>
      <c r="E264" s="6"/>
      <c r="F264" s="6"/>
      <c r="G264" s="6"/>
      <c r="H264" s="6"/>
      <c r="I264" s="6"/>
      <c r="J264" s="6"/>
      <c r="K264" s="6"/>
      <c r="L264" s="6"/>
      <c r="M264" s="6"/>
      <c r="N264" s="9"/>
      <c r="O264" s="9"/>
      <c r="P264" s="9"/>
      <c r="Q264" s="9"/>
    </row>
    <row r="265" spans="1:17" ht="12.75">
      <c r="A265" s="6"/>
      <c r="B265" s="6"/>
      <c r="C265" s="6"/>
      <c r="D265" s="6"/>
      <c r="E265" s="6"/>
      <c r="F265" s="6"/>
      <c r="G265" s="6"/>
      <c r="H265" s="6"/>
      <c r="I265" s="6"/>
      <c r="J265" s="6"/>
      <c r="K265" s="6"/>
      <c r="L265" s="6"/>
      <c r="M265" s="6"/>
      <c r="N265" s="9"/>
      <c r="O265" s="9"/>
      <c r="P265" s="9"/>
      <c r="Q265" s="9"/>
    </row>
    <row r="266" spans="1:17" ht="12.75">
      <c r="A266" s="6"/>
      <c r="B266" s="6"/>
      <c r="C266" s="6"/>
      <c r="D266" s="6"/>
      <c r="E266" s="6"/>
      <c r="F266" s="6"/>
      <c r="G266" s="6"/>
      <c r="H266" s="6"/>
      <c r="I266" s="6"/>
      <c r="J266" s="6"/>
      <c r="K266" s="6"/>
      <c r="L266" s="6"/>
      <c r="M266" s="6"/>
      <c r="N266" s="9"/>
      <c r="O266" s="9"/>
      <c r="P266" s="9"/>
      <c r="Q266" s="9"/>
    </row>
    <row r="267" spans="1:17" ht="12.75">
      <c r="A267" s="6"/>
      <c r="B267" s="6"/>
      <c r="C267" s="6"/>
      <c r="D267" s="6"/>
      <c r="E267" s="6"/>
      <c r="F267" s="6"/>
      <c r="G267" s="6"/>
      <c r="H267" s="6"/>
      <c r="I267" s="6"/>
      <c r="J267" s="6"/>
      <c r="K267" s="6"/>
      <c r="L267" s="6"/>
      <c r="M267" s="6"/>
      <c r="N267" s="9"/>
      <c r="O267" s="9"/>
      <c r="P267" s="9"/>
      <c r="Q267" s="9"/>
    </row>
    <row r="268" spans="1:17" ht="12.75">
      <c r="A268" s="6"/>
      <c r="B268" s="6"/>
      <c r="C268" s="6"/>
      <c r="D268" s="6"/>
      <c r="E268" s="6"/>
      <c r="F268" s="6"/>
      <c r="G268" s="6"/>
      <c r="H268" s="6"/>
      <c r="I268" s="6"/>
      <c r="J268" s="6"/>
      <c r="K268" s="6"/>
      <c r="L268" s="6"/>
      <c r="M268" s="6"/>
      <c r="N268" s="9"/>
      <c r="O268" s="9"/>
      <c r="P268" s="9"/>
      <c r="Q268" s="9"/>
    </row>
    <row r="269" spans="1:17" ht="12.75">
      <c r="A269" s="6"/>
      <c r="B269" s="6"/>
      <c r="C269" s="6"/>
      <c r="D269" s="6"/>
      <c r="E269" s="6"/>
      <c r="F269" s="6"/>
      <c r="G269" s="6"/>
      <c r="H269" s="6"/>
      <c r="I269" s="6"/>
      <c r="J269" s="6"/>
      <c r="K269" s="6"/>
      <c r="L269" s="6"/>
      <c r="M269" s="6"/>
      <c r="N269" s="9"/>
      <c r="O269" s="9"/>
      <c r="P269" s="9"/>
      <c r="Q269" s="9"/>
    </row>
    <row r="270" spans="1:17" ht="12.75">
      <c r="A270" s="6"/>
      <c r="B270" s="6"/>
      <c r="C270" s="6"/>
      <c r="D270" s="6"/>
      <c r="E270" s="6"/>
      <c r="F270" s="6"/>
      <c r="G270" s="6"/>
      <c r="H270" s="6"/>
      <c r="I270" s="6"/>
      <c r="J270" s="6"/>
      <c r="K270" s="6"/>
      <c r="L270" s="6"/>
      <c r="M270" s="6"/>
      <c r="N270" s="9"/>
      <c r="O270" s="9"/>
      <c r="P270" s="9"/>
      <c r="Q270" s="9"/>
    </row>
    <row r="271" spans="1:17" ht="12.75">
      <c r="A271" s="6"/>
      <c r="B271" s="6"/>
      <c r="C271" s="6"/>
      <c r="D271" s="6"/>
      <c r="E271" s="6"/>
      <c r="F271" s="6"/>
      <c r="G271" s="6"/>
      <c r="H271" s="6"/>
      <c r="I271" s="6"/>
      <c r="J271" s="6"/>
      <c r="K271" s="6"/>
      <c r="L271" s="6"/>
      <c r="M271" s="6"/>
      <c r="N271" s="9"/>
      <c r="O271" s="9"/>
      <c r="P271" s="9"/>
      <c r="Q271" s="9"/>
    </row>
    <row r="272" spans="1:17" ht="12.75">
      <c r="A272" s="6"/>
      <c r="B272" s="6"/>
      <c r="C272" s="6"/>
      <c r="D272" s="6"/>
      <c r="E272" s="6"/>
      <c r="F272" s="6"/>
      <c r="G272" s="6"/>
      <c r="H272" s="6"/>
      <c r="I272" s="6"/>
      <c r="J272" s="6"/>
      <c r="K272" s="6"/>
      <c r="L272" s="6"/>
      <c r="M272" s="6"/>
      <c r="N272" s="9"/>
      <c r="O272" s="9"/>
      <c r="P272" s="9"/>
      <c r="Q272" s="9"/>
    </row>
    <row r="273" spans="1:17" ht="12.75">
      <c r="A273" s="6"/>
      <c r="B273" s="6"/>
      <c r="C273" s="6"/>
      <c r="D273" s="6"/>
      <c r="E273" s="6"/>
      <c r="F273" s="6"/>
      <c r="G273" s="6"/>
      <c r="H273" s="6"/>
      <c r="I273" s="6"/>
      <c r="J273" s="6"/>
      <c r="K273" s="6"/>
      <c r="L273" s="6"/>
      <c r="M273" s="6"/>
      <c r="N273" s="9"/>
      <c r="O273" s="9"/>
      <c r="P273" s="9"/>
      <c r="Q273" s="9"/>
    </row>
    <row r="274" spans="1:17" ht="12.75">
      <c r="A274" s="6"/>
      <c r="B274" s="6"/>
      <c r="C274" s="6"/>
      <c r="D274" s="6"/>
      <c r="E274" s="6"/>
      <c r="F274" s="6"/>
      <c r="G274" s="6"/>
      <c r="H274" s="6"/>
      <c r="I274" s="6"/>
      <c r="J274" s="6"/>
      <c r="K274" s="6"/>
      <c r="L274" s="6"/>
      <c r="M274" s="6"/>
      <c r="N274" s="9"/>
      <c r="O274" s="9"/>
      <c r="P274" s="9"/>
      <c r="Q274" s="9"/>
    </row>
    <row r="275" spans="1:17" ht="12.75">
      <c r="A275" s="6"/>
      <c r="B275" s="6"/>
      <c r="C275" s="6"/>
      <c r="D275" s="6"/>
      <c r="E275" s="6"/>
      <c r="F275" s="6"/>
      <c r="G275" s="6"/>
      <c r="H275" s="6"/>
      <c r="I275" s="6"/>
      <c r="J275" s="6"/>
      <c r="K275" s="6"/>
      <c r="L275" s="6"/>
      <c r="M275" s="6"/>
      <c r="N275" s="9"/>
      <c r="O275" s="9"/>
      <c r="P275" s="9"/>
      <c r="Q275" s="9"/>
    </row>
    <row r="276" spans="1:17" ht="12.75">
      <c r="A276" s="6"/>
      <c r="B276" s="6"/>
      <c r="C276" s="6"/>
      <c r="D276" s="6"/>
      <c r="E276" s="6"/>
      <c r="F276" s="6"/>
      <c r="G276" s="6"/>
      <c r="H276" s="6"/>
      <c r="I276" s="6"/>
      <c r="J276" s="6"/>
      <c r="K276" s="6"/>
      <c r="L276" s="6"/>
      <c r="M276" s="6"/>
      <c r="N276" s="9"/>
      <c r="O276" s="9"/>
      <c r="P276" s="9"/>
      <c r="Q276" s="9"/>
    </row>
    <row r="277" spans="1:17" ht="12.75">
      <c r="A277" s="6"/>
      <c r="B277" s="6"/>
      <c r="C277" s="6"/>
      <c r="D277" s="6"/>
      <c r="E277" s="6"/>
      <c r="F277" s="6"/>
      <c r="G277" s="6"/>
      <c r="H277" s="6"/>
      <c r="I277" s="6"/>
      <c r="J277" s="6"/>
      <c r="K277" s="6"/>
      <c r="L277" s="6"/>
      <c r="M277" s="6"/>
      <c r="N277" s="9"/>
      <c r="O277" s="9"/>
      <c r="P277" s="9"/>
      <c r="Q277" s="9"/>
    </row>
    <row r="278" spans="1:17" ht="12.75">
      <c r="A278" s="6"/>
      <c r="B278" s="6"/>
      <c r="C278" s="6"/>
      <c r="D278" s="6"/>
      <c r="E278" s="6"/>
      <c r="F278" s="6"/>
      <c r="G278" s="6"/>
      <c r="H278" s="6"/>
      <c r="I278" s="6"/>
      <c r="J278" s="6"/>
      <c r="K278" s="6"/>
      <c r="L278" s="6"/>
      <c r="M278" s="6"/>
      <c r="N278" s="9"/>
      <c r="O278" s="9"/>
      <c r="P278" s="9"/>
      <c r="Q278" s="9"/>
    </row>
    <row r="279" spans="1:17" ht="12.75">
      <c r="A279" s="6"/>
      <c r="B279" s="6"/>
      <c r="C279" s="6"/>
      <c r="D279" s="6"/>
      <c r="E279" s="6"/>
      <c r="F279" s="6"/>
      <c r="G279" s="6"/>
      <c r="H279" s="6"/>
      <c r="I279" s="6"/>
      <c r="J279" s="6"/>
      <c r="K279" s="6"/>
      <c r="L279" s="6"/>
      <c r="M279" s="6"/>
      <c r="N279" s="9"/>
      <c r="O279" s="9"/>
      <c r="P279" s="9"/>
      <c r="Q279" s="9"/>
    </row>
    <row r="280" spans="1:17" ht="12.75">
      <c r="A280" s="6"/>
      <c r="B280" s="6"/>
      <c r="C280" s="6"/>
      <c r="D280" s="6"/>
      <c r="E280" s="6"/>
      <c r="F280" s="6"/>
      <c r="G280" s="6"/>
      <c r="H280" s="6"/>
      <c r="I280" s="6"/>
      <c r="J280" s="6"/>
      <c r="K280" s="6"/>
      <c r="L280" s="6"/>
      <c r="M280" s="6"/>
      <c r="N280" s="9"/>
      <c r="O280" s="9"/>
      <c r="P280" s="9"/>
      <c r="Q280" s="9"/>
    </row>
    <row r="281" spans="1:17" ht="12.75">
      <c r="A281" s="6"/>
      <c r="B281" s="6"/>
      <c r="C281" s="6"/>
      <c r="D281" s="6"/>
      <c r="E281" s="6"/>
      <c r="F281" s="6"/>
      <c r="G281" s="6"/>
      <c r="H281" s="6"/>
      <c r="I281" s="6"/>
      <c r="J281" s="6"/>
      <c r="K281" s="6"/>
      <c r="L281" s="6"/>
      <c r="M281" s="6"/>
      <c r="N281" s="9"/>
      <c r="O281" s="9"/>
      <c r="P281" s="9"/>
      <c r="Q281" s="9"/>
    </row>
    <row r="282" spans="1:17" ht="12.75">
      <c r="A282" s="6"/>
      <c r="B282" s="6"/>
      <c r="C282" s="6"/>
      <c r="D282" s="6"/>
      <c r="E282" s="6"/>
      <c r="F282" s="6"/>
      <c r="G282" s="6"/>
      <c r="H282" s="6"/>
      <c r="I282" s="6"/>
      <c r="J282" s="6"/>
      <c r="K282" s="6"/>
      <c r="L282" s="6"/>
      <c r="M282" s="6"/>
      <c r="N282" s="9"/>
      <c r="O282" s="9"/>
      <c r="P282" s="9"/>
      <c r="Q282" s="9"/>
    </row>
    <row r="283" spans="1:17" ht="12.75">
      <c r="A283" s="6"/>
      <c r="B283" s="6"/>
      <c r="C283" s="6"/>
      <c r="D283" s="6"/>
      <c r="E283" s="6"/>
      <c r="F283" s="6"/>
      <c r="G283" s="6"/>
      <c r="H283" s="6"/>
      <c r="I283" s="6"/>
      <c r="J283" s="6"/>
      <c r="K283" s="6"/>
      <c r="L283" s="6"/>
      <c r="M283" s="6"/>
      <c r="N283" s="9"/>
      <c r="O283" s="9"/>
      <c r="P283" s="9"/>
      <c r="Q283" s="9"/>
    </row>
    <row r="284" spans="1:17" ht="12.75">
      <c r="A284" s="6"/>
      <c r="B284" s="6"/>
      <c r="C284" s="6"/>
      <c r="D284" s="6"/>
      <c r="E284" s="6"/>
      <c r="F284" s="6"/>
      <c r="G284" s="6"/>
      <c r="H284" s="6"/>
      <c r="I284" s="6"/>
      <c r="J284" s="6"/>
      <c r="K284" s="6"/>
      <c r="L284" s="6"/>
      <c r="M284" s="6"/>
      <c r="N284" s="9"/>
      <c r="O284" s="9"/>
      <c r="P284" s="9"/>
      <c r="Q284" s="9"/>
    </row>
    <row r="285" spans="1:17" ht="12.75">
      <c r="A285" s="6"/>
      <c r="B285" s="6"/>
      <c r="C285" s="6"/>
      <c r="D285" s="6"/>
      <c r="E285" s="6"/>
      <c r="F285" s="6"/>
      <c r="G285" s="6"/>
      <c r="H285" s="6"/>
      <c r="I285" s="6"/>
      <c r="J285" s="6"/>
      <c r="K285" s="6"/>
      <c r="L285" s="6"/>
      <c r="M285" s="6"/>
      <c r="N285" s="9"/>
      <c r="O285" s="9"/>
      <c r="P285" s="9"/>
      <c r="Q285" s="9"/>
    </row>
    <row r="286" spans="1:17" ht="12.75">
      <c r="A286" s="6"/>
      <c r="B286" s="6"/>
      <c r="C286" s="6"/>
      <c r="D286" s="6"/>
      <c r="E286" s="6"/>
      <c r="F286" s="6"/>
      <c r="G286" s="6"/>
      <c r="H286" s="6"/>
      <c r="I286" s="6"/>
      <c r="J286" s="6"/>
      <c r="K286" s="6"/>
      <c r="L286" s="6"/>
      <c r="M286" s="6"/>
      <c r="N286" s="9"/>
      <c r="O286" s="9"/>
      <c r="P286" s="9"/>
      <c r="Q286" s="9"/>
    </row>
    <row r="287" spans="1:17" ht="12.75">
      <c r="A287" s="6"/>
      <c r="B287" s="6"/>
      <c r="C287" s="6"/>
      <c r="D287" s="6"/>
      <c r="E287" s="6"/>
      <c r="F287" s="6"/>
      <c r="G287" s="6"/>
      <c r="H287" s="6"/>
      <c r="I287" s="6"/>
      <c r="J287" s="6"/>
      <c r="K287" s="6"/>
      <c r="L287" s="6"/>
      <c r="M287" s="6"/>
      <c r="N287" s="9"/>
      <c r="O287" s="9"/>
      <c r="P287" s="9"/>
      <c r="Q287" s="9"/>
    </row>
    <row r="288" spans="1:17" ht="12.75">
      <c r="A288" s="6"/>
      <c r="B288" s="6"/>
      <c r="C288" s="6"/>
      <c r="D288" s="6"/>
      <c r="E288" s="6"/>
      <c r="F288" s="6"/>
      <c r="G288" s="6"/>
      <c r="H288" s="6"/>
      <c r="I288" s="6"/>
      <c r="J288" s="6"/>
      <c r="K288" s="6"/>
      <c r="L288" s="6"/>
      <c r="M288" s="6"/>
      <c r="N288" s="9"/>
      <c r="O288" s="9"/>
      <c r="P288" s="9"/>
      <c r="Q288" s="9"/>
    </row>
    <row r="289" spans="1:17" ht="12.75">
      <c r="A289" s="6"/>
      <c r="B289" s="6"/>
      <c r="C289" s="6"/>
      <c r="D289" s="6"/>
      <c r="E289" s="6"/>
      <c r="F289" s="6"/>
      <c r="G289" s="6"/>
      <c r="H289" s="6"/>
      <c r="I289" s="6"/>
      <c r="J289" s="6"/>
      <c r="K289" s="6"/>
      <c r="L289" s="6"/>
      <c r="M289" s="6"/>
      <c r="N289" s="9"/>
      <c r="O289" s="9"/>
      <c r="P289" s="9"/>
      <c r="Q289" s="9"/>
    </row>
    <row r="290" spans="1:17" ht="12.75">
      <c r="A290" s="6"/>
      <c r="B290" s="6"/>
      <c r="C290" s="6"/>
      <c r="D290" s="6"/>
      <c r="E290" s="6"/>
      <c r="F290" s="6"/>
      <c r="G290" s="6"/>
      <c r="H290" s="6"/>
      <c r="I290" s="6"/>
      <c r="J290" s="6"/>
      <c r="K290" s="6"/>
      <c r="L290" s="6"/>
      <c r="M290" s="6"/>
      <c r="N290" s="9"/>
      <c r="O290" s="9"/>
      <c r="P290" s="9"/>
      <c r="Q290" s="9"/>
    </row>
    <row r="291" spans="1:17" ht="12.75">
      <c r="A291" s="6"/>
      <c r="B291" s="6"/>
      <c r="C291" s="6"/>
      <c r="D291" s="6"/>
      <c r="E291" s="6"/>
      <c r="F291" s="6"/>
      <c r="G291" s="6"/>
      <c r="H291" s="6"/>
      <c r="I291" s="6"/>
      <c r="J291" s="6"/>
      <c r="K291" s="6"/>
      <c r="L291" s="6"/>
      <c r="M291" s="6"/>
      <c r="N291" s="9"/>
      <c r="O291" s="9"/>
      <c r="P291" s="9"/>
      <c r="Q291" s="9"/>
    </row>
    <row r="292" spans="1:17" ht="12.75">
      <c r="A292" s="6"/>
      <c r="B292" s="6"/>
      <c r="C292" s="6"/>
      <c r="D292" s="6"/>
      <c r="E292" s="6"/>
      <c r="F292" s="6"/>
      <c r="G292" s="6"/>
      <c r="H292" s="6"/>
      <c r="I292" s="6"/>
      <c r="J292" s="6"/>
      <c r="K292" s="6"/>
      <c r="L292" s="6"/>
      <c r="M292" s="6"/>
      <c r="N292" s="9"/>
      <c r="O292" s="9"/>
      <c r="P292" s="9"/>
      <c r="Q292" s="9"/>
    </row>
    <row r="293" spans="1:17" ht="12.75">
      <c r="A293" s="6"/>
      <c r="B293" s="6"/>
      <c r="C293" s="6"/>
      <c r="D293" s="6"/>
      <c r="E293" s="6"/>
      <c r="F293" s="6"/>
      <c r="G293" s="6"/>
      <c r="H293" s="6"/>
      <c r="I293" s="6"/>
      <c r="J293" s="6"/>
      <c r="K293" s="6"/>
      <c r="L293" s="6"/>
      <c r="M293" s="6"/>
      <c r="N293" s="9"/>
      <c r="O293" s="9"/>
      <c r="P293" s="9"/>
      <c r="Q293" s="9"/>
    </row>
    <row r="294" spans="1:17" ht="12.75">
      <c r="A294" s="6"/>
      <c r="B294" s="6"/>
      <c r="C294" s="6"/>
      <c r="D294" s="6"/>
      <c r="E294" s="6"/>
      <c r="F294" s="6"/>
      <c r="G294" s="6"/>
      <c r="H294" s="6"/>
      <c r="I294" s="6"/>
      <c r="J294" s="6"/>
      <c r="K294" s="6"/>
      <c r="L294" s="6"/>
      <c r="M294" s="6"/>
      <c r="N294" s="9"/>
      <c r="O294" s="9"/>
      <c r="P294" s="9"/>
      <c r="Q294" s="9"/>
    </row>
    <row r="295" spans="1:17" ht="12.75">
      <c r="A295" s="6"/>
      <c r="B295" s="6"/>
      <c r="C295" s="6"/>
      <c r="D295" s="6"/>
      <c r="E295" s="6"/>
      <c r="F295" s="6"/>
      <c r="G295" s="6"/>
      <c r="H295" s="6"/>
      <c r="I295" s="6"/>
      <c r="J295" s="6"/>
      <c r="K295" s="6"/>
      <c r="L295" s="6"/>
      <c r="M295" s="6"/>
      <c r="N295" s="9"/>
      <c r="O295" s="9"/>
      <c r="P295" s="9"/>
      <c r="Q295" s="9"/>
    </row>
    <row r="296" spans="1:17" ht="12.75">
      <c r="A296" s="6"/>
      <c r="B296" s="6"/>
      <c r="C296" s="6"/>
      <c r="D296" s="6"/>
      <c r="E296" s="6"/>
      <c r="F296" s="6"/>
      <c r="G296" s="6"/>
      <c r="H296" s="6"/>
      <c r="I296" s="6"/>
      <c r="J296" s="6"/>
      <c r="K296" s="6"/>
      <c r="L296" s="6"/>
      <c r="M296" s="6"/>
      <c r="N296" s="9"/>
      <c r="O296" s="9"/>
      <c r="P296" s="9"/>
      <c r="Q296" s="9"/>
    </row>
    <row r="297" spans="1:17" ht="12.75">
      <c r="A297" s="6"/>
      <c r="B297" s="6"/>
      <c r="C297" s="6"/>
      <c r="D297" s="6"/>
      <c r="E297" s="6"/>
      <c r="F297" s="6"/>
      <c r="G297" s="6"/>
      <c r="H297" s="6"/>
      <c r="I297" s="6"/>
      <c r="J297" s="6"/>
      <c r="K297" s="6"/>
      <c r="L297" s="6"/>
      <c r="M297" s="6"/>
      <c r="N297" s="9"/>
      <c r="O297" s="9"/>
      <c r="P297" s="9"/>
      <c r="Q297" s="9"/>
    </row>
    <row r="298" spans="1:17" ht="12.75">
      <c r="A298" s="6"/>
      <c r="B298" s="6"/>
      <c r="C298" s="6"/>
      <c r="D298" s="6"/>
      <c r="E298" s="6"/>
      <c r="F298" s="6"/>
      <c r="G298" s="6"/>
      <c r="H298" s="6"/>
      <c r="I298" s="6"/>
      <c r="J298" s="6"/>
      <c r="K298" s="6"/>
      <c r="L298" s="6"/>
      <c r="M298" s="6"/>
      <c r="N298" s="9"/>
      <c r="O298" s="9"/>
      <c r="P298" s="9"/>
      <c r="Q298" s="9"/>
    </row>
    <row r="299" spans="1:17" ht="12.75">
      <c r="A299" s="6"/>
      <c r="B299" s="6"/>
      <c r="C299" s="6"/>
      <c r="D299" s="6"/>
      <c r="E299" s="6"/>
      <c r="F299" s="6"/>
      <c r="G299" s="6"/>
      <c r="H299" s="6"/>
      <c r="I299" s="6"/>
      <c r="J299" s="6"/>
      <c r="K299" s="6"/>
      <c r="L299" s="6"/>
      <c r="M299" s="6"/>
      <c r="N299" s="9"/>
      <c r="O299" s="9"/>
      <c r="P299" s="9"/>
      <c r="Q299" s="9"/>
    </row>
    <row r="300" spans="1:17" ht="12.75">
      <c r="A300" s="6"/>
      <c r="B300" s="6"/>
      <c r="C300" s="6"/>
      <c r="D300" s="6"/>
      <c r="E300" s="6"/>
      <c r="F300" s="6"/>
      <c r="G300" s="6"/>
      <c r="H300" s="6"/>
      <c r="I300" s="6"/>
      <c r="J300" s="6"/>
      <c r="K300" s="6"/>
      <c r="L300" s="6"/>
      <c r="M300" s="6"/>
      <c r="N300" s="9"/>
      <c r="O300" s="9"/>
      <c r="P300" s="9"/>
      <c r="Q300" s="9"/>
    </row>
    <row r="301" spans="1:17" ht="12.75">
      <c r="A301" s="6"/>
      <c r="B301" s="6"/>
      <c r="C301" s="6"/>
      <c r="D301" s="6"/>
      <c r="E301" s="6"/>
      <c r="F301" s="6"/>
      <c r="G301" s="6"/>
      <c r="H301" s="6"/>
      <c r="I301" s="6"/>
      <c r="J301" s="6"/>
      <c r="K301" s="6"/>
      <c r="L301" s="6"/>
      <c r="M301" s="6"/>
      <c r="N301" s="9"/>
      <c r="O301" s="9"/>
      <c r="P301" s="9"/>
      <c r="Q301" s="9"/>
    </row>
    <row r="302" spans="1:17" ht="12.75">
      <c r="A302" s="6"/>
      <c r="B302" s="6"/>
      <c r="C302" s="6"/>
      <c r="D302" s="6"/>
      <c r="E302" s="6"/>
      <c r="F302" s="6"/>
      <c r="G302" s="6"/>
      <c r="H302" s="6"/>
      <c r="I302" s="6"/>
      <c r="J302" s="6"/>
      <c r="K302" s="6"/>
      <c r="L302" s="6"/>
      <c r="M302" s="6"/>
      <c r="N302" s="9"/>
      <c r="O302" s="9"/>
      <c r="P302" s="9"/>
      <c r="Q302" s="9"/>
    </row>
    <row r="303" spans="1:17" ht="12.75">
      <c r="A303" s="6"/>
      <c r="B303" s="6"/>
      <c r="C303" s="6"/>
      <c r="D303" s="6"/>
      <c r="E303" s="6"/>
      <c r="F303" s="6"/>
      <c r="G303" s="6"/>
      <c r="H303" s="6"/>
      <c r="I303" s="6"/>
      <c r="J303" s="6"/>
      <c r="K303" s="6"/>
      <c r="L303" s="6"/>
      <c r="M303" s="6"/>
      <c r="N303" s="9"/>
      <c r="O303" s="9"/>
      <c r="P303" s="9"/>
      <c r="Q303" s="9"/>
    </row>
    <row r="304" spans="1:17" ht="12.75">
      <c r="A304" s="6"/>
      <c r="B304" s="6"/>
      <c r="C304" s="6"/>
      <c r="D304" s="6"/>
      <c r="E304" s="6"/>
      <c r="F304" s="6"/>
      <c r="G304" s="6"/>
      <c r="H304" s="6"/>
      <c r="I304" s="6"/>
      <c r="J304" s="6"/>
      <c r="K304" s="6"/>
      <c r="L304" s="6"/>
      <c r="M304" s="6"/>
      <c r="N304" s="9"/>
      <c r="O304" s="9"/>
      <c r="P304" s="9"/>
      <c r="Q304" s="9"/>
    </row>
    <row r="305" spans="1:17" ht="12.75">
      <c r="A305" s="6"/>
      <c r="B305" s="6"/>
      <c r="C305" s="6"/>
      <c r="D305" s="6"/>
      <c r="E305" s="6"/>
      <c r="F305" s="6"/>
      <c r="G305" s="6"/>
      <c r="H305" s="6"/>
      <c r="I305" s="6"/>
      <c r="J305" s="6"/>
      <c r="K305" s="6"/>
      <c r="L305" s="6"/>
      <c r="M305" s="6"/>
      <c r="N305" s="9"/>
      <c r="O305" s="9"/>
      <c r="P305" s="9"/>
      <c r="Q305" s="9"/>
    </row>
    <row r="306" spans="1:17" ht="12.75">
      <c r="A306" s="6"/>
      <c r="B306" s="6"/>
      <c r="C306" s="6"/>
      <c r="D306" s="6"/>
      <c r="E306" s="6"/>
      <c r="F306" s="6"/>
      <c r="G306" s="6"/>
      <c r="H306" s="6"/>
      <c r="I306" s="6"/>
      <c r="J306" s="6"/>
      <c r="K306" s="6"/>
      <c r="L306" s="6"/>
      <c r="M306" s="6"/>
      <c r="N306" s="9"/>
      <c r="O306" s="9"/>
      <c r="P306" s="9"/>
      <c r="Q306" s="9"/>
    </row>
    <row r="307" spans="1:17" ht="12.75">
      <c r="A307" s="6"/>
      <c r="B307" s="6"/>
      <c r="C307" s="6"/>
      <c r="D307" s="6"/>
      <c r="E307" s="6"/>
      <c r="F307" s="6"/>
      <c r="G307" s="6"/>
      <c r="H307" s="6"/>
      <c r="I307" s="6"/>
      <c r="J307" s="6"/>
      <c r="K307" s="6"/>
      <c r="L307" s="6"/>
      <c r="M307" s="6"/>
      <c r="N307" s="9"/>
      <c r="O307" s="9"/>
      <c r="P307" s="9"/>
      <c r="Q307" s="9"/>
    </row>
    <row r="308" spans="1:17" ht="12.75">
      <c r="A308" s="6"/>
      <c r="B308" s="6"/>
      <c r="C308" s="6"/>
      <c r="D308" s="6"/>
      <c r="E308" s="6"/>
      <c r="F308" s="6"/>
      <c r="G308" s="6"/>
      <c r="H308" s="6"/>
      <c r="I308" s="6"/>
      <c r="J308" s="6"/>
      <c r="K308" s="6"/>
      <c r="L308" s="6"/>
      <c r="M308" s="6"/>
      <c r="N308" s="9"/>
      <c r="O308" s="9"/>
      <c r="P308" s="9"/>
      <c r="Q308" s="9"/>
    </row>
    <row r="309" spans="1:17" ht="12.75">
      <c r="A309" s="6"/>
      <c r="B309" s="6"/>
      <c r="C309" s="6"/>
      <c r="D309" s="6"/>
      <c r="E309" s="6"/>
      <c r="F309" s="6"/>
      <c r="G309" s="6"/>
      <c r="H309" s="6"/>
      <c r="I309" s="6"/>
      <c r="J309" s="6"/>
      <c r="K309" s="6"/>
      <c r="L309" s="6"/>
      <c r="M309" s="6"/>
      <c r="N309" s="9"/>
      <c r="O309" s="9"/>
      <c r="P309" s="9"/>
      <c r="Q309" s="9"/>
    </row>
    <row r="310" spans="1:17" ht="12.75">
      <c r="A310" s="6"/>
      <c r="B310" s="6"/>
      <c r="C310" s="6"/>
      <c r="D310" s="6"/>
      <c r="E310" s="6"/>
      <c r="F310" s="6"/>
      <c r="G310" s="6"/>
      <c r="H310" s="6"/>
      <c r="I310" s="6"/>
      <c r="J310" s="6"/>
      <c r="K310" s="6"/>
      <c r="L310" s="6"/>
      <c r="M310" s="6"/>
      <c r="N310" s="9"/>
      <c r="O310" s="9"/>
      <c r="P310" s="9"/>
      <c r="Q310" s="9"/>
    </row>
    <row r="311" spans="1:17" ht="12.75">
      <c r="A311" s="6"/>
      <c r="B311" s="6"/>
      <c r="C311" s="6"/>
      <c r="D311" s="6"/>
      <c r="E311" s="6"/>
      <c r="F311" s="6"/>
      <c r="G311" s="6"/>
      <c r="H311" s="6"/>
      <c r="I311" s="6"/>
      <c r="J311" s="6"/>
      <c r="K311" s="6"/>
      <c r="L311" s="6"/>
      <c r="M311" s="6"/>
      <c r="N311" s="9"/>
      <c r="O311" s="9"/>
      <c r="P311" s="9"/>
      <c r="Q311" s="9"/>
    </row>
    <row r="312" spans="1:17" ht="12.75">
      <c r="A312" s="6"/>
      <c r="B312" s="6"/>
      <c r="C312" s="6"/>
      <c r="D312" s="6"/>
      <c r="E312" s="6"/>
      <c r="F312" s="6"/>
      <c r="G312" s="6"/>
      <c r="H312" s="6"/>
      <c r="I312" s="6"/>
      <c r="J312" s="6"/>
      <c r="K312" s="6"/>
      <c r="L312" s="6"/>
      <c r="M312" s="6"/>
      <c r="N312" s="9"/>
      <c r="O312" s="9"/>
      <c r="P312" s="9"/>
      <c r="Q312" s="9"/>
    </row>
    <row r="313" spans="1:17" ht="12.75">
      <c r="A313" s="6"/>
      <c r="B313" s="6"/>
      <c r="C313" s="6"/>
      <c r="D313" s="6"/>
      <c r="E313" s="6"/>
      <c r="F313" s="6"/>
      <c r="G313" s="6"/>
      <c r="H313" s="6"/>
      <c r="I313" s="6"/>
      <c r="J313" s="6"/>
      <c r="K313" s="6"/>
      <c r="L313" s="6"/>
      <c r="M313" s="6"/>
      <c r="N313" s="9"/>
      <c r="O313" s="9"/>
      <c r="P313" s="9"/>
      <c r="Q313" s="9"/>
    </row>
    <row r="314" spans="1:17" ht="12.75">
      <c r="A314" s="6"/>
      <c r="B314" s="6"/>
      <c r="C314" s="6"/>
      <c r="D314" s="6"/>
      <c r="E314" s="6"/>
      <c r="F314" s="6"/>
      <c r="G314" s="6"/>
      <c r="H314" s="6"/>
      <c r="I314" s="6"/>
      <c r="J314" s="6"/>
      <c r="K314" s="6"/>
      <c r="L314" s="6"/>
      <c r="M314" s="6"/>
      <c r="N314" s="9"/>
      <c r="O314" s="9"/>
      <c r="P314" s="9"/>
      <c r="Q314" s="9"/>
    </row>
    <row r="315" spans="1:17" ht="12.75">
      <c r="A315" s="6"/>
      <c r="B315" s="6"/>
      <c r="C315" s="6"/>
      <c r="D315" s="6"/>
      <c r="E315" s="6"/>
      <c r="F315" s="6"/>
      <c r="G315" s="6"/>
      <c r="H315" s="6"/>
      <c r="I315" s="6"/>
      <c r="J315" s="6"/>
      <c r="K315" s="6"/>
      <c r="L315" s="6"/>
      <c r="M315" s="6"/>
      <c r="N315" s="9"/>
      <c r="O315" s="9"/>
      <c r="P315" s="9"/>
      <c r="Q315" s="9"/>
    </row>
    <row r="316" spans="1:17" ht="12.75">
      <c r="A316" s="6"/>
      <c r="B316" s="6"/>
      <c r="C316" s="6"/>
      <c r="D316" s="6"/>
      <c r="E316" s="6"/>
      <c r="F316" s="6"/>
      <c r="G316" s="6"/>
      <c r="H316" s="6"/>
      <c r="I316" s="6"/>
      <c r="J316" s="6"/>
      <c r="K316" s="6"/>
      <c r="L316" s="6"/>
      <c r="M316" s="6"/>
      <c r="N316" s="9"/>
      <c r="O316" s="9"/>
      <c r="P316" s="9"/>
      <c r="Q316" s="9"/>
    </row>
    <row r="317" spans="1:17" ht="12.75">
      <c r="A317" s="6"/>
      <c r="B317" s="6"/>
      <c r="C317" s="6"/>
      <c r="D317" s="6"/>
      <c r="E317" s="6"/>
      <c r="F317" s="6"/>
      <c r="G317" s="6"/>
      <c r="H317" s="6"/>
      <c r="I317" s="6"/>
      <c r="J317" s="6"/>
      <c r="K317" s="6"/>
      <c r="L317" s="6"/>
      <c r="M317" s="6"/>
      <c r="N317" s="9"/>
      <c r="O317" s="9"/>
      <c r="P317" s="9"/>
      <c r="Q317" s="9"/>
    </row>
    <row r="318" spans="1:17" ht="12.75">
      <c r="A318" s="6"/>
      <c r="B318" s="6"/>
      <c r="C318" s="6"/>
      <c r="D318" s="6"/>
      <c r="E318" s="6"/>
      <c r="F318" s="6"/>
      <c r="G318" s="6"/>
      <c r="H318" s="6"/>
      <c r="I318" s="6"/>
      <c r="J318" s="6"/>
      <c r="K318" s="6"/>
      <c r="L318" s="6"/>
      <c r="M318" s="6"/>
      <c r="N318" s="9"/>
      <c r="O318" s="9"/>
      <c r="P318" s="9"/>
      <c r="Q318" s="9"/>
    </row>
    <row r="319" spans="1:17" ht="12.75">
      <c r="A319" s="6"/>
      <c r="B319" s="6"/>
      <c r="C319" s="6"/>
      <c r="D319" s="6"/>
      <c r="E319" s="6"/>
      <c r="F319" s="6"/>
      <c r="G319" s="6"/>
      <c r="H319" s="6"/>
      <c r="I319" s="6"/>
      <c r="J319" s="6"/>
      <c r="K319" s="6"/>
      <c r="L319" s="6"/>
      <c r="M319" s="6"/>
      <c r="N319" s="9"/>
      <c r="O319" s="9"/>
      <c r="P319" s="9"/>
      <c r="Q319" s="9"/>
    </row>
    <row r="320" spans="1:17" ht="12.75">
      <c r="A320" s="6"/>
      <c r="B320" s="6"/>
      <c r="C320" s="6"/>
      <c r="D320" s="6"/>
      <c r="E320" s="6"/>
      <c r="F320" s="6"/>
      <c r="G320" s="6"/>
      <c r="H320" s="6"/>
      <c r="I320" s="6"/>
      <c r="J320" s="6"/>
      <c r="K320" s="6"/>
      <c r="L320" s="6"/>
      <c r="M320" s="6"/>
      <c r="N320" s="9"/>
      <c r="O320" s="9"/>
      <c r="P320" s="9"/>
      <c r="Q320" s="9"/>
    </row>
    <row r="321" spans="1:17" ht="12.75">
      <c r="A321" s="6"/>
      <c r="B321" s="6"/>
      <c r="C321" s="6"/>
      <c r="D321" s="6"/>
      <c r="E321" s="6"/>
      <c r="F321" s="6"/>
      <c r="G321" s="6"/>
      <c r="H321" s="6"/>
      <c r="I321" s="6"/>
      <c r="J321" s="6"/>
      <c r="K321" s="6"/>
      <c r="L321" s="6"/>
      <c r="M321" s="6"/>
      <c r="N321" s="9"/>
      <c r="O321" s="9"/>
      <c r="P321" s="9"/>
      <c r="Q321" s="9"/>
    </row>
    <row r="322" spans="1:17" ht="12.75">
      <c r="A322" s="6"/>
      <c r="B322" s="6"/>
      <c r="C322" s="6"/>
      <c r="D322" s="6"/>
      <c r="E322" s="6"/>
      <c r="F322" s="6"/>
      <c r="G322" s="6"/>
      <c r="H322" s="6"/>
      <c r="I322" s="6"/>
      <c r="J322" s="6"/>
      <c r="K322" s="6"/>
      <c r="L322" s="6"/>
      <c r="M322" s="6"/>
      <c r="N322" s="9"/>
      <c r="O322" s="9"/>
      <c r="P322" s="9"/>
      <c r="Q322" s="9"/>
    </row>
    <row r="323" spans="1:17" ht="12.75">
      <c r="A323" s="6"/>
      <c r="B323" s="6"/>
      <c r="C323" s="6"/>
      <c r="D323" s="6"/>
      <c r="E323" s="6"/>
      <c r="F323" s="6"/>
      <c r="G323" s="6"/>
      <c r="H323" s="6"/>
      <c r="I323" s="6"/>
      <c r="J323" s="6"/>
      <c r="K323" s="6"/>
      <c r="L323" s="6"/>
      <c r="M323" s="6"/>
      <c r="N323" s="9"/>
      <c r="O323" s="9"/>
      <c r="P323" s="9"/>
      <c r="Q323" s="9"/>
    </row>
    <row r="324" spans="1:17" ht="12.75">
      <c r="A324" s="6"/>
      <c r="B324" s="6"/>
      <c r="C324" s="6"/>
      <c r="D324" s="6"/>
      <c r="E324" s="6"/>
      <c r="F324" s="6"/>
      <c r="G324" s="6"/>
      <c r="H324" s="6"/>
      <c r="I324" s="6"/>
      <c r="J324" s="6"/>
      <c r="K324" s="6"/>
      <c r="L324" s="6"/>
      <c r="M324" s="6"/>
      <c r="N324" s="9"/>
      <c r="O324" s="9"/>
      <c r="P324" s="9"/>
      <c r="Q324" s="9"/>
    </row>
    <row r="325" spans="1:17" ht="12.75">
      <c r="A325" s="6"/>
      <c r="B325" s="6"/>
      <c r="C325" s="6"/>
      <c r="D325" s="6"/>
      <c r="E325" s="6"/>
      <c r="F325" s="6"/>
      <c r="G325" s="6"/>
      <c r="H325" s="6"/>
      <c r="I325" s="6"/>
      <c r="J325" s="6"/>
      <c r="K325" s="6"/>
      <c r="L325" s="6"/>
      <c r="M325" s="6"/>
      <c r="N325" s="9"/>
      <c r="O325" s="9"/>
      <c r="P325" s="9"/>
      <c r="Q325" s="9"/>
    </row>
    <row r="326" spans="1:17" ht="12.75">
      <c r="A326" s="6"/>
      <c r="B326" s="6"/>
      <c r="C326" s="6"/>
      <c r="D326" s="6"/>
      <c r="E326" s="6"/>
      <c r="F326" s="6"/>
      <c r="G326" s="6"/>
      <c r="H326" s="6"/>
      <c r="I326" s="6"/>
      <c r="J326" s="6"/>
      <c r="K326" s="6"/>
      <c r="L326" s="6"/>
      <c r="M326" s="6"/>
      <c r="N326" s="9"/>
      <c r="O326" s="9"/>
      <c r="P326" s="9"/>
      <c r="Q326" s="9"/>
    </row>
    <row r="327" spans="1:17" ht="12.75">
      <c r="A327" s="6"/>
      <c r="B327" s="6"/>
      <c r="C327" s="6"/>
      <c r="D327" s="6"/>
      <c r="E327" s="6"/>
      <c r="F327" s="6"/>
      <c r="G327" s="6"/>
      <c r="H327" s="6"/>
      <c r="I327" s="6"/>
      <c r="J327" s="6"/>
      <c r="K327" s="6"/>
      <c r="L327" s="6"/>
      <c r="M327" s="6"/>
      <c r="N327" s="9"/>
      <c r="O327" s="9"/>
      <c r="P327" s="9"/>
      <c r="Q327" s="9"/>
    </row>
    <row r="328" spans="1:17" ht="12.75">
      <c r="A328" s="6"/>
      <c r="B328" s="6"/>
      <c r="C328" s="6"/>
      <c r="D328" s="6"/>
      <c r="E328" s="6"/>
      <c r="F328" s="6"/>
      <c r="G328" s="6"/>
      <c r="H328" s="6"/>
      <c r="I328" s="6"/>
      <c r="J328" s="6"/>
      <c r="K328" s="6"/>
      <c r="L328" s="6"/>
      <c r="M328" s="6"/>
      <c r="N328" s="9"/>
      <c r="O328" s="9"/>
      <c r="P328" s="9"/>
      <c r="Q328" s="9"/>
    </row>
    <row r="329" spans="1:17" ht="12.75">
      <c r="A329" s="6"/>
      <c r="B329" s="6"/>
      <c r="C329" s="6"/>
      <c r="D329" s="6"/>
      <c r="E329" s="6"/>
      <c r="F329" s="6"/>
      <c r="G329" s="6"/>
      <c r="H329" s="6"/>
      <c r="I329" s="6"/>
      <c r="J329" s="6"/>
      <c r="K329" s="6"/>
      <c r="L329" s="6"/>
      <c r="M329" s="6"/>
      <c r="N329" s="9"/>
      <c r="O329" s="9"/>
      <c r="P329" s="9"/>
      <c r="Q329" s="9"/>
    </row>
    <row r="330" spans="1:17" ht="12.75">
      <c r="A330" s="6"/>
      <c r="B330" s="6"/>
      <c r="C330" s="6"/>
      <c r="D330" s="6"/>
      <c r="E330" s="6"/>
      <c r="F330" s="6"/>
      <c r="G330" s="6"/>
      <c r="H330" s="6"/>
      <c r="I330" s="6"/>
      <c r="J330" s="6"/>
      <c r="K330" s="6"/>
      <c r="L330" s="6"/>
      <c r="M330" s="6"/>
      <c r="N330" s="9"/>
      <c r="O330" s="9"/>
      <c r="P330" s="9"/>
      <c r="Q330" s="9"/>
    </row>
    <row r="331" spans="1:17" ht="12.75">
      <c r="A331" s="6"/>
      <c r="B331" s="6"/>
      <c r="C331" s="6"/>
      <c r="D331" s="6"/>
      <c r="E331" s="6"/>
      <c r="F331" s="6"/>
      <c r="G331" s="6"/>
      <c r="H331" s="6"/>
      <c r="I331" s="6"/>
      <c r="J331" s="6"/>
      <c r="K331" s="6"/>
      <c r="L331" s="6"/>
      <c r="M331" s="6"/>
      <c r="N331" s="9"/>
      <c r="O331" s="9"/>
      <c r="P331" s="9"/>
      <c r="Q331" s="9"/>
    </row>
    <row r="332" spans="1:17" ht="12.75">
      <c r="A332" s="6"/>
      <c r="B332" s="6"/>
      <c r="C332" s="6"/>
      <c r="D332" s="6"/>
      <c r="E332" s="6"/>
      <c r="F332" s="6"/>
      <c r="G332" s="6"/>
      <c r="H332" s="6"/>
      <c r="I332" s="6"/>
      <c r="J332" s="6"/>
      <c r="K332" s="6"/>
      <c r="L332" s="6"/>
      <c r="M332" s="6"/>
      <c r="N332" s="9"/>
      <c r="O332" s="9"/>
      <c r="P332" s="9"/>
      <c r="Q332" s="9"/>
    </row>
    <row r="333" spans="1:17" ht="12.75">
      <c r="A333" s="6"/>
      <c r="B333" s="6"/>
      <c r="C333" s="6"/>
      <c r="D333" s="6"/>
      <c r="E333" s="6"/>
      <c r="F333" s="6"/>
      <c r="G333" s="6"/>
      <c r="H333" s="6"/>
      <c r="I333" s="6"/>
      <c r="J333" s="6"/>
      <c r="K333" s="6"/>
      <c r="L333" s="6"/>
      <c r="M333" s="6"/>
      <c r="N333" s="9"/>
      <c r="O333" s="9"/>
      <c r="P333" s="9"/>
      <c r="Q333" s="9"/>
    </row>
    <row r="334" spans="1:17" ht="12.75">
      <c r="A334" s="6"/>
      <c r="B334" s="6"/>
      <c r="C334" s="6"/>
      <c r="D334" s="6"/>
      <c r="E334" s="6"/>
      <c r="F334" s="6"/>
      <c r="G334" s="6"/>
      <c r="H334" s="6"/>
      <c r="I334" s="6"/>
      <c r="J334" s="6"/>
      <c r="K334" s="6"/>
      <c r="L334" s="6"/>
      <c r="M334" s="6"/>
      <c r="N334" s="9"/>
      <c r="O334" s="9"/>
      <c r="P334" s="9"/>
      <c r="Q334" s="9"/>
    </row>
    <row r="335" spans="1:17" ht="12.75">
      <c r="A335" s="6"/>
      <c r="B335" s="6"/>
      <c r="C335" s="6"/>
      <c r="D335" s="6"/>
      <c r="E335" s="6"/>
      <c r="F335" s="6"/>
      <c r="G335" s="6"/>
      <c r="H335" s="6"/>
      <c r="I335" s="6"/>
      <c r="J335" s="6"/>
      <c r="K335" s="6"/>
      <c r="L335" s="6"/>
      <c r="M335" s="6"/>
      <c r="N335" s="9"/>
      <c r="O335" s="9"/>
      <c r="P335" s="9"/>
      <c r="Q335" s="9"/>
    </row>
    <row r="336" spans="1:17" ht="12.75">
      <c r="A336" s="6"/>
      <c r="B336" s="6"/>
      <c r="C336" s="6"/>
      <c r="D336" s="6"/>
      <c r="E336" s="6"/>
      <c r="F336" s="6"/>
      <c r="G336" s="6"/>
      <c r="H336" s="6"/>
      <c r="I336" s="6"/>
      <c r="J336" s="6"/>
      <c r="K336" s="6"/>
      <c r="L336" s="6"/>
      <c r="M336" s="6"/>
      <c r="N336" s="9"/>
      <c r="O336" s="9"/>
      <c r="P336" s="9"/>
      <c r="Q336" s="9"/>
    </row>
    <row r="337" spans="1:17" ht="12.75">
      <c r="A337" s="6"/>
      <c r="B337" s="6"/>
      <c r="C337" s="6"/>
      <c r="D337" s="6"/>
      <c r="E337" s="6"/>
      <c r="F337" s="6"/>
      <c r="G337" s="6"/>
      <c r="H337" s="6"/>
      <c r="I337" s="6"/>
      <c r="J337" s="6"/>
      <c r="K337" s="6"/>
      <c r="L337" s="6"/>
      <c r="M337" s="6"/>
      <c r="N337" s="9"/>
      <c r="O337" s="9"/>
      <c r="P337" s="9"/>
      <c r="Q337" s="9"/>
    </row>
    <row r="338" spans="1:17" ht="12.75">
      <c r="A338" s="6"/>
      <c r="B338" s="6"/>
      <c r="C338" s="6"/>
      <c r="D338" s="6"/>
      <c r="E338" s="6"/>
      <c r="F338" s="6"/>
      <c r="G338" s="6"/>
      <c r="H338" s="6"/>
      <c r="I338" s="6"/>
      <c r="J338" s="6"/>
      <c r="K338" s="6"/>
      <c r="L338" s="6"/>
      <c r="M338" s="6"/>
      <c r="N338" s="9"/>
      <c r="O338" s="9"/>
      <c r="P338" s="9"/>
      <c r="Q338" s="9"/>
    </row>
    <row r="339" spans="1:17" ht="12.75">
      <c r="A339" s="6"/>
      <c r="B339" s="6"/>
      <c r="C339" s="6"/>
      <c r="D339" s="6"/>
      <c r="E339" s="6"/>
      <c r="F339" s="6"/>
      <c r="G339" s="6"/>
      <c r="H339" s="6"/>
      <c r="I339" s="6"/>
      <c r="J339" s="6"/>
      <c r="K339" s="6"/>
      <c r="L339" s="6"/>
      <c r="M339" s="6"/>
      <c r="N339" s="9"/>
      <c r="O339" s="9"/>
      <c r="P339" s="9"/>
      <c r="Q339" s="9"/>
    </row>
    <row r="340" spans="1:17" ht="12.75">
      <c r="A340" s="6"/>
      <c r="B340" s="6"/>
      <c r="C340" s="6"/>
      <c r="D340" s="6"/>
      <c r="E340" s="6"/>
      <c r="F340" s="6"/>
      <c r="G340" s="6"/>
      <c r="H340" s="6"/>
      <c r="I340" s="6"/>
      <c r="J340" s="6"/>
      <c r="K340" s="6"/>
      <c r="L340" s="6"/>
      <c r="M340" s="6"/>
      <c r="N340" s="9"/>
      <c r="O340" s="9"/>
      <c r="P340" s="9"/>
      <c r="Q340" s="9"/>
    </row>
    <row r="341" spans="1:17" ht="12.75">
      <c r="A341" s="6"/>
      <c r="B341" s="6"/>
      <c r="C341" s="6"/>
      <c r="D341" s="6"/>
      <c r="E341" s="6"/>
      <c r="F341" s="6"/>
      <c r="G341" s="6"/>
      <c r="H341" s="6"/>
      <c r="I341" s="6"/>
      <c r="J341" s="6"/>
      <c r="K341" s="6"/>
      <c r="L341" s="6"/>
      <c r="M341" s="6"/>
      <c r="N341" s="9"/>
      <c r="O341" s="9"/>
      <c r="P341" s="9"/>
      <c r="Q341" s="9"/>
    </row>
    <row r="342" spans="1:17" ht="12.75">
      <c r="A342" s="6"/>
      <c r="B342" s="6"/>
      <c r="C342" s="6"/>
      <c r="D342" s="6"/>
      <c r="E342" s="6"/>
      <c r="F342" s="6"/>
      <c r="G342" s="6"/>
      <c r="H342" s="6"/>
      <c r="I342" s="6"/>
      <c r="J342" s="6"/>
      <c r="K342" s="6"/>
      <c r="L342" s="6"/>
      <c r="M342" s="6"/>
      <c r="N342" s="9"/>
      <c r="O342" s="9"/>
      <c r="P342" s="9"/>
      <c r="Q342" s="9"/>
    </row>
    <row r="343" spans="1:17" ht="12.75">
      <c r="A343" s="6"/>
      <c r="B343" s="6"/>
      <c r="C343" s="6"/>
      <c r="D343" s="6"/>
      <c r="E343" s="6"/>
      <c r="F343" s="6"/>
      <c r="G343" s="6"/>
      <c r="H343" s="6"/>
      <c r="I343" s="6"/>
      <c r="J343" s="6"/>
      <c r="K343" s="6"/>
      <c r="L343" s="6"/>
      <c r="M343" s="6"/>
      <c r="N343" s="9"/>
      <c r="O343" s="9"/>
      <c r="P343" s="9"/>
      <c r="Q343" s="9"/>
    </row>
    <row r="344" spans="1:17" ht="12.75">
      <c r="A344" s="6"/>
      <c r="B344" s="6"/>
      <c r="C344" s="6"/>
      <c r="D344" s="6"/>
      <c r="E344" s="6"/>
      <c r="F344" s="6"/>
      <c r="G344" s="6"/>
      <c r="H344" s="6"/>
      <c r="I344" s="6"/>
      <c r="J344" s="6"/>
      <c r="K344" s="6"/>
      <c r="L344" s="6"/>
      <c r="M344" s="6"/>
      <c r="N344" s="9"/>
      <c r="O344" s="9"/>
      <c r="P344" s="9"/>
      <c r="Q344" s="9"/>
    </row>
    <row r="345" spans="1:17" ht="12.75">
      <c r="A345" s="6"/>
      <c r="B345" s="6"/>
      <c r="C345" s="6"/>
      <c r="D345" s="6"/>
      <c r="E345" s="6"/>
      <c r="F345" s="6"/>
      <c r="G345" s="6"/>
      <c r="H345" s="6"/>
      <c r="I345" s="6"/>
      <c r="J345" s="6"/>
      <c r="K345" s="6"/>
      <c r="L345" s="6"/>
      <c r="M345" s="6"/>
      <c r="N345" s="9"/>
      <c r="O345" s="9"/>
      <c r="P345" s="9"/>
      <c r="Q345" s="9"/>
    </row>
    <row r="346" spans="1:17" ht="12.75">
      <c r="A346" s="6"/>
      <c r="B346" s="6"/>
      <c r="C346" s="6"/>
      <c r="D346" s="6"/>
      <c r="E346" s="6"/>
      <c r="F346" s="6"/>
      <c r="G346" s="6"/>
      <c r="H346" s="6"/>
      <c r="I346" s="6"/>
      <c r="J346" s="6"/>
      <c r="K346" s="6"/>
      <c r="L346" s="6"/>
      <c r="M346" s="6"/>
      <c r="N346" s="9"/>
      <c r="O346" s="9"/>
      <c r="P346" s="9"/>
      <c r="Q346" s="9"/>
    </row>
    <row r="347" spans="1:17" ht="12.75">
      <c r="A347" s="6"/>
      <c r="B347" s="6"/>
      <c r="C347" s="6"/>
      <c r="D347" s="6"/>
      <c r="E347" s="6"/>
      <c r="F347" s="6"/>
      <c r="G347" s="6"/>
      <c r="H347" s="6"/>
      <c r="I347" s="6"/>
      <c r="J347" s="6"/>
      <c r="K347" s="6"/>
      <c r="L347" s="6"/>
      <c r="M347" s="6"/>
      <c r="N347" s="9"/>
      <c r="O347" s="9"/>
      <c r="P347" s="9"/>
      <c r="Q347" s="9"/>
    </row>
    <row r="348" spans="1:17" ht="12.75">
      <c r="A348" s="6"/>
      <c r="B348" s="6"/>
      <c r="C348" s="6"/>
      <c r="D348" s="6"/>
      <c r="E348" s="6"/>
      <c r="F348" s="6"/>
      <c r="G348" s="6"/>
      <c r="H348" s="6"/>
      <c r="I348" s="6"/>
      <c r="J348" s="6"/>
      <c r="K348" s="6"/>
      <c r="L348" s="6"/>
      <c r="M348" s="6"/>
      <c r="N348" s="9"/>
      <c r="O348" s="9"/>
      <c r="P348" s="9"/>
      <c r="Q348" s="9"/>
    </row>
    <row r="349" spans="1:17" ht="12.75">
      <c r="A349" s="6"/>
      <c r="B349" s="6"/>
      <c r="C349" s="6"/>
      <c r="D349" s="6"/>
      <c r="E349" s="6"/>
      <c r="F349" s="6"/>
      <c r="G349" s="6"/>
      <c r="H349" s="6"/>
      <c r="I349" s="6"/>
      <c r="J349" s="6"/>
      <c r="K349" s="6"/>
      <c r="L349" s="6"/>
      <c r="M349" s="6"/>
      <c r="N349" s="9"/>
      <c r="O349" s="9"/>
      <c r="P349" s="9"/>
      <c r="Q349" s="9"/>
    </row>
    <row r="350" spans="1:17" ht="12.75">
      <c r="A350" s="6"/>
      <c r="B350" s="6"/>
      <c r="C350" s="6"/>
      <c r="D350" s="6"/>
      <c r="E350" s="6"/>
      <c r="F350" s="6"/>
      <c r="G350" s="6"/>
      <c r="H350" s="6"/>
      <c r="I350" s="6"/>
      <c r="J350" s="6"/>
      <c r="K350" s="6"/>
      <c r="L350" s="6"/>
      <c r="M350" s="6"/>
      <c r="N350" s="9"/>
      <c r="O350" s="9"/>
      <c r="P350" s="9"/>
      <c r="Q350" s="9"/>
    </row>
    <row r="351" spans="1:17" ht="12.75">
      <c r="A351" s="6"/>
      <c r="B351" s="6"/>
      <c r="C351" s="6"/>
      <c r="D351" s="6"/>
      <c r="E351" s="6"/>
      <c r="F351" s="6"/>
      <c r="G351" s="6"/>
      <c r="H351" s="6"/>
      <c r="I351" s="6"/>
      <c r="J351" s="6"/>
      <c r="K351" s="6"/>
      <c r="L351" s="6"/>
      <c r="M351" s="6"/>
      <c r="N351" s="9"/>
      <c r="O351" s="9"/>
      <c r="P351" s="9"/>
      <c r="Q351" s="9"/>
    </row>
    <row r="352" spans="1:17" ht="12.75">
      <c r="A352" s="6"/>
      <c r="B352" s="6"/>
      <c r="C352" s="6"/>
      <c r="D352" s="6"/>
      <c r="E352" s="6"/>
      <c r="F352" s="6"/>
      <c r="G352" s="6"/>
      <c r="H352" s="6"/>
      <c r="I352" s="6"/>
      <c r="J352" s="6"/>
      <c r="K352" s="6"/>
      <c r="L352" s="6"/>
      <c r="M352" s="6"/>
      <c r="N352" s="9"/>
      <c r="O352" s="9"/>
      <c r="P352" s="9"/>
      <c r="Q352" s="9"/>
    </row>
    <row r="353" spans="1:17" ht="12.75">
      <c r="A353" s="6"/>
      <c r="B353" s="6"/>
      <c r="C353" s="6"/>
      <c r="D353" s="6"/>
      <c r="E353" s="6"/>
      <c r="F353" s="6"/>
      <c r="G353" s="6"/>
      <c r="H353" s="6"/>
      <c r="I353" s="6"/>
      <c r="J353" s="6"/>
      <c r="K353" s="6"/>
      <c r="L353" s="6"/>
      <c r="M353" s="6"/>
      <c r="N353" s="9"/>
      <c r="O353" s="9"/>
      <c r="P353" s="9"/>
      <c r="Q353" s="9"/>
    </row>
    <row r="354" spans="1:17" ht="12.75">
      <c r="A354" s="6"/>
      <c r="B354" s="6"/>
      <c r="C354" s="6"/>
      <c r="D354" s="6"/>
      <c r="E354" s="6"/>
      <c r="F354" s="6"/>
      <c r="G354" s="6"/>
      <c r="H354" s="6"/>
      <c r="I354" s="6"/>
      <c r="J354" s="6"/>
      <c r="K354" s="6"/>
      <c r="L354" s="6"/>
      <c r="M354" s="6"/>
      <c r="N354" s="9"/>
      <c r="O354" s="9"/>
      <c r="P354" s="9"/>
      <c r="Q354" s="9"/>
    </row>
    <row r="355" spans="1:17" ht="12.75">
      <c r="A355" s="6"/>
      <c r="B355" s="6"/>
      <c r="C355" s="6"/>
      <c r="D355" s="6"/>
      <c r="E355" s="6"/>
      <c r="F355" s="6"/>
      <c r="G355" s="6"/>
      <c r="H355" s="6"/>
      <c r="I355" s="6"/>
      <c r="J355" s="6"/>
      <c r="K355" s="6"/>
      <c r="L355" s="6"/>
      <c r="M355" s="6"/>
      <c r="N355" s="9"/>
      <c r="O355" s="9"/>
      <c r="P355" s="9"/>
      <c r="Q355" s="9"/>
    </row>
    <row r="356" spans="1:17" ht="12.75">
      <c r="A356" s="6"/>
      <c r="B356" s="6"/>
      <c r="C356" s="6"/>
      <c r="D356" s="6"/>
      <c r="E356" s="6"/>
      <c r="F356" s="6"/>
      <c r="G356" s="6"/>
      <c r="H356" s="6"/>
      <c r="I356" s="6"/>
      <c r="J356" s="6"/>
      <c r="K356" s="6"/>
      <c r="L356" s="6"/>
      <c r="M356" s="6"/>
      <c r="N356" s="9"/>
      <c r="O356" s="9"/>
      <c r="P356" s="9"/>
      <c r="Q356" s="9"/>
    </row>
    <row r="357" spans="1:17" ht="12.75">
      <c r="A357" s="6"/>
      <c r="B357" s="6"/>
      <c r="C357" s="6"/>
      <c r="D357" s="6"/>
      <c r="E357" s="6"/>
      <c r="F357" s="6"/>
      <c r="G357" s="6"/>
      <c r="H357" s="6"/>
      <c r="I357" s="6"/>
      <c r="J357" s="6"/>
      <c r="K357" s="6"/>
      <c r="L357" s="6"/>
      <c r="M357" s="6"/>
      <c r="N357" s="9"/>
      <c r="O357" s="9"/>
      <c r="P357" s="9"/>
      <c r="Q357" s="9"/>
    </row>
    <row r="358" spans="1:17" ht="12.75">
      <c r="A358" s="6"/>
      <c r="B358" s="6"/>
      <c r="C358" s="6"/>
      <c r="D358" s="6"/>
      <c r="E358" s="6"/>
      <c r="F358" s="6"/>
      <c r="G358" s="6"/>
      <c r="H358" s="6"/>
      <c r="I358" s="6"/>
      <c r="J358" s="6"/>
      <c r="K358" s="6"/>
      <c r="L358" s="6"/>
      <c r="M358" s="6"/>
      <c r="N358" s="9"/>
      <c r="O358" s="9"/>
      <c r="P358" s="9"/>
      <c r="Q358" s="9"/>
    </row>
    <row r="359" spans="1:17" ht="12.75">
      <c r="A359" s="6"/>
      <c r="B359" s="6"/>
      <c r="C359" s="6"/>
      <c r="D359" s="6"/>
      <c r="E359" s="6"/>
      <c r="F359" s="6"/>
      <c r="G359" s="6"/>
      <c r="H359" s="6"/>
      <c r="I359" s="6"/>
      <c r="J359" s="6"/>
      <c r="K359" s="6"/>
      <c r="L359" s="6"/>
      <c r="M359" s="6"/>
      <c r="N359" s="9"/>
      <c r="O359" s="9"/>
      <c r="P359" s="9"/>
      <c r="Q359" s="9"/>
    </row>
    <row r="360" spans="1:17" ht="12.75">
      <c r="A360" s="6"/>
      <c r="B360" s="6"/>
      <c r="C360" s="6"/>
      <c r="D360" s="6"/>
      <c r="E360" s="6"/>
      <c r="F360" s="6"/>
      <c r="G360" s="6"/>
      <c r="H360" s="6"/>
      <c r="I360" s="6"/>
      <c r="J360" s="6"/>
      <c r="K360" s="6"/>
      <c r="L360" s="6"/>
      <c r="M360" s="6"/>
      <c r="N360" s="9"/>
      <c r="O360" s="9"/>
      <c r="P360" s="9"/>
      <c r="Q360" s="9"/>
    </row>
    <row r="361" spans="1:17" ht="12.75">
      <c r="A361" s="6"/>
      <c r="B361" s="6"/>
      <c r="C361" s="6"/>
      <c r="D361" s="6"/>
      <c r="E361" s="6"/>
      <c r="F361" s="6"/>
      <c r="G361" s="6"/>
      <c r="H361" s="6"/>
      <c r="I361" s="6"/>
      <c r="J361" s="6"/>
      <c r="K361" s="6"/>
      <c r="L361" s="6"/>
      <c r="M361" s="6"/>
      <c r="N361" s="9"/>
      <c r="O361" s="9"/>
      <c r="P361" s="9"/>
      <c r="Q361" s="9"/>
    </row>
    <row r="362" spans="1:17" ht="12.75">
      <c r="A362" s="6"/>
      <c r="B362" s="6"/>
      <c r="C362" s="6"/>
      <c r="D362" s="6"/>
      <c r="E362" s="6"/>
      <c r="F362" s="6"/>
      <c r="G362" s="6"/>
      <c r="H362" s="6"/>
      <c r="I362" s="6"/>
      <c r="J362" s="6"/>
      <c r="K362" s="6"/>
      <c r="L362" s="6"/>
      <c r="M362" s="6"/>
      <c r="N362" s="9"/>
      <c r="O362" s="9"/>
      <c r="P362" s="9"/>
      <c r="Q362" s="9"/>
    </row>
    <row r="363" spans="1:17" ht="12.75">
      <c r="A363" s="6"/>
      <c r="B363" s="6"/>
      <c r="C363" s="6"/>
      <c r="D363" s="6"/>
      <c r="E363" s="6"/>
      <c r="F363" s="6"/>
      <c r="G363" s="6"/>
      <c r="H363" s="6"/>
      <c r="I363" s="6"/>
      <c r="J363" s="6"/>
      <c r="K363" s="6"/>
      <c r="L363" s="6"/>
      <c r="M363" s="6"/>
      <c r="N363" s="9"/>
      <c r="O363" s="9"/>
      <c r="P363" s="9"/>
      <c r="Q363" s="9"/>
    </row>
    <row r="364" spans="1:17" ht="12.75">
      <c r="A364" s="6"/>
      <c r="B364" s="6"/>
      <c r="C364" s="6"/>
      <c r="D364" s="6"/>
      <c r="E364" s="6"/>
      <c r="F364" s="6"/>
      <c r="G364" s="6"/>
      <c r="H364" s="6"/>
      <c r="I364" s="6"/>
      <c r="J364" s="6"/>
      <c r="K364" s="6"/>
      <c r="L364" s="6"/>
      <c r="M364" s="6"/>
      <c r="N364" s="9"/>
      <c r="O364" s="9"/>
      <c r="P364" s="9"/>
      <c r="Q364" s="9"/>
    </row>
    <row r="365" spans="1:17" ht="12.75">
      <c r="A365" s="6"/>
      <c r="B365" s="6"/>
      <c r="C365" s="6"/>
      <c r="D365" s="6"/>
      <c r="E365" s="6"/>
      <c r="F365" s="6"/>
      <c r="G365" s="6"/>
      <c r="H365" s="6"/>
      <c r="I365" s="6"/>
      <c r="J365" s="6"/>
      <c r="K365" s="6"/>
      <c r="L365" s="6"/>
      <c r="M365" s="6"/>
      <c r="N365" s="9"/>
      <c r="O365" s="9"/>
      <c r="P365" s="9"/>
      <c r="Q365" s="9"/>
    </row>
    <row r="366" spans="1:17" ht="12.75">
      <c r="A366" s="6"/>
      <c r="B366" s="6"/>
      <c r="C366" s="6"/>
      <c r="D366" s="6"/>
      <c r="E366" s="6"/>
      <c r="F366" s="6"/>
      <c r="G366" s="6"/>
      <c r="H366" s="6"/>
      <c r="I366" s="6"/>
      <c r="J366" s="6"/>
      <c r="K366" s="6"/>
      <c r="L366" s="6"/>
      <c r="M366" s="6"/>
      <c r="N366" s="9"/>
      <c r="O366" s="9"/>
      <c r="P366" s="9"/>
      <c r="Q366" s="9"/>
    </row>
    <row r="367" spans="1:17" ht="12.75">
      <c r="A367" s="6"/>
      <c r="B367" s="6"/>
      <c r="C367" s="6"/>
      <c r="D367" s="6"/>
      <c r="E367" s="6"/>
      <c r="F367" s="6"/>
      <c r="G367" s="6"/>
      <c r="H367" s="6"/>
      <c r="I367" s="6"/>
      <c r="J367" s="6"/>
      <c r="K367" s="6"/>
      <c r="L367" s="6"/>
      <c r="M367" s="6"/>
      <c r="N367" s="9"/>
      <c r="O367" s="9"/>
      <c r="P367" s="9"/>
      <c r="Q367" s="9"/>
    </row>
    <row r="368" spans="1:17" ht="12.75">
      <c r="A368" s="6"/>
      <c r="B368" s="6"/>
      <c r="C368" s="6"/>
      <c r="D368" s="6"/>
      <c r="E368" s="6"/>
      <c r="F368" s="6"/>
      <c r="G368" s="6"/>
      <c r="H368" s="6"/>
      <c r="I368" s="6"/>
      <c r="J368" s="6"/>
      <c r="K368" s="6"/>
      <c r="L368" s="6"/>
      <c r="M368" s="6"/>
      <c r="N368" s="9"/>
      <c r="O368" s="9"/>
      <c r="P368" s="9"/>
      <c r="Q368" s="9"/>
    </row>
    <row r="369" spans="1:17" ht="12.75">
      <c r="A369" s="6"/>
      <c r="B369" s="6"/>
      <c r="C369" s="6"/>
      <c r="D369" s="6"/>
      <c r="E369" s="6"/>
      <c r="F369" s="6"/>
      <c r="G369" s="6"/>
      <c r="H369" s="6"/>
      <c r="I369" s="6"/>
      <c r="J369" s="6"/>
      <c r="K369" s="6"/>
      <c r="L369" s="6"/>
      <c r="M369" s="6"/>
      <c r="N369" s="9"/>
      <c r="O369" s="9"/>
      <c r="P369" s="9"/>
      <c r="Q369" s="9"/>
    </row>
    <row r="370" spans="1:17" ht="12.75">
      <c r="A370" s="6"/>
      <c r="B370" s="6"/>
      <c r="C370" s="6"/>
      <c r="D370" s="6"/>
      <c r="E370" s="6"/>
      <c r="F370" s="6"/>
      <c r="G370" s="6"/>
      <c r="H370" s="6"/>
      <c r="I370" s="6"/>
      <c r="J370" s="6"/>
      <c r="K370" s="6"/>
      <c r="L370" s="6"/>
      <c r="M370" s="6"/>
      <c r="N370" s="9"/>
      <c r="O370" s="9"/>
      <c r="P370" s="9"/>
      <c r="Q370" s="9"/>
    </row>
    <row r="371" spans="1:17" ht="12.75">
      <c r="A371" s="6"/>
      <c r="B371" s="6"/>
      <c r="C371" s="6"/>
      <c r="D371" s="6"/>
      <c r="E371" s="6"/>
      <c r="F371" s="6"/>
      <c r="G371" s="6"/>
      <c r="H371" s="6"/>
      <c r="I371" s="6"/>
      <c r="J371" s="6"/>
      <c r="K371" s="6"/>
      <c r="L371" s="6"/>
      <c r="M371" s="6"/>
      <c r="N371" s="9"/>
      <c r="O371" s="9"/>
      <c r="P371" s="9"/>
      <c r="Q371" s="9"/>
    </row>
    <row r="372" spans="1:17" ht="12.75">
      <c r="A372" s="6"/>
      <c r="B372" s="6"/>
      <c r="C372" s="6"/>
      <c r="D372" s="6"/>
      <c r="E372" s="6"/>
      <c r="F372" s="6"/>
      <c r="G372" s="6"/>
      <c r="H372" s="6"/>
      <c r="I372" s="6"/>
      <c r="J372" s="6"/>
      <c r="K372" s="6"/>
      <c r="L372" s="6"/>
      <c r="M372" s="6"/>
      <c r="N372" s="9"/>
      <c r="O372" s="9"/>
      <c r="P372" s="9"/>
      <c r="Q372" s="9"/>
    </row>
    <row r="373" spans="1:17" ht="12.75">
      <c r="A373" s="6"/>
      <c r="B373" s="6"/>
      <c r="C373" s="6"/>
      <c r="D373" s="6"/>
      <c r="E373" s="6"/>
      <c r="F373" s="6"/>
      <c r="G373" s="6"/>
      <c r="H373" s="6"/>
      <c r="I373" s="6"/>
      <c r="J373" s="6"/>
      <c r="K373" s="6"/>
      <c r="L373" s="6"/>
      <c r="M373" s="6"/>
      <c r="N373" s="9"/>
      <c r="O373" s="9"/>
      <c r="P373" s="9"/>
      <c r="Q373" s="9"/>
    </row>
    <row r="374" spans="1:17" ht="12.75">
      <c r="A374" s="6"/>
      <c r="B374" s="6"/>
      <c r="C374" s="6"/>
      <c r="D374" s="6"/>
      <c r="E374" s="6"/>
      <c r="F374" s="6"/>
      <c r="G374" s="6"/>
      <c r="H374" s="6"/>
      <c r="I374" s="6"/>
      <c r="J374" s="6"/>
      <c r="K374" s="6"/>
      <c r="L374" s="6"/>
      <c r="M374" s="6"/>
      <c r="N374" s="9"/>
      <c r="O374" s="9"/>
      <c r="P374" s="9"/>
      <c r="Q374" s="9"/>
    </row>
    <row r="375" spans="1:17" ht="12.75">
      <c r="A375" s="6"/>
      <c r="B375" s="6"/>
      <c r="C375" s="6"/>
      <c r="D375" s="6"/>
      <c r="E375" s="6"/>
      <c r="F375" s="6"/>
      <c r="G375" s="6"/>
      <c r="H375" s="6"/>
      <c r="I375" s="6"/>
      <c r="J375" s="6"/>
      <c r="K375" s="6"/>
      <c r="L375" s="6"/>
      <c r="M375" s="6"/>
      <c r="N375" s="9"/>
      <c r="O375" s="9"/>
      <c r="P375" s="9"/>
      <c r="Q375" s="9"/>
    </row>
    <row r="376" spans="1:17" ht="12.75">
      <c r="A376" s="6"/>
      <c r="B376" s="6"/>
      <c r="C376" s="6"/>
      <c r="D376" s="6"/>
      <c r="E376" s="6"/>
      <c r="F376" s="6"/>
      <c r="G376" s="6"/>
      <c r="H376" s="6"/>
      <c r="I376" s="6"/>
      <c r="J376" s="6"/>
      <c r="K376" s="6"/>
      <c r="L376" s="6"/>
      <c r="M376" s="6"/>
      <c r="N376" s="9"/>
      <c r="O376" s="9"/>
      <c r="P376" s="9"/>
      <c r="Q376" s="9"/>
    </row>
    <row r="377" spans="1:17" ht="12.75">
      <c r="A377" s="6"/>
      <c r="B377" s="6"/>
      <c r="C377" s="6"/>
      <c r="D377" s="6"/>
      <c r="E377" s="6"/>
      <c r="F377" s="6"/>
      <c r="G377" s="6"/>
      <c r="H377" s="6"/>
      <c r="I377" s="6"/>
      <c r="J377" s="6"/>
      <c r="K377" s="6"/>
      <c r="L377" s="6"/>
      <c r="M377" s="6"/>
      <c r="N377" s="9"/>
      <c r="O377" s="9"/>
      <c r="P377" s="9"/>
      <c r="Q377" s="9"/>
    </row>
    <row r="378" spans="1:17" ht="12.75">
      <c r="A378" s="6"/>
      <c r="B378" s="6"/>
      <c r="C378" s="6"/>
      <c r="D378" s="6"/>
      <c r="E378" s="6"/>
      <c r="F378" s="6"/>
      <c r="G378" s="6"/>
      <c r="H378" s="6"/>
      <c r="I378" s="6"/>
      <c r="J378" s="6"/>
      <c r="K378" s="6"/>
      <c r="L378" s="6"/>
      <c r="M378" s="6"/>
      <c r="N378" s="9"/>
      <c r="O378" s="9"/>
      <c r="P378" s="9"/>
      <c r="Q378" s="9"/>
    </row>
    <row r="379" spans="1:17" ht="12.75">
      <c r="A379" s="6"/>
      <c r="B379" s="6"/>
      <c r="C379" s="6"/>
      <c r="D379" s="6"/>
      <c r="E379" s="6"/>
      <c r="F379" s="6"/>
      <c r="G379" s="6"/>
      <c r="H379" s="6"/>
      <c r="I379" s="6"/>
      <c r="J379" s="6"/>
      <c r="K379" s="6"/>
      <c r="L379" s="6"/>
      <c r="M379" s="6"/>
      <c r="N379" s="9"/>
      <c r="O379" s="9"/>
      <c r="P379" s="9"/>
      <c r="Q379" s="9"/>
    </row>
    <row r="380" spans="1:17" ht="12.75">
      <c r="A380" s="6"/>
      <c r="B380" s="6"/>
      <c r="C380" s="6"/>
      <c r="D380" s="6"/>
      <c r="E380" s="6"/>
      <c r="F380" s="6"/>
      <c r="G380" s="6"/>
      <c r="H380" s="6"/>
      <c r="I380" s="6"/>
      <c r="J380" s="6"/>
      <c r="K380" s="6"/>
      <c r="L380" s="6"/>
      <c r="M380" s="6"/>
      <c r="N380" s="9"/>
      <c r="O380" s="9"/>
      <c r="P380" s="9"/>
      <c r="Q380" s="9"/>
    </row>
    <row r="381" spans="1:17" ht="12.75">
      <c r="A381" s="6"/>
      <c r="B381" s="6"/>
      <c r="C381" s="6"/>
      <c r="D381" s="6"/>
      <c r="E381" s="6"/>
      <c r="F381" s="6"/>
      <c r="G381" s="6"/>
      <c r="H381" s="6"/>
      <c r="I381" s="6"/>
      <c r="J381" s="6"/>
      <c r="K381" s="6"/>
      <c r="L381" s="6"/>
      <c r="M381" s="6"/>
      <c r="N381" s="9"/>
      <c r="O381" s="9"/>
      <c r="P381" s="9"/>
      <c r="Q381" s="9"/>
    </row>
    <row r="382" spans="1:17" ht="12.75">
      <c r="A382" s="6"/>
      <c r="B382" s="6"/>
      <c r="C382" s="6"/>
      <c r="D382" s="6"/>
      <c r="E382" s="6"/>
      <c r="F382" s="6"/>
      <c r="G382" s="6"/>
      <c r="H382" s="6"/>
      <c r="I382" s="6"/>
      <c r="J382" s="6"/>
      <c r="K382" s="6"/>
      <c r="L382" s="6"/>
      <c r="M382" s="6"/>
      <c r="N382" s="9"/>
      <c r="O382" s="9"/>
      <c r="P382" s="9"/>
      <c r="Q382" s="9"/>
    </row>
    <row r="383" spans="1:17" ht="12.75">
      <c r="A383" s="6"/>
      <c r="B383" s="6"/>
      <c r="C383" s="6"/>
      <c r="D383" s="6"/>
      <c r="E383" s="6"/>
      <c r="F383" s="6"/>
      <c r="G383" s="6"/>
      <c r="H383" s="6"/>
      <c r="I383" s="6"/>
      <c r="J383" s="6"/>
      <c r="K383" s="6"/>
      <c r="L383" s="6"/>
      <c r="M383" s="6"/>
      <c r="N383" s="9"/>
      <c r="O383" s="9"/>
      <c r="P383" s="9"/>
      <c r="Q383" s="9"/>
    </row>
    <row r="384" spans="1:17" ht="12.75">
      <c r="A384" s="6"/>
      <c r="B384" s="6"/>
      <c r="C384" s="6"/>
      <c r="D384" s="6"/>
      <c r="E384" s="6"/>
      <c r="F384" s="6"/>
      <c r="G384" s="6"/>
      <c r="H384" s="6"/>
      <c r="I384" s="6"/>
      <c r="J384" s="6"/>
      <c r="K384" s="6"/>
      <c r="L384" s="6"/>
      <c r="M384" s="6"/>
      <c r="N384" s="9"/>
      <c r="O384" s="9"/>
      <c r="P384" s="9"/>
      <c r="Q384" s="9"/>
    </row>
    <row r="385" spans="1:17" ht="12.75">
      <c r="A385" s="6"/>
      <c r="B385" s="6"/>
      <c r="C385" s="6"/>
      <c r="D385" s="6"/>
      <c r="E385" s="6"/>
      <c r="F385" s="6"/>
      <c r="G385" s="6"/>
      <c r="H385" s="6"/>
      <c r="I385" s="6"/>
      <c r="J385" s="6"/>
      <c r="K385" s="6"/>
      <c r="L385" s="6"/>
      <c r="M385" s="6"/>
      <c r="N385" s="9"/>
      <c r="O385" s="9"/>
      <c r="P385" s="9"/>
      <c r="Q385" s="9"/>
    </row>
    <row r="386" spans="1:17" ht="12.75">
      <c r="A386" s="6"/>
      <c r="B386" s="6"/>
      <c r="C386" s="6"/>
      <c r="D386" s="6"/>
      <c r="E386" s="6"/>
      <c r="F386" s="6"/>
      <c r="G386" s="6"/>
      <c r="H386" s="6"/>
      <c r="I386" s="6"/>
      <c r="J386" s="6"/>
      <c r="K386" s="6"/>
      <c r="L386" s="6"/>
      <c r="M386" s="6"/>
      <c r="N386" s="9"/>
      <c r="O386" s="9"/>
      <c r="P386" s="9"/>
      <c r="Q386" s="9"/>
    </row>
    <row r="387" spans="1:17" ht="12.75">
      <c r="A387" s="6"/>
      <c r="B387" s="6"/>
      <c r="C387" s="6"/>
      <c r="D387" s="6"/>
      <c r="E387" s="6"/>
      <c r="F387" s="6"/>
      <c r="G387" s="6"/>
      <c r="H387" s="6"/>
      <c r="I387" s="6"/>
      <c r="J387" s="6"/>
      <c r="K387" s="6"/>
      <c r="L387" s="6"/>
      <c r="M387" s="6"/>
      <c r="N387" s="9"/>
      <c r="O387" s="9"/>
      <c r="P387" s="9"/>
      <c r="Q387" s="9"/>
    </row>
    <row r="388" spans="1:17" ht="12.75">
      <c r="A388" s="6"/>
      <c r="B388" s="6"/>
      <c r="C388" s="6"/>
      <c r="D388" s="6"/>
      <c r="E388" s="6"/>
      <c r="F388" s="6"/>
      <c r="G388" s="6"/>
      <c r="H388" s="6"/>
      <c r="I388" s="6"/>
      <c r="J388" s="6"/>
      <c r="K388" s="6"/>
      <c r="L388" s="6"/>
      <c r="M388" s="6"/>
      <c r="N388" s="9"/>
      <c r="O388" s="9"/>
      <c r="P388" s="9"/>
      <c r="Q388" s="9"/>
    </row>
    <row r="389" spans="1:17" ht="12.75">
      <c r="A389" s="6"/>
      <c r="B389" s="6"/>
      <c r="C389" s="6"/>
      <c r="D389" s="6"/>
      <c r="E389" s="6"/>
      <c r="F389" s="6"/>
      <c r="G389" s="6"/>
      <c r="H389" s="6"/>
      <c r="I389" s="6"/>
      <c r="J389" s="6"/>
      <c r="K389" s="6"/>
      <c r="L389" s="6"/>
      <c r="M389" s="6"/>
      <c r="N389" s="9"/>
      <c r="O389" s="9"/>
      <c r="P389" s="9"/>
      <c r="Q389" s="9"/>
    </row>
    <row r="390" spans="1:17" ht="12.75">
      <c r="A390" s="6"/>
      <c r="B390" s="6"/>
      <c r="C390" s="6"/>
      <c r="D390" s="6"/>
      <c r="E390" s="6"/>
      <c r="F390" s="6"/>
      <c r="G390" s="6"/>
      <c r="H390" s="6"/>
      <c r="I390" s="6"/>
      <c r="J390" s="6"/>
      <c r="K390" s="6"/>
      <c r="L390" s="6"/>
      <c r="M390" s="6"/>
      <c r="N390" s="9"/>
      <c r="O390" s="9"/>
      <c r="P390" s="9"/>
      <c r="Q390" s="9"/>
    </row>
    <row r="391" spans="1:17" ht="12.75">
      <c r="A391" s="6"/>
      <c r="B391" s="6"/>
      <c r="C391" s="6"/>
      <c r="D391" s="6"/>
      <c r="E391" s="6"/>
      <c r="F391" s="6"/>
      <c r="G391" s="6"/>
      <c r="H391" s="6"/>
      <c r="I391" s="6"/>
      <c r="J391" s="6"/>
      <c r="K391" s="6"/>
      <c r="L391" s="6"/>
      <c r="M391" s="6"/>
      <c r="N391" s="9"/>
      <c r="O391" s="9"/>
      <c r="P391" s="9"/>
      <c r="Q391" s="9"/>
    </row>
    <row r="392" spans="1:17" ht="12.75">
      <c r="A392" s="6"/>
      <c r="B392" s="6"/>
      <c r="C392" s="6"/>
      <c r="D392" s="6"/>
      <c r="E392" s="6"/>
      <c r="F392" s="6"/>
      <c r="G392" s="6"/>
      <c r="H392" s="6"/>
      <c r="I392" s="6"/>
      <c r="J392" s="6"/>
      <c r="K392" s="6"/>
      <c r="L392" s="6"/>
      <c r="M392" s="6"/>
      <c r="N392" s="9"/>
      <c r="O392" s="9"/>
      <c r="P392" s="9"/>
      <c r="Q392" s="9"/>
    </row>
    <row r="393" spans="1:17" ht="12.75">
      <c r="A393" s="6"/>
      <c r="B393" s="6"/>
      <c r="C393" s="6"/>
      <c r="D393" s="6"/>
      <c r="E393" s="6"/>
      <c r="F393" s="6"/>
      <c r="G393" s="6"/>
      <c r="H393" s="6"/>
      <c r="I393" s="6"/>
      <c r="J393" s="6"/>
      <c r="K393" s="6"/>
      <c r="L393" s="6"/>
      <c r="M393" s="6"/>
      <c r="N393" s="9"/>
      <c r="O393" s="9"/>
      <c r="P393" s="9"/>
      <c r="Q393" s="9"/>
    </row>
    <row r="394" spans="1:17" ht="12.75">
      <c r="A394" s="6"/>
      <c r="B394" s="6"/>
      <c r="C394" s="6"/>
      <c r="D394" s="6"/>
      <c r="E394" s="6"/>
      <c r="F394" s="6"/>
      <c r="G394" s="6"/>
      <c r="H394" s="6"/>
      <c r="I394" s="6"/>
      <c r="J394" s="6"/>
      <c r="K394" s="6"/>
      <c r="L394" s="6"/>
      <c r="M394" s="6"/>
      <c r="N394" s="9"/>
      <c r="O394" s="9"/>
      <c r="P394" s="9"/>
      <c r="Q394" s="9"/>
    </row>
    <row r="395" spans="1:17" ht="12.75">
      <c r="A395" s="6"/>
      <c r="B395" s="6"/>
      <c r="C395" s="6"/>
      <c r="D395" s="6"/>
      <c r="E395" s="6"/>
      <c r="F395" s="6"/>
      <c r="G395" s="6"/>
      <c r="H395" s="6"/>
      <c r="I395" s="6"/>
      <c r="J395" s="6"/>
      <c r="K395" s="6"/>
      <c r="L395" s="6"/>
      <c r="M395" s="6"/>
      <c r="N395" s="9"/>
      <c r="O395" s="9"/>
      <c r="P395" s="9"/>
      <c r="Q395" s="9"/>
    </row>
    <row r="396" spans="1:17" ht="12.75">
      <c r="A396" s="6"/>
      <c r="B396" s="6"/>
      <c r="C396" s="6"/>
      <c r="D396" s="6"/>
      <c r="E396" s="6"/>
      <c r="F396" s="6"/>
      <c r="G396" s="6"/>
      <c r="H396" s="6"/>
      <c r="I396" s="6"/>
      <c r="J396" s="6"/>
      <c r="K396" s="6"/>
      <c r="L396" s="6"/>
      <c r="M396" s="6"/>
      <c r="N396" s="9"/>
      <c r="O396" s="9"/>
      <c r="P396" s="9"/>
      <c r="Q396" s="9"/>
    </row>
    <row r="397" spans="1:17" ht="12.75">
      <c r="A397" s="6"/>
      <c r="B397" s="6"/>
      <c r="C397" s="6"/>
      <c r="D397" s="6"/>
      <c r="E397" s="6"/>
      <c r="F397" s="6"/>
      <c r="G397" s="6"/>
      <c r="H397" s="6"/>
      <c r="I397" s="6"/>
      <c r="J397" s="6"/>
      <c r="K397" s="6"/>
      <c r="L397" s="6"/>
      <c r="M397" s="6"/>
      <c r="N397" s="9"/>
      <c r="O397" s="9"/>
      <c r="P397" s="9"/>
      <c r="Q397" s="9"/>
    </row>
    <row r="398" spans="1:17" ht="12.75">
      <c r="A398" s="6"/>
      <c r="B398" s="6"/>
      <c r="C398" s="6"/>
      <c r="D398" s="6"/>
      <c r="E398" s="6"/>
      <c r="F398" s="6"/>
      <c r="G398" s="6"/>
      <c r="H398" s="6"/>
      <c r="I398" s="6"/>
      <c r="J398" s="6"/>
      <c r="K398" s="6"/>
      <c r="L398" s="6"/>
      <c r="M398" s="6"/>
      <c r="N398" s="9"/>
      <c r="O398" s="9"/>
      <c r="P398" s="9"/>
      <c r="Q398" s="9"/>
    </row>
    <row r="399" spans="1:17" ht="12.75">
      <c r="A399" s="6"/>
      <c r="B399" s="6"/>
      <c r="C399" s="6"/>
      <c r="D399" s="6"/>
      <c r="E399" s="6"/>
      <c r="F399" s="6"/>
      <c r="G399" s="6"/>
      <c r="H399" s="6"/>
      <c r="I399" s="6"/>
      <c r="J399" s="6"/>
      <c r="K399" s="6"/>
      <c r="L399" s="6"/>
      <c r="M399" s="6"/>
      <c r="N399" s="9"/>
      <c r="O399" s="9"/>
      <c r="P399" s="9"/>
      <c r="Q399" s="9"/>
    </row>
    <row r="400" spans="1:17" ht="12.75">
      <c r="A400" s="6"/>
      <c r="B400" s="6"/>
      <c r="C400" s="6"/>
      <c r="D400" s="6"/>
      <c r="E400" s="6"/>
      <c r="F400" s="6"/>
      <c r="G400" s="6"/>
      <c r="H400" s="6"/>
      <c r="I400" s="6"/>
      <c r="J400" s="6"/>
      <c r="K400" s="6"/>
      <c r="L400" s="6"/>
      <c r="M400" s="6"/>
      <c r="N400" s="9"/>
      <c r="O400" s="9"/>
      <c r="P400" s="9"/>
      <c r="Q400" s="9"/>
    </row>
    <row r="401" spans="1:17" ht="12.75">
      <c r="A401" s="6"/>
      <c r="B401" s="6"/>
      <c r="C401" s="6"/>
      <c r="D401" s="6"/>
      <c r="E401" s="6"/>
      <c r="F401" s="6"/>
      <c r="G401" s="6"/>
      <c r="H401" s="6"/>
      <c r="I401" s="6"/>
      <c r="J401" s="6"/>
      <c r="K401" s="6"/>
      <c r="L401" s="6"/>
      <c r="M401" s="6"/>
      <c r="N401" s="9"/>
      <c r="O401" s="9"/>
      <c r="P401" s="9"/>
      <c r="Q401" s="9"/>
    </row>
    <row r="402" spans="1:17" ht="12.75">
      <c r="A402" s="6"/>
      <c r="B402" s="6"/>
      <c r="C402" s="6"/>
      <c r="D402" s="6"/>
      <c r="E402" s="6"/>
      <c r="F402" s="6"/>
      <c r="G402" s="6"/>
      <c r="H402" s="6"/>
      <c r="I402" s="6"/>
      <c r="J402" s="6"/>
      <c r="K402" s="6"/>
      <c r="L402" s="6"/>
      <c r="M402" s="6"/>
      <c r="N402" s="9"/>
      <c r="O402" s="9"/>
      <c r="P402" s="9"/>
      <c r="Q402" s="9"/>
    </row>
    <row r="403" spans="1:17" ht="12.75">
      <c r="A403" s="6"/>
      <c r="B403" s="6"/>
      <c r="C403" s="6"/>
      <c r="D403" s="6"/>
      <c r="E403" s="6"/>
      <c r="F403" s="6"/>
      <c r="G403" s="6"/>
      <c r="H403" s="6"/>
      <c r="I403" s="6"/>
      <c r="J403" s="6"/>
      <c r="K403" s="6"/>
      <c r="L403" s="6"/>
      <c r="M403" s="6"/>
      <c r="N403" s="9"/>
      <c r="O403" s="9"/>
      <c r="P403" s="9"/>
      <c r="Q403" s="9"/>
    </row>
    <row r="404" spans="1:17" ht="12.75">
      <c r="A404" s="6"/>
      <c r="B404" s="6"/>
      <c r="C404" s="6"/>
      <c r="D404" s="6"/>
      <c r="E404" s="6"/>
      <c r="F404" s="6"/>
      <c r="G404" s="6"/>
      <c r="H404" s="6"/>
      <c r="I404" s="6"/>
      <c r="J404" s="6"/>
      <c r="K404" s="6"/>
      <c r="L404" s="6"/>
      <c r="M404" s="6"/>
      <c r="N404" s="9"/>
      <c r="O404" s="9"/>
      <c r="P404" s="9"/>
      <c r="Q404" s="9"/>
    </row>
    <row r="405" spans="1:17" ht="12.75">
      <c r="A405" s="6"/>
      <c r="B405" s="6"/>
      <c r="C405" s="6"/>
      <c r="D405" s="6"/>
      <c r="E405" s="6"/>
      <c r="F405" s="6"/>
      <c r="G405" s="6"/>
      <c r="H405" s="6"/>
      <c r="I405" s="6"/>
      <c r="J405" s="6"/>
      <c r="K405" s="6"/>
      <c r="L405" s="6"/>
      <c r="M405" s="6"/>
      <c r="N405" s="9"/>
      <c r="O405" s="9"/>
      <c r="P405" s="9"/>
      <c r="Q405" s="9"/>
    </row>
    <row r="406" spans="1:17" ht="12.75">
      <c r="A406" s="6"/>
      <c r="B406" s="6"/>
      <c r="C406" s="6"/>
      <c r="D406" s="6"/>
      <c r="E406" s="6"/>
      <c r="F406" s="6"/>
      <c r="G406" s="6"/>
      <c r="H406" s="6"/>
      <c r="I406" s="6"/>
      <c r="J406" s="6"/>
      <c r="K406" s="6"/>
      <c r="L406" s="6"/>
      <c r="M406" s="6"/>
      <c r="N406" s="9"/>
      <c r="O406" s="9"/>
      <c r="P406" s="9"/>
      <c r="Q406" s="9"/>
    </row>
    <row r="407" spans="1:17" ht="12.75">
      <c r="A407" s="6"/>
      <c r="B407" s="6"/>
      <c r="C407" s="6"/>
      <c r="D407" s="6"/>
      <c r="E407" s="6"/>
      <c r="F407" s="6"/>
      <c r="G407" s="6"/>
      <c r="H407" s="6"/>
      <c r="I407" s="6"/>
      <c r="J407" s="6"/>
      <c r="K407" s="6"/>
      <c r="L407" s="6"/>
      <c r="M407" s="6"/>
      <c r="N407" s="9"/>
      <c r="O407" s="9"/>
      <c r="P407" s="9"/>
      <c r="Q407" s="9"/>
    </row>
    <row r="408" spans="1:17" ht="12.75">
      <c r="A408" s="6"/>
      <c r="B408" s="6"/>
      <c r="C408" s="6"/>
      <c r="D408" s="6"/>
      <c r="E408" s="6"/>
      <c r="F408" s="6"/>
      <c r="G408" s="6"/>
      <c r="H408" s="6"/>
      <c r="I408" s="6"/>
      <c r="J408" s="6"/>
      <c r="K408" s="6"/>
      <c r="L408" s="6"/>
      <c r="M408" s="6"/>
      <c r="N408" s="9"/>
      <c r="O408" s="9"/>
      <c r="P408" s="9"/>
      <c r="Q408" s="9"/>
    </row>
    <row r="409" spans="1:17" ht="12.75">
      <c r="A409" s="6"/>
      <c r="B409" s="6"/>
      <c r="C409" s="6"/>
      <c r="D409" s="6"/>
      <c r="E409" s="6"/>
      <c r="F409" s="6"/>
      <c r="G409" s="6"/>
      <c r="H409" s="6"/>
      <c r="I409" s="6"/>
      <c r="J409" s="6"/>
      <c r="K409" s="6"/>
      <c r="L409" s="6"/>
      <c r="M409" s="6"/>
      <c r="N409" s="9"/>
      <c r="O409" s="9"/>
      <c r="P409" s="9"/>
      <c r="Q409" s="9"/>
    </row>
    <row r="410" spans="1:17" ht="12.75">
      <c r="A410" s="6"/>
      <c r="B410" s="6"/>
      <c r="C410" s="6"/>
      <c r="D410" s="6"/>
      <c r="E410" s="6"/>
      <c r="F410" s="6"/>
      <c r="G410" s="6"/>
      <c r="H410" s="6"/>
      <c r="I410" s="6"/>
      <c r="J410" s="6"/>
      <c r="K410" s="6"/>
      <c r="L410" s="6"/>
      <c r="M410" s="6"/>
      <c r="N410" s="9"/>
      <c r="O410" s="9"/>
      <c r="P410" s="9"/>
      <c r="Q410" s="9"/>
    </row>
    <row r="411" spans="1:17" ht="12.75">
      <c r="A411" s="6"/>
      <c r="B411" s="6"/>
      <c r="C411" s="6"/>
      <c r="D411" s="6"/>
      <c r="E411" s="6"/>
      <c r="F411" s="6"/>
      <c r="G411" s="6"/>
      <c r="H411" s="6"/>
      <c r="I411" s="6"/>
      <c r="J411" s="6"/>
      <c r="K411" s="6"/>
      <c r="L411" s="6"/>
      <c r="M411" s="6"/>
      <c r="N411" s="9"/>
      <c r="O411" s="9"/>
      <c r="P411" s="9"/>
      <c r="Q411" s="9"/>
    </row>
    <row r="412" spans="1:17" ht="12.75">
      <c r="A412" s="6"/>
      <c r="B412" s="6"/>
      <c r="C412" s="6"/>
      <c r="D412" s="6"/>
      <c r="E412" s="6"/>
      <c r="F412" s="6"/>
      <c r="G412" s="6"/>
      <c r="H412" s="6"/>
      <c r="I412" s="6"/>
      <c r="J412" s="6"/>
      <c r="K412" s="6"/>
      <c r="L412" s="6"/>
      <c r="M412" s="6"/>
      <c r="N412" s="9"/>
      <c r="O412" s="9"/>
      <c r="P412" s="9"/>
      <c r="Q412" s="9"/>
    </row>
    <row r="413" spans="1:17" ht="12.75">
      <c r="A413" s="6"/>
      <c r="B413" s="6"/>
      <c r="C413" s="6"/>
      <c r="D413" s="6"/>
      <c r="E413" s="6"/>
      <c r="F413" s="6"/>
      <c r="G413" s="6"/>
      <c r="H413" s="6"/>
      <c r="I413" s="6"/>
      <c r="J413" s="6"/>
      <c r="K413" s="6"/>
      <c r="L413" s="6"/>
      <c r="M413" s="6"/>
      <c r="N413" s="9"/>
      <c r="O413" s="9"/>
      <c r="P413" s="9"/>
      <c r="Q413" s="9"/>
    </row>
    <row r="414" spans="1:17" ht="12.75">
      <c r="A414" s="6"/>
      <c r="B414" s="6"/>
      <c r="C414" s="6"/>
      <c r="D414" s="6"/>
      <c r="E414" s="6"/>
      <c r="F414" s="6"/>
      <c r="G414" s="6"/>
      <c r="H414" s="6"/>
      <c r="I414" s="6"/>
      <c r="J414" s="6"/>
      <c r="K414" s="6"/>
      <c r="L414" s="6"/>
      <c r="M414" s="6"/>
      <c r="N414" s="9"/>
      <c r="O414" s="9"/>
      <c r="P414" s="9"/>
      <c r="Q414" s="9"/>
    </row>
    <row r="415" spans="1:17" ht="12.75">
      <c r="A415" s="6"/>
      <c r="B415" s="6"/>
      <c r="C415" s="6"/>
      <c r="D415" s="6"/>
      <c r="E415" s="6"/>
      <c r="F415" s="6"/>
      <c r="G415" s="6"/>
      <c r="H415" s="6"/>
      <c r="I415" s="6"/>
      <c r="J415" s="6"/>
      <c r="K415" s="6"/>
      <c r="L415" s="6"/>
      <c r="M415" s="6"/>
      <c r="N415" s="9"/>
      <c r="O415" s="9"/>
      <c r="P415" s="9"/>
      <c r="Q415" s="9"/>
    </row>
    <row r="416" spans="1:17" ht="12.75">
      <c r="A416" s="6"/>
      <c r="B416" s="6"/>
      <c r="C416" s="6"/>
      <c r="D416" s="6"/>
      <c r="E416" s="6"/>
      <c r="F416" s="6"/>
      <c r="G416" s="6"/>
      <c r="H416" s="6"/>
      <c r="I416" s="6"/>
      <c r="J416" s="6"/>
      <c r="K416" s="6"/>
      <c r="L416" s="6"/>
      <c r="M416" s="6"/>
      <c r="N416" s="9"/>
      <c r="O416" s="9"/>
      <c r="P416" s="9"/>
      <c r="Q416" s="9"/>
    </row>
    <row r="417" spans="1:17" ht="12.75">
      <c r="A417" s="6"/>
      <c r="B417" s="6"/>
      <c r="C417" s="6"/>
      <c r="D417" s="6"/>
      <c r="E417" s="6"/>
      <c r="F417" s="6"/>
      <c r="G417" s="6"/>
      <c r="H417" s="6"/>
      <c r="I417" s="6"/>
      <c r="J417" s="6"/>
      <c r="K417" s="6"/>
      <c r="L417" s="6"/>
      <c r="M417" s="6"/>
      <c r="N417" s="9"/>
      <c r="O417" s="9"/>
      <c r="P417" s="9"/>
      <c r="Q417" s="9"/>
    </row>
    <row r="418" spans="1:17" ht="12.75">
      <c r="A418" s="6"/>
      <c r="B418" s="6"/>
      <c r="C418" s="6"/>
      <c r="D418" s="6"/>
      <c r="E418" s="6"/>
      <c r="F418" s="6"/>
      <c r="G418" s="6"/>
      <c r="H418" s="6"/>
      <c r="I418" s="6"/>
      <c r="J418" s="6"/>
      <c r="K418" s="6"/>
      <c r="L418" s="6"/>
      <c r="M418" s="6"/>
      <c r="N418" s="9"/>
      <c r="O418" s="9"/>
      <c r="P418" s="9"/>
      <c r="Q418" s="9"/>
    </row>
    <row r="419" spans="1:17" ht="12.75">
      <c r="A419" s="6"/>
      <c r="B419" s="6"/>
      <c r="C419" s="6"/>
      <c r="D419" s="6"/>
      <c r="E419" s="6"/>
      <c r="F419" s="6"/>
      <c r="G419" s="6"/>
      <c r="H419" s="6"/>
      <c r="I419" s="6"/>
      <c r="J419" s="6"/>
      <c r="K419" s="6"/>
      <c r="L419" s="6"/>
      <c r="M419" s="6"/>
      <c r="N419" s="9"/>
      <c r="O419" s="9"/>
      <c r="P419" s="9"/>
      <c r="Q419" s="9"/>
    </row>
    <row r="420" spans="1:17" ht="12.75">
      <c r="A420" s="6"/>
      <c r="B420" s="6"/>
      <c r="C420" s="6"/>
      <c r="D420" s="6"/>
      <c r="E420" s="6"/>
      <c r="F420" s="6"/>
      <c r="G420" s="6"/>
      <c r="H420" s="6"/>
      <c r="I420" s="6"/>
      <c r="J420" s="6"/>
      <c r="K420" s="6"/>
      <c r="L420" s="6"/>
      <c r="M420" s="6"/>
      <c r="N420" s="9"/>
      <c r="O420" s="9"/>
      <c r="P420" s="9"/>
      <c r="Q420" s="9"/>
    </row>
    <row r="421" spans="1:17" ht="12.75">
      <c r="A421" s="6"/>
      <c r="B421" s="6"/>
      <c r="C421" s="6"/>
      <c r="D421" s="6"/>
      <c r="E421" s="6"/>
      <c r="F421" s="6"/>
      <c r="G421" s="6"/>
      <c r="H421" s="6"/>
      <c r="I421" s="6"/>
      <c r="J421" s="6"/>
      <c r="K421" s="6"/>
      <c r="L421" s="6"/>
      <c r="M421" s="6"/>
      <c r="N421" s="9"/>
      <c r="O421" s="9"/>
      <c r="P421" s="9"/>
      <c r="Q421" s="9"/>
    </row>
    <row r="422" spans="1:17" ht="12.75">
      <c r="A422" s="6"/>
      <c r="B422" s="6"/>
      <c r="C422" s="6"/>
      <c r="D422" s="6"/>
      <c r="E422" s="6"/>
      <c r="F422" s="6"/>
      <c r="G422" s="6"/>
      <c r="H422" s="6"/>
      <c r="I422" s="6"/>
      <c r="J422" s="6"/>
      <c r="K422" s="6"/>
      <c r="L422" s="6"/>
      <c r="M422" s="6"/>
      <c r="N422" s="9"/>
      <c r="O422" s="9"/>
      <c r="P422" s="9"/>
      <c r="Q422" s="9"/>
    </row>
    <row r="423" spans="1:17" ht="12.75">
      <c r="A423" s="6"/>
      <c r="B423" s="6"/>
      <c r="C423" s="6"/>
      <c r="D423" s="6"/>
      <c r="E423" s="6"/>
      <c r="F423" s="6"/>
      <c r="G423" s="6"/>
      <c r="H423" s="6"/>
      <c r="I423" s="6"/>
      <c r="J423" s="6"/>
      <c r="K423" s="6"/>
      <c r="L423" s="6"/>
      <c r="M423" s="6"/>
      <c r="N423" s="9"/>
      <c r="O423" s="9"/>
      <c r="P423" s="9"/>
      <c r="Q423" s="9"/>
    </row>
    <row r="424" spans="1:17" ht="12.75">
      <c r="A424" s="6"/>
      <c r="B424" s="6"/>
      <c r="C424" s="6"/>
      <c r="D424" s="6"/>
      <c r="E424" s="6"/>
      <c r="F424" s="6"/>
      <c r="G424" s="6"/>
      <c r="H424" s="6"/>
      <c r="I424" s="6"/>
      <c r="J424" s="6"/>
      <c r="K424" s="6"/>
      <c r="L424" s="6"/>
      <c r="M424" s="6"/>
      <c r="N424" s="9"/>
      <c r="O424" s="9"/>
      <c r="P424" s="9"/>
      <c r="Q424" s="9"/>
    </row>
    <row r="425" spans="1:17" ht="12.75">
      <c r="A425" s="6"/>
      <c r="B425" s="6"/>
      <c r="C425" s="6"/>
      <c r="D425" s="6"/>
      <c r="E425" s="6"/>
      <c r="F425" s="6"/>
      <c r="G425" s="6"/>
      <c r="H425" s="6"/>
      <c r="I425" s="6"/>
      <c r="J425" s="6"/>
      <c r="K425" s="6"/>
      <c r="L425" s="6"/>
      <c r="M425" s="6"/>
      <c r="N425" s="9"/>
      <c r="O425" s="9"/>
      <c r="P425" s="9"/>
      <c r="Q425" s="9"/>
    </row>
    <row r="426" spans="1:17" ht="12.75">
      <c r="A426" s="6"/>
      <c r="B426" s="6"/>
      <c r="C426" s="6"/>
      <c r="D426" s="6"/>
      <c r="E426" s="6"/>
      <c r="F426" s="6"/>
      <c r="G426" s="6"/>
      <c r="H426" s="6"/>
      <c r="I426" s="6"/>
      <c r="J426" s="6"/>
      <c r="K426" s="6"/>
      <c r="L426" s="6"/>
      <c r="M426" s="6"/>
      <c r="N426" s="9"/>
      <c r="O426" s="9"/>
      <c r="P426" s="9"/>
      <c r="Q426" s="9"/>
    </row>
    <row r="427" spans="1:17" ht="12.75">
      <c r="A427" s="6"/>
      <c r="B427" s="6"/>
      <c r="C427" s="6"/>
      <c r="D427" s="6"/>
      <c r="E427" s="6"/>
      <c r="F427" s="6"/>
      <c r="G427" s="6"/>
      <c r="H427" s="6"/>
      <c r="I427" s="6"/>
      <c r="J427" s="6"/>
      <c r="K427" s="6"/>
      <c r="L427" s="6"/>
      <c r="M427" s="6"/>
      <c r="N427" s="9"/>
      <c r="O427" s="9"/>
      <c r="P427" s="9"/>
      <c r="Q427" s="9"/>
    </row>
    <row r="428" spans="1:17" ht="12.75">
      <c r="A428" s="6"/>
      <c r="B428" s="6"/>
      <c r="C428" s="6"/>
      <c r="D428" s="6"/>
      <c r="E428" s="6"/>
      <c r="F428" s="6"/>
      <c r="G428" s="6"/>
      <c r="H428" s="6"/>
      <c r="I428" s="6"/>
      <c r="J428" s="6"/>
      <c r="K428" s="6"/>
      <c r="L428" s="6"/>
      <c r="M428" s="6"/>
      <c r="N428" s="9"/>
      <c r="O428" s="9"/>
      <c r="P428" s="9"/>
      <c r="Q428" s="9"/>
    </row>
    <row r="429" spans="1:17" ht="12.75">
      <c r="A429" s="6"/>
      <c r="B429" s="6"/>
      <c r="C429" s="6"/>
      <c r="D429" s="6"/>
      <c r="E429" s="6"/>
      <c r="F429" s="6"/>
      <c r="G429" s="6"/>
      <c r="H429" s="6"/>
      <c r="I429" s="6"/>
      <c r="J429" s="6"/>
      <c r="K429" s="6"/>
      <c r="L429" s="6"/>
      <c r="M429" s="6"/>
      <c r="N429" s="9"/>
      <c r="O429" s="9"/>
      <c r="P429" s="9"/>
      <c r="Q429" s="9"/>
    </row>
    <row r="430" spans="1:17" ht="12.75">
      <c r="A430" s="6"/>
      <c r="B430" s="6"/>
      <c r="C430" s="6"/>
      <c r="D430" s="6"/>
      <c r="E430" s="6"/>
      <c r="F430" s="6"/>
      <c r="G430" s="6"/>
      <c r="H430" s="6"/>
      <c r="I430" s="6"/>
      <c r="J430" s="6"/>
      <c r="K430" s="6"/>
      <c r="L430" s="6"/>
      <c r="M430" s="6"/>
      <c r="N430" s="9"/>
      <c r="O430" s="9"/>
      <c r="P430" s="9"/>
      <c r="Q430" s="9"/>
    </row>
    <row r="431" spans="1:17" ht="12.75">
      <c r="A431" s="6"/>
      <c r="B431" s="6"/>
      <c r="C431" s="6"/>
      <c r="D431" s="6"/>
      <c r="E431" s="6"/>
      <c r="F431" s="6"/>
      <c r="G431" s="6"/>
      <c r="H431" s="6"/>
      <c r="I431" s="6"/>
      <c r="J431" s="6"/>
      <c r="K431" s="6"/>
      <c r="L431" s="6"/>
      <c r="M431" s="6"/>
      <c r="N431" s="9"/>
      <c r="O431" s="9"/>
      <c r="P431" s="9"/>
      <c r="Q431" s="9"/>
    </row>
    <row r="432" spans="1:17" ht="12.75">
      <c r="A432" s="6"/>
      <c r="B432" s="6"/>
      <c r="C432" s="6"/>
      <c r="D432" s="6"/>
      <c r="E432" s="6"/>
      <c r="F432" s="6"/>
      <c r="G432" s="6"/>
      <c r="H432" s="6"/>
      <c r="I432" s="6"/>
      <c r="J432" s="6"/>
      <c r="K432" s="6"/>
      <c r="L432" s="6"/>
      <c r="M432" s="6"/>
      <c r="N432" s="9"/>
      <c r="O432" s="9"/>
      <c r="P432" s="9"/>
      <c r="Q432" s="9"/>
    </row>
    <row r="433" spans="1:17" ht="12.75">
      <c r="A433" s="6"/>
      <c r="B433" s="6"/>
      <c r="C433" s="6"/>
      <c r="D433" s="6"/>
      <c r="E433" s="6"/>
      <c r="F433" s="6"/>
      <c r="G433" s="6"/>
      <c r="H433" s="6"/>
      <c r="I433" s="6"/>
      <c r="J433" s="6"/>
      <c r="K433" s="6"/>
      <c r="L433" s="6"/>
      <c r="M433" s="6"/>
      <c r="N433" s="9"/>
      <c r="O433" s="9"/>
      <c r="P433" s="9"/>
      <c r="Q433" s="9"/>
    </row>
    <row r="434" spans="1:17" ht="12.75">
      <c r="A434" s="6"/>
      <c r="B434" s="6"/>
      <c r="C434" s="6"/>
      <c r="D434" s="6"/>
      <c r="E434" s="6"/>
      <c r="F434" s="6"/>
      <c r="G434" s="6"/>
      <c r="H434" s="6"/>
      <c r="I434" s="6"/>
      <c r="J434" s="6"/>
      <c r="K434" s="6"/>
      <c r="L434" s="6"/>
      <c r="M434" s="6"/>
      <c r="N434" s="9"/>
      <c r="O434" s="9"/>
      <c r="P434" s="9"/>
      <c r="Q434" s="9"/>
    </row>
    <row r="435" spans="1:17" ht="12.75">
      <c r="A435" s="6"/>
      <c r="B435" s="6"/>
      <c r="C435" s="6"/>
      <c r="D435" s="6"/>
      <c r="E435" s="6"/>
      <c r="F435" s="6"/>
      <c r="G435" s="6"/>
      <c r="H435" s="6"/>
      <c r="I435" s="6"/>
      <c r="J435" s="6"/>
      <c r="K435" s="6"/>
      <c r="L435" s="6"/>
      <c r="M435" s="6"/>
      <c r="N435" s="9"/>
      <c r="O435" s="9"/>
      <c r="P435" s="9"/>
      <c r="Q435" s="9"/>
    </row>
    <row r="436" spans="1:17" ht="12.75">
      <c r="A436" s="6"/>
      <c r="B436" s="6"/>
      <c r="C436" s="6"/>
      <c r="D436" s="6"/>
      <c r="E436" s="6"/>
      <c r="F436" s="6"/>
      <c r="G436" s="6"/>
      <c r="H436" s="6"/>
      <c r="I436" s="6"/>
      <c r="J436" s="6"/>
      <c r="K436" s="6"/>
      <c r="L436" s="6"/>
      <c r="M436" s="6"/>
      <c r="N436" s="9"/>
      <c r="O436" s="9"/>
      <c r="P436" s="9"/>
      <c r="Q436" s="9"/>
    </row>
    <row r="437" spans="1:17" ht="12.75">
      <c r="A437" s="6"/>
      <c r="B437" s="6"/>
      <c r="C437" s="6"/>
      <c r="D437" s="6"/>
      <c r="E437" s="6"/>
      <c r="F437" s="6"/>
      <c r="G437" s="6"/>
      <c r="H437" s="6"/>
      <c r="I437" s="6"/>
      <c r="J437" s="6"/>
      <c r="K437" s="6"/>
      <c r="L437" s="6"/>
      <c r="M437" s="6"/>
      <c r="N437" s="9"/>
      <c r="O437" s="9"/>
      <c r="P437" s="9"/>
      <c r="Q437" s="9"/>
    </row>
    <row r="438" spans="1:17" ht="12.75">
      <c r="A438" s="6"/>
      <c r="B438" s="6"/>
      <c r="C438" s="6"/>
      <c r="D438" s="6"/>
      <c r="E438" s="6"/>
      <c r="F438" s="6"/>
      <c r="G438" s="6"/>
      <c r="H438" s="6"/>
      <c r="I438" s="6"/>
      <c r="J438" s="6"/>
      <c r="K438" s="6"/>
      <c r="L438" s="6"/>
      <c r="M438" s="6"/>
      <c r="N438" s="9"/>
      <c r="O438" s="9"/>
      <c r="P438" s="9"/>
      <c r="Q438" s="9"/>
    </row>
    <row r="439" spans="1:17" ht="12.75">
      <c r="A439" s="6"/>
      <c r="B439" s="6"/>
      <c r="C439" s="6"/>
      <c r="D439" s="6"/>
      <c r="E439" s="6"/>
      <c r="F439" s="6"/>
      <c r="G439" s="6"/>
      <c r="H439" s="6"/>
      <c r="I439" s="6"/>
      <c r="J439" s="6"/>
      <c r="K439" s="6"/>
      <c r="L439" s="6"/>
      <c r="M439" s="6"/>
      <c r="N439" s="9"/>
      <c r="O439" s="9"/>
      <c r="P439" s="9"/>
      <c r="Q439" s="9"/>
    </row>
    <row r="440" spans="1:17" ht="12.75">
      <c r="A440" s="6"/>
      <c r="B440" s="6"/>
      <c r="C440" s="6"/>
      <c r="D440" s="6"/>
      <c r="E440" s="6"/>
      <c r="F440" s="6"/>
      <c r="G440" s="6"/>
      <c r="H440" s="6"/>
      <c r="I440" s="6"/>
      <c r="J440" s="6"/>
      <c r="K440" s="6"/>
      <c r="L440" s="6"/>
      <c r="M440" s="6"/>
      <c r="N440" s="9"/>
      <c r="O440" s="9"/>
      <c r="P440" s="9"/>
      <c r="Q440" s="9"/>
    </row>
    <row r="441" spans="1:17" ht="12.75">
      <c r="A441" s="6"/>
      <c r="B441" s="6"/>
      <c r="C441" s="6"/>
      <c r="D441" s="6"/>
      <c r="E441" s="6"/>
      <c r="F441" s="6"/>
      <c r="G441" s="6"/>
      <c r="H441" s="6"/>
      <c r="I441" s="6"/>
      <c r="J441" s="6"/>
      <c r="K441" s="6"/>
      <c r="L441" s="6"/>
      <c r="M441" s="6"/>
      <c r="N441" s="9"/>
      <c r="O441" s="9"/>
      <c r="P441" s="9"/>
      <c r="Q441" s="9"/>
    </row>
    <row r="442" spans="1:17" ht="12.75">
      <c r="A442" s="6"/>
      <c r="B442" s="6"/>
      <c r="C442" s="6"/>
      <c r="D442" s="6"/>
      <c r="E442" s="6"/>
      <c r="F442" s="6"/>
      <c r="G442" s="6"/>
      <c r="H442" s="6"/>
      <c r="I442" s="6"/>
      <c r="J442" s="6"/>
      <c r="K442" s="6"/>
      <c r="L442" s="6"/>
      <c r="M442" s="6"/>
      <c r="N442" s="9"/>
      <c r="O442" s="9"/>
      <c r="P442" s="9"/>
      <c r="Q442" s="9"/>
    </row>
    <row r="443" spans="1:17" ht="12.75">
      <c r="A443" s="6"/>
      <c r="B443" s="6"/>
      <c r="C443" s="6"/>
      <c r="D443" s="6"/>
      <c r="E443" s="6"/>
      <c r="F443" s="6"/>
      <c r="G443" s="6"/>
      <c r="H443" s="6"/>
      <c r="I443" s="6"/>
      <c r="J443" s="6"/>
      <c r="K443" s="6"/>
      <c r="L443" s="6"/>
      <c r="M443" s="6"/>
      <c r="N443" s="9"/>
      <c r="O443" s="9"/>
      <c r="P443" s="9"/>
      <c r="Q443" s="9"/>
    </row>
    <row r="444" spans="1:17" ht="12.75">
      <c r="A444" s="6"/>
      <c r="B444" s="6"/>
      <c r="C444" s="6"/>
      <c r="D444" s="6"/>
      <c r="E444" s="6"/>
      <c r="F444" s="6"/>
      <c r="G444" s="6"/>
      <c r="H444" s="6"/>
      <c r="I444" s="6"/>
      <c r="J444" s="6"/>
      <c r="K444" s="6"/>
      <c r="L444" s="6"/>
      <c r="M444" s="6"/>
      <c r="N444" s="9"/>
      <c r="O444" s="9"/>
      <c r="P444" s="9"/>
      <c r="Q444" s="9"/>
    </row>
    <row r="445" spans="1:17" ht="12.75">
      <c r="A445" s="6"/>
      <c r="B445" s="6"/>
      <c r="C445" s="6"/>
      <c r="D445" s="6"/>
      <c r="E445" s="6"/>
      <c r="F445" s="6"/>
      <c r="G445" s="6"/>
      <c r="H445" s="6"/>
      <c r="I445" s="6"/>
      <c r="J445" s="6"/>
      <c r="K445" s="6"/>
      <c r="L445" s="6"/>
      <c r="M445" s="6"/>
      <c r="N445" s="9"/>
      <c r="O445" s="9"/>
      <c r="P445" s="9"/>
      <c r="Q445" s="9"/>
    </row>
    <row r="446" spans="1:17" ht="12.75">
      <c r="A446" s="6"/>
      <c r="B446" s="6"/>
      <c r="C446" s="6"/>
      <c r="D446" s="6"/>
      <c r="E446" s="6"/>
      <c r="F446" s="6"/>
      <c r="G446" s="6"/>
      <c r="H446" s="6"/>
      <c r="I446" s="6"/>
      <c r="J446" s="6"/>
      <c r="K446" s="6"/>
      <c r="L446" s="6"/>
      <c r="M446" s="6"/>
      <c r="N446" s="9"/>
      <c r="O446" s="9"/>
      <c r="P446" s="9"/>
      <c r="Q446" s="9"/>
    </row>
    <row r="447" spans="1:17" ht="12.75">
      <c r="A447" s="6"/>
      <c r="B447" s="6"/>
      <c r="C447" s="6"/>
      <c r="D447" s="6"/>
      <c r="E447" s="6"/>
      <c r="F447" s="6"/>
      <c r="G447" s="6"/>
      <c r="H447" s="6"/>
      <c r="I447" s="6"/>
      <c r="J447" s="6"/>
      <c r="K447" s="6"/>
      <c r="L447" s="6"/>
      <c r="M447" s="6"/>
      <c r="N447" s="9"/>
      <c r="O447" s="9"/>
      <c r="P447" s="9"/>
      <c r="Q447" s="9"/>
    </row>
    <row r="448" spans="1:17" ht="12.75">
      <c r="A448" s="6"/>
      <c r="B448" s="6"/>
      <c r="C448" s="6"/>
      <c r="D448" s="6"/>
      <c r="E448" s="6"/>
      <c r="F448" s="6"/>
      <c r="G448" s="6"/>
      <c r="H448" s="6"/>
      <c r="I448" s="6"/>
      <c r="J448" s="6"/>
      <c r="K448" s="6"/>
      <c r="L448" s="6"/>
      <c r="M448" s="6"/>
      <c r="N448" s="9"/>
      <c r="O448" s="9"/>
      <c r="P448" s="9"/>
      <c r="Q448" s="9"/>
    </row>
    <row r="449" spans="1:17" ht="12.75">
      <c r="A449" s="6"/>
      <c r="B449" s="6"/>
      <c r="C449" s="6"/>
      <c r="D449" s="6"/>
      <c r="E449" s="6"/>
      <c r="F449" s="6"/>
      <c r="G449" s="6"/>
      <c r="H449" s="6"/>
      <c r="I449" s="6"/>
      <c r="J449" s="6"/>
      <c r="K449" s="6"/>
      <c r="L449" s="6"/>
      <c r="M449" s="6"/>
      <c r="N449" s="9"/>
      <c r="O449" s="9"/>
      <c r="P449" s="9"/>
      <c r="Q449" s="9"/>
    </row>
    <row r="450" spans="1:17" ht="12.75">
      <c r="A450" s="6"/>
      <c r="B450" s="6"/>
      <c r="C450" s="6"/>
      <c r="D450" s="6"/>
      <c r="E450" s="6"/>
      <c r="F450" s="6"/>
      <c r="G450" s="6"/>
      <c r="H450" s="6"/>
      <c r="I450" s="6"/>
      <c r="J450" s="6"/>
      <c r="K450" s="6"/>
      <c r="L450" s="6"/>
      <c r="M450" s="6"/>
      <c r="N450" s="9"/>
      <c r="O450" s="9"/>
      <c r="P450" s="9"/>
      <c r="Q450" s="9"/>
    </row>
    <row r="451" spans="1:17" ht="12.75">
      <c r="A451" s="6"/>
      <c r="B451" s="6"/>
      <c r="C451" s="6"/>
      <c r="D451" s="6"/>
      <c r="E451" s="6"/>
      <c r="F451" s="6"/>
      <c r="G451" s="6"/>
      <c r="H451" s="6"/>
      <c r="I451" s="6"/>
      <c r="J451" s="6"/>
      <c r="K451" s="6"/>
      <c r="L451" s="6"/>
      <c r="M451" s="6"/>
      <c r="N451" s="9"/>
      <c r="O451" s="9"/>
      <c r="P451" s="9"/>
      <c r="Q451" s="9"/>
    </row>
    <row r="452" spans="1:17" ht="12.75">
      <c r="A452" s="6"/>
      <c r="B452" s="6"/>
      <c r="C452" s="6"/>
      <c r="D452" s="6"/>
      <c r="E452" s="6"/>
      <c r="F452" s="6"/>
      <c r="G452" s="6"/>
      <c r="H452" s="6"/>
      <c r="I452" s="6"/>
      <c r="J452" s="6"/>
      <c r="K452" s="6"/>
      <c r="L452" s="6"/>
      <c r="M452" s="6"/>
      <c r="N452" s="9"/>
      <c r="O452" s="9"/>
      <c r="P452" s="9"/>
      <c r="Q452" s="9"/>
    </row>
    <row r="453" spans="1:17" ht="12.75">
      <c r="A453" s="6"/>
      <c r="B453" s="6"/>
      <c r="C453" s="6"/>
      <c r="D453" s="6"/>
      <c r="E453" s="6"/>
      <c r="F453" s="6"/>
      <c r="G453" s="6"/>
      <c r="H453" s="6"/>
      <c r="I453" s="6"/>
      <c r="J453" s="6"/>
      <c r="K453" s="6"/>
      <c r="L453" s="6"/>
      <c r="M453" s="6"/>
      <c r="N453" s="9"/>
      <c r="O453" s="9"/>
      <c r="P453" s="9"/>
      <c r="Q453" s="9"/>
    </row>
    <row r="454" spans="1:17" ht="12.75">
      <c r="A454" s="6"/>
      <c r="B454" s="6"/>
      <c r="C454" s="6"/>
      <c r="D454" s="6"/>
      <c r="E454" s="6"/>
      <c r="F454" s="6"/>
      <c r="G454" s="6"/>
      <c r="H454" s="6"/>
      <c r="I454" s="6"/>
      <c r="J454" s="6"/>
      <c r="K454" s="6"/>
      <c r="L454" s="6"/>
      <c r="M454" s="6"/>
      <c r="N454" s="9"/>
      <c r="O454" s="9"/>
      <c r="P454" s="9"/>
      <c r="Q454" s="9"/>
    </row>
    <row r="455" spans="1:17" ht="12.75">
      <c r="A455" s="6"/>
      <c r="B455" s="6"/>
      <c r="C455" s="6"/>
      <c r="D455" s="6"/>
      <c r="E455" s="6"/>
      <c r="F455" s="6"/>
      <c r="G455" s="6"/>
      <c r="H455" s="6"/>
      <c r="I455" s="6"/>
      <c r="J455" s="6"/>
      <c r="K455" s="6"/>
      <c r="L455" s="6"/>
      <c r="M455" s="6"/>
      <c r="N455" s="9"/>
      <c r="O455" s="9"/>
      <c r="P455" s="9"/>
      <c r="Q455" s="9"/>
    </row>
    <row r="456" spans="1:17" ht="12.75">
      <c r="A456" s="6"/>
      <c r="B456" s="6"/>
      <c r="C456" s="6"/>
      <c r="D456" s="6"/>
      <c r="E456" s="6"/>
      <c r="F456" s="6"/>
      <c r="G456" s="6"/>
      <c r="H456" s="6"/>
      <c r="I456" s="6"/>
      <c r="J456" s="6"/>
      <c r="K456" s="6"/>
      <c r="L456" s="6"/>
      <c r="M456" s="6"/>
      <c r="N456" s="9"/>
      <c r="O456" s="9"/>
      <c r="P456" s="9"/>
      <c r="Q456" s="9"/>
    </row>
    <row r="457" spans="1:17" ht="12.75">
      <c r="A457" s="6"/>
      <c r="B457" s="6"/>
      <c r="C457" s="6"/>
      <c r="D457" s="6"/>
      <c r="E457" s="6"/>
      <c r="F457" s="6"/>
      <c r="G457" s="6"/>
      <c r="H457" s="6"/>
      <c r="I457" s="6"/>
      <c r="J457" s="6"/>
      <c r="K457" s="6"/>
      <c r="L457" s="6"/>
      <c r="M457" s="6"/>
      <c r="N457" s="9"/>
      <c r="O457" s="9"/>
      <c r="P457" s="9"/>
      <c r="Q457" s="9"/>
    </row>
    <row r="458" spans="1:17" ht="12.75">
      <c r="A458" s="6"/>
      <c r="B458" s="6"/>
      <c r="C458" s="6"/>
      <c r="D458" s="6"/>
      <c r="E458" s="6"/>
      <c r="F458" s="6"/>
      <c r="G458" s="6"/>
      <c r="H458" s="6"/>
      <c r="I458" s="6"/>
      <c r="J458" s="6"/>
      <c r="K458" s="6"/>
      <c r="L458" s="6"/>
      <c r="M458" s="6"/>
      <c r="N458" s="9"/>
      <c r="O458" s="9"/>
      <c r="P458" s="9"/>
      <c r="Q458" s="9"/>
    </row>
    <row r="459" spans="1:17" ht="12.75">
      <c r="A459" s="6"/>
      <c r="B459" s="6"/>
      <c r="C459" s="6"/>
      <c r="D459" s="6"/>
      <c r="E459" s="6"/>
      <c r="F459" s="6"/>
      <c r="G459" s="6"/>
      <c r="H459" s="6"/>
      <c r="I459" s="6"/>
      <c r="J459" s="6"/>
      <c r="K459" s="6"/>
      <c r="L459" s="6"/>
      <c r="M459" s="6"/>
      <c r="N459" s="9"/>
      <c r="O459" s="9"/>
      <c r="P459" s="9"/>
      <c r="Q459" s="9"/>
    </row>
    <row r="460" spans="1:17" ht="12.75">
      <c r="A460" s="6"/>
      <c r="B460" s="6"/>
      <c r="C460" s="6"/>
      <c r="D460" s="6"/>
      <c r="E460" s="6"/>
      <c r="F460" s="6"/>
      <c r="G460" s="6"/>
      <c r="H460" s="6"/>
      <c r="I460" s="6"/>
      <c r="J460" s="6"/>
      <c r="K460" s="6"/>
      <c r="L460" s="6"/>
      <c r="M460" s="6"/>
      <c r="N460" s="9"/>
      <c r="O460" s="9"/>
      <c r="P460" s="9"/>
      <c r="Q460" s="9"/>
    </row>
    <row r="461" spans="1:17" ht="12.75">
      <c r="A461" s="6"/>
      <c r="B461" s="6"/>
      <c r="C461" s="6"/>
      <c r="D461" s="6"/>
      <c r="E461" s="6"/>
      <c r="F461" s="6"/>
      <c r="G461" s="6"/>
      <c r="H461" s="6"/>
      <c r="I461" s="6"/>
      <c r="J461" s="6"/>
      <c r="K461" s="6"/>
      <c r="L461" s="6"/>
      <c r="M461" s="6"/>
      <c r="N461" s="9"/>
      <c r="O461" s="9"/>
      <c r="P461" s="9"/>
      <c r="Q461" s="9"/>
    </row>
    <row r="462" spans="1:17" ht="12.75">
      <c r="A462" s="6"/>
      <c r="B462" s="6"/>
      <c r="C462" s="6"/>
      <c r="D462" s="6"/>
      <c r="E462" s="6"/>
      <c r="F462" s="6"/>
      <c r="G462" s="6"/>
      <c r="H462" s="6"/>
      <c r="I462" s="6"/>
      <c r="J462" s="6"/>
      <c r="K462" s="6"/>
      <c r="L462" s="6"/>
      <c r="M462" s="6"/>
      <c r="N462" s="9"/>
      <c r="O462" s="9"/>
      <c r="P462" s="9"/>
      <c r="Q462" s="9"/>
    </row>
    <row r="463" spans="1:17" ht="12.75">
      <c r="A463" s="6"/>
      <c r="B463" s="6"/>
      <c r="C463" s="6"/>
      <c r="D463" s="6"/>
      <c r="E463" s="6"/>
      <c r="F463" s="6"/>
      <c r="G463" s="6"/>
      <c r="H463" s="6"/>
      <c r="I463" s="6"/>
      <c r="J463" s="6"/>
      <c r="K463" s="6"/>
      <c r="L463" s="6"/>
      <c r="M463" s="6"/>
      <c r="N463" s="9"/>
      <c r="O463" s="9"/>
      <c r="P463" s="9"/>
      <c r="Q463" s="9"/>
    </row>
    <row r="464" spans="1:17" ht="12.75">
      <c r="A464" s="6"/>
      <c r="B464" s="6"/>
      <c r="C464" s="6"/>
      <c r="D464" s="6"/>
      <c r="E464" s="6"/>
      <c r="F464" s="6"/>
      <c r="G464" s="6"/>
      <c r="H464" s="6"/>
      <c r="I464" s="6"/>
      <c r="J464" s="6"/>
      <c r="K464" s="6"/>
      <c r="L464" s="6"/>
      <c r="M464" s="6"/>
      <c r="N464" s="9"/>
      <c r="O464" s="9"/>
      <c r="P464" s="9"/>
      <c r="Q464" s="9"/>
    </row>
    <row r="465" spans="1:17" ht="12.75">
      <c r="A465" s="6"/>
      <c r="B465" s="6"/>
      <c r="C465" s="6"/>
      <c r="D465" s="6"/>
      <c r="E465" s="6"/>
      <c r="F465" s="6"/>
      <c r="G465" s="6"/>
      <c r="H465" s="6"/>
      <c r="I465" s="6"/>
      <c r="J465" s="6"/>
      <c r="K465" s="6"/>
      <c r="L465" s="6"/>
      <c r="M465" s="6"/>
      <c r="N465" s="9"/>
      <c r="O465" s="9"/>
      <c r="P465" s="9"/>
      <c r="Q465" s="9"/>
    </row>
    <row r="466" spans="1:17" ht="12.75">
      <c r="A466" s="6"/>
      <c r="B466" s="6"/>
      <c r="C466" s="6"/>
      <c r="D466" s="6"/>
      <c r="E466" s="6"/>
      <c r="F466" s="6"/>
      <c r="G466" s="6"/>
      <c r="H466" s="6"/>
      <c r="I466" s="6"/>
      <c r="J466" s="6"/>
      <c r="K466" s="6"/>
      <c r="L466" s="6"/>
      <c r="M466" s="6"/>
      <c r="N466" s="9"/>
      <c r="O466" s="9"/>
      <c r="P466" s="9"/>
      <c r="Q466" s="9"/>
    </row>
    <row r="467" spans="1:17" ht="12.75">
      <c r="A467" s="6"/>
      <c r="B467" s="6"/>
      <c r="C467" s="6"/>
      <c r="D467" s="6"/>
      <c r="E467" s="6"/>
      <c r="F467" s="6"/>
      <c r="G467" s="6"/>
      <c r="H467" s="6"/>
      <c r="I467" s="6"/>
      <c r="J467" s="6"/>
      <c r="K467" s="6"/>
      <c r="L467" s="6"/>
      <c r="M467" s="6"/>
      <c r="N467" s="9"/>
      <c r="O467" s="9"/>
      <c r="P467" s="9"/>
      <c r="Q467" s="9"/>
    </row>
    <row r="468" spans="1:17" ht="12.75">
      <c r="A468" s="6"/>
      <c r="B468" s="6"/>
      <c r="C468" s="6"/>
      <c r="D468" s="6"/>
      <c r="E468" s="6"/>
      <c r="F468" s="6"/>
      <c r="G468" s="6"/>
      <c r="H468" s="6"/>
      <c r="I468" s="6"/>
      <c r="J468" s="6"/>
      <c r="K468" s="6"/>
      <c r="L468" s="6"/>
      <c r="M468" s="6"/>
      <c r="N468" s="9"/>
      <c r="O468" s="9"/>
      <c r="P468" s="9"/>
      <c r="Q468" s="9"/>
    </row>
    <row r="469" spans="1:17" ht="12.75">
      <c r="A469" s="6"/>
      <c r="B469" s="6"/>
      <c r="C469" s="6"/>
      <c r="D469" s="6"/>
      <c r="E469" s="6"/>
      <c r="F469" s="6"/>
      <c r="G469" s="6"/>
      <c r="H469" s="6"/>
      <c r="I469" s="6"/>
      <c r="J469" s="6"/>
      <c r="K469" s="6"/>
      <c r="L469" s="6"/>
      <c r="M469" s="6"/>
      <c r="N469" s="9"/>
      <c r="O469" s="9"/>
      <c r="P469" s="9"/>
      <c r="Q469" s="9"/>
    </row>
    <row r="470" spans="1:17" ht="12.75">
      <c r="A470" s="6"/>
      <c r="B470" s="6"/>
      <c r="C470" s="6"/>
      <c r="D470" s="6"/>
      <c r="E470" s="6"/>
      <c r="F470" s="6"/>
      <c r="G470" s="6"/>
      <c r="H470" s="6"/>
      <c r="I470" s="6"/>
      <c r="J470" s="6"/>
      <c r="K470" s="6"/>
      <c r="L470" s="6"/>
      <c r="M470" s="6"/>
      <c r="N470" s="9"/>
      <c r="O470" s="9"/>
      <c r="P470" s="9"/>
      <c r="Q470" s="9"/>
    </row>
    <row r="471" spans="1:17" ht="12.75">
      <c r="A471" s="6"/>
      <c r="B471" s="6"/>
      <c r="C471" s="6"/>
      <c r="D471" s="6"/>
      <c r="E471" s="6"/>
      <c r="F471" s="6"/>
      <c r="G471" s="6"/>
      <c r="H471" s="6"/>
      <c r="I471" s="6"/>
      <c r="J471" s="6"/>
      <c r="K471" s="6"/>
      <c r="L471" s="6"/>
      <c r="M471" s="6"/>
      <c r="N471" s="9"/>
      <c r="O471" s="9"/>
      <c r="P471" s="9"/>
      <c r="Q471" s="9"/>
    </row>
    <row r="472" spans="1:17" ht="12.75">
      <c r="A472" s="6"/>
      <c r="B472" s="6"/>
      <c r="C472" s="6"/>
      <c r="D472" s="6"/>
      <c r="E472" s="6"/>
      <c r="F472" s="6"/>
      <c r="G472" s="6"/>
      <c r="H472" s="6"/>
      <c r="I472" s="6"/>
      <c r="J472" s="6"/>
      <c r="K472" s="6"/>
      <c r="L472" s="6"/>
      <c r="M472" s="6"/>
      <c r="N472" s="9"/>
      <c r="O472" s="9"/>
      <c r="P472" s="9"/>
      <c r="Q472" s="9"/>
    </row>
    <row r="473" spans="1:17" ht="12.75">
      <c r="A473" s="6"/>
      <c r="B473" s="6"/>
      <c r="C473" s="6"/>
      <c r="D473" s="6"/>
      <c r="E473" s="6"/>
      <c r="F473" s="6"/>
      <c r="G473" s="6"/>
      <c r="H473" s="6"/>
      <c r="I473" s="6"/>
      <c r="J473" s="6"/>
      <c r="K473" s="6"/>
      <c r="L473" s="6"/>
      <c r="M473" s="6"/>
      <c r="N473" s="9"/>
      <c r="O473" s="9"/>
      <c r="P473" s="9"/>
      <c r="Q473" s="9"/>
    </row>
    <row r="474" spans="1:17" ht="12.75">
      <c r="A474" s="6"/>
      <c r="B474" s="6"/>
      <c r="C474" s="6"/>
      <c r="D474" s="6"/>
      <c r="E474" s="6"/>
      <c r="F474" s="6"/>
      <c r="G474" s="6"/>
      <c r="H474" s="6"/>
      <c r="I474" s="6"/>
      <c r="J474" s="6"/>
      <c r="K474" s="6"/>
      <c r="L474" s="6"/>
      <c r="M474" s="6"/>
      <c r="N474" s="9"/>
      <c r="O474" s="9"/>
      <c r="P474" s="9"/>
      <c r="Q474" s="9"/>
    </row>
    <row r="475" spans="1:17" ht="12.75">
      <c r="A475" s="6"/>
      <c r="B475" s="6"/>
      <c r="C475" s="6"/>
      <c r="D475" s="6"/>
      <c r="E475" s="6"/>
      <c r="F475" s="6"/>
      <c r="G475" s="6"/>
      <c r="H475" s="6"/>
      <c r="I475" s="6"/>
      <c r="J475" s="6"/>
      <c r="K475" s="6"/>
      <c r="L475" s="6"/>
      <c r="M475" s="6"/>
      <c r="N475" s="9"/>
      <c r="O475" s="9"/>
      <c r="P475" s="9"/>
      <c r="Q475" s="9"/>
    </row>
    <row r="476" spans="1:17" ht="12.75">
      <c r="A476" s="6"/>
      <c r="B476" s="6"/>
      <c r="C476" s="6"/>
      <c r="D476" s="6"/>
      <c r="E476" s="6"/>
      <c r="F476" s="6"/>
      <c r="G476" s="6"/>
      <c r="H476" s="6"/>
      <c r="I476" s="6"/>
      <c r="J476" s="6"/>
      <c r="K476" s="6"/>
      <c r="L476" s="6"/>
      <c r="M476" s="6"/>
      <c r="N476" s="9"/>
      <c r="O476" s="9"/>
      <c r="P476" s="9"/>
      <c r="Q476" s="9"/>
    </row>
    <row r="477" spans="1:17" ht="12.75">
      <c r="A477" s="6"/>
      <c r="B477" s="6"/>
      <c r="C477" s="6"/>
      <c r="D477" s="6"/>
      <c r="E477" s="6"/>
      <c r="F477" s="6"/>
      <c r="G477" s="6"/>
      <c r="H477" s="6"/>
      <c r="I477" s="6"/>
      <c r="J477" s="6"/>
      <c r="K477" s="6"/>
      <c r="L477" s="6"/>
      <c r="M477" s="6"/>
      <c r="N477" s="9"/>
      <c r="O477" s="9"/>
      <c r="P477" s="9"/>
      <c r="Q477" s="9"/>
    </row>
    <row r="478" spans="1:17" ht="12.75">
      <c r="A478" s="6"/>
      <c r="B478" s="6"/>
      <c r="C478" s="6"/>
      <c r="D478" s="6"/>
      <c r="E478" s="6"/>
      <c r="F478" s="6"/>
      <c r="G478" s="6"/>
      <c r="H478" s="6"/>
      <c r="I478" s="6"/>
      <c r="J478" s="6"/>
      <c r="K478" s="6"/>
      <c r="L478" s="6"/>
      <c r="M478" s="6"/>
      <c r="N478" s="9"/>
      <c r="O478" s="9"/>
      <c r="P478" s="9"/>
      <c r="Q478" s="9"/>
    </row>
    <row r="479" spans="1:17" ht="12.75">
      <c r="A479" s="6"/>
      <c r="B479" s="6"/>
      <c r="C479" s="6"/>
      <c r="D479" s="6"/>
      <c r="E479" s="6"/>
      <c r="F479" s="6"/>
      <c r="G479" s="6"/>
      <c r="H479" s="6"/>
      <c r="I479" s="6"/>
      <c r="J479" s="6"/>
      <c r="K479" s="6"/>
      <c r="L479" s="6"/>
      <c r="M479" s="6"/>
      <c r="N479" s="9"/>
      <c r="O479" s="9"/>
      <c r="P479" s="9"/>
      <c r="Q479" s="9"/>
    </row>
    <row r="480" spans="1:17" ht="12.75">
      <c r="A480" s="6"/>
      <c r="B480" s="6"/>
      <c r="C480" s="6"/>
      <c r="D480" s="6"/>
      <c r="E480" s="6"/>
      <c r="F480" s="6"/>
      <c r="G480" s="6"/>
      <c r="H480" s="6"/>
      <c r="I480" s="6"/>
      <c r="J480" s="6"/>
      <c r="K480" s="6"/>
      <c r="L480" s="6"/>
      <c r="M480" s="6"/>
      <c r="N480" s="9"/>
      <c r="O480" s="9"/>
      <c r="P480" s="9"/>
      <c r="Q480" s="9"/>
    </row>
    <row r="481" spans="1:17" ht="12.75">
      <c r="A481" s="6"/>
      <c r="B481" s="6"/>
      <c r="C481" s="6"/>
      <c r="D481" s="6"/>
      <c r="E481" s="6"/>
      <c r="F481" s="6"/>
      <c r="G481" s="6"/>
      <c r="H481" s="6"/>
      <c r="I481" s="6"/>
      <c r="J481" s="6"/>
      <c r="K481" s="6"/>
      <c r="L481" s="6"/>
      <c r="M481" s="6"/>
      <c r="N481" s="9"/>
      <c r="O481" s="9"/>
      <c r="P481" s="9"/>
      <c r="Q481" s="9"/>
    </row>
    <row r="482" spans="1:17" ht="12.75">
      <c r="A482" s="6"/>
      <c r="B482" s="6"/>
      <c r="C482" s="6"/>
      <c r="D482" s="6"/>
      <c r="E482" s="6"/>
      <c r="F482" s="6"/>
      <c r="G482" s="6"/>
      <c r="H482" s="6"/>
      <c r="I482" s="6"/>
      <c r="J482" s="6"/>
      <c r="K482" s="6"/>
      <c r="L482" s="6"/>
      <c r="M482" s="6"/>
      <c r="N482" s="9"/>
      <c r="O482" s="9"/>
      <c r="P482" s="9"/>
      <c r="Q482" s="9"/>
    </row>
    <row r="483" spans="1:17" ht="12.75">
      <c r="A483" s="6"/>
      <c r="B483" s="6"/>
      <c r="C483" s="6"/>
      <c r="D483" s="6"/>
      <c r="E483" s="6"/>
      <c r="F483" s="6"/>
      <c r="G483" s="6"/>
      <c r="H483" s="6"/>
      <c r="I483" s="6"/>
      <c r="J483" s="6"/>
      <c r="K483" s="6"/>
      <c r="L483" s="6"/>
      <c r="M483" s="6"/>
      <c r="N483" s="9"/>
      <c r="O483" s="9"/>
      <c r="P483" s="9"/>
      <c r="Q483" s="9"/>
    </row>
    <row r="484" spans="1:17" ht="12.75">
      <c r="A484" s="6"/>
      <c r="B484" s="6"/>
      <c r="C484" s="6"/>
      <c r="D484" s="6"/>
      <c r="E484" s="6"/>
      <c r="F484" s="6"/>
      <c r="G484" s="6"/>
      <c r="H484" s="6"/>
      <c r="I484" s="6"/>
      <c r="J484" s="6"/>
      <c r="K484" s="6"/>
      <c r="L484" s="6"/>
      <c r="M484" s="6"/>
      <c r="N484" s="9"/>
      <c r="O484" s="9"/>
      <c r="P484" s="9"/>
      <c r="Q484" s="9"/>
    </row>
    <row r="485" spans="1:17" ht="12.75">
      <c r="A485" s="6"/>
      <c r="B485" s="6"/>
      <c r="C485" s="6"/>
      <c r="D485" s="6"/>
      <c r="E485" s="6"/>
      <c r="F485" s="6"/>
      <c r="G485" s="6"/>
      <c r="H485" s="6"/>
      <c r="I485" s="6"/>
      <c r="J485" s="6"/>
      <c r="K485" s="6"/>
      <c r="L485" s="6"/>
      <c r="M485" s="6"/>
      <c r="N485" s="9"/>
      <c r="O485" s="9"/>
      <c r="P485" s="9"/>
      <c r="Q485" s="9"/>
    </row>
    <row r="486" spans="1:17" ht="12.75">
      <c r="A486" s="6"/>
      <c r="B486" s="6"/>
      <c r="C486" s="6"/>
      <c r="D486" s="6"/>
      <c r="E486" s="6"/>
      <c r="F486" s="6"/>
      <c r="G486" s="6"/>
      <c r="H486" s="6"/>
      <c r="I486" s="6"/>
      <c r="J486" s="6"/>
      <c r="K486" s="6"/>
      <c r="L486" s="6"/>
      <c r="M486" s="6"/>
      <c r="N486" s="9"/>
      <c r="O486" s="9"/>
      <c r="P486" s="9"/>
      <c r="Q486" s="9"/>
    </row>
    <row r="487" spans="1:17" ht="12.75">
      <c r="A487" s="6"/>
      <c r="B487" s="6"/>
      <c r="C487" s="6"/>
      <c r="D487" s="6"/>
      <c r="E487" s="6"/>
      <c r="F487" s="6"/>
      <c r="G487" s="6"/>
      <c r="H487" s="6"/>
      <c r="I487" s="6"/>
      <c r="J487" s="6"/>
      <c r="K487" s="6"/>
      <c r="L487" s="6"/>
      <c r="M487" s="6"/>
      <c r="N487" s="9"/>
      <c r="O487" s="9"/>
      <c r="P487" s="9"/>
      <c r="Q487" s="9"/>
    </row>
    <row r="488" spans="1:17" ht="12.75">
      <c r="A488" s="6"/>
      <c r="B488" s="6"/>
      <c r="C488" s="6"/>
      <c r="D488" s="6"/>
      <c r="E488" s="6"/>
      <c r="F488" s="6"/>
      <c r="G488" s="6"/>
      <c r="H488" s="6"/>
      <c r="I488" s="6"/>
      <c r="J488" s="6"/>
      <c r="K488" s="6"/>
      <c r="L488" s="6"/>
      <c r="M488" s="6"/>
      <c r="N488" s="9"/>
      <c r="O488" s="9"/>
      <c r="P488" s="9"/>
      <c r="Q488" s="9"/>
    </row>
    <row r="489" spans="1:17" ht="12.75">
      <c r="A489" s="6"/>
      <c r="B489" s="6"/>
      <c r="C489" s="6"/>
      <c r="D489" s="6"/>
      <c r="E489" s="6"/>
      <c r="F489" s="6"/>
      <c r="G489" s="6"/>
      <c r="H489" s="6"/>
      <c r="I489" s="6"/>
      <c r="J489" s="6"/>
      <c r="K489" s="6"/>
      <c r="L489" s="6"/>
      <c r="M489" s="6"/>
      <c r="N489" s="9"/>
      <c r="O489" s="9"/>
      <c r="P489" s="9"/>
      <c r="Q489" s="9"/>
    </row>
    <row r="490" spans="1:17" ht="12.75">
      <c r="A490" s="6"/>
      <c r="B490" s="6"/>
      <c r="C490" s="6"/>
      <c r="D490" s="6"/>
      <c r="E490" s="6"/>
      <c r="F490" s="6"/>
      <c r="G490" s="6"/>
      <c r="H490" s="6"/>
      <c r="I490" s="6"/>
      <c r="J490" s="6"/>
      <c r="K490" s="6"/>
      <c r="L490" s="6"/>
      <c r="M490" s="6"/>
      <c r="N490" s="9"/>
      <c r="O490" s="9"/>
      <c r="P490" s="9"/>
      <c r="Q490" s="9"/>
    </row>
    <row r="491" spans="1:17" ht="12.75">
      <c r="A491" s="6"/>
      <c r="B491" s="6"/>
      <c r="C491" s="6"/>
      <c r="D491" s="6"/>
      <c r="E491" s="6"/>
      <c r="F491" s="6"/>
      <c r="G491" s="6"/>
      <c r="H491" s="6"/>
      <c r="I491" s="6"/>
      <c r="J491" s="6"/>
      <c r="K491" s="6"/>
      <c r="L491" s="6"/>
      <c r="M491" s="6"/>
      <c r="N491" s="9"/>
      <c r="O491" s="9"/>
      <c r="P491" s="9"/>
      <c r="Q491" s="9"/>
    </row>
    <row r="492" spans="1:17" ht="12.75">
      <c r="A492" s="6"/>
      <c r="B492" s="6"/>
      <c r="C492" s="6"/>
      <c r="D492" s="6"/>
      <c r="E492" s="6"/>
      <c r="F492" s="6"/>
      <c r="G492" s="6"/>
      <c r="H492" s="6"/>
      <c r="I492" s="6"/>
      <c r="J492" s="6"/>
      <c r="K492" s="6"/>
      <c r="L492" s="6"/>
      <c r="M492" s="6"/>
      <c r="N492" s="9"/>
      <c r="O492" s="9"/>
      <c r="P492" s="9"/>
      <c r="Q492" s="9"/>
    </row>
    <row r="493" spans="1:17" ht="12.75">
      <c r="A493" s="6"/>
      <c r="B493" s="6"/>
      <c r="C493" s="6"/>
      <c r="D493" s="6"/>
      <c r="E493" s="6"/>
      <c r="F493" s="6"/>
      <c r="G493" s="6"/>
      <c r="H493" s="6"/>
      <c r="I493" s="6"/>
      <c r="J493" s="6"/>
      <c r="K493" s="6"/>
      <c r="L493" s="6"/>
      <c r="M493" s="6"/>
      <c r="N493" s="9"/>
      <c r="O493" s="9"/>
      <c r="P493" s="9"/>
      <c r="Q493" s="9"/>
    </row>
    <row r="494" spans="1:17" ht="12.75">
      <c r="A494" s="6"/>
      <c r="B494" s="6"/>
      <c r="C494" s="6"/>
      <c r="D494" s="6"/>
      <c r="E494" s="6"/>
      <c r="F494" s="6"/>
      <c r="G494" s="6"/>
      <c r="H494" s="6"/>
      <c r="I494" s="6"/>
      <c r="J494" s="6"/>
      <c r="K494" s="6"/>
      <c r="L494" s="6"/>
      <c r="M494" s="6"/>
      <c r="N494" s="9"/>
      <c r="O494" s="9"/>
      <c r="P494" s="9"/>
      <c r="Q494" s="9"/>
    </row>
    <row r="495" spans="1:17" ht="12.75">
      <c r="A495" s="6"/>
      <c r="B495" s="6"/>
      <c r="C495" s="6"/>
      <c r="D495" s="6"/>
      <c r="E495" s="6"/>
      <c r="F495" s="6"/>
      <c r="G495" s="6"/>
      <c r="H495" s="6"/>
      <c r="I495" s="6"/>
      <c r="J495" s="6"/>
      <c r="K495" s="6"/>
      <c r="L495" s="6"/>
      <c r="M495" s="6"/>
      <c r="N495" s="9"/>
      <c r="O495" s="9"/>
      <c r="P495" s="9"/>
      <c r="Q495" s="9"/>
    </row>
    <row r="496" spans="1:17" ht="12.75">
      <c r="A496" s="6"/>
      <c r="B496" s="6"/>
      <c r="C496" s="6"/>
      <c r="D496" s="6"/>
      <c r="E496" s="6"/>
      <c r="F496" s="6"/>
      <c r="G496" s="6"/>
      <c r="H496" s="6"/>
      <c r="I496" s="6"/>
      <c r="J496" s="6"/>
      <c r="K496" s="6"/>
      <c r="L496" s="6"/>
      <c r="M496" s="6"/>
      <c r="N496" s="9"/>
      <c r="O496" s="9"/>
      <c r="P496" s="9"/>
      <c r="Q496" s="9"/>
    </row>
    <row r="497" spans="1:17" ht="12.75">
      <c r="A497" s="6"/>
      <c r="B497" s="6"/>
      <c r="C497" s="6"/>
      <c r="D497" s="6"/>
      <c r="E497" s="6"/>
      <c r="F497" s="6"/>
      <c r="G497" s="6"/>
      <c r="H497" s="6"/>
      <c r="I497" s="6"/>
      <c r="J497" s="6"/>
      <c r="K497" s="6"/>
      <c r="L497" s="6"/>
      <c r="M497" s="6"/>
      <c r="N497" s="9"/>
      <c r="O497" s="9"/>
      <c r="P497" s="9"/>
      <c r="Q497" s="9"/>
    </row>
    <row r="498" spans="1:17" ht="12.75">
      <c r="A498" s="6"/>
      <c r="B498" s="6"/>
      <c r="C498" s="6"/>
      <c r="D498" s="6"/>
      <c r="E498" s="6"/>
      <c r="F498" s="6"/>
      <c r="G498" s="6"/>
      <c r="H498" s="6"/>
      <c r="I498" s="6"/>
      <c r="J498" s="6"/>
      <c r="K498" s="6"/>
      <c r="L498" s="6"/>
      <c r="M498" s="6"/>
      <c r="N498" s="9"/>
      <c r="O498" s="9"/>
      <c r="P498" s="9"/>
      <c r="Q498" s="9"/>
    </row>
    <row r="499" spans="1:17" ht="12.75">
      <c r="A499" s="6"/>
      <c r="B499" s="6"/>
      <c r="C499" s="6"/>
      <c r="D499" s="6"/>
      <c r="E499" s="6"/>
      <c r="F499" s="6"/>
      <c r="G499" s="6"/>
      <c r="H499" s="6"/>
      <c r="I499" s="6"/>
      <c r="J499" s="6"/>
      <c r="K499" s="6"/>
      <c r="L499" s="6"/>
      <c r="M499" s="6"/>
      <c r="N499" s="9"/>
      <c r="O499" s="9"/>
      <c r="P499" s="9"/>
      <c r="Q499" s="9"/>
    </row>
    <row r="500" spans="1:17" ht="12.75">
      <c r="A500" s="6"/>
      <c r="B500" s="6"/>
      <c r="C500" s="6"/>
      <c r="D500" s="6"/>
      <c r="E500" s="6"/>
      <c r="F500" s="6"/>
      <c r="G500" s="6"/>
      <c r="H500" s="6"/>
      <c r="I500" s="6"/>
      <c r="J500" s="6"/>
      <c r="K500" s="6"/>
      <c r="L500" s="6"/>
      <c r="M500" s="6"/>
      <c r="N500" s="9"/>
      <c r="O500" s="9"/>
      <c r="P500" s="9"/>
      <c r="Q500" s="9"/>
    </row>
    <row r="501" spans="1:17" ht="12.75">
      <c r="A501" s="6"/>
      <c r="B501" s="6"/>
      <c r="C501" s="6"/>
      <c r="D501" s="6"/>
      <c r="E501" s="6"/>
      <c r="F501" s="6"/>
      <c r="G501" s="6"/>
      <c r="H501" s="6"/>
      <c r="I501" s="6"/>
      <c r="J501" s="6"/>
      <c r="K501" s="6"/>
      <c r="L501" s="6"/>
      <c r="M501" s="6"/>
      <c r="N501" s="9"/>
      <c r="O501" s="9"/>
      <c r="P501" s="9"/>
      <c r="Q501" s="9"/>
    </row>
    <row r="502" spans="1:17" ht="12.75">
      <c r="A502" s="6"/>
      <c r="B502" s="6"/>
      <c r="C502" s="6"/>
      <c r="D502" s="6"/>
      <c r="E502" s="6"/>
      <c r="F502" s="6"/>
      <c r="G502" s="6"/>
      <c r="H502" s="6"/>
      <c r="I502" s="6"/>
      <c r="J502" s="6"/>
      <c r="K502" s="6"/>
      <c r="L502" s="6"/>
      <c r="M502" s="6"/>
      <c r="N502" s="9"/>
      <c r="O502" s="9"/>
      <c r="P502" s="9"/>
      <c r="Q502" s="9"/>
    </row>
    <row r="503" spans="1:17" ht="12.75">
      <c r="A503" s="6"/>
      <c r="B503" s="6"/>
      <c r="C503" s="6"/>
      <c r="D503" s="6"/>
      <c r="E503" s="6"/>
      <c r="F503" s="6"/>
      <c r="G503" s="6"/>
      <c r="H503" s="6"/>
      <c r="I503" s="6"/>
      <c r="J503" s="6"/>
      <c r="K503" s="6"/>
      <c r="L503" s="6"/>
      <c r="M503" s="6"/>
      <c r="N503" s="9"/>
      <c r="O503" s="9"/>
      <c r="P503" s="9"/>
      <c r="Q503" s="9"/>
    </row>
    <row r="504" spans="1:17" ht="12.75">
      <c r="A504" s="6"/>
      <c r="B504" s="6"/>
      <c r="C504" s="6"/>
      <c r="D504" s="6"/>
      <c r="E504" s="6"/>
      <c r="F504" s="6"/>
      <c r="G504" s="6"/>
      <c r="H504" s="6"/>
      <c r="I504" s="6"/>
      <c r="J504" s="6"/>
      <c r="K504" s="6"/>
      <c r="L504" s="6"/>
      <c r="M504" s="6"/>
      <c r="N504" s="9"/>
      <c r="O504" s="9"/>
      <c r="P504" s="9"/>
      <c r="Q504" s="9"/>
    </row>
    <row r="505" spans="1:17" ht="12.75">
      <c r="A505" s="6"/>
      <c r="B505" s="6"/>
      <c r="C505" s="6"/>
      <c r="D505" s="6"/>
      <c r="E505" s="6"/>
      <c r="F505" s="6"/>
      <c r="G505" s="6"/>
      <c r="H505" s="6"/>
      <c r="I505" s="6"/>
      <c r="J505" s="6"/>
      <c r="K505" s="6"/>
      <c r="L505" s="6"/>
      <c r="M505" s="6"/>
      <c r="N505" s="9"/>
      <c r="O505" s="9"/>
      <c r="P505" s="9"/>
      <c r="Q505" s="9"/>
    </row>
    <row r="506" spans="1:17" ht="12.75">
      <c r="A506" s="6"/>
      <c r="B506" s="6"/>
      <c r="C506" s="6"/>
      <c r="D506" s="6"/>
      <c r="E506" s="6"/>
      <c r="F506" s="6"/>
      <c r="G506" s="6"/>
      <c r="H506" s="6"/>
      <c r="I506" s="6"/>
      <c r="J506" s="6"/>
      <c r="K506" s="6"/>
      <c r="L506" s="6"/>
      <c r="M506" s="6"/>
      <c r="N506" s="9"/>
      <c r="O506" s="9"/>
      <c r="P506" s="9"/>
      <c r="Q506" s="9"/>
    </row>
    <row r="507" spans="1:17" ht="12.75">
      <c r="A507" s="6"/>
      <c r="B507" s="6"/>
      <c r="C507" s="6"/>
      <c r="D507" s="6"/>
      <c r="E507" s="6"/>
      <c r="F507" s="6"/>
      <c r="G507" s="6"/>
      <c r="H507" s="6"/>
      <c r="I507" s="6"/>
      <c r="J507" s="6"/>
      <c r="K507" s="6"/>
      <c r="L507" s="6"/>
      <c r="M507" s="6"/>
      <c r="N507" s="9"/>
      <c r="O507" s="9"/>
      <c r="P507" s="9"/>
      <c r="Q507" s="9"/>
    </row>
    <row r="508" spans="1:17" ht="12.75">
      <c r="A508" s="6"/>
      <c r="B508" s="6"/>
      <c r="C508" s="6"/>
      <c r="D508" s="6"/>
      <c r="E508" s="6"/>
      <c r="F508" s="6"/>
      <c r="G508" s="6"/>
      <c r="H508" s="6"/>
      <c r="I508" s="6"/>
      <c r="J508" s="6"/>
      <c r="K508" s="6"/>
      <c r="L508" s="6"/>
      <c r="M508" s="6"/>
      <c r="N508" s="9"/>
      <c r="O508" s="9"/>
      <c r="P508" s="9"/>
      <c r="Q508" s="9"/>
    </row>
    <row r="509" spans="1:17" ht="12.75">
      <c r="A509" s="6"/>
      <c r="B509" s="6"/>
      <c r="C509" s="6"/>
      <c r="D509" s="6"/>
      <c r="E509" s="6"/>
      <c r="F509" s="6"/>
      <c r="G509" s="6"/>
      <c r="H509" s="6"/>
      <c r="I509" s="6"/>
      <c r="J509" s="6"/>
      <c r="K509" s="6"/>
      <c r="L509" s="6"/>
      <c r="M509" s="6"/>
      <c r="N509" s="9"/>
      <c r="O509" s="9"/>
      <c r="P509" s="9"/>
      <c r="Q509" s="9"/>
    </row>
    <row r="510" spans="1:17" ht="12.75">
      <c r="A510" s="6"/>
      <c r="B510" s="6"/>
      <c r="C510" s="6"/>
      <c r="D510" s="6"/>
      <c r="E510" s="6"/>
      <c r="F510" s="6"/>
      <c r="G510" s="6"/>
      <c r="H510" s="6"/>
      <c r="I510" s="6"/>
      <c r="J510" s="6"/>
      <c r="K510" s="6"/>
      <c r="L510" s="6"/>
      <c r="M510" s="6"/>
      <c r="N510" s="9"/>
      <c r="O510" s="9"/>
      <c r="P510" s="9"/>
      <c r="Q510" s="9"/>
    </row>
    <row r="511" spans="1:17" ht="12.75">
      <c r="A511" s="6"/>
      <c r="B511" s="6"/>
      <c r="C511" s="6"/>
      <c r="D511" s="6"/>
      <c r="E511" s="6"/>
      <c r="F511" s="6"/>
      <c r="G511" s="6"/>
      <c r="H511" s="6"/>
      <c r="I511" s="6"/>
      <c r="J511" s="6"/>
      <c r="K511" s="6"/>
      <c r="L511" s="6"/>
      <c r="M511" s="6"/>
      <c r="N511" s="9"/>
      <c r="O511" s="9"/>
      <c r="P511" s="9"/>
      <c r="Q511" s="9"/>
    </row>
    <row r="512" spans="1:17" ht="12.75">
      <c r="A512" s="6"/>
      <c r="B512" s="6"/>
      <c r="C512" s="6"/>
      <c r="D512" s="6"/>
      <c r="E512" s="6"/>
      <c r="F512" s="6"/>
      <c r="G512" s="6"/>
      <c r="H512" s="6"/>
      <c r="I512" s="6"/>
      <c r="J512" s="6"/>
      <c r="K512" s="6"/>
      <c r="L512" s="6"/>
      <c r="M512" s="6"/>
      <c r="N512" s="9"/>
      <c r="O512" s="9"/>
      <c r="P512" s="9"/>
      <c r="Q512" s="9"/>
    </row>
    <row r="513" spans="1:17" ht="12.75">
      <c r="A513" s="6"/>
      <c r="B513" s="6"/>
      <c r="C513" s="6"/>
      <c r="D513" s="6"/>
      <c r="E513" s="6"/>
      <c r="F513" s="6"/>
      <c r="G513" s="6"/>
      <c r="H513" s="6"/>
      <c r="I513" s="6"/>
      <c r="J513" s="6"/>
      <c r="K513" s="6"/>
      <c r="L513" s="6"/>
      <c r="M513" s="6"/>
      <c r="N513" s="9"/>
      <c r="O513" s="9"/>
      <c r="P513" s="9"/>
      <c r="Q513" s="9"/>
    </row>
    <row r="514" spans="1:17" ht="12.75">
      <c r="A514" s="6"/>
      <c r="B514" s="6"/>
      <c r="C514" s="6"/>
      <c r="D514" s="6"/>
      <c r="E514" s="6"/>
      <c r="F514" s="6"/>
      <c r="G514" s="6"/>
      <c r="H514" s="6"/>
      <c r="I514" s="6"/>
      <c r="J514" s="6"/>
      <c r="K514" s="6"/>
      <c r="L514" s="6"/>
      <c r="M514" s="6"/>
      <c r="N514" s="9"/>
      <c r="O514" s="9"/>
      <c r="P514" s="9"/>
      <c r="Q514" s="9"/>
    </row>
    <row r="515" spans="1:17" ht="12.75">
      <c r="A515" s="6"/>
      <c r="B515" s="6"/>
      <c r="C515" s="6"/>
      <c r="D515" s="6"/>
      <c r="E515" s="6"/>
      <c r="F515" s="6"/>
      <c r="G515" s="6"/>
      <c r="H515" s="6"/>
      <c r="I515" s="6"/>
      <c r="J515" s="6"/>
      <c r="K515" s="6"/>
      <c r="L515" s="6"/>
      <c r="M515" s="6"/>
      <c r="N515" s="9"/>
      <c r="O515" s="9"/>
      <c r="P515" s="9"/>
      <c r="Q515" s="9"/>
    </row>
    <row r="516" spans="1:17" ht="12.75">
      <c r="A516" s="6"/>
      <c r="B516" s="6"/>
      <c r="C516" s="6"/>
      <c r="D516" s="6"/>
      <c r="E516" s="6"/>
      <c r="F516" s="6"/>
      <c r="G516" s="6"/>
      <c r="H516" s="6"/>
      <c r="I516" s="6"/>
      <c r="J516" s="6"/>
      <c r="K516" s="6"/>
      <c r="L516" s="6"/>
      <c r="M516" s="6"/>
      <c r="N516" s="9"/>
      <c r="O516" s="9"/>
      <c r="P516" s="9"/>
      <c r="Q516" s="9"/>
    </row>
    <row r="517" spans="1:17" ht="12.75">
      <c r="A517" s="6"/>
      <c r="B517" s="6"/>
      <c r="C517" s="6"/>
      <c r="D517" s="6"/>
      <c r="E517" s="6"/>
      <c r="F517" s="6"/>
      <c r="G517" s="6"/>
      <c r="H517" s="6"/>
      <c r="I517" s="6"/>
      <c r="J517" s="6"/>
      <c r="K517" s="6"/>
      <c r="L517" s="6"/>
      <c r="M517" s="6"/>
      <c r="N517" s="9"/>
      <c r="O517" s="9"/>
      <c r="P517" s="9"/>
      <c r="Q517" s="9"/>
    </row>
    <row r="518" spans="1:17" ht="12.75">
      <c r="A518" s="6"/>
      <c r="B518" s="6"/>
      <c r="C518" s="6"/>
      <c r="D518" s="6"/>
      <c r="E518" s="6"/>
      <c r="F518" s="6"/>
      <c r="G518" s="6"/>
      <c r="H518" s="6"/>
      <c r="I518" s="6"/>
      <c r="J518" s="6"/>
      <c r="K518" s="6"/>
      <c r="L518" s="6"/>
      <c r="M518" s="6"/>
      <c r="N518" s="9"/>
      <c r="O518" s="9"/>
      <c r="P518" s="9"/>
      <c r="Q518" s="9"/>
    </row>
    <row r="519" spans="1:17" ht="12.75">
      <c r="A519" s="6"/>
      <c r="B519" s="6"/>
      <c r="C519" s="6"/>
      <c r="D519" s="6"/>
      <c r="E519" s="6"/>
      <c r="F519" s="6"/>
      <c r="G519" s="6"/>
      <c r="H519" s="6"/>
      <c r="I519" s="6"/>
      <c r="J519" s="6"/>
      <c r="K519" s="6"/>
      <c r="L519" s="6"/>
      <c r="M519" s="6"/>
      <c r="N519" s="9"/>
      <c r="O519" s="9"/>
      <c r="P519" s="9"/>
      <c r="Q519" s="9"/>
    </row>
    <row r="520" spans="1:17" ht="12.75">
      <c r="A520" s="6"/>
      <c r="B520" s="6"/>
      <c r="C520" s="6"/>
      <c r="D520" s="6"/>
      <c r="E520" s="6"/>
      <c r="F520" s="6"/>
      <c r="G520" s="6"/>
      <c r="H520" s="6"/>
      <c r="I520" s="6"/>
      <c r="J520" s="6"/>
      <c r="K520" s="6"/>
      <c r="L520" s="6"/>
      <c r="M520" s="6"/>
      <c r="N520" s="9"/>
      <c r="O520" s="9"/>
      <c r="P520" s="9"/>
      <c r="Q520" s="9"/>
    </row>
    <row r="521" spans="1:17" ht="12.75">
      <c r="A521" s="6"/>
      <c r="B521" s="6"/>
      <c r="C521" s="6"/>
      <c r="D521" s="6"/>
      <c r="E521" s="6"/>
      <c r="F521" s="6"/>
      <c r="G521" s="6"/>
      <c r="H521" s="6"/>
      <c r="I521" s="6"/>
      <c r="J521" s="6"/>
      <c r="K521" s="6"/>
      <c r="L521" s="6"/>
      <c r="M521" s="6"/>
      <c r="N521" s="9"/>
      <c r="O521" s="9"/>
      <c r="P521" s="9"/>
      <c r="Q521" s="9"/>
    </row>
    <row r="522" spans="1:17" ht="12.75">
      <c r="A522" s="6"/>
      <c r="B522" s="6"/>
      <c r="C522" s="6"/>
      <c r="D522" s="6"/>
      <c r="E522" s="6"/>
      <c r="F522" s="6"/>
      <c r="G522" s="6"/>
      <c r="H522" s="6"/>
      <c r="I522" s="6"/>
      <c r="J522" s="6"/>
      <c r="K522" s="6"/>
      <c r="L522" s="6"/>
      <c r="M522" s="6"/>
      <c r="N522" s="9"/>
      <c r="O522" s="9"/>
      <c r="P522" s="9"/>
      <c r="Q522" s="9"/>
    </row>
    <row r="523" spans="1:17" ht="12.75">
      <c r="A523" s="6"/>
      <c r="B523" s="6"/>
      <c r="C523" s="6"/>
      <c r="D523" s="6"/>
      <c r="E523" s="6"/>
      <c r="F523" s="6"/>
      <c r="G523" s="6"/>
      <c r="H523" s="6"/>
      <c r="I523" s="6"/>
      <c r="J523" s="6"/>
      <c r="K523" s="6"/>
      <c r="L523" s="6"/>
      <c r="M523" s="6"/>
      <c r="N523" s="9"/>
      <c r="O523" s="9"/>
      <c r="P523" s="9"/>
      <c r="Q523" s="9"/>
    </row>
    <row r="524" spans="1:17" ht="12.75">
      <c r="A524" s="6"/>
      <c r="B524" s="6"/>
      <c r="C524" s="6"/>
      <c r="D524" s="6"/>
      <c r="E524" s="6"/>
      <c r="F524" s="6"/>
      <c r="G524" s="6"/>
      <c r="H524" s="6"/>
      <c r="I524" s="6"/>
      <c r="J524" s="6"/>
      <c r="K524" s="6"/>
      <c r="L524" s="6"/>
      <c r="M524" s="6"/>
      <c r="N524" s="9"/>
      <c r="O524" s="9"/>
      <c r="P524" s="9"/>
      <c r="Q524" s="9"/>
    </row>
    <row r="525" spans="1:17" ht="12.75">
      <c r="A525" s="6"/>
      <c r="B525" s="6"/>
      <c r="C525" s="6"/>
      <c r="D525" s="6"/>
      <c r="E525" s="6"/>
      <c r="F525" s="6"/>
      <c r="G525" s="6"/>
      <c r="H525" s="6"/>
      <c r="I525" s="6"/>
      <c r="J525" s="6"/>
      <c r="K525" s="6"/>
      <c r="L525" s="6"/>
      <c r="M525" s="6"/>
      <c r="N525" s="9"/>
      <c r="O525" s="9"/>
      <c r="P525" s="9"/>
      <c r="Q525" s="9"/>
    </row>
    <row r="526" spans="1:17" ht="12.75">
      <c r="A526" s="6"/>
      <c r="B526" s="6"/>
      <c r="C526" s="6"/>
      <c r="D526" s="6"/>
      <c r="E526" s="6"/>
      <c r="F526" s="6"/>
      <c r="G526" s="6"/>
      <c r="H526" s="6"/>
      <c r="I526" s="6"/>
      <c r="J526" s="6"/>
      <c r="K526" s="6"/>
      <c r="L526" s="6"/>
      <c r="M526" s="6"/>
      <c r="N526" s="9"/>
      <c r="O526" s="9"/>
      <c r="P526" s="9"/>
      <c r="Q526" s="9"/>
    </row>
    <row r="527" spans="1:17" ht="12.75">
      <c r="A527" s="6"/>
      <c r="B527" s="6"/>
      <c r="C527" s="6"/>
      <c r="D527" s="6"/>
      <c r="E527" s="6"/>
      <c r="F527" s="6"/>
      <c r="G527" s="6"/>
      <c r="H527" s="6"/>
      <c r="I527" s="6"/>
      <c r="J527" s="6"/>
      <c r="K527" s="6"/>
      <c r="L527" s="6"/>
      <c r="M527" s="6"/>
      <c r="N527" s="9"/>
      <c r="O527" s="9"/>
      <c r="P527" s="9"/>
      <c r="Q527" s="9"/>
    </row>
    <row r="528" spans="1:17" ht="12.75">
      <c r="A528" s="6"/>
      <c r="B528" s="6"/>
      <c r="C528" s="6"/>
      <c r="D528" s="6"/>
      <c r="E528" s="6"/>
      <c r="F528" s="6"/>
      <c r="G528" s="6"/>
      <c r="H528" s="6"/>
      <c r="I528" s="6"/>
      <c r="J528" s="6"/>
      <c r="K528" s="6"/>
      <c r="L528" s="6"/>
      <c r="M528" s="6"/>
      <c r="N528" s="9"/>
      <c r="O528" s="9"/>
      <c r="P528" s="9"/>
      <c r="Q528" s="9"/>
    </row>
    <row r="529" spans="1:17" ht="12.75">
      <c r="A529" s="6"/>
      <c r="B529" s="6"/>
      <c r="C529" s="6"/>
      <c r="D529" s="6"/>
      <c r="E529" s="6"/>
      <c r="F529" s="6"/>
      <c r="G529" s="6"/>
      <c r="H529" s="6"/>
      <c r="I529" s="6"/>
      <c r="J529" s="6"/>
      <c r="K529" s="6"/>
      <c r="L529" s="6"/>
      <c r="M529" s="6"/>
      <c r="N529" s="9"/>
      <c r="O529" s="9"/>
      <c r="P529" s="9"/>
      <c r="Q529" s="9"/>
    </row>
    <row r="530" spans="1:17" ht="12.75">
      <c r="A530" s="6"/>
      <c r="B530" s="6"/>
      <c r="C530" s="6"/>
      <c r="D530" s="6"/>
      <c r="E530" s="6"/>
      <c r="F530" s="6"/>
      <c r="G530" s="6"/>
      <c r="H530" s="6"/>
      <c r="I530" s="6"/>
      <c r="J530" s="6"/>
      <c r="K530" s="6"/>
      <c r="L530" s="6"/>
      <c r="M530" s="6"/>
      <c r="N530" s="9"/>
      <c r="O530" s="9"/>
      <c r="P530" s="9"/>
      <c r="Q530" s="9"/>
    </row>
    <row r="531" spans="1:17" ht="12.75">
      <c r="A531" s="6"/>
      <c r="B531" s="6"/>
      <c r="C531" s="6"/>
      <c r="D531" s="6"/>
      <c r="E531" s="6"/>
      <c r="F531" s="6"/>
      <c r="G531" s="6"/>
      <c r="H531" s="6"/>
      <c r="I531" s="6"/>
      <c r="J531" s="6"/>
      <c r="K531" s="6"/>
      <c r="L531" s="6"/>
      <c r="M531" s="6"/>
      <c r="N531" s="9"/>
      <c r="O531" s="9"/>
      <c r="P531" s="9"/>
      <c r="Q531" s="9"/>
    </row>
    <row r="532" spans="1:17" ht="12.75">
      <c r="A532" s="9"/>
      <c r="B532" s="9"/>
      <c r="C532" s="9"/>
      <c r="D532" s="9"/>
      <c r="E532" s="9"/>
      <c r="F532" s="9"/>
      <c r="G532" s="9"/>
      <c r="H532" s="9"/>
      <c r="I532" s="9"/>
      <c r="J532" s="9"/>
      <c r="K532" s="9"/>
      <c r="L532" s="9"/>
      <c r="M532" s="9"/>
      <c r="N532" s="9"/>
      <c r="O532" s="9"/>
      <c r="P532" s="9"/>
      <c r="Q532" s="9"/>
    </row>
    <row r="533" spans="1:17" ht="12.75">
      <c r="A533" s="9"/>
      <c r="B533" s="9"/>
      <c r="C533" s="9"/>
      <c r="D533" s="9"/>
      <c r="E533" s="9"/>
      <c r="F533" s="9"/>
      <c r="G533" s="9"/>
      <c r="H533" s="9"/>
      <c r="I533" s="9"/>
      <c r="J533" s="9"/>
      <c r="K533" s="9"/>
      <c r="L533" s="9"/>
      <c r="M533" s="9"/>
      <c r="N533" s="9"/>
      <c r="O533" s="9"/>
      <c r="P533" s="9"/>
      <c r="Q533" s="9"/>
    </row>
    <row r="534" spans="1:17" ht="12.75">
      <c r="A534" s="9"/>
      <c r="B534" s="9"/>
      <c r="C534" s="9"/>
      <c r="D534" s="9"/>
      <c r="E534" s="9"/>
      <c r="F534" s="9"/>
      <c r="G534" s="9"/>
      <c r="H534" s="9"/>
      <c r="I534" s="9"/>
      <c r="J534" s="9"/>
      <c r="K534" s="9"/>
      <c r="L534" s="9"/>
      <c r="M534" s="9"/>
      <c r="N534" s="9"/>
      <c r="O534" s="9"/>
      <c r="P534" s="9"/>
      <c r="Q534" s="9"/>
    </row>
    <row r="535" spans="1:17" ht="12.75">
      <c r="A535" s="9"/>
      <c r="B535" s="9"/>
      <c r="C535" s="9"/>
      <c r="D535" s="9"/>
      <c r="E535" s="9"/>
      <c r="F535" s="9"/>
      <c r="G535" s="9"/>
      <c r="H535" s="9"/>
      <c r="I535" s="9"/>
      <c r="J535" s="9"/>
      <c r="K535" s="9"/>
      <c r="L535" s="9"/>
      <c r="M535" s="9"/>
      <c r="N535" s="9"/>
      <c r="O535" s="9"/>
      <c r="P535" s="9"/>
      <c r="Q535" s="9"/>
    </row>
    <row r="536" spans="1:17" ht="12.75">
      <c r="A536" s="9"/>
      <c r="B536" s="9"/>
      <c r="C536" s="9"/>
      <c r="D536" s="9"/>
      <c r="E536" s="9"/>
      <c r="F536" s="9"/>
      <c r="G536" s="9"/>
      <c r="H536" s="9"/>
      <c r="I536" s="9"/>
      <c r="J536" s="9"/>
      <c r="K536" s="9"/>
      <c r="L536" s="9"/>
      <c r="M536" s="9"/>
      <c r="N536" s="9"/>
      <c r="O536" s="9"/>
      <c r="P536" s="9"/>
      <c r="Q536" s="9"/>
    </row>
    <row r="537" spans="1:17" ht="12.75">
      <c r="A537" s="9"/>
      <c r="B537" s="9"/>
      <c r="C537" s="9"/>
      <c r="D537" s="9"/>
      <c r="E537" s="9"/>
      <c r="F537" s="9"/>
      <c r="G537" s="9"/>
      <c r="H537" s="9"/>
      <c r="I537" s="9"/>
      <c r="J537" s="9"/>
      <c r="K537" s="9"/>
      <c r="L537" s="9"/>
      <c r="M537" s="9"/>
      <c r="N537" s="9"/>
      <c r="O537" s="9"/>
      <c r="P537" s="9"/>
      <c r="Q537" s="9"/>
    </row>
    <row r="538" spans="1:17" ht="12.75">
      <c r="A538" s="9"/>
      <c r="B538" s="9"/>
      <c r="C538" s="9"/>
      <c r="D538" s="9"/>
      <c r="E538" s="9"/>
      <c r="F538" s="9"/>
      <c r="G538" s="9"/>
      <c r="H538" s="9"/>
      <c r="I538" s="9"/>
      <c r="J538" s="9"/>
      <c r="K538" s="9"/>
      <c r="L538" s="9"/>
      <c r="M538" s="9"/>
      <c r="N538" s="9"/>
      <c r="O538" s="9"/>
      <c r="P538" s="9"/>
      <c r="Q538" s="9"/>
    </row>
    <row r="539" spans="1:17" ht="12.75">
      <c r="A539" s="9"/>
      <c r="B539" s="9"/>
      <c r="C539" s="9"/>
      <c r="D539" s="9"/>
      <c r="E539" s="9"/>
      <c r="F539" s="9"/>
      <c r="G539" s="9"/>
      <c r="H539" s="9"/>
      <c r="I539" s="9"/>
      <c r="J539" s="9"/>
      <c r="K539" s="9"/>
      <c r="L539" s="9"/>
      <c r="M539" s="9"/>
      <c r="N539" s="9"/>
      <c r="O539" s="9"/>
      <c r="P539" s="9"/>
      <c r="Q539" s="9"/>
    </row>
    <row r="540" spans="1:17" ht="12.75">
      <c r="A540" s="9"/>
      <c r="B540" s="9"/>
      <c r="C540" s="9"/>
      <c r="D540" s="9"/>
      <c r="E540" s="9"/>
      <c r="F540" s="9"/>
      <c r="G540" s="9"/>
      <c r="H540" s="9"/>
      <c r="I540" s="9"/>
      <c r="J540" s="9"/>
      <c r="K540" s="9"/>
      <c r="L540" s="9"/>
      <c r="M540" s="9"/>
      <c r="N540" s="9"/>
      <c r="O540" s="9"/>
      <c r="P540" s="9"/>
      <c r="Q540" s="9"/>
    </row>
    <row r="541" spans="1:17" ht="12.75">
      <c r="A541" s="9"/>
      <c r="B541" s="9"/>
      <c r="C541" s="9"/>
      <c r="D541" s="9"/>
      <c r="E541" s="9"/>
      <c r="F541" s="9"/>
      <c r="G541" s="9"/>
      <c r="H541" s="9"/>
      <c r="I541" s="9"/>
      <c r="J541" s="9"/>
      <c r="K541" s="9"/>
      <c r="L541" s="9"/>
      <c r="M541" s="9"/>
      <c r="N541" s="9"/>
      <c r="O541" s="9"/>
      <c r="P541" s="9"/>
      <c r="Q541" s="9"/>
    </row>
    <row r="542" spans="1:17" ht="12.75">
      <c r="A542" s="9"/>
      <c r="B542" s="9"/>
      <c r="C542" s="9"/>
      <c r="D542" s="9"/>
      <c r="E542" s="9"/>
      <c r="F542" s="9"/>
      <c r="G542" s="9"/>
      <c r="H542" s="9"/>
      <c r="I542" s="9"/>
      <c r="J542" s="9"/>
      <c r="K542" s="9"/>
      <c r="L542" s="9"/>
      <c r="M542" s="9"/>
      <c r="N542" s="9"/>
      <c r="O542" s="9"/>
      <c r="P542" s="9"/>
      <c r="Q542" s="9"/>
    </row>
    <row r="543" spans="1:17" ht="12.75">
      <c r="A543" s="9"/>
      <c r="B543" s="9"/>
      <c r="C543" s="9"/>
      <c r="D543" s="9"/>
      <c r="E543" s="9"/>
      <c r="F543" s="9"/>
      <c r="G543" s="9"/>
      <c r="H543" s="9"/>
      <c r="I543" s="9"/>
      <c r="J543" s="9"/>
      <c r="K543" s="9"/>
      <c r="L543" s="9"/>
      <c r="M543" s="9"/>
      <c r="N543" s="9"/>
      <c r="O543" s="9"/>
      <c r="P543" s="9"/>
      <c r="Q543" s="9"/>
    </row>
    <row r="544" spans="1:17" ht="12.75">
      <c r="A544" s="9"/>
      <c r="B544" s="9"/>
      <c r="C544" s="9"/>
      <c r="D544" s="9"/>
      <c r="E544" s="9"/>
      <c r="F544" s="9"/>
      <c r="G544" s="9"/>
      <c r="H544" s="9"/>
      <c r="I544" s="9"/>
      <c r="J544" s="9"/>
      <c r="K544" s="9"/>
      <c r="L544" s="9"/>
      <c r="M544" s="9"/>
      <c r="N544" s="9"/>
      <c r="O544" s="9"/>
      <c r="P544" s="9"/>
      <c r="Q544" s="9"/>
    </row>
    <row r="545" spans="1:17" ht="12.75">
      <c r="A545" s="9"/>
      <c r="B545" s="9"/>
      <c r="C545" s="9"/>
      <c r="D545" s="9"/>
      <c r="E545" s="9"/>
      <c r="F545" s="9"/>
      <c r="G545" s="9"/>
      <c r="H545" s="9"/>
      <c r="I545" s="9"/>
      <c r="J545" s="9"/>
      <c r="K545" s="9"/>
      <c r="L545" s="9"/>
      <c r="M545" s="9"/>
      <c r="N545" s="9"/>
      <c r="O545" s="9"/>
      <c r="P545" s="9"/>
      <c r="Q545" s="9"/>
    </row>
    <row r="546" spans="1:17" ht="12.75">
      <c r="A546" s="9"/>
      <c r="B546" s="9"/>
      <c r="C546" s="9"/>
      <c r="D546" s="9"/>
      <c r="E546" s="9"/>
      <c r="F546" s="9"/>
      <c r="G546" s="9"/>
      <c r="H546" s="9"/>
      <c r="I546" s="9"/>
      <c r="J546" s="9"/>
      <c r="K546" s="9"/>
      <c r="L546" s="9"/>
      <c r="M546" s="9"/>
      <c r="N546" s="9"/>
      <c r="O546" s="9"/>
      <c r="P546" s="9"/>
      <c r="Q546" s="9"/>
    </row>
    <row r="547" spans="1:17" ht="12.75">
      <c r="A547" s="9"/>
      <c r="B547" s="9"/>
      <c r="C547" s="9"/>
      <c r="D547" s="9"/>
      <c r="E547" s="9"/>
      <c r="F547" s="9"/>
      <c r="G547" s="9"/>
      <c r="H547" s="9"/>
      <c r="I547" s="9"/>
      <c r="J547" s="9"/>
      <c r="K547" s="9"/>
      <c r="L547" s="9"/>
      <c r="M547" s="9"/>
      <c r="N547" s="9"/>
      <c r="O547" s="9"/>
      <c r="P547" s="9"/>
      <c r="Q547" s="9"/>
    </row>
    <row r="548" spans="1:17" ht="12.75">
      <c r="A548" s="9"/>
      <c r="B548" s="9"/>
      <c r="C548" s="9"/>
      <c r="D548" s="9"/>
      <c r="E548" s="9"/>
      <c r="F548" s="9"/>
      <c r="G548" s="9"/>
      <c r="H548" s="9"/>
      <c r="I548" s="9"/>
      <c r="J548" s="9"/>
      <c r="K548" s="9"/>
      <c r="L548" s="9"/>
      <c r="M548" s="9"/>
      <c r="N548" s="9"/>
      <c r="O548" s="9"/>
      <c r="P548" s="9"/>
      <c r="Q548" s="9"/>
    </row>
    <row r="549" spans="1:17" ht="12.75">
      <c r="A549" s="9"/>
      <c r="B549" s="9"/>
      <c r="C549" s="9"/>
      <c r="D549" s="9"/>
      <c r="E549" s="9"/>
      <c r="F549" s="9"/>
      <c r="G549" s="9"/>
      <c r="H549" s="9"/>
      <c r="I549" s="9"/>
      <c r="J549" s="9"/>
      <c r="K549" s="9"/>
      <c r="L549" s="9"/>
      <c r="M549" s="9"/>
      <c r="N549" s="9"/>
      <c r="O549" s="9"/>
      <c r="P549" s="9"/>
      <c r="Q549" s="9"/>
    </row>
    <row r="550" spans="1:17" ht="12.75">
      <c r="A550" s="9"/>
      <c r="B550" s="9"/>
      <c r="C550" s="9"/>
      <c r="D550" s="9"/>
      <c r="E550" s="9"/>
      <c r="F550" s="9"/>
      <c r="G550" s="9"/>
      <c r="H550" s="9"/>
      <c r="I550" s="9"/>
      <c r="J550" s="9"/>
      <c r="K550" s="9"/>
      <c r="L550" s="9"/>
      <c r="M550" s="9"/>
      <c r="N550" s="9"/>
      <c r="O550" s="9"/>
      <c r="P550" s="9"/>
      <c r="Q550" s="9"/>
    </row>
    <row r="551" spans="1:17" ht="12.75">
      <c r="A551" s="9"/>
      <c r="B551" s="9"/>
      <c r="C551" s="9"/>
      <c r="D551" s="9"/>
      <c r="E551" s="9"/>
      <c r="F551" s="9"/>
      <c r="G551" s="9"/>
      <c r="H551" s="9"/>
      <c r="I551" s="9"/>
      <c r="J551" s="9"/>
      <c r="K551" s="9"/>
      <c r="L551" s="9"/>
      <c r="M551" s="9"/>
      <c r="N551" s="9"/>
      <c r="O551" s="9"/>
      <c r="P551" s="9"/>
      <c r="Q551" s="9"/>
    </row>
    <row r="552" spans="1:17" ht="12.75">
      <c r="A552" s="9"/>
      <c r="B552" s="9"/>
      <c r="C552" s="9"/>
      <c r="D552" s="9"/>
      <c r="E552" s="9"/>
      <c r="F552" s="9"/>
      <c r="G552" s="9"/>
      <c r="H552" s="9"/>
      <c r="I552" s="9"/>
      <c r="J552" s="9"/>
      <c r="K552" s="9"/>
      <c r="L552" s="9"/>
      <c r="M552" s="9"/>
      <c r="N552" s="9"/>
      <c r="O552" s="9"/>
      <c r="P552" s="9"/>
      <c r="Q552" s="9"/>
    </row>
    <row r="553" spans="1:17" ht="12.75">
      <c r="A553" s="9"/>
      <c r="B553" s="9"/>
      <c r="C553" s="9"/>
      <c r="D553" s="9"/>
      <c r="E553" s="9"/>
      <c r="F553" s="9"/>
      <c r="G553" s="9"/>
      <c r="H553" s="9"/>
      <c r="I553" s="9"/>
      <c r="J553" s="9"/>
      <c r="K553" s="9"/>
      <c r="L553" s="9"/>
      <c r="M553" s="9"/>
      <c r="N553" s="9"/>
      <c r="O553" s="9"/>
      <c r="P553" s="9"/>
      <c r="Q553" s="9"/>
    </row>
    <row r="554" spans="1:17" ht="12.75">
      <c r="A554" s="9"/>
      <c r="B554" s="9"/>
      <c r="C554" s="9"/>
      <c r="D554" s="9"/>
      <c r="E554" s="9"/>
      <c r="F554" s="9"/>
      <c r="G554" s="9"/>
      <c r="H554" s="9"/>
      <c r="I554" s="9"/>
      <c r="J554" s="9"/>
      <c r="K554" s="9"/>
      <c r="L554" s="9"/>
      <c r="M554" s="9"/>
      <c r="N554" s="9"/>
      <c r="O554" s="9"/>
      <c r="P554" s="9"/>
      <c r="Q554" s="9"/>
    </row>
    <row r="555" spans="1:17" ht="12.75">
      <c r="A555" s="9"/>
      <c r="B555" s="9"/>
      <c r="C555" s="9"/>
      <c r="D555" s="9"/>
      <c r="E555" s="9"/>
      <c r="F555" s="9"/>
      <c r="G555" s="9"/>
      <c r="H555" s="9"/>
      <c r="I555" s="9"/>
      <c r="J555" s="9"/>
      <c r="K555" s="9"/>
      <c r="L555" s="9"/>
      <c r="M555" s="9"/>
      <c r="N555" s="9"/>
      <c r="O555" s="9"/>
      <c r="P555" s="9"/>
      <c r="Q555" s="9"/>
    </row>
    <row r="556" spans="1:17" ht="12.75">
      <c r="A556" s="9"/>
      <c r="B556" s="9"/>
      <c r="C556" s="9"/>
      <c r="D556" s="9"/>
      <c r="E556" s="9"/>
      <c r="F556" s="9"/>
      <c r="G556" s="9"/>
      <c r="H556" s="9"/>
      <c r="I556" s="9"/>
      <c r="J556" s="9"/>
      <c r="K556" s="9"/>
      <c r="L556" s="9"/>
      <c r="M556" s="9"/>
      <c r="N556" s="9"/>
      <c r="O556" s="9"/>
      <c r="P556" s="9"/>
      <c r="Q556" s="9"/>
    </row>
    <row r="557" spans="1:17" ht="12.75">
      <c r="A557" s="9"/>
      <c r="B557" s="9"/>
      <c r="C557" s="9"/>
      <c r="D557" s="9"/>
      <c r="E557" s="9"/>
      <c r="F557" s="9"/>
      <c r="G557" s="9"/>
      <c r="H557" s="9"/>
      <c r="I557" s="9"/>
      <c r="J557" s="9"/>
      <c r="K557" s="9"/>
      <c r="L557" s="9"/>
      <c r="M557" s="9"/>
      <c r="N557" s="9"/>
      <c r="O557" s="9"/>
      <c r="P557" s="9"/>
      <c r="Q557" s="9"/>
    </row>
    <row r="558" spans="1:17" ht="12.75">
      <c r="A558" s="9"/>
      <c r="B558" s="9"/>
      <c r="C558" s="9"/>
      <c r="D558" s="9"/>
      <c r="E558" s="9"/>
      <c r="F558" s="9"/>
      <c r="G558" s="9"/>
      <c r="H558" s="9"/>
      <c r="I558" s="9"/>
      <c r="J558" s="9"/>
      <c r="K558" s="9"/>
      <c r="L558" s="9"/>
      <c r="M558" s="9"/>
      <c r="N558" s="9"/>
      <c r="O558" s="9"/>
      <c r="P558" s="9"/>
      <c r="Q558" s="9"/>
    </row>
    <row r="559" spans="1:17" ht="12.75">
      <c r="A559" s="9"/>
      <c r="B559" s="9"/>
      <c r="C559" s="9"/>
      <c r="D559" s="9"/>
      <c r="E559" s="9"/>
      <c r="F559" s="9"/>
      <c r="G559" s="9"/>
      <c r="H559" s="9"/>
      <c r="I559" s="9"/>
      <c r="J559" s="9"/>
      <c r="K559" s="9"/>
      <c r="L559" s="9"/>
      <c r="M559" s="9"/>
      <c r="N559" s="9"/>
      <c r="O559" s="9"/>
      <c r="P559" s="9"/>
      <c r="Q559" s="9"/>
    </row>
    <row r="560" spans="1:17" ht="12.75">
      <c r="A560" s="9"/>
      <c r="B560" s="9"/>
      <c r="C560" s="9"/>
      <c r="D560" s="9"/>
      <c r="E560" s="9"/>
      <c r="F560" s="9"/>
      <c r="G560" s="9"/>
      <c r="H560" s="9"/>
      <c r="I560" s="9"/>
      <c r="J560" s="9"/>
      <c r="K560" s="9"/>
      <c r="L560" s="9"/>
      <c r="M560" s="9"/>
      <c r="N560" s="9"/>
      <c r="O560" s="9"/>
      <c r="P560" s="9"/>
      <c r="Q560" s="9"/>
    </row>
    <row r="561" spans="1:17" ht="12.75">
      <c r="A561" s="9"/>
      <c r="B561" s="9"/>
      <c r="C561" s="9"/>
      <c r="D561" s="9"/>
      <c r="E561" s="9"/>
      <c r="F561" s="9"/>
      <c r="G561" s="9"/>
      <c r="H561" s="9"/>
      <c r="I561" s="9"/>
      <c r="J561" s="9"/>
      <c r="K561" s="9"/>
      <c r="L561" s="9"/>
      <c r="M561" s="9"/>
      <c r="N561" s="9"/>
      <c r="O561" s="9"/>
      <c r="P561" s="9"/>
      <c r="Q561" s="9"/>
    </row>
    <row r="562" spans="1:17" ht="12.75">
      <c r="A562" s="9"/>
      <c r="B562" s="9"/>
      <c r="C562" s="9"/>
      <c r="D562" s="9"/>
      <c r="E562" s="9"/>
      <c r="F562" s="9"/>
      <c r="G562" s="9"/>
      <c r="H562" s="9"/>
      <c r="I562" s="9"/>
      <c r="J562" s="9"/>
      <c r="K562" s="9"/>
      <c r="L562" s="9"/>
      <c r="M562" s="9"/>
      <c r="N562" s="9"/>
      <c r="O562" s="9"/>
      <c r="P562" s="9"/>
      <c r="Q562" s="9"/>
    </row>
    <row r="563" spans="1:17" ht="12.75">
      <c r="A563" s="9"/>
      <c r="B563" s="9"/>
      <c r="C563" s="9"/>
      <c r="D563" s="9"/>
      <c r="E563" s="9"/>
      <c r="F563" s="9"/>
      <c r="G563" s="9"/>
      <c r="H563" s="9"/>
      <c r="I563" s="9"/>
      <c r="J563" s="9"/>
      <c r="K563" s="9"/>
      <c r="L563" s="9"/>
      <c r="M563" s="9"/>
      <c r="N563" s="9"/>
      <c r="O563" s="9"/>
      <c r="P563" s="9"/>
      <c r="Q563" s="9"/>
    </row>
    <row r="564" spans="1:17" ht="12.75">
      <c r="A564" s="9"/>
      <c r="B564" s="9"/>
      <c r="C564" s="9"/>
      <c r="D564" s="9"/>
      <c r="E564" s="9"/>
      <c r="F564" s="9"/>
      <c r="G564" s="9"/>
      <c r="H564" s="9"/>
      <c r="I564" s="9"/>
      <c r="J564" s="9"/>
      <c r="K564" s="9"/>
      <c r="L564" s="9"/>
      <c r="M564" s="9"/>
      <c r="N564" s="9"/>
      <c r="O564" s="9"/>
      <c r="P564" s="9"/>
      <c r="Q564" s="9"/>
    </row>
    <row r="565" spans="1:17" ht="12.75">
      <c r="A565" s="9"/>
      <c r="B565" s="9"/>
      <c r="C565" s="9"/>
      <c r="D565" s="9"/>
      <c r="E565" s="9"/>
      <c r="F565" s="9"/>
      <c r="G565" s="9"/>
      <c r="H565" s="9"/>
      <c r="I565" s="9"/>
      <c r="J565" s="9"/>
      <c r="K565" s="9"/>
      <c r="L565" s="9"/>
      <c r="M565" s="9"/>
      <c r="N565" s="9"/>
      <c r="O565" s="9"/>
      <c r="P565" s="9"/>
      <c r="Q565" s="9"/>
    </row>
    <row r="566" spans="1:17" ht="12.75">
      <c r="A566" s="9"/>
      <c r="B566" s="9"/>
      <c r="C566" s="9"/>
      <c r="D566" s="9"/>
      <c r="E566" s="9"/>
      <c r="F566" s="9"/>
      <c r="G566" s="9"/>
      <c r="H566" s="9"/>
      <c r="I566" s="9"/>
      <c r="J566" s="9"/>
      <c r="K566" s="9"/>
      <c r="L566" s="9"/>
      <c r="M566" s="9"/>
      <c r="N566" s="9"/>
      <c r="O566" s="9"/>
      <c r="P566" s="9"/>
      <c r="Q566" s="9"/>
    </row>
    <row r="567" spans="1:17" ht="12.75">
      <c r="A567" s="9"/>
      <c r="B567" s="9"/>
      <c r="C567" s="9"/>
      <c r="D567" s="9"/>
      <c r="E567" s="9"/>
      <c r="F567" s="9"/>
      <c r="G567" s="9"/>
      <c r="H567" s="9"/>
      <c r="I567" s="9"/>
      <c r="J567" s="9"/>
      <c r="K567" s="9"/>
      <c r="L567" s="9"/>
      <c r="M567" s="9"/>
      <c r="N567" s="9"/>
      <c r="O567" s="9"/>
      <c r="P567" s="9"/>
      <c r="Q567" s="9"/>
    </row>
    <row r="568" spans="1:17" ht="12.75">
      <c r="A568" s="9"/>
      <c r="B568" s="9"/>
      <c r="C568" s="9"/>
      <c r="D568" s="9"/>
      <c r="E568" s="9"/>
      <c r="F568" s="9"/>
      <c r="G568" s="9"/>
      <c r="H568" s="9"/>
      <c r="I568" s="9"/>
      <c r="J568" s="9"/>
      <c r="K568" s="9"/>
      <c r="L568" s="9"/>
      <c r="M568" s="9"/>
      <c r="N568" s="9"/>
      <c r="O568" s="9"/>
      <c r="P568" s="9"/>
      <c r="Q568" s="9"/>
    </row>
    <row r="569" spans="1:17" ht="12.75">
      <c r="A569" s="9"/>
      <c r="B569" s="9"/>
      <c r="C569" s="9"/>
      <c r="D569" s="9"/>
      <c r="E569" s="9"/>
      <c r="F569" s="9"/>
      <c r="G569" s="9"/>
      <c r="H569" s="9"/>
      <c r="I569" s="9"/>
      <c r="J569" s="9"/>
      <c r="K569" s="9"/>
      <c r="L569" s="9"/>
      <c r="M569" s="9"/>
      <c r="N569" s="9"/>
      <c r="O569" s="9"/>
      <c r="P569" s="9"/>
      <c r="Q569" s="9"/>
    </row>
    <row r="570" spans="1:17" ht="12.75">
      <c r="A570" s="9"/>
      <c r="B570" s="9"/>
      <c r="C570" s="9"/>
      <c r="D570" s="9"/>
      <c r="E570" s="9"/>
      <c r="F570" s="9"/>
      <c r="G570" s="9"/>
      <c r="H570" s="9"/>
      <c r="I570" s="9"/>
      <c r="J570" s="9"/>
      <c r="K570" s="9"/>
      <c r="L570" s="9"/>
      <c r="M570" s="9"/>
      <c r="N570" s="9"/>
      <c r="O570" s="9"/>
      <c r="P570" s="9"/>
      <c r="Q570" s="9"/>
    </row>
    <row r="571" spans="1:17" ht="12.75">
      <c r="A571" s="9"/>
      <c r="B571" s="9"/>
      <c r="C571" s="9"/>
      <c r="D571" s="9"/>
      <c r="E571" s="9"/>
      <c r="F571" s="9"/>
      <c r="G571" s="9"/>
      <c r="H571" s="9"/>
      <c r="I571" s="9"/>
      <c r="J571" s="9"/>
      <c r="K571" s="9"/>
      <c r="L571" s="9"/>
      <c r="M571" s="9"/>
      <c r="N571" s="9"/>
      <c r="O571" s="9"/>
      <c r="P571" s="9"/>
      <c r="Q571" s="9"/>
    </row>
    <row r="572" spans="1:17" ht="12.75">
      <c r="A572" s="9"/>
      <c r="B572" s="9"/>
      <c r="C572" s="9"/>
      <c r="D572" s="9"/>
      <c r="E572" s="9"/>
      <c r="F572" s="9"/>
      <c r="G572" s="9"/>
      <c r="H572" s="9"/>
      <c r="I572" s="9"/>
      <c r="J572" s="9"/>
      <c r="K572" s="9"/>
      <c r="L572" s="9"/>
      <c r="M572" s="9"/>
      <c r="N572" s="9"/>
      <c r="O572" s="9"/>
      <c r="P572" s="9"/>
      <c r="Q572" s="9"/>
    </row>
    <row r="573" spans="1:17" ht="12.75">
      <c r="A573" s="9"/>
      <c r="B573" s="9"/>
      <c r="C573" s="9"/>
      <c r="D573" s="9"/>
      <c r="E573" s="9"/>
      <c r="F573" s="9"/>
      <c r="G573" s="9"/>
      <c r="H573" s="9"/>
      <c r="I573" s="9"/>
      <c r="J573" s="9"/>
      <c r="K573" s="9"/>
      <c r="L573" s="9"/>
      <c r="M573" s="9"/>
      <c r="N573" s="9"/>
      <c r="O573" s="9"/>
      <c r="P573" s="9"/>
      <c r="Q573" s="9"/>
    </row>
    <row r="574" spans="1:17" ht="12.75">
      <c r="A574" s="9"/>
      <c r="B574" s="9"/>
      <c r="C574" s="9"/>
      <c r="D574" s="9"/>
      <c r="E574" s="9"/>
      <c r="F574" s="9"/>
      <c r="G574" s="9"/>
      <c r="H574" s="9"/>
      <c r="I574" s="9"/>
      <c r="J574" s="9"/>
      <c r="K574" s="9"/>
      <c r="L574" s="9"/>
      <c r="M574" s="9"/>
      <c r="N574" s="9"/>
      <c r="O574" s="9"/>
      <c r="P574" s="9"/>
      <c r="Q574" s="9"/>
    </row>
    <row r="575" spans="1:17" ht="12.75">
      <c r="A575" s="9"/>
      <c r="B575" s="9"/>
      <c r="C575" s="9"/>
      <c r="D575" s="9"/>
      <c r="E575" s="9"/>
      <c r="F575" s="9"/>
      <c r="G575" s="9"/>
      <c r="H575" s="9"/>
      <c r="I575" s="9"/>
      <c r="J575" s="9"/>
      <c r="K575" s="9"/>
      <c r="L575" s="9"/>
      <c r="M575" s="9"/>
      <c r="N575" s="9"/>
      <c r="O575" s="9"/>
      <c r="P575" s="9"/>
      <c r="Q575" s="9"/>
    </row>
    <row r="576" spans="1:17" ht="12.75">
      <c r="A576" s="9"/>
      <c r="B576" s="9"/>
      <c r="C576" s="9"/>
      <c r="D576" s="9"/>
      <c r="E576" s="9"/>
      <c r="F576" s="9"/>
      <c r="G576" s="9"/>
      <c r="H576" s="9"/>
      <c r="I576" s="9"/>
      <c r="J576" s="9"/>
      <c r="K576" s="9"/>
      <c r="L576" s="9"/>
      <c r="M576" s="9"/>
      <c r="N576" s="9"/>
      <c r="O576" s="9"/>
      <c r="P576" s="9"/>
      <c r="Q576" s="9"/>
    </row>
    <row r="577" spans="1:17" ht="12.75">
      <c r="A577" s="9"/>
      <c r="B577" s="9"/>
      <c r="C577" s="9"/>
      <c r="D577" s="9"/>
      <c r="E577" s="9"/>
      <c r="F577" s="9"/>
      <c r="G577" s="9"/>
      <c r="H577" s="9"/>
      <c r="I577" s="9"/>
      <c r="J577" s="9"/>
      <c r="K577" s="9"/>
      <c r="L577" s="9"/>
      <c r="M577" s="9"/>
      <c r="N577" s="9"/>
      <c r="O577" s="9"/>
      <c r="P577" s="9"/>
      <c r="Q577" s="9"/>
    </row>
    <row r="578" spans="1:17" ht="12.75">
      <c r="A578" s="9"/>
      <c r="B578" s="9"/>
      <c r="C578" s="9"/>
      <c r="D578" s="9"/>
      <c r="E578" s="9"/>
      <c r="F578" s="9"/>
      <c r="G578" s="9"/>
      <c r="H578" s="9"/>
      <c r="I578" s="9"/>
      <c r="J578" s="9"/>
      <c r="K578" s="9"/>
      <c r="L578" s="9"/>
      <c r="M578" s="9"/>
      <c r="N578" s="9"/>
      <c r="O578" s="9"/>
      <c r="P578" s="9"/>
      <c r="Q578" s="9"/>
    </row>
    <row r="579" spans="1:17" ht="12.75">
      <c r="A579" s="9"/>
      <c r="B579" s="9"/>
      <c r="C579" s="9"/>
      <c r="D579" s="9"/>
      <c r="E579" s="9"/>
      <c r="F579" s="9"/>
      <c r="G579" s="9"/>
      <c r="H579" s="9"/>
      <c r="I579" s="9"/>
      <c r="J579" s="9"/>
      <c r="K579" s="9"/>
      <c r="L579" s="9"/>
      <c r="M579" s="9"/>
      <c r="N579" s="9"/>
      <c r="O579" s="9"/>
      <c r="P579" s="9"/>
      <c r="Q579" s="9"/>
    </row>
    <row r="580" spans="1:17" ht="12.75">
      <c r="A580" s="9"/>
      <c r="B580" s="9"/>
      <c r="C580" s="9"/>
      <c r="D580" s="9"/>
      <c r="E580" s="9"/>
      <c r="F580" s="9"/>
      <c r="G580" s="9"/>
      <c r="H580" s="9"/>
      <c r="I580" s="9"/>
      <c r="J580" s="9"/>
      <c r="K580" s="9"/>
      <c r="L580" s="9"/>
      <c r="M580" s="9"/>
      <c r="N580" s="9"/>
      <c r="O580" s="9"/>
      <c r="P580" s="9"/>
      <c r="Q580" s="9"/>
    </row>
    <row r="581" spans="1:17" ht="12.75">
      <c r="A581" s="9"/>
      <c r="B581" s="9"/>
      <c r="C581" s="9"/>
      <c r="D581" s="9"/>
      <c r="E581" s="9"/>
      <c r="F581" s="9"/>
      <c r="G581" s="9"/>
      <c r="H581" s="9"/>
      <c r="I581" s="9"/>
      <c r="J581" s="9"/>
      <c r="K581" s="9"/>
      <c r="L581" s="9"/>
      <c r="M581" s="9"/>
      <c r="N581" s="9"/>
      <c r="O581" s="9"/>
      <c r="P581" s="9"/>
      <c r="Q581" s="9"/>
    </row>
    <row r="582" spans="1:17" ht="12.75">
      <c r="A582" s="9"/>
      <c r="B582" s="9"/>
      <c r="C582" s="9"/>
      <c r="D582" s="9"/>
      <c r="E582" s="9"/>
      <c r="F582" s="9"/>
      <c r="G582" s="9"/>
      <c r="H582" s="9"/>
      <c r="I582" s="9"/>
      <c r="J582" s="9"/>
      <c r="K582" s="9"/>
      <c r="L582" s="9"/>
      <c r="M582" s="9"/>
      <c r="N582" s="9"/>
      <c r="O582" s="9"/>
      <c r="P582" s="9"/>
      <c r="Q582" s="9"/>
    </row>
    <row r="583" spans="1:17" ht="12.75">
      <c r="A583" s="9"/>
      <c r="B583" s="9"/>
      <c r="C583" s="9"/>
      <c r="D583" s="9"/>
      <c r="E583" s="9"/>
      <c r="F583" s="9"/>
      <c r="G583" s="9"/>
      <c r="H583" s="9"/>
      <c r="I583" s="9"/>
      <c r="J583" s="9"/>
      <c r="K583" s="9"/>
      <c r="L583" s="9"/>
      <c r="M583" s="9"/>
      <c r="N583" s="9"/>
      <c r="O583" s="9"/>
      <c r="P583" s="9"/>
      <c r="Q583" s="9"/>
    </row>
    <row r="584" spans="1:17" ht="12.75">
      <c r="A584" s="9"/>
      <c r="B584" s="9"/>
      <c r="C584" s="9"/>
      <c r="D584" s="9"/>
      <c r="E584" s="9"/>
      <c r="F584" s="9"/>
      <c r="G584" s="9"/>
      <c r="H584" s="9"/>
      <c r="I584" s="9"/>
      <c r="J584" s="9"/>
      <c r="K584" s="9"/>
      <c r="L584" s="9"/>
      <c r="M584" s="9"/>
      <c r="N584" s="9"/>
      <c r="O584" s="9"/>
      <c r="P584" s="9"/>
      <c r="Q584" s="9"/>
    </row>
    <row r="585" spans="1:17" ht="12.75">
      <c r="A585" s="9"/>
      <c r="B585" s="9"/>
      <c r="C585" s="9"/>
      <c r="D585" s="9"/>
      <c r="E585" s="9"/>
      <c r="F585" s="9"/>
      <c r="G585" s="9"/>
      <c r="H585" s="9"/>
      <c r="I585" s="9"/>
      <c r="J585" s="9"/>
      <c r="K585" s="9"/>
      <c r="L585" s="9"/>
      <c r="M585" s="9"/>
      <c r="N585" s="9"/>
      <c r="O585" s="9"/>
      <c r="P585" s="9"/>
      <c r="Q585" s="9"/>
    </row>
    <row r="586" spans="1:17" ht="12.75">
      <c r="A586" s="9"/>
      <c r="B586" s="9"/>
      <c r="C586" s="9"/>
      <c r="D586" s="9"/>
      <c r="E586" s="9"/>
      <c r="F586" s="9"/>
      <c r="G586" s="9"/>
      <c r="H586" s="9"/>
      <c r="I586" s="9"/>
      <c r="J586" s="9"/>
      <c r="K586" s="9"/>
      <c r="L586" s="9"/>
      <c r="M586" s="9"/>
      <c r="N586" s="9"/>
      <c r="O586" s="9"/>
      <c r="P586" s="9"/>
      <c r="Q586" s="9"/>
    </row>
    <row r="587" spans="1:17" ht="12.75">
      <c r="A587" s="9"/>
      <c r="B587" s="9"/>
      <c r="C587" s="9"/>
      <c r="D587" s="9"/>
      <c r="E587" s="9"/>
      <c r="F587" s="9"/>
      <c r="G587" s="9"/>
      <c r="H587" s="9"/>
      <c r="I587" s="9"/>
      <c r="J587" s="9"/>
      <c r="K587" s="9"/>
      <c r="L587" s="9"/>
      <c r="M587" s="9"/>
      <c r="N587" s="9"/>
      <c r="O587" s="9"/>
      <c r="P587" s="9"/>
      <c r="Q587" s="9"/>
    </row>
    <row r="588" spans="1:17" ht="12.75">
      <c r="A588" s="9"/>
      <c r="B588" s="9"/>
      <c r="C588" s="9"/>
      <c r="D588" s="9"/>
      <c r="E588" s="9"/>
      <c r="F588" s="9"/>
      <c r="G588" s="9"/>
      <c r="H588" s="9"/>
      <c r="I588" s="9"/>
      <c r="J588" s="9"/>
      <c r="K588" s="9"/>
      <c r="L588" s="9"/>
      <c r="M588" s="9"/>
      <c r="N588" s="9"/>
      <c r="O588" s="9"/>
      <c r="P588" s="9"/>
      <c r="Q588" s="9"/>
    </row>
    <row r="589" spans="1:17" ht="12.75">
      <c r="A589" s="9"/>
      <c r="B589" s="9"/>
      <c r="C589" s="9"/>
      <c r="D589" s="9"/>
      <c r="E589" s="9"/>
      <c r="F589" s="9"/>
      <c r="G589" s="9"/>
      <c r="H589" s="9"/>
      <c r="I589" s="9"/>
      <c r="J589" s="9"/>
      <c r="K589" s="9"/>
      <c r="L589" s="9"/>
      <c r="M589" s="9"/>
      <c r="N589" s="9"/>
      <c r="O589" s="9"/>
      <c r="P589" s="9"/>
      <c r="Q589" s="9"/>
    </row>
    <row r="590" spans="1:17" ht="12.75">
      <c r="A590" s="9"/>
      <c r="B590" s="9"/>
      <c r="C590" s="9"/>
      <c r="D590" s="9"/>
      <c r="E590" s="9"/>
      <c r="F590" s="9"/>
      <c r="G590" s="9"/>
      <c r="H590" s="9"/>
      <c r="I590" s="9"/>
      <c r="J590" s="9"/>
      <c r="K590" s="9"/>
      <c r="L590" s="9"/>
      <c r="M590" s="9"/>
      <c r="N590" s="9"/>
      <c r="O590" s="9"/>
      <c r="P590" s="9"/>
      <c r="Q590" s="9"/>
    </row>
    <row r="591" spans="1:17" ht="12.75">
      <c r="A591" s="9"/>
      <c r="B591" s="9"/>
      <c r="C591" s="9"/>
      <c r="D591" s="9"/>
      <c r="E591" s="9"/>
      <c r="F591" s="9"/>
      <c r="G591" s="9"/>
      <c r="H591" s="9"/>
      <c r="I591" s="9"/>
      <c r="J591" s="9"/>
      <c r="K591" s="9"/>
      <c r="L591" s="9"/>
      <c r="M591" s="9"/>
      <c r="N591" s="9"/>
      <c r="O591" s="9"/>
      <c r="P591" s="9"/>
      <c r="Q591" s="9"/>
    </row>
    <row r="592" spans="1:17" ht="12.75">
      <c r="A592" s="9"/>
      <c r="B592" s="9"/>
      <c r="C592" s="9"/>
      <c r="D592" s="9"/>
      <c r="E592" s="9"/>
      <c r="F592" s="9"/>
      <c r="G592" s="9"/>
      <c r="H592" s="9"/>
      <c r="I592" s="9"/>
      <c r="J592" s="9"/>
      <c r="K592" s="9"/>
      <c r="L592" s="9"/>
      <c r="M592" s="9"/>
      <c r="N592" s="9"/>
      <c r="O592" s="9"/>
      <c r="P592" s="9"/>
      <c r="Q592" s="9"/>
    </row>
    <row r="593" spans="1:17" ht="12.75">
      <c r="A593" s="9"/>
      <c r="B593" s="9"/>
      <c r="C593" s="9"/>
      <c r="D593" s="9"/>
      <c r="E593" s="9"/>
      <c r="F593" s="9"/>
      <c r="G593" s="9"/>
      <c r="H593" s="9"/>
      <c r="I593" s="9"/>
      <c r="J593" s="9"/>
      <c r="K593" s="9"/>
      <c r="L593" s="9"/>
      <c r="M593" s="9"/>
      <c r="N593" s="9"/>
      <c r="O593" s="9"/>
      <c r="P593" s="9"/>
      <c r="Q593" s="9"/>
    </row>
    <row r="594" spans="1:17" ht="12.75">
      <c r="A594" s="9"/>
      <c r="B594" s="9"/>
      <c r="C594" s="9"/>
      <c r="D594" s="9"/>
      <c r="E594" s="9"/>
      <c r="F594" s="9"/>
      <c r="G594" s="9"/>
      <c r="H594" s="9"/>
      <c r="I594" s="9"/>
      <c r="J594" s="9"/>
      <c r="K594" s="9"/>
      <c r="L594" s="9"/>
      <c r="M594" s="9"/>
      <c r="N594" s="9"/>
      <c r="O594" s="9"/>
      <c r="P594" s="9"/>
      <c r="Q594" s="9"/>
    </row>
    <row r="595" spans="1:17" ht="12.75">
      <c r="A595" s="9"/>
      <c r="B595" s="9"/>
      <c r="C595" s="9"/>
      <c r="D595" s="9"/>
      <c r="E595" s="9"/>
      <c r="F595" s="9"/>
      <c r="G595" s="9"/>
      <c r="H595" s="9"/>
      <c r="I595" s="9"/>
      <c r="J595" s="9"/>
      <c r="K595" s="9"/>
      <c r="L595" s="9"/>
      <c r="M595" s="9"/>
      <c r="N595" s="9"/>
      <c r="O595" s="9"/>
      <c r="P595" s="9"/>
      <c r="Q595" s="9"/>
    </row>
    <row r="596" spans="1:17" ht="12.75">
      <c r="A596" s="9"/>
      <c r="B596" s="9"/>
      <c r="C596" s="9"/>
      <c r="D596" s="9"/>
      <c r="E596" s="9"/>
      <c r="F596" s="9"/>
      <c r="G596" s="9"/>
      <c r="H596" s="9"/>
      <c r="I596" s="9"/>
      <c r="J596" s="9"/>
      <c r="K596" s="9"/>
      <c r="L596" s="9"/>
      <c r="M596" s="9"/>
      <c r="N596" s="9"/>
      <c r="O596" s="9"/>
      <c r="P596" s="9"/>
      <c r="Q596" s="9"/>
    </row>
    <row r="597" spans="1:17" ht="12.75">
      <c r="A597" s="9"/>
      <c r="B597" s="9"/>
      <c r="C597" s="9"/>
      <c r="D597" s="9"/>
      <c r="E597" s="9"/>
      <c r="F597" s="9"/>
      <c r="G597" s="9"/>
      <c r="H597" s="9"/>
      <c r="I597" s="9"/>
      <c r="J597" s="9"/>
      <c r="K597" s="9"/>
      <c r="L597" s="9"/>
      <c r="M597" s="9"/>
      <c r="N597" s="9"/>
      <c r="O597" s="9"/>
      <c r="P597" s="9"/>
      <c r="Q597" s="9"/>
    </row>
    <row r="598" spans="1:17" ht="12.75">
      <c r="A598" s="9"/>
      <c r="B598" s="9"/>
      <c r="C598" s="9"/>
      <c r="D598" s="9"/>
      <c r="E598" s="9"/>
      <c r="F598" s="9"/>
      <c r="G598" s="9"/>
      <c r="H598" s="9"/>
      <c r="I598" s="9"/>
      <c r="J598" s="9"/>
      <c r="K598" s="9"/>
      <c r="L598" s="9"/>
      <c r="M598" s="9"/>
      <c r="N598" s="9"/>
      <c r="O598" s="9"/>
      <c r="P598" s="9"/>
      <c r="Q598" s="9"/>
    </row>
    <row r="599" spans="1:17" ht="12.75">
      <c r="A599" s="9"/>
      <c r="B599" s="9"/>
      <c r="C599" s="9"/>
      <c r="D599" s="9"/>
      <c r="E599" s="9"/>
      <c r="F599" s="9"/>
      <c r="G599" s="9"/>
      <c r="H599" s="9"/>
      <c r="I599" s="9"/>
      <c r="J599" s="9"/>
      <c r="K599" s="9"/>
      <c r="L599" s="9"/>
      <c r="M599" s="9"/>
      <c r="N599" s="9"/>
      <c r="O599" s="9"/>
      <c r="P599" s="9"/>
      <c r="Q599" s="9"/>
    </row>
    <row r="600" spans="1:17" ht="12.75">
      <c r="A600" s="9"/>
      <c r="B600" s="9"/>
      <c r="C600" s="9"/>
      <c r="D600" s="9"/>
      <c r="E600" s="9"/>
      <c r="F600" s="9"/>
      <c r="G600" s="9"/>
      <c r="H600" s="9"/>
      <c r="I600" s="9"/>
      <c r="J600" s="9"/>
      <c r="K600" s="9"/>
      <c r="L600" s="9"/>
      <c r="M600" s="9"/>
      <c r="N600" s="9"/>
      <c r="O600" s="9"/>
      <c r="P600" s="9"/>
      <c r="Q600" s="9"/>
    </row>
    <row r="601" spans="1:17" ht="12.75">
      <c r="A601" s="9"/>
      <c r="B601" s="9"/>
      <c r="C601" s="9"/>
      <c r="D601" s="9"/>
      <c r="E601" s="9"/>
      <c r="F601" s="9"/>
      <c r="G601" s="9"/>
      <c r="H601" s="9"/>
      <c r="I601" s="9"/>
      <c r="J601" s="9"/>
      <c r="K601" s="9"/>
      <c r="L601" s="9"/>
      <c r="M601" s="9"/>
      <c r="N601" s="9"/>
      <c r="O601" s="9"/>
      <c r="P601" s="9"/>
      <c r="Q601" s="9"/>
    </row>
    <row r="602" spans="1:17" ht="12.75">
      <c r="A602" s="9"/>
      <c r="B602" s="9"/>
      <c r="C602" s="9"/>
      <c r="D602" s="9"/>
      <c r="E602" s="9"/>
      <c r="F602" s="9"/>
      <c r="G602" s="9"/>
      <c r="H602" s="9"/>
      <c r="I602" s="9"/>
      <c r="J602" s="9"/>
      <c r="K602" s="9"/>
      <c r="L602" s="9"/>
      <c r="M602" s="9"/>
      <c r="N602" s="9"/>
      <c r="O602" s="9"/>
      <c r="P602" s="9"/>
      <c r="Q602" s="9"/>
    </row>
    <row r="603" spans="1:17" ht="12.75">
      <c r="A603" s="9"/>
      <c r="B603" s="9"/>
      <c r="C603" s="9"/>
      <c r="D603" s="9"/>
      <c r="E603" s="9"/>
      <c r="F603" s="9"/>
      <c r="G603" s="9"/>
      <c r="H603" s="9"/>
      <c r="I603" s="9"/>
      <c r="J603" s="9"/>
      <c r="K603" s="9"/>
      <c r="L603" s="9"/>
      <c r="M603" s="9"/>
      <c r="N603" s="9"/>
      <c r="O603" s="9"/>
      <c r="P603" s="9"/>
      <c r="Q603" s="9"/>
    </row>
    <row r="604" spans="1:17" ht="12.75">
      <c r="A604" s="9"/>
      <c r="B604" s="9"/>
      <c r="C604" s="9"/>
      <c r="D604" s="9"/>
      <c r="E604" s="9"/>
      <c r="F604" s="9"/>
      <c r="G604" s="9"/>
      <c r="H604" s="9"/>
      <c r="I604" s="9"/>
      <c r="J604" s="9"/>
      <c r="K604" s="9"/>
      <c r="L604" s="9"/>
      <c r="M604" s="9"/>
      <c r="N604" s="9"/>
      <c r="O604" s="9"/>
      <c r="P604" s="9"/>
      <c r="Q604" s="9"/>
    </row>
    <row r="605" spans="1:17" ht="12.75">
      <c r="A605" s="9"/>
      <c r="B605" s="9"/>
      <c r="C605" s="9"/>
      <c r="D605" s="9"/>
      <c r="E605" s="9"/>
      <c r="F605" s="9"/>
      <c r="G605" s="9"/>
      <c r="H605" s="9"/>
      <c r="I605" s="9"/>
      <c r="J605" s="9"/>
      <c r="K605" s="9"/>
      <c r="L605" s="9"/>
      <c r="M605" s="9"/>
      <c r="N605" s="9"/>
      <c r="O605" s="9"/>
      <c r="P605" s="9"/>
      <c r="Q605" s="9"/>
    </row>
    <row r="606" spans="1:17" ht="12.75">
      <c r="A606" s="9"/>
      <c r="B606" s="9"/>
      <c r="C606" s="9"/>
      <c r="D606" s="9"/>
      <c r="E606" s="9"/>
      <c r="F606" s="9"/>
      <c r="G606" s="9"/>
      <c r="H606" s="9"/>
      <c r="I606" s="9"/>
      <c r="J606" s="9"/>
      <c r="K606" s="9"/>
      <c r="L606" s="9"/>
      <c r="M606" s="9"/>
      <c r="N606" s="9"/>
      <c r="O606" s="9"/>
      <c r="P606" s="9"/>
      <c r="Q606" s="9"/>
    </row>
    <row r="607" spans="1:17" ht="12.75">
      <c r="A607" s="9"/>
      <c r="B607" s="9"/>
      <c r="C607" s="9"/>
      <c r="D607" s="9"/>
      <c r="E607" s="9"/>
      <c r="F607" s="9"/>
      <c r="G607" s="9"/>
      <c r="H607" s="9"/>
      <c r="I607" s="9"/>
      <c r="J607" s="9"/>
      <c r="K607" s="9"/>
      <c r="L607" s="9"/>
      <c r="M607" s="9"/>
      <c r="N607" s="9"/>
      <c r="O607" s="9"/>
      <c r="P607" s="9"/>
      <c r="Q607" s="9"/>
    </row>
    <row r="608" spans="1:17" ht="12.75">
      <c r="A608" s="9"/>
      <c r="B608" s="9"/>
      <c r="C608" s="9"/>
      <c r="D608" s="9"/>
      <c r="E608" s="9"/>
      <c r="F608" s="9"/>
      <c r="G608" s="9"/>
      <c r="H608" s="9"/>
      <c r="I608" s="9"/>
      <c r="J608" s="9"/>
      <c r="K608" s="9"/>
      <c r="L608" s="9"/>
      <c r="M608" s="9"/>
      <c r="N608" s="9"/>
      <c r="O608" s="9"/>
      <c r="P608" s="9"/>
      <c r="Q608" s="9"/>
    </row>
    <row r="609" spans="1:17" ht="12.75">
      <c r="A609" s="9"/>
      <c r="B609" s="9"/>
      <c r="C609" s="9"/>
      <c r="D609" s="9"/>
      <c r="E609" s="9"/>
      <c r="F609" s="9"/>
      <c r="G609" s="9"/>
      <c r="H609" s="9"/>
      <c r="I609" s="9"/>
      <c r="J609" s="9"/>
      <c r="K609" s="9"/>
      <c r="L609" s="9"/>
      <c r="M609" s="9"/>
      <c r="N609" s="9"/>
      <c r="O609" s="9"/>
      <c r="P609" s="9"/>
      <c r="Q609" s="9"/>
    </row>
    <row r="610" spans="1:17" ht="12.75">
      <c r="A610" s="9"/>
      <c r="B610" s="9"/>
      <c r="C610" s="9"/>
      <c r="D610" s="9"/>
      <c r="E610" s="9"/>
      <c r="F610" s="9"/>
      <c r="G610" s="9"/>
      <c r="H610" s="9"/>
      <c r="I610" s="9"/>
      <c r="J610" s="9"/>
      <c r="K610" s="9"/>
      <c r="L610" s="9"/>
      <c r="M610" s="9"/>
      <c r="N610" s="9"/>
      <c r="O610" s="9"/>
      <c r="P610" s="9"/>
      <c r="Q610" s="9"/>
    </row>
    <row r="611" spans="1:17" ht="12.75">
      <c r="A611" s="9"/>
      <c r="B611" s="9"/>
      <c r="C611" s="9"/>
      <c r="D611" s="9"/>
      <c r="E611" s="9"/>
      <c r="F611" s="9"/>
      <c r="G611" s="9"/>
      <c r="H611" s="9"/>
      <c r="I611" s="9"/>
      <c r="J611" s="9"/>
      <c r="K611" s="9"/>
      <c r="L611" s="9"/>
      <c r="M611" s="9"/>
      <c r="N611" s="9"/>
      <c r="O611" s="9"/>
      <c r="P611" s="9"/>
      <c r="Q611" s="9"/>
    </row>
    <row r="612" spans="1:17" ht="12.75">
      <c r="A612" s="9"/>
      <c r="B612" s="9"/>
      <c r="C612" s="9"/>
      <c r="D612" s="9"/>
      <c r="E612" s="9"/>
      <c r="F612" s="9"/>
      <c r="G612" s="9"/>
      <c r="H612" s="9"/>
      <c r="I612" s="9"/>
      <c r="J612" s="9"/>
      <c r="K612" s="9"/>
      <c r="L612" s="9"/>
      <c r="M612" s="9"/>
      <c r="N612" s="9"/>
      <c r="O612" s="9"/>
      <c r="P612" s="9"/>
      <c r="Q612" s="9"/>
    </row>
    <row r="613" spans="1:17" ht="12.75">
      <c r="A613" s="9"/>
      <c r="B613" s="9"/>
      <c r="C613" s="9"/>
      <c r="D613" s="9"/>
      <c r="E613" s="9"/>
      <c r="F613" s="9"/>
      <c r="G613" s="9"/>
      <c r="H613" s="9"/>
      <c r="I613" s="9"/>
      <c r="J613" s="9"/>
      <c r="K613" s="9"/>
      <c r="L613" s="9"/>
      <c r="M613" s="9"/>
      <c r="N613" s="9"/>
      <c r="O613" s="9"/>
      <c r="P613" s="9"/>
      <c r="Q613" s="9"/>
    </row>
    <row r="614" spans="1:17" ht="12.75">
      <c r="A614" s="9"/>
      <c r="B614" s="9"/>
      <c r="C614" s="9"/>
      <c r="D614" s="9"/>
      <c r="E614" s="9"/>
      <c r="F614" s="9"/>
      <c r="G614" s="9"/>
      <c r="H614" s="9"/>
      <c r="I614" s="9"/>
      <c r="J614" s="9"/>
      <c r="K614" s="9"/>
      <c r="L614" s="9"/>
      <c r="M614" s="9"/>
      <c r="N614" s="9"/>
      <c r="O614" s="9"/>
      <c r="P614" s="9"/>
      <c r="Q614" s="9"/>
    </row>
    <row r="615" spans="1:17" ht="12.75">
      <c r="A615" s="9"/>
      <c r="B615" s="9"/>
      <c r="C615" s="9"/>
      <c r="D615" s="9"/>
      <c r="E615" s="9"/>
      <c r="F615" s="9"/>
      <c r="G615" s="9"/>
      <c r="H615" s="9"/>
      <c r="I615" s="9"/>
      <c r="J615" s="9"/>
      <c r="K615" s="9"/>
      <c r="L615" s="9"/>
      <c r="M615" s="9"/>
      <c r="N615" s="9"/>
      <c r="O615" s="9"/>
      <c r="P615" s="9"/>
      <c r="Q615" s="9"/>
    </row>
    <row r="616" spans="1:17" ht="12.75">
      <c r="A616" s="9"/>
      <c r="B616" s="9"/>
      <c r="C616" s="9"/>
      <c r="D616" s="9"/>
      <c r="E616" s="9"/>
      <c r="F616" s="9"/>
      <c r="G616" s="9"/>
      <c r="H616" s="9"/>
      <c r="I616" s="9"/>
      <c r="J616" s="9"/>
      <c r="K616" s="9"/>
      <c r="L616" s="9"/>
      <c r="M616" s="9"/>
      <c r="N616" s="9"/>
      <c r="O616" s="9"/>
      <c r="P616" s="9"/>
      <c r="Q616" s="9"/>
    </row>
    <row r="617" spans="1:17" ht="12.75">
      <c r="A617" s="9"/>
      <c r="B617" s="9"/>
      <c r="C617" s="9"/>
      <c r="D617" s="9"/>
      <c r="E617" s="9"/>
      <c r="F617" s="9"/>
      <c r="G617" s="9"/>
      <c r="H617" s="9"/>
      <c r="I617" s="9"/>
      <c r="J617" s="9"/>
      <c r="K617" s="9"/>
      <c r="L617" s="9"/>
      <c r="M617" s="9"/>
      <c r="N617" s="9"/>
      <c r="O617" s="9"/>
      <c r="P617" s="9"/>
      <c r="Q617" s="9"/>
    </row>
    <row r="618" spans="1:17" ht="12.75">
      <c r="A618" s="9"/>
      <c r="B618" s="9"/>
      <c r="C618" s="9"/>
      <c r="D618" s="9"/>
      <c r="E618" s="9"/>
      <c r="F618" s="9"/>
      <c r="G618" s="9"/>
      <c r="H618" s="9"/>
      <c r="I618" s="9"/>
      <c r="J618" s="9"/>
      <c r="K618" s="9"/>
      <c r="L618" s="9"/>
      <c r="M618" s="9"/>
      <c r="N618" s="9"/>
      <c r="O618" s="9"/>
      <c r="P618" s="9"/>
      <c r="Q618" s="9"/>
    </row>
    <row r="619" spans="1:17" ht="12.75">
      <c r="A619" s="9"/>
      <c r="B619" s="9"/>
      <c r="C619" s="9"/>
      <c r="D619" s="9"/>
      <c r="E619" s="9"/>
      <c r="F619" s="9"/>
      <c r="G619" s="9"/>
      <c r="H619" s="9"/>
      <c r="I619" s="9"/>
      <c r="J619" s="9"/>
      <c r="K619" s="9"/>
      <c r="L619" s="9"/>
      <c r="M619" s="9"/>
      <c r="N619" s="9"/>
      <c r="O619" s="9"/>
      <c r="P619" s="9"/>
      <c r="Q619" s="9"/>
    </row>
    <row r="620" spans="1:17" ht="12.75">
      <c r="A620" s="9"/>
      <c r="B620" s="9"/>
      <c r="C620" s="9"/>
      <c r="D620" s="9"/>
      <c r="E620" s="9"/>
      <c r="F620" s="9"/>
      <c r="G620" s="9"/>
      <c r="H620" s="9"/>
      <c r="I620" s="9"/>
      <c r="J620" s="9"/>
      <c r="K620" s="9"/>
      <c r="L620" s="9"/>
      <c r="M620" s="9"/>
      <c r="N620" s="9"/>
      <c r="O620" s="9"/>
      <c r="P620" s="9"/>
      <c r="Q620" s="9"/>
    </row>
    <row r="621" spans="1:17" ht="12.75">
      <c r="A621" s="9"/>
      <c r="B621" s="9"/>
      <c r="C621" s="9"/>
      <c r="D621" s="9"/>
      <c r="E621" s="9"/>
      <c r="F621" s="9"/>
      <c r="G621" s="9"/>
      <c r="H621" s="9"/>
      <c r="I621" s="9"/>
      <c r="J621" s="9"/>
      <c r="K621" s="9"/>
      <c r="L621" s="9"/>
      <c r="M621" s="9"/>
      <c r="N621" s="9"/>
      <c r="O621" s="9"/>
      <c r="P621" s="9"/>
      <c r="Q621" s="9"/>
    </row>
    <row r="622" spans="1:17" ht="12.75">
      <c r="A622" s="9"/>
      <c r="B622" s="9"/>
      <c r="C622" s="9"/>
      <c r="D622" s="9"/>
      <c r="E622" s="9"/>
      <c r="F622" s="9"/>
      <c r="G622" s="9"/>
      <c r="H622" s="9"/>
      <c r="I622" s="9"/>
      <c r="J622" s="9"/>
      <c r="K622" s="9"/>
      <c r="L622" s="9"/>
      <c r="M622" s="9"/>
      <c r="N622" s="9"/>
      <c r="O622" s="9"/>
      <c r="P622" s="9"/>
      <c r="Q622" s="9"/>
    </row>
    <row r="623" spans="1:17" ht="12.75">
      <c r="A623" s="9"/>
      <c r="B623" s="9"/>
      <c r="C623" s="9"/>
      <c r="D623" s="9"/>
      <c r="E623" s="9"/>
      <c r="F623" s="9"/>
      <c r="G623" s="9"/>
      <c r="H623" s="9"/>
      <c r="I623" s="9"/>
      <c r="J623" s="9"/>
      <c r="K623" s="9"/>
      <c r="L623" s="9"/>
      <c r="M623" s="9"/>
      <c r="N623" s="9"/>
      <c r="O623" s="9"/>
      <c r="P623" s="9"/>
      <c r="Q623" s="9"/>
    </row>
    <row r="624" spans="1:17" ht="12.75">
      <c r="A624" s="9"/>
      <c r="B624" s="9"/>
      <c r="C624" s="9"/>
      <c r="D624" s="9"/>
      <c r="E624" s="9"/>
      <c r="F624" s="9"/>
      <c r="G624" s="9"/>
      <c r="H624" s="9"/>
      <c r="I624" s="9"/>
      <c r="J624" s="9"/>
      <c r="K624" s="9"/>
      <c r="L624" s="9"/>
      <c r="M624" s="9"/>
      <c r="N624" s="9"/>
      <c r="O624" s="9"/>
      <c r="P624" s="9"/>
      <c r="Q624" s="9"/>
    </row>
    <row r="625" spans="1:17" ht="12.75">
      <c r="A625" s="9"/>
      <c r="B625" s="9"/>
      <c r="C625" s="9"/>
      <c r="D625" s="9"/>
      <c r="E625" s="9"/>
      <c r="F625" s="9"/>
      <c r="G625" s="9"/>
      <c r="H625" s="9"/>
      <c r="I625" s="9"/>
      <c r="J625" s="9"/>
      <c r="K625" s="9"/>
      <c r="L625" s="9"/>
      <c r="M625" s="9"/>
      <c r="N625" s="9"/>
      <c r="O625" s="9"/>
      <c r="P625" s="9"/>
      <c r="Q625" s="9"/>
    </row>
    <row r="626" spans="1:17" ht="12.75">
      <c r="A626" s="9"/>
      <c r="B626" s="9"/>
      <c r="C626" s="9"/>
      <c r="D626" s="9"/>
      <c r="E626" s="9"/>
      <c r="F626" s="9"/>
      <c r="G626" s="9"/>
      <c r="H626" s="9"/>
      <c r="I626" s="9"/>
      <c r="J626" s="9"/>
      <c r="K626" s="9"/>
      <c r="L626" s="9"/>
      <c r="M626" s="9"/>
      <c r="N626" s="9"/>
      <c r="O626" s="9"/>
      <c r="P626" s="9"/>
      <c r="Q626" s="9"/>
    </row>
    <row r="627" spans="1:17" ht="12.75">
      <c r="A627" s="9"/>
      <c r="B627" s="9"/>
      <c r="C627" s="9"/>
      <c r="D627" s="9"/>
      <c r="E627" s="9"/>
      <c r="F627" s="9"/>
      <c r="G627" s="9"/>
      <c r="H627" s="9"/>
      <c r="I627" s="9"/>
      <c r="J627" s="9"/>
      <c r="K627" s="9"/>
      <c r="L627" s="9"/>
      <c r="M627" s="9"/>
      <c r="N627" s="9"/>
      <c r="O627" s="9"/>
      <c r="P627" s="9"/>
      <c r="Q627" s="9"/>
    </row>
    <row r="628" spans="1:17" ht="12.75">
      <c r="A628" s="9"/>
      <c r="B628" s="9"/>
      <c r="C628" s="9"/>
      <c r="D628" s="9"/>
      <c r="E628" s="9"/>
      <c r="F628" s="9"/>
      <c r="G628" s="9"/>
      <c r="H628" s="9"/>
      <c r="I628" s="9"/>
      <c r="J628" s="9"/>
      <c r="K628" s="9"/>
      <c r="L628" s="9"/>
      <c r="M628" s="9"/>
      <c r="N628" s="9"/>
      <c r="O628" s="9"/>
      <c r="P628" s="9"/>
      <c r="Q628" s="9"/>
    </row>
    <row r="629" spans="1:17" ht="12.75">
      <c r="A629" s="9"/>
      <c r="B629" s="9"/>
      <c r="C629" s="9"/>
      <c r="D629" s="9"/>
      <c r="E629" s="9"/>
      <c r="F629" s="9"/>
      <c r="G629" s="9"/>
      <c r="H629" s="9"/>
      <c r="I629" s="9"/>
      <c r="J629" s="9"/>
      <c r="K629" s="9"/>
      <c r="L629" s="9"/>
      <c r="M629" s="9"/>
      <c r="N629" s="9"/>
      <c r="O629" s="9"/>
      <c r="P629" s="9"/>
      <c r="Q629" s="9"/>
    </row>
    <row r="630" spans="1:17" ht="12.75">
      <c r="A630" s="9"/>
      <c r="B630" s="9"/>
      <c r="C630" s="9"/>
      <c r="D630" s="9"/>
      <c r="E630" s="9"/>
      <c r="F630" s="9"/>
      <c r="G630" s="9"/>
      <c r="H630" s="9"/>
      <c r="I630" s="9"/>
      <c r="J630" s="9"/>
      <c r="K630" s="9"/>
      <c r="L630" s="9"/>
      <c r="M630" s="9"/>
      <c r="N630" s="9"/>
      <c r="O630" s="9"/>
      <c r="P630" s="9"/>
      <c r="Q630" s="9"/>
    </row>
    <row r="631" spans="1:17" ht="12.75">
      <c r="A631" s="9"/>
      <c r="B631" s="9"/>
      <c r="C631" s="9"/>
      <c r="D631" s="9"/>
      <c r="E631" s="9"/>
      <c r="F631" s="9"/>
      <c r="G631" s="9"/>
      <c r="H631" s="9"/>
      <c r="I631" s="9"/>
      <c r="J631" s="9"/>
      <c r="K631" s="9"/>
      <c r="L631" s="9"/>
      <c r="M631" s="9"/>
      <c r="N631" s="9"/>
      <c r="O631" s="9"/>
      <c r="P631" s="9"/>
      <c r="Q631" s="9"/>
    </row>
    <row r="632" spans="1:17" ht="12.75">
      <c r="A632" s="9"/>
      <c r="B632" s="9"/>
      <c r="C632" s="9"/>
      <c r="D632" s="9"/>
      <c r="E632" s="9"/>
      <c r="F632" s="9"/>
      <c r="G632" s="9"/>
      <c r="H632" s="9"/>
      <c r="I632" s="9"/>
      <c r="J632" s="9"/>
      <c r="K632" s="9"/>
      <c r="L632" s="9"/>
      <c r="M632" s="9"/>
      <c r="N632" s="9"/>
      <c r="O632" s="9"/>
      <c r="P632" s="9"/>
      <c r="Q632" s="9"/>
    </row>
    <row r="633" spans="1:17" ht="12.75">
      <c r="A633" s="9"/>
      <c r="B633" s="9"/>
      <c r="C633" s="9"/>
      <c r="D633" s="9"/>
      <c r="E633" s="9"/>
      <c r="F633" s="9"/>
      <c r="G633" s="9"/>
      <c r="H633" s="9"/>
      <c r="I633" s="9"/>
      <c r="J633" s="9"/>
      <c r="K633" s="9"/>
      <c r="L633" s="9"/>
      <c r="M633" s="9"/>
      <c r="N633" s="9"/>
      <c r="O633" s="9"/>
      <c r="P633" s="9"/>
      <c r="Q633" s="9"/>
    </row>
    <row r="634" spans="1:17" ht="12.75">
      <c r="A634" s="9"/>
      <c r="B634" s="9"/>
      <c r="C634" s="9"/>
      <c r="D634" s="9"/>
      <c r="E634" s="9"/>
      <c r="F634" s="9"/>
      <c r="G634" s="9"/>
      <c r="H634" s="9"/>
      <c r="I634" s="9"/>
      <c r="J634" s="9"/>
      <c r="K634" s="9"/>
      <c r="L634" s="9"/>
      <c r="M634" s="9"/>
      <c r="N634" s="9"/>
      <c r="O634" s="9"/>
      <c r="P634" s="9"/>
      <c r="Q634" s="9"/>
    </row>
    <row r="635" spans="1:17" ht="12.75">
      <c r="A635" s="9"/>
      <c r="B635" s="9"/>
      <c r="C635" s="9"/>
      <c r="D635" s="9"/>
      <c r="E635" s="9"/>
      <c r="F635" s="9"/>
      <c r="G635" s="9"/>
      <c r="H635" s="9"/>
      <c r="I635" s="9"/>
      <c r="J635" s="9"/>
      <c r="K635" s="9"/>
      <c r="L635" s="9"/>
      <c r="M635" s="9"/>
      <c r="N635" s="9"/>
      <c r="O635" s="9"/>
      <c r="P635" s="9"/>
      <c r="Q635" s="9"/>
    </row>
    <row r="636" spans="1:17" ht="12.75">
      <c r="A636" s="9"/>
      <c r="B636" s="9"/>
      <c r="C636" s="9"/>
      <c r="D636" s="9"/>
      <c r="E636" s="9"/>
      <c r="F636" s="9"/>
      <c r="G636" s="9"/>
      <c r="H636" s="9"/>
      <c r="I636" s="9"/>
      <c r="J636" s="9"/>
      <c r="K636" s="9"/>
      <c r="L636" s="9"/>
      <c r="M636" s="9"/>
      <c r="N636" s="9"/>
      <c r="O636" s="9"/>
      <c r="P636" s="9"/>
      <c r="Q636" s="9"/>
    </row>
    <row r="637" spans="1:17" ht="12.75">
      <c r="A637" s="9"/>
      <c r="B637" s="9"/>
      <c r="C637" s="9"/>
      <c r="D637" s="9"/>
      <c r="E637" s="9"/>
      <c r="F637" s="9"/>
      <c r="G637" s="9"/>
      <c r="H637" s="9"/>
      <c r="I637" s="9"/>
      <c r="J637" s="9"/>
      <c r="K637" s="9"/>
      <c r="L637" s="9"/>
      <c r="M637" s="9"/>
      <c r="N637" s="9"/>
      <c r="O637" s="9"/>
      <c r="P637" s="9"/>
      <c r="Q637" s="9"/>
    </row>
    <row r="638" spans="1:17" ht="12.75">
      <c r="A638" s="9"/>
      <c r="B638" s="9"/>
      <c r="C638" s="9"/>
      <c r="D638" s="9"/>
      <c r="E638" s="9"/>
      <c r="F638" s="9"/>
      <c r="G638" s="9"/>
      <c r="H638" s="9"/>
      <c r="I638" s="9"/>
      <c r="J638" s="9"/>
      <c r="K638" s="9"/>
      <c r="L638" s="9"/>
      <c r="M638" s="9"/>
      <c r="N638" s="9"/>
      <c r="O638" s="9"/>
      <c r="P638" s="9"/>
      <c r="Q638" s="9"/>
    </row>
    <row r="639" spans="1:17" ht="12.75">
      <c r="A639" s="9"/>
      <c r="B639" s="9"/>
      <c r="C639" s="9"/>
      <c r="D639" s="9"/>
      <c r="E639" s="9"/>
      <c r="F639" s="9"/>
      <c r="G639" s="9"/>
      <c r="H639" s="9"/>
      <c r="I639" s="9"/>
      <c r="J639" s="9"/>
      <c r="K639" s="9"/>
      <c r="L639" s="9"/>
      <c r="M639" s="9"/>
      <c r="N639" s="9"/>
      <c r="O639" s="9"/>
      <c r="P639" s="9"/>
      <c r="Q639" s="9"/>
    </row>
    <row r="640" spans="1:17" ht="12.75">
      <c r="A640" s="9"/>
      <c r="B640" s="9"/>
      <c r="C640" s="9"/>
      <c r="D640" s="9"/>
      <c r="E640" s="9"/>
      <c r="F640" s="9"/>
      <c r="G640" s="9"/>
      <c r="H640" s="9"/>
      <c r="I640" s="9"/>
      <c r="J640" s="9"/>
      <c r="K640" s="9"/>
      <c r="L640" s="9"/>
      <c r="M640" s="9"/>
      <c r="N640" s="9"/>
      <c r="O640" s="9"/>
      <c r="P640" s="9"/>
      <c r="Q640" s="9"/>
    </row>
    <row r="641" spans="1:17" ht="12.75">
      <c r="A641" s="9"/>
      <c r="B641" s="9"/>
      <c r="C641" s="9"/>
      <c r="D641" s="9"/>
      <c r="E641" s="9"/>
      <c r="F641" s="9"/>
      <c r="G641" s="9"/>
      <c r="H641" s="9"/>
      <c r="I641" s="9"/>
      <c r="J641" s="9"/>
      <c r="K641" s="9"/>
      <c r="L641" s="9"/>
      <c r="M641" s="9"/>
      <c r="N641" s="9"/>
      <c r="O641" s="9"/>
      <c r="P641" s="9"/>
      <c r="Q641" s="9"/>
    </row>
    <row r="642" spans="1:17" ht="12.75">
      <c r="A642" s="9"/>
      <c r="B642" s="9"/>
      <c r="C642" s="9"/>
      <c r="D642" s="9"/>
      <c r="E642" s="9"/>
      <c r="F642" s="9"/>
      <c r="G642" s="9"/>
      <c r="H642" s="9"/>
      <c r="I642" s="9"/>
      <c r="J642" s="9"/>
      <c r="K642" s="9"/>
      <c r="L642" s="9"/>
      <c r="M642" s="9"/>
      <c r="N642" s="9"/>
      <c r="O642" s="9"/>
      <c r="P642" s="9"/>
      <c r="Q642" s="9"/>
    </row>
    <row r="643" spans="1:17" ht="12.75">
      <c r="A643" s="9"/>
      <c r="B643" s="9"/>
      <c r="C643" s="9"/>
      <c r="D643" s="9"/>
      <c r="E643" s="9"/>
      <c r="F643" s="9"/>
      <c r="G643" s="9"/>
      <c r="H643" s="9"/>
      <c r="I643" s="9"/>
      <c r="J643" s="9"/>
      <c r="K643" s="9"/>
      <c r="L643" s="9"/>
      <c r="M643" s="9"/>
      <c r="N643" s="9"/>
      <c r="O643" s="9"/>
      <c r="P643" s="9"/>
      <c r="Q643" s="9"/>
    </row>
    <row r="644" spans="1:17" ht="12.75">
      <c r="A644" s="9"/>
      <c r="B644" s="9"/>
      <c r="C644" s="9"/>
      <c r="D644" s="9"/>
      <c r="E644" s="9"/>
      <c r="F644" s="9"/>
      <c r="G644" s="9"/>
      <c r="H644" s="9"/>
      <c r="I644" s="9"/>
      <c r="J644" s="9"/>
      <c r="K644" s="9"/>
      <c r="L644" s="9"/>
      <c r="M644" s="9"/>
      <c r="N644" s="9"/>
      <c r="O644" s="9"/>
      <c r="P644" s="9"/>
      <c r="Q644" s="9"/>
    </row>
    <row r="645" spans="1:17" ht="12.75">
      <c r="A645" s="9"/>
      <c r="B645" s="9"/>
      <c r="C645" s="9"/>
      <c r="D645" s="9"/>
      <c r="E645" s="9"/>
      <c r="F645" s="9"/>
      <c r="G645" s="9"/>
      <c r="H645" s="9"/>
      <c r="I645" s="9"/>
      <c r="J645" s="9"/>
      <c r="K645" s="9"/>
      <c r="L645" s="9"/>
      <c r="M645" s="9"/>
      <c r="N645" s="9"/>
      <c r="O645" s="9"/>
      <c r="P645" s="9"/>
      <c r="Q645" s="9"/>
    </row>
    <row r="646" spans="1:17" ht="12.75">
      <c r="A646" s="9"/>
      <c r="B646" s="9"/>
      <c r="C646" s="9"/>
      <c r="D646" s="9"/>
      <c r="E646" s="9"/>
      <c r="F646" s="9"/>
      <c r="G646" s="9"/>
      <c r="H646" s="9"/>
      <c r="I646" s="9"/>
      <c r="J646" s="9"/>
      <c r="K646" s="9"/>
      <c r="L646" s="9"/>
      <c r="M646" s="9"/>
      <c r="N646" s="9"/>
      <c r="O646" s="9"/>
      <c r="P646" s="9"/>
      <c r="Q646" s="9"/>
    </row>
    <row r="647" spans="1:17" ht="12.75">
      <c r="A647" s="9"/>
      <c r="B647" s="9"/>
      <c r="C647" s="9"/>
      <c r="D647" s="9"/>
      <c r="E647" s="9"/>
      <c r="F647" s="9"/>
      <c r="G647" s="9"/>
      <c r="H647" s="9"/>
      <c r="I647" s="9"/>
      <c r="J647" s="9"/>
      <c r="K647" s="9"/>
      <c r="L647" s="9"/>
      <c r="M647" s="9"/>
      <c r="N647" s="9"/>
      <c r="O647" s="9"/>
      <c r="P647" s="9"/>
      <c r="Q647" s="9"/>
    </row>
    <row r="648" spans="1:17" ht="12.75">
      <c r="A648" s="9"/>
      <c r="B648" s="9"/>
      <c r="C648" s="9"/>
      <c r="D648" s="9"/>
      <c r="E648" s="9"/>
      <c r="F648" s="9"/>
      <c r="G648" s="9"/>
      <c r="H648" s="9"/>
      <c r="I648" s="9"/>
      <c r="J648" s="9"/>
      <c r="K648" s="9"/>
      <c r="L648" s="9"/>
      <c r="M648" s="9"/>
      <c r="N648" s="9"/>
      <c r="O648" s="9"/>
      <c r="P648" s="9"/>
      <c r="Q648" s="9"/>
    </row>
    <row r="649" spans="1:17" ht="12.75">
      <c r="A649" s="9"/>
      <c r="B649" s="9"/>
      <c r="C649" s="9"/>
      <c r="D649" s="9"/>
      <c r="E649" s="9"/>
      <c r="F649" s="9"/>
      <c r="G649" s="9"/>
      <c r="H649" s="9"/>
      <c r="I649" s="9"/>
      <c r="J649" s="9"/>
      <c r="K649" s="9"/>
      <c r="L649" s="9"/>
      <c r="M649" s="9"/>
      <c r="N649" s="9"/>
      <c r="O649" s="9"/>
      <c r="P649" s="9"/>
      <c r="Q649" s="9"/>
    </row>
    <row r="650" spans="1:17" ht="12.75">
      <c r="A650" s="9"/>
      <c r="B650" s="9"/>
      <c r="C650" s="9"/>
      <c r="D650" s="9"/>
      <c r="E650" s="9"/>
      <c r="F650" s="9"/>
      <c r="G650" s="9"/>
      <c r="H650" s="9"/>
      <c r="I650" s="9"/>
      <c r="J650" s="9"/>
      <c r="K650" s="9"/>
      <c r="L650" s="9"/>
      <c r="M650" s="9"/>
      <c r="N650" s="9"/>
      <c r="O650" s="9"/>
      <c r="P650" s="9"/>
      <c r="Q650" s="9"/>
    </row>
    <row r="651" spans="1:17" ht="12.75">
      <c r="A651" s="9"/>
      <c r="B651" s="9"/>
      <c r="C651" s="9"/>
      <c r="D651" s="9"/>
      <c r="E651" s="9"/>
      <c r="F651" s="9"/>
      <c r="G651" s="9"/>
      <c r="H651" s="9"/>
      <c r="I651" s="9"/>
      <c r="J651" s="9"/>
      <c r="K651" s="9"/>
      <c r="L651" s="9"/>
      <c r="M651" s="9"/>
      <c r="N651" s="9"/>
      <c r="O651" s="9"/>
      <c r="P651" s="9"/>
      <c r="Q651" s="9"/>
    </row>
    <row r="652" spans="1:17" ht="12.75">
      <c r="A652" s="9"/>
      <c r="B652" s="9"/>
      <c r="C652" s="9"/>
      <c r="D652" s="9"/>
      <c r="E652" s="9"/>
      <c r="F652" s="9"/>
      <c r="G652" s="9"/>
      <c r="H652" s="9"/>
      <c r="I652" s="9"/>
      <c r="J652" s="9"/>
      <c r="K652" s="9"/>
      <c r="L652" s="9"/>
      <c r="M652" s="9"/>
      <c r="N652" s="9"/>
      <c r="O652" s="9"/>
      <c r="P652" s="9"/>
      <c r="Q652" s="9"/>
    </row>
    <row r="653" spans="1:17" ht="12.75">
      <c r="A653" s="9"/>
      <c r="B653" s="9"/>
      <c r="C653" s="9"/>
      <c r="D653" s="9"/>
      <c r="E653" s="9"/>
      <c r="F653" s="9"/>
      <c r="G653" s="9"/>
      <c r="H653" s="9"/>
      <c r="I653" s="9"/>
      <c r="J653" s="9"/>
      <c r="K653" s="9"/>
      <c r="L653" s="9"/>
      <c r="M653" s="9"/>
      <c r="N653" s="9"/>
      <c r="O653" s="9"/>
      <c r="P653" s="9"/>
      <c r="Q653" s="9"/>
    </row>
    <row r="654" spans="1:17" ht="12.75">
      <c r="A654" s="9"/>
      <c r="B654" s="9"/>
      <c r="C654" s="9"/>
      <c r="D654" s="9"/>
      <c r="E654" s="9"/>
      <c r="F654" s="9"/>
      <c r="G654" s="9"/>
      <c r="H654" s="9"/>
      <c r="I654" s="9"/>
      <c r="J654" s="9"/>
      <c r="K654" s="9"/>
      <c r="L654" s="9"/>
      <c r="M654" s="9"/>
      <c r="N654" s="9"/>
      <c r="O654" s="9"/>
      <c r="P654" s="9"/>
      <c r="Q654" s="9"/>
    </row>
    <row r="655" spans="1:17" ht="12.75">
      <c r="A655" s="9"/>
      <c r="B655" s="9"/>
      <c r="C655" s="9"/>
      <c r="D655" s="9"/>
      <c r="E655" s="9"/>
      <c r="F655" s="9"/>
      <c r="G655" s="9"/>
      <c r="H655" s="9"/>
      <c r="I655" s="9"/>
      <c r="J655" s="9"/>
      <c r="K655" s="9"/>
      <c r="L655" s="9"/>
      <c r="M655" s="9"/>
      <c r="N655" s="9"/>
      <c r="O655" s="9"/>
      <c r="P655" s="9"/>
      <c r="Q655" s="9"/>
    </row>
    <row r="656" spans="1:17" ht="12.75">
      <c r="A656" s="9"/>
      <c r="B656" s="9"/>
      <c r="C656" s="9"/>
      <c r="D656" s="9"/>
      <c r="E656" s="9"/>
      <c r="F656" s="9"/>
      <c r="G656" s="9"/>
      <c r="H656" s="9"/>
      <c r="I656" s="9"/>
      <c r="J656" s="9"/>
      <c r="K656" s="9"/>
      <c r="L656" s="9"/>
      <c r="M656" s="9"/>
      <c r="N656" s="9"/>
      <c r="O656" s="9"/>
      <c r="P656" s="9"/>
      <c r="Q656" s="9"/>
    </row>
    <row r="657" spans="1:17" ht="12.75">
      <c r="A657" s="9"/>
      <c r="B657" s="9"/>
      <c r="C657" s="9"/>
      <c r="D657" s="9"/>
      <c r="E657" s="9"/>
      <c r="F657" s="9"/>
      <c r="G657" s="9"/>
      <c r="H657" s="9"/>
      <c r="I657" s="9"/>
      <c r="J657" s="9"/>
      <c r="K657" s="9"/>
      <c r="L657" s="9"/>
      <c r="M657" s="9"/>
      <c r="N657" s="9"/>
      <c r="O657" s="9"/>
      <c r="P657" s="9"/>
      <c r="Q657" s="9"/>
    </row>
    <row r="658" spans="1:17" ht="12.75">
      <c r="A658" s="9"/>
      <c r="B658" s="9"/>
      <c r="C658" s="9"/>
      <c r="D658" s="9"/>
      <c r="E658" s="9"/>
      <c r="F658" s="9"/>
      <c r="G658" s="9"/>
      <c r="H658" s="9"/>
      <c r="I658" s="9"/>
      <c r="J658" s="9"/>
      <c r="K658" s="9"/>
      <c r="L658" s="9"/>
      <c r="M658" s="9"/>
      <c r="N658" s="9"/>
      <c r="O658" s="9"/>
      <c r="P658" s="9"/>
      <c r="Q658" s="9"/>
    </row>
    <row r="659" spans="1:17" ht="12.75">
      <c r="A659" s="9"/>
      <c r="B659" s="9"/>
      <c r="C659" s="9"/>
      <c r="D659" s="9"/>
      <c r="E659" s="9"/>
      <c r="F659" s="9"/>
      <c r="G659" s="9"/>
      <c r="H659" s="9"/>
      <c r="I659" s="9"/>
      <c r="J659" s="9"/>
      <c r="K659" s="9"/>
      <c r="L659" s="9"/>
      <c r="M659" s="9"/>
      <c r="N659" s="9"/>
      <c r="O659" s="9"/>
      <c r="P659" s="9"/>
      <c r="Q659" s="9"/>
    </row>
    <row r="660" spans="1:17" ht="12.75">
      <c r="A660" s="9"/>
      <c r="B660" s="9"/>
      <c r="C660" s="9"/>
      <c r="D660" s="9"/>
      <c r="E660" s="9"/>
      <c r="F660" s="9"/>
      <c r="G660" s="9"/>
      <c r="H660" s="9"/>
      <c r="I660" s="9"/>
      <c r="J660" s="9"/>
      <c r="K660" s="9"/>
      <c r="L660" s="9"/>
      <c r="M660" s="9"/>
      <c r="N660" s="9"/>
      <c r="O660" s="9"/>
      <c r="P660" s="9"/>
      <c r="Q660" s="9"/>
    </row>
    <row r="661" spans="1:17" ht="12.75">
      <c r="A661" s="9"/>
      <c r="B661" s="9"/>
      <c r="C661" s="9"/>
      <c r="D661" s="9"/>
      <c r="E661" s="9"/>
      <c r="F661" s="9"/>
      <c r="G661" s="9"/>
      <c r="H661" s="9"/>
      <c r="I661" s="9"/>
      <c r="J661" s="9"/>
      <c r="K661" s="9"/>
      <c r="L661" s="9"/>
      <c r="M661" s="9"/>
      <c r="N661" s="9"/>
      <c r="O661" s="9"/>
      <c r="P661" s="9"/>
      <c r="Q661" s="9"/>
    </row>
    <row r="662" spans="1:17" ht="12.75">
      <c r="A662" s="9"/>
      <c r="B662" s="9"/>
      <c r="C662" s="9"/>
      <c r="D662" s="9"/>
      <c r="E662" s="9"/>
      <c r="F662" s="9"/>
      <c r="G662" s="9"/>
      <c r="H662" s="9"/>
      <c r="I662" s="9"/>
      <c r="J662" s="9"/>
      <c r="K662" s="9"/>
      <c r="L662" s="9"/>
      <c r="M662" s="9"/>
      <c r="N662" s="9"/>
      <c r="O662" s="9"/>
      <c r="P662" s="9"/>
      <c r="Q662" s="9"/>
    </row>
    <row r="663" spans="1:17" ht="12.75">
      <c r="A663" s="9"/>
      <c r="B663" s="9"/>
      <c r="C663" s="9"/>
      <c r="D663" s="9"/>
      <c r="E663" s="9"/>
      <c r="F663" s="9"/>
      <c r="G663" s="9"/>
      <c r="H663" s="9"/>
      <c r="I663" s="9"/>
      <c r="J663" s="9"/>
      <c r="K663" s="9"/>
      <c r="L663" s="9"/>
      <c r="M663" s="9"/>
      <c r="N663" s="9"/>
      <c r="O663" s="9"/>
      <c r="P663" s="9"/>
      <c r="Q663" s="9"/>
    </row>
    <row r="664" spans="1:17" ht="12.75">
      <c r="A664" s="9"/>
      <c r="B664" s="9"/>
      <c r="C664" s="9"/>
      <c r="D664" s="9"/>
      <c r="E664" s="9"/>
      <c r="F664" s="9"/>
      <c r="G664" s="9"/>
      <c r="H664" s="9"/>
      <c r="I664" s="9"/>
      <c r="J664" s="9"/>
      <c r="K664" s="9"/>
      <c r="L664" s="9"/>
      <c r="M664" s="9"/>
      <c r="N664" s="9"/>
      <c r="O664" s="9"/>
      <c r="P664" s="9"/>
      <c r="Q664" s="9"/>
    </row>
    <row r="665" spans="1:17" ht="12.75">
      <c r="A665" s="9"/>
      <c r="B665" s="9"/>
      <c r="C665" s="9"/>
      <c r="D665" s="9"/>
      <c r="E665" s="9"/>
      <c r="F665" s="9"/>
      <c r="G665" s="9"/>
      <c r="H665" s="9"/>
      <c r="I665" s="9"/>
      <c r="J665" s="9"/>
      <c r="K665" s="9"/>
      <c r="L665" s="9"/>
      <c r="M665" s="9"/>
      <c r="N665" s="9"/>
      <c r="O665" s="9"/>
      <c r="P665" s="9"/>
      <c r="Q665" s="9"/>
    </row>
    <row r="666" spans="1:17" ht="12.75">
      <c r="A666" s="9"/>
      <c r="B666" s="9"/>
      <c r="C666" s="9"/>
      <c r="D666" s="9"/>
      <c r="E666" s="9"/>
      <c r="F666" s="9"/>
      <c r="G666" s="9"/>
      <c r="H666" s="9"/>
      <c r="I666" s="9"/>
      <c r="J666" s="9"/>
      <c r="K666" s="9"/>
      <c r="L666" s="9"/>
      <c r="M666" s="9"/>
      <c r="N666" s="9"/>
      <c r="O666" s="9"/>
      <c r="P666" s="9"/>
      <c r="Q666" s="9"/>
    </row>
    <row r="667" spans="1:17" ht="12.75">
      <c r="A667" s="9"/>
      <c r="B667" s="9"/>
      <c r="C667" s="9"/>
      <c r="D667" s="9"/>
      <c r="E667" s="9"/>
      <c r="F667" s="9"/>
      <c r="G667" s="9"/>
      <c r="H667" s="9"/>
      <c r="I667" s="9"/>
      <c r="J667" s="9"/>
      <c r="K667" s="9"/>
      <c r="L667" s="9"/>
      <c r="M667" s="9"/>
      <c r="N667" s="9"/>
      <c r="O667" s="9"/>
      <c r="P667" s="9"/>
      <c r="Q667" s="9"/>
    </row>
    <row r="668" spans="1:17" ht="12.75">
      <c r="A668" s="9"/>
      <c r="B668" s="9"/>
      <c r="C668" s="9"/>
      <c r="D668" s="9"/>
      <c r="E668" s="9"/>
      <c r="F668" s="9"/>
      <c r="G668" s="9"/>
      <c r="H668" s="9"/>
      <c r="I668" s="9"/>
      <c r="J668" s="9"/>
      <c r="K668" s="9"/>
      <c r="L668" s="9"/>
      <c r="M668" s="9"/>
      <c r="N668" s="9"/>
      <c r="O668" s="9"/>
      <c r="P668" s="9"/>
      <c r="Q668" s="9"/>
    </row>
    <row r="669" spans="1:17" ht="12.75">
      <c r="A669" s="9"/>
      <c r="B669" s="9"/>
      <c r="C669" s="9"/>
      <c r="D669" s="9"/>
      <c r="E669" s="9"/>
      <c r="F669" s="9"/>
      <c r="G669" s="9"/>
      <c r="H669" s="9"/>
      <c r="I669" s="9"/>
      <c r="J669" s="9"/>
      <c r="K669" s="9"/>
      <c r="L669" s="9"/>
      <c r="M669" s="9"/>
      <c r="N669" s="9"/>
      <c r="O669" s="9"/>
      <c r="P669" s="9"/>
      <c r="Q669" s="9"/>
    </row>
    <row r="670" spans="1:17" ht="12.75">
      <c r="A670" s="9"/>
      <c r="B670" s="9"/>
      <c r="C670" s="9"/>
      <c r="D670" s="9"/>
      <c r="E670" s="9"/>
      <c r="F670" s="9"/>
      <c r="G670" s="9"/>
      <c r="H670" s="9"/>
      <c r="I670" s="9"/>
      <c r="J670" s="9"/>
      <c r="K670" s="9"/>
      <c r="L670" s="9"/>
      <c r="M670" s="9"/>
      <c r="N670" s="9"/>
      <c r="O670" s="9"/>
      <c r="P670" s="9"/>
      <c r="Q670" s="9"/>
    </row>
    <row r="671" spans="1:17" ht="12.75">
      <c r="A671" s="9"/>
      <c r="B671" s="9"/>
      <c r="C671" s="9"/>
      <c r="D671" s="9"/>
      <c r="E671" s="9"/>
      <c r="F671" s="9"/>
      <c r="G671" s="9"/>
      <c r="H671" s="9"/>
      <c r="I671" s="9"/>
      <c r="J671" s="9"/>
      <c r="K671" s="9"/>
      <c r="L671" s="9"/>
      <c r="M671" s="9"/>
      <c r="N671" s="9"/>
      <c r="O671" s="9"/>
      <c r="P671" s="9"/>
      <c r="Q671" s="9"/>
    </row>
    <row r="672" spans="1:17" ht="12.75">
      <c r="A672" s="9"/>
      <c r="B672" s="9"/>
      <c r="C672" s="9"/>
      <c r="D672" s="9"/>
      <c r="E672" s="9"/>
      <c r="F672" s="9"/>
      <c r="G672" s="9"/>
      <c r="H672" s="9"/>
      <c r="I672" s="9"/>
      <c r="J672" s="9"/>
      <c r="K672" s="9"/>
      <c r="L672" s="9"/>
      <c r="M672" s="9"/>
      <c r="N672" s="9"/>
      <c r="O672" s="9"/>
      <c r="P672" s="9"/>
      <c r="Q672" s="9"/>
    </row>
    <row r="673" spans="1:17" ht="12.75">
      <c r="A673" s="9"/>
      <c r="B673" s="9"/>
      <c r="C673" s="9"/>
      <c r="D673" s="9"/>
      <c r="E673" s="9"/>
      <c r="F673" s="9"/>
      <c r="G673" s="9"/>
      <c r="H673" s="9"/>
      <c r="I673" s="9"/>
      <c r="J673" s="9"/>
      <c r="K673" s="9"/>
      <c r="L673" s="9"/>
      <c r="M673" s="9"/>
      <c r="N673" s="9"/>
      <c r="O673" s="9"/>
      <c r="P673" s="9"/>
      <c r="Q673" s="9"/>
    </row>
    <row r="674" spans="1:17" ht="12.75">
      <c r="A674" s="9"/>
      <c r="B674" s="9"/>
      <c r="C674" s="9"/>
      <c r="D674" s="9"/>
      <c r="E674" s="9"/>
      <c r="F674" s="9"/>
      <c r="G674" s="9"/>
      <c r="H674" s="9"/>
      <c r="I674" s="9"/>
      <c r="J674" s="9"/>
      <c r="K674" s="9"/>
      <c r="L674" s="9"/>
      <c r="M674" s="9"/>
      <c r="N674" s="9"/>
      <c r="O674" s="9"/>
      <c r="P674" s="9"/>
      <c r="Q674" s="9"/>
    </row>
    <row r="675" spans="1:17" ht="12.75">
      <c r="A675" s="9"/>
      <c r="B675" s="9"/>
      <c r="C675" s="9"/>
      <c r="D675" s="9"/>
      <c r="E675" s="9"/>
      <c r="F675" s="9"/>
      <c r="G675" s="9"/>
      <c r="H675" s="9"/>
      <c r="I675" s="9"/>
      <c r="J675" s="9"/>
      <c r="K675" s="9"/>
      <c r="L675" s="9"/>
      <c r="M675" s="9"/>
      <c r="N675" s="9"/>
      <c r="O675" s="9"/>
      <c r="P675" s="9"/>
      <c r="Q675" s="9"/>
    </row>
    <row r="676" spans="1:17" ht="12.75">
      <c r="A676" s="9"/>
      <c r="B676" s="9"/>
      <c r="C676" s="9"/>
      <c r="D676" s="9"/>
      <c r="E676" s="9"/>
      <c r="F676" s="9"/>
      <c r="G676" s="9"/>
      <c r="H676" s="9"/>
      <c r="I676" s="9"/>
      <c r="J676" s="9"/>
      <c r="K676" s="9"/>
      <c r="L676" s="9"/>
      <c r="M676" s="9"/>
      <c r="N676" s="9"/>
      <c r="O676" s="9"/>
      <c r="P676" s="9"/>
      <c r="Q676" s="9"/>
    </row>
    <row r="677" spans="1:17" ht="12.75">
      <c r="A677" s="9"/>
      <c r="B677" s="9"/>
      <c r="C677" s="9"/>
      <c r="D677" s="9"/>
      <c r="E677" s="9"/>
      <c r="F677" s="9"/>
      <c r="G677" s="9"/>
      <c r="H677" s="9"/>
      <c r="I677" s="9"/>
      <c r="J677" s="9"/>
      <c r="K677" s="9"/>
      <c r="L677" s="9"/>
      <c r="M677" s="9"/>
      <c r="N677" s="9"/>
      <c r="O677" s="9"/>
      <c r="P677" s="9"/>
      <c r="Q677" s="9"/>
    </row>
    <row r="678" spans="1:17" ht="12.75">
      <c r="A678" s="9"/>
      <c r="B678" s="9"/>
      <c r="C678" s="9"/>
      <c r="D678" s="9"/>
      <c r="E678" s="9"/>
      <c r="F678" s="9"/>
      <c r="G678" s="9"/>
      <c r="H678" s="9"/>
      <c r="I678" s="9"/>
      <c r="J678" s="9"/>
      <c r="K678" s="9"/>
      <c r="L678" s="9"/>
      <c r="M678" s="9"/>
      <c r="N678" s="9"/>
      <c r="O678" s="9"/>
      <c r="P678" s="9"/>
      <c r="Q678" s="9"/>
    </row>
    <row r="679" spans="1:17" ht="12.75">
      <c r="A679" s="9"/>
      <c r="B679" s="9"/>
      <c r="C679" s="9"/>
      <c r="D679" s="9"/>
      <c r="E679" s="9"/>
      <c r="F679" s="9"/>
      <c r="G679" s="9"/>
      <c r="H679" s="9"/>
      <c r="I679" s="9"/>
      <c r="J679" s="9"/>
      <c r="K679" s="9"/>
      <c r="L679" s="9"/>
      <c r="M679" s="9"/>
      <c r="N679" s="9"/>
      <c r="O679" s="9"/>
      <c r="P679" s="9"/>
      <c r="Q679" s="9"/>
    </row>
    <row r="680" spans="1:17" ht="12.75">
      <c r="A680" s="9"/>
      <c r="B680" s="9"/>
      <c r="C680" s="9"/>
      <c r="D680" s="9"/>
      <c r="E680" s="9"/>
      <c r="F680" s="9"/>
      <c r="G680" s="9"/>
      <c r="H680" s="9"/>
      <c r="I680" s="9"/>
      <c r="J680" s="9"/>
      <c r="K680" s="9"/>
      <c r="L680" s="9"/>
      <c r="M680" s="9"/>
      <c r="N680" s="9"/>
      <c r="O680" s="9"/>
      <c r="P680" s="9"/>
      <c r="Q680" s="9"/>
    </row>
    <row r="681" spans="1:17" ht="12.75">
      <c r="A681" s="9"/>
      <c r="B681" s="9"/>
      <c r="C681" s="9"/>
      <c r="D681" s="9"/>
      <c r="E681" s="9"/>
      <c r="F681" s="9"/>
      <c r="G681" s="9"/>
      <c r="H681" s="9"/>
      <c r="I681" s="9"/>
      <c r="J681" s="9"/>
      <c r="K681" s="9"/>
      <c r="L681" s="9"/>
      <c r="M681" s="9"/>
      <c r="N681" s="9"/>
      <c r="O681" s="9"/>
      <c r="P681" s="9"/>
      <c r="Q681" s="9"/>
    </row>
    <row r="682" spans="1:17" ht="12.75">
      <c r="A682" s="9"/>
      <c r="B682" s="9"/>
      <c r="C682" s="9"/>
      <c r="D682" s="9"/>
      <c r="E682" s="9"/>
      <c r="F682" s="9"/>
      <c r="G682" s="9"/>
      <c r="H682" s="9"/>
      <c r="I682" s="9"/>
      <c r="J682" s="9"/>
      <c r="K682" s="9"/>
      <c r="L682" s="9"/>
      <c r="M682" s="9"/>
      <c r="N682" s="9"/>
      <c r="O682" s="9"/>
      <c r="P682" s="9"/>
      <c r="Q682" s="9"/>
    </row>
    <row r="683" spans="1:17" ht="12.75">
      <c r="A683" s="9"/>
      <c r="B683" s="9"/>
      <c r="C683" s="9"/>
      <c r="D683" s="9"/>
      <c r="E683" s="9"/>
      <c r="F683" s="9"/>
      <c r="G683" s="9"/>
      <c r="H683" s="9"/>
      <c r="I683" s="9"/>
      <c r="J683" s="9"/>
      <c r="K683" s="9"/>
      <c r="L683" s="9"/>
      <c r="M683" s="9"/>
      <c r="N683" s="9"/>
      <c r="O683" s="9"/>
      <c r="P683" s="9"/>
      <c r="Q683" s="9"/>
    </row>
    <row r="684" spans="1:17" ht="12.75">
      <c r="A684" s="9"/>
      <c r="B684" s="9"/>
      <c r="C684" s="9"/>
      <c r="D684" s="9"/>
      <c r="E684" s="9"/>
      <c r="F684" s="9"/>
      <c r="G684" s="9"/>
      <c r="H684" s="9"/>
      <c r="I684" s="9"/>
      <c r="J684" s="9"/>
      <c r="K684" s="9"/>
      <c r="L684" s="9"/>
      <c r="M684" s="9"/>
      <c r="N684" s="9"/>
      <c r="O684" s="9"/>
      <c r="P684" s="9"/>
      <c r="Q684" s="9"/>
    </row>
    <row r="685" spans="1:17" ht="12.75">
      <c r="A685" s="9"/>
      <c r="B685" s="9"/>
      <c r="C685" s="9"/>
      <c r="D685" s="9"/>
      <c r="E685" s="9"/>
      <c r="F685" s="9"/>
      <c r="G685" s="9"/>
      <c r="H685" s="9"/>
      <c r="I685" s="9"/>
      <c r="J685" s="9"/>
      <c r="K685" s="9"/>
      <c r="L685" s="9"/>
      <c r="M685" s="9"/>
      <c r="N685" s="9"/>
      <c r="O685" s="9"/>
      <c r="P685" s="9"/>
      <c r="Q685" s="9"/>
    </row>
    <row r="686" spans="1:17" ht="12.75">
      <c r="A686" s="9"/>
      <c r="B686" s="9"/>
      <c r="C686" s="9"/>
      <c r="D686" s="9"/>
      <c r="E686" s="9"/>
      <c r="F686" s="9"/>
      <c r="G686" s="9"/>
      <c r="H686" s="9"/>
      <c r="I686" s="9"/>
      <c r="J686" s="9"/>
      <c r="K686" s="9"/>
      <c r="L686" s="9"/>
      <c r="M686" s="9"/>
      <c r="N686" s="9"/>
      <c r="O686" s="9"/>
      <c r="P686" s="9"/>
      <c r="Q686" s="9"/>
    </row>
    <row r="687" spans="1:17" ht="12.75">
      <c r="A687" s="9"/>
      <c r="B687" s="9"/>
      <c r="C687" s="9"/>
      <c r="D687" s="9"/>
      <c r="E687" s="9"/>
      <c r="F687" s="9"/>
      <c r="G687" s="9"/>
      <c r="H687" s="9"/>
      <c r="I687" s="9"/>
      <c r="J687" s="9"/>
      <c r="K687" s="9"/>
      <c r="L687" s="9"/>
      <c r="M687" s="9"/>
      <c r="N687" s="9"/>
      <c r="O687" s="9"/>
      <c r="P687" s="9"/>
      <c r="Q687" s="9"/>
    </row>
    <row r="688" spans="1:17" ht="12.75">
      <c r="A688" s="9"/>
      <c r="B688" s="9"/>
      <c r="C688" s="9"/>
      <c r="D688" s="9"/>
      <c r="E688" s="9"/>
      <c r="F688" s="9"/>
      <c r="G688" s="9"/>
      <c r="H688" s="9"/>
      <c r="I688" s="9"/>
      <c r="J688" s="9"/>
      <c r="K688" s="9"/>
      <c r="L688" s="9"/>
      <c r="M688" s="9"/>
      <c r="N688" s="9"/>
      <c r="O688" s="9"/>
      <c r="P688" s="9"/>
      <c r="Q688" s="9"/>
    </row>
    <row r="689" spans="1:17" ht="12.75">
      <c r="A689" s="9"/>
      <c r="B689" s="9"/>
      <c r="C689" s="9"/>
      <c r="D689" s="9"/>
      <c r="E689" s="9"/>
      <c r="F689" s="9"/>
      <c r="G689" s="9"/>
      <c r="H689" s="9"/>
      <c r="I689" s="9"/>
      <c r="J689" s="9"/>
      <c r="K689" s="9"/>
      <c r="L689" s="9"/>
      <c r="M689" s="9"/>
      <c r="N689" s="9"/>
      <c r="O689" s="9"/>
      <c r="P689" s="9"/>
      <c r="Q689" s="9"/>
    </row>
    <row r="690" spans="1:17" ht="12.75">
      <c r="A690" s="9"/>
      <c r="B690" s="9"/>
      <c r="C690" s="9"/>
      <c r="D690" s="9"/>
      <c r="E690" s="9"/>
      <c r="F690" s="9"/>
      <c r="G690" s="9"/>
      <c r="H690" s="9"/>
      <c r="I690" s="9"/>
      <c r="J690" s="9"/>
      <c r="K690" s="9"/>
      <c r="L690" s="9"/>
      <c r="M690" s="9"/>
      <c r="N690" s="9"/>
      <c r="O690" s="9"/>
      <c r="P690" s="9"/>
      <c r="Q690" s="9"/>
    </row>
    <row r="691" spans="1:17" ht="12.75">
      <c r="A691" s="9"/>
      <c r="B691" s="9"/>
      <c r="C691" s="9"/>
      <c r="D691" s="9"/>
      <c r="E691" s="9"/>
      <c r="F691" s="9"/>
      <c r="G691" s="9"/>
      <c r="H691" s="9"/>
      <c r="I691" s="9"/>
      <c r="J691" s="9"/>
      <c r="K691" s="9"/>
      <c r="L691" s="9"/>
      <c r="M691" s="9"/>
      <c r="N691" s="9"/>
      <c r="O691" s="9"/>
      <c r="P691" s="9"/>
      <c r="Q691" s="9"/>
    </row>
    <row r="692" spans="1:17" ht="12.75">
      <c r="A692" s="9"/>
      <c r="B692" s="9"/>
      <c r="C692" s="9"/>
      <c r="D692" s="9"/>
      <c r="E692" s="9"/>
      <c r="F692" s="9"/>
      <c r="G692" s="9"/>
      <c r="H692" s="9"/>
      <c r="I692" s="9"/>
      <c r="J692" s="9"/>
      <c r="K692" s="9"/>
      <c r="L692" s="9"/>
      <c r="M692" s="9"/>
      <c r="N692" s="9"/>
      <c r="O692" s="9"/>
      <c r="P692" s="9"/>
      <c r="Q692" s="9"/>
    </row>
    <row r="693" spans="1:17" ht="12.75">
      <c r="A693" s="9"/>
      <c r="B693" s="9"/>
      <c r="C693" s="9"/>
      <c r="D693" s="9"/>
      <c r="E693" s="9"/>
      <c r="F693" s="9"/>
      <c r="G693" s="9"/>
      <c r="H693" s="9"/>
      <c r="I693" s="9"/>
      <c r="J693" s="9"/>
      <c r="K693" s="9"/>
      <c r="L693" s="9"/>
      <c r="M693" s="9"/>
      <c r="N693" s="9"/>
      <c r="O693" s="9"/>
      <c r="P693" s="9"/>
      <c r="Q693" s="9"/>
    </row>
    <row r="694" spans="1:17" ht="12.75">
      <c r="A694" s="9"/>
      <c r="B694" s="9"/>
      <c r="C694" s="9"/>
      <c r="D694" s="9"/>
      <c r="E694" s="9"/>
      <c r="F694" s="9"/>
      <c r="G694" s="9"/>
      <c r="H694" s="9"/>
      <c r="I694" s="9"/>
      <c r="J694" s="9"/>
      <c r="K694" s="9"/>
      <c r="L694" s="9"/>
      <c r="M694" s="9"/>
      <c r="N694" s="9"/>
      <c r="O694" s="9"/>
      <c r="P694" s="9"/>
      <c r="Q694" s="9"/>
    </row>
    <row r="695" spans="1:17" ht="12.75">
      <c r="A695" s="9"/>
      <c r="B695" s="9"/>
      <c r="C695" s="9"/>
      <c r="D695" s="9"/>
      <c r="E695" s="9"/>
      <c r="F695" s="9"/>
      <c r="G695" s="9"/>
      <c r="H695" s="9"/>
      <c r="I695" s="9"/>
      <c r="J695" s="9"/>
      <c r="K695" s="9"/>
      <c r="L695" s="9"/>
      <c r="M695" s="9"/>
      <c r="N695" s="9"/>
      <c r="O695" s="9"/>
      <c r="P695" s="9"/>
      <c r="Q695" s="9"/>
    </row>
    <row r="696" spans="1:17" ht="12.75">
      <c r="A696" s="9"/>
      <c r="B696" s="9"/>
      <c r="C696" s="9"/>
      <c r="D696" s="9"/>
      <c r="E696" s="9"/>
      <c r="F696" s="9"/>
      <c r="G696" s="9"/>
      <c r="H696" s="9"/>
      <c r="I696" s="9"/>
      <c r="J696" s="9"/>
      <c r="K696" s="9"/>
      <c r="L696" s="9"/>
      <c r="M696" s="9"/>
      <c r="N696" s="9"/>
      <c r="O696" s="9"/>
      <c r="P696" s="9"/>
      <c r="Q696" s="9"/>
    </row>
    <row r="697" spans="1:17" ht="12.75">
      <c r="A697" s="9"/>
      <c r="B697" s="9"/>
      <c r="C697" s="9"/>
      <c r="D697" s="9"/>
      <c r="E697" s="9"/>
      <c r="F697" s="9"/>
      <c r="G697" s="9"/>
      <c r="H697" s="9"/>
      <c r="I697" s="9"/>
      <c r="J697" s="9"/>
      <c r="K697" s="9"/>
      <c r="L697" s="9"/>
      <c r="M697" s="9"/>
      <c r="N697" s="9"/>
      <c r="O697" s="9"/>
      <c r="P697" s="9"/>
      <c r="Q697" s="9"/>
    </row>
    <row r="698" spans="1:17" ht="12.75">
      <c r="A698" s="9"/>
      <c r="B698" s="9"/>
      <c r="C698" s="9"/>
      <c r="D698" s="9"/>
      <c r="E698" s="9"/>
      <c r="F698" s="9"/>
      <c r="G698" s="9"/>
      <c r="H698" s="9"/>
      <c r="I698" s="9"/>
      <c r="J698" s="9"/>
      <c r="K698" s="9"/>
      <c r="L698" s="9"/>
      <c r="M698" s="9"/>
      <c r="N698" s="9"/>
      <c r="O698" s="9"/>
      <c r="P698" s="9"/>
      <c r="Q698" s="9"/>
    </row>
    <row r="699" spans="1:17" ht="12.75">
      <c r="A699" s="9"/>
      <c r="B699" s="9"/>
      <c r="C699" s="9"/>
      <c r="D699" s="9"/>
      <c r="E699" s="9"/>
      <c r="F699" s="9"/>
      <c r="G699" s="9"/>
      <c r="H699" s="9"/>
      <c r="I699" s="9"/>
      <c r="J699" s="9"/>
      <c r="K699" s="9"/>
      <c r="L699" s="9"/>
      <c r="M699" s="9"/>
      <c r="N699" s="9"/>
      <c r="O699" s="9"/>
      <c r="P699" s="9"/>
      <c r="Q699" s="9"/>
    </row>
    <row r="700" spans="1:17" ht="12.75">
      <c r="A700" s="9"/>
      <c r="B700" s="9"/>
      <c r="C700" s="9"/>
      <c r="D700" s="9"/>
      <c r="E700" s="9"/>
      <c r="F700" s="9"/>
      <c r="G700" s="9"/>
      <c r="H700" s="9"/>
      <c r="I700" s="9"/>
      <c r="J700" s="9"/>
      <c r="K700" s="9"/>
      <c r="L700" s="9"/>
      <c r="M700" s="9"/>
      <c r="N700" s="9"/>
      <c r="O700" s="9"/>
      <c r="P700" s="9"/>
      <c r="Q700" s="9"/>
    </row>
    <row r="701" spans="1:17" ht="12.75">
      <c r="A701" s="9"/>
      <c r="B701" s="9"/>
      <c r="C701" s="9"/>
      <c r="D701" s="9"/>
      <c r="E701" s="9"/>
      <c r="F701" s="9"/>
      <c r="G701" s="9"/>
      <c r="H701" s="9"/>
      <c r="I701" s="9"/>
      <c r="J701" s="9"/>
      <c r="K701" s="9"/>
      <c r="L701" s="9"/>
      <c r="M701" s="9"/>
      <c r="N701" s="9"/>
      <c r="O701" s="9"/>
      <c r="P701" s="9"/>
      <c r="Q701" s="9"/>
    </row>
    <row r="702" spans="1:17" ht="12.75">
      <c r="A702" s="9"/>
      <c r="B702" s="9"/>
      <c r="C702" s="9"/>
      <c r="D702" s="9"/>
      <c r="E702" s="9"/>
      <c r="F702" s="9"/>
      <c r="G702" s="9"/>
      <c r="H702" s="9"/>
      <c r="I702" s="9"/>
      <c r="J702" s="9"/>
      <c r="K702" s="9"/>
      <c r="L702" s="9"/>
      <c r="M702" s="9"/>
      <c r="N702" s="9"/>
      <c r="O702" s="9"/>
      <c r="P702" s="9"/>
      <c r="Q702" s="9"/>
    </row>
    <row r="703" spans="1:17" ht="12.75">
      <c r="A703" s="9"/>
      <c r="B703" s="9"/>
      <c r="C703" s="9"/>
      <c r="D703" s="9"/>
      <c r="E703" s="9"/>
      <c r="F703" s="9"/>
      <c r="G703" s="9"/>
      <c r="H703" s="9"/>
      <c r="I703" s="9"/>
      <c r="J703" s="9"/>
      <c r="K703" s="9"/>
      <c r="L703" s="9"/>
      <c r="M703" s="9"/>
      <c r="N703" s="9"/>
      <c r="O703" s="9"/>
      <c r="P703" s="9"/>
      <c r="Q703" s="9"/>
    </row>
    <row r="704" spans="1:17" ht="12.75">
      <c r="A704" s="9"/>
      <c r="B704" s="9"/>
      <c r="C704" s="9"/>
      <c r="D704" s="9"/>
      <c r="E704" s="9"/>
      <c r="F704" s="9"/>
      <c r="G704" s="9"/>
      <c r="H704" s="9"/>
      <c r="I704" s="9"/>
      <c r="J704" s="9"/>
      <c r="K704" s="9"/>
      <c r="L704" s="9"/>
      <c r="M704" s="9"/>
      <c r="N704" s="9"/>
      <c r="O704" s="9"/>
      <c r="P704" s="9"/>
      <c r="Q704" s="9"/>
    </row>
    <row r="705" spans="1:17" ht="12.75">
      <c r="A705" s="9"/>
      <c r="B705" s="9"/>
      <c r="C705" s="9"/>
      <c r="D705" s="9"/>
      <c r="E705" s="9"/>
      <c r="F705" s="9"/>
      <c r="G705" s="9"/>
      <c r="H705" s="9"/>
      <c r="I705" s="9"/>
      <c r="J705" s="9"/>
      <c r="K705" s="9"/>
      <c r="L705" s="9"/>
      <c r="M705" s="9"/>
      <c r="N705" s="9"/>
      <c r="O705" s="9"/>
      <c r="P705" s="9"/>
      <c r="Q705" s="9"/>
    </row>
    <row r="706" spans="1:17" ht="12.75">
      <c r="A706" s="9"/>
      <c r="B706" s="9"/>
      <c r="C706" s="9"/>
      <c r="D706" s="9"/>
      <c r="E706" s="9"/>
      <c r="F706" s="9"/>
      <c r="G706" s="9"/>
      <c r="H706" s="9"/>
      <c r="I706" s="9"/>
      <c r="J706" s="9"/>
      <c r="K706" s="9"/>
      <c r="L706" s="9"/>
      <c r="M706" s="9"/>
      <c r="N706" s="9"/>
      <c r="O706" s="9"/>
      <c r="P706" s="9"/>
      <c r="Q706" s="9"/>
    </row>
    <row r="707" spans="1:17" ht="12.75">
      <c r="A707" s="9"/>
      <c r="B707" s="9"/>
      <c r="C707" s="9"/>
      <c r="D707" s="9"/>
      <c r="E707" s="9"/>
      <c r="F707" s="9"/>
      <c r="G707" s="9"/>
      <c r="H707" s="9"/>
      <c r="I707" s="9"/>
      <c r="J707" s="9"/>
      <c r="K707" s="9"/>
      <c r="L707" s="9"/>
      <c r="M707" s="9"/>
      <c r="N707" s="9"/>
      <c r="O707" s="9"/>
      <c r="P707" s="9"/>
      <c r="Q707" s="9"/>
    </row>
    <row r="708" spans="1:17" ht="12.75">
      <c r="A708" s="9"/>
      <c r="B708" s="9"/>
      <c r="C708" s="9"/>
      <c r="D708" s="9"/>
      <c r="E708" s="9"/>
      <c r="F708" s="9"/>
      <c r="G708" s="9"/>
      <c r="H708" s="9"/>
      <c r="I708" s="9"/>
      <c r="J708" s="9"/>
      <c r="K708" s="9"/>
      <c r="L708" s="9"/>
      <c r="M708" s="9"/>
      <c r="N708" s="9"/>
      <c r="O708" s="9"/>
      <c r="P708" s="9"/>
      <c r="Q708" s="9"/>
    </row>
    <row r="709" spans="1:17" ht="12.75">
      <c r="A709" s="9"/>
      <c r="B709" s="9"/>
      <c r="C709" s="9"/>
      <c r="D709" s="9"/>
      <c r="E709" s="9"/>
      <c r="F709" s="9"/>
      <c r="G709" s="9"/>
      <c r="H709" s="9"/>
      <c r="I709" s="9"/>
      <c r="J709" s="9"/>
      <c r="K709" s="9"/>
      <c r="L709" s="9"/>
      <c r="M709" s="9"/>
      <c r="N709" s="9"/>
      <c r="O709" s="9"/>
      <c r="P709" s="9"/>
      <c r="Q709" s="9"/>
    </row>
    <row r="710" spans="1:17" ht="12.75">
      <c r="A710" s="9"/>
      <c r="B710" s="9"/>
      <c r="C710" s="9"/>
      <c r="D710" s="9"/>
      <c r="E710" s="9"/>
      <c r="F710" s="9"/>
      <c r="G710" s="9"/>
      <c r="H710" s="9"/>
      <c r="I710" s="9"/>
      <c r="J710" s="9"/>
      <c r="K710" s="9"/>
      <c r="L710" s="9"/>
      <c r="M710" s="9"/>
      <c r="N710" s="9"/>
      <c r="O710" s="9"/>
      <c r="P710" s="9"/>
      <c r="Q710" s="9"/>
    </row>
    <row r="711" spans="1:17" ht="12.75">
      <c r="A711" s="9"/>
      <c r="B711" s="9"/>
      <c r="C711" s="9"/>
      <c r="D711" s="9"/>
      <c r="E711" s="9"/>
      <c r="F711" s="9"/>
      <c r="G711" s="9"/>
      <c r="H711" s="9"/>
      <c r="I711" s="9"/>
      <c r="J711" s="9"/>
      <c r="K711" s="9"/>
      <c r="L711" s="9"/>
      <c r="M711" s="9"/>
      <c r="N711" s="9"/>
      <c r="O711" s="9"/>
      <c r="P711" s="9"/>
      <c r="Q711" s="9"/>
    </row>
    <row r="712" spans="1:17" ht="12.75">
      <c r="A712" s="9"/>
      <c r="B712" s="9"/>
      <c r="C712" s="9"/>
      <c r="D712" s="9"/>
      <c r="E712" s="9"/>
      <c r="F712" s="9"/>
      <c r="G712" s="9"/>
      <c r="H712" s="9"/>
      <c r="I712" s="9"/>
      <c r="J712" s="9"/>
      <c r="K712" s="9"/>
      <c r="L712" s="9"/>
      <c r="M712" s="9"/>
      <c r="N712" s="9"/>
      <c r="O712" s="9"/>
      <c r="P712" s="9"/>
      <c r="Q712" s="9"/>
    </row>
    <row r="713" spans="1:17" ht="12.75">
      <c r="A713" s="9"/>
      <c r="B713" s="9"/>
      <c r="C713" s="9"/>
      <c r="D713" s="9"/>
      <c r="E713" s="9"/>
      <c r="F713" s="9"/>
      <c r="G713" s="9"/>
      <c r="H713" s="9"/>
      <c r="I713" s="9"/>
      <c r="J713" s="9"/>
      <c r="K713" s="9"/>
      <c r="L713" s="9"/>
      <c r="M713" s="9"/>
      <c r="N713" s="9"/>
      <c r="O713" s="9"/>
      <c r="P713" s="9"/>
      <c r="Q713" s="9"/>
    </row>
    <row r="714" spans="1:17" ht="12.75">
      <c r="A714" s="9"/>
      <c r="B714" s="9"/>
      <c r="C714" s="9"/>
      <c r="D714" s="9"/>
      <c r="E714" s="9"/>
      <c r="F714" s="9"/>
      <c r="G714" s="9"/>
      <c r="H714" s="9"/>
      <c r="I714" s="9"/>
      <c r="J714" s="9"/>
      <c r="K714" s="9"/>
      <c r="L714" s="9"/>
      <c r="M714" s="9"/>
      <c r="N714" s="9"/>
      <c r="O714" s="9"/>
      <c r="P714" s="9"/>
      <c r="Q714" s="9"/>
    </row>
    <row r="715" spans="1:17" ht="12.75">
      <c r="A715" s="9"/>
      <c r="B715" s="9"/>
      <c r="C715" s="9"/>
      <c r="D715" s="9"/>
      <c r="E715" s="9"/>
      <c r="F715" s="9"/>
      <c r="G715" s="9"/>
      <c r="H715" s="9"/>
      <c r="I715" s="9"/>
      <c r="J715" s="9"/>
      <c r="K715" s="9"/>
      <c r="L715" s="9"/>
      <c r="M715" s="9"/>
      <c r="N715" s="9"/>
      <c r="O715" s="9"/>
      <c r="P715" s="9"/>
      <c r="Q715" s="9"/>
    </row>
    <row r="716" spans="1:17" ht="12.75">
      <c r="A716" s="9"/>
      <c r="B716" s="9"/>
      <c r="C716" s="9"/>
      <c r="D716" s="9"/>
      <c r="E716" s="9"/>
      <c r="F716" s="9"/>
      <c r="G716" s="9"/>
      <c r="H716" s="9"/>
      <c r="I716" s="9"/>
      <c r="J716" s="9"/>
      <c r="K716" s="9"/>
      <c r="L716" s="9"/>
      <c r="M716" s="9"/>
      <c r="N716" s="9"/>
      <c r="O716" s="9"/>
      <c r="P716" s="9"/>
      <c r="Q716" s="9"/>
    </row>
    <row r="717" spans="1:17" ht="12.75">
      <c r="A717" s="9"/>
      <c r="B717" s="9"/>
      <c r="C717" s="9"/>
      <c r="D717" s="9"/>
      <c r="E717" s="9"/>
      <c r="F717" s="9"/>
      <c r="G717" s="9"/>
      <c r="H717" s="9"/>
      <c r="I717" s="9"/>
      <c r="J717" s="9"/>
      <c r="K717" s="9"/>
      <c r="L717" s="9"/>
      <c r="M717" s="9"/>
      <c r="N717" s="9"/>
      <c r="O717" s="9"/>
      <c r="P717" s="9"/>
      <c r="Q717" s="9"/>
    </row>
    <row r="718" spans="1:17" ht="12.75">
      <c r="A718" s="9"/>
      <c r="B718" s="9"/>
      <c r="C718" s="9"/>
      <c r="D718" s="9"/>
      <c r="E718" s="9"/>
      <c r="F718" s="9"/>
      <c r="G718" s="9"/>
      <c r="H718" s="9"/>
      <c r="I718" s="9"/>
      <c r="J718" s="9"/>
      <c r="K718" s="9"/>
      <c r="L718" s="9"/>
      <c r="M718" s="9"/>
      <c r="N718" s="9"/>
      <c r="O718" s="9"/>
      <c r="P718" s="9"/>
      <c r="Q718" s="9"/>
    </row>
    <row r="719" spans="1:17" ht="12.75">
      <c r="A719" s="9"/>
      <c r="B719" s="9"/>
      <c r="C719" s="9"/>
      <c r="D719" s="9"/>
      <c r="E719" s="9"/>
      <c r="F719" s="9"/>
      <c r="G719" s="9"/>
      <c r="H719" s="9"/>
      <c r="I719" s="9"/>
      <c r="J719" s="9"/>
      <c r="K719" s="9"/>
      <c r="L719" s="9"/>
      <c r="M719" s="9"/>
      <c r="N719" s="9"/>
      <c r="O719" s="9"/>
      <c r="P719" s="9"/>
      <c r="Q719" s="9"/>
    </row>
    <row r="720" spans="1:17" ht="12.75">
      <c r="A720" s="9"/>
      <c r="B720" s="9"/>
      <c r="C720" s="9"/>
      <c r="D720" s="9"/>
      <c r="E720" s="9"/>
      <c r="F720" s="9"/>
      <c r="G720" s="9"/>
      <c r="H720" s="9"/>
      <c r="I720" s="9"/>
      <c r="J720" s="9"/>
      <c r="K720" s="9"/>
      <c r="L720" s="9"/>
      <c r="M720" s="9"/>
      <c r="N720" s="9"/>
      <c r="O720" s="9"/>
      <c r="P720" s="9"/>
      <c r="Q720" s="9"/>
    </row>
    <row r="721" spans="1:17" ht="12.75">
      <c r="A721" s="9"/>
      <c r="B721" s="9"/>
      <c r="C721" s="9"/>
      <c r="D721" s="9"/>
      <c r="E721" s="9"/>
      <c r="F721" s="9"/>
      <c r="G721" s="9"/>
      <c r="H721" s="9"/>
      <c r="I721" s="9"/>
      <c r="J721" s="9"/>
      <c r="K721" s="9"/>
      <c r="L721" s="9"/>
      <c r="M721" s="9"/>
      <c r="N721" s="9"/>
      <c r="O721" s="9"/>
      <c r="P721" s="9"/>
      <c r="Q721" s="9"/>
    </row>
    <row r="722" spans="1:17" ht="12.75">
      <c r="A722" s="9"/>
      <c r="B722" s="9"/>
      <c r="C722" s="9"/>
      <c r="D722" s="9"/>
      <c r="E722" s="9"/>
      <c r="F722" s="9"/>
      <c r="G722" s="9"/>
      <c r="H722" s="9"/>
      <c r="I722" s="9"/>
      <c r="J722" s="9"/>
      <c r="K722" s="9"/>
      <c r="L722" s="9"/>
      <c r="M722" s="9"/>
      <c r="N722" s="9"/>
      <c r="O722" s="9"/>
      <c r="P722" s="9"/>
      <c r="Q722" s="9"/>
    </row>
    <row r="723" spans="1:17" ht="12.75">
      <c r="A723" s="9"/>
      <c r="B723" s="9"/>
      <c r="C723" s="9"/>
      <c r="D723" s="9"/>
      <c r="E723" s="9"/>
      <c r="F723" s="9"/>
      <c r="G723" s="9"/>
      <c r="H723" s="9"/>
      <c r="I723" s="9"/>
      <c r="J723" s="9"/>
      <c r="K723" s="9"/>
      <c r="L723" s="9"/>
      <c r="M723" s="9"/>
      <c r="N723" s="9"/>
      <c r="O723" s="9"/>
      <c r="P723" s="9"/>
      <c r="Q723" s="9"/>
    </row>
    <row r="724" spans="1:17" ht="12.75">
      <c r="A724" s="9"/>
      <c r="B724" s="9"/>
      <c r="C724" s="9"/>
      <c r="D724" s="9"/>
      <c r="E724" s="9"/>
      <c r="F724" s="9"/>
      <c r="G724" s="9"/>
      <c r="H724" s="9"/>
      <c r="I724" s="9"/>
      <c r="J724" s="9"/>
      <c r="K724" s="9"/>
      <c r="L724" s="9"/>
      <c r="M724" s="9"/>
      <c r="N724" s="9"/>
      <c r="O724" s="9"/>
      <c r="P724" s="9"/>
      <c r="Q724" s="9"/>
    </row>
    <row r="725" spans="1:17" ht="12.75">
      <c r="A725" s="9"/>
      <c r="B725" s="9"/>
      <c r="C725" s="9"/>
      <c r="D725" s="9"/>
      <c r="E725" s="9"/>
      <c r="F725" s="9"/>
      <c r="G725" s="9"/>
      <c r="H725" s="9"/>
      <c r="I725" s="9"/>
      <c r="J725" s="9"/>
      <c r="K725" s="9"/>
      <c r="L725" s="9"/>
      <c r="M725" s="9"/>
      <c r="N725" s="9"/>
      <c r="O725" s="9"/>
      <c r="P725" s="9"/>
      <c r="Q725" s="9"/>
    </row>
    <row r="726" spans="1:17" ht="12.75">
      <c r="A726" s="9"/>
      <c r="B726" s="9"/>
      <c r="C726" s="9"/>
      <c r="D726" s="9"/>
      <c r="E726" s="9"/>
      <c r="F726" s="9"/>
      <c r="G726" s="9"/>
      <c r="H726" s="9"/>
      <c r="I726" s="9"/>
      <c r="J726" s="9"/>
      <c r="K726" s="9"/>
      <c r="L726" s="9"/>
      <c r="M726" s="9"/>
      <c r="N726" s="9"/>
      <c r="O726" s="9"/>
      <c r="P726" s="9"/>
      <c r="Q726" s="9"/>
    </row>
    <row r="727" spans="1:17" ht="12.75">
      <c r="A727" s="9"/>
      <c r="B727" s="9"/>
      <c r="C727" s="9"/>
      <c r="D727" s="9"/>
      <c r="E727" s="9"/>
      <c r="F727" s="9"/>
      <c r="G727" s="9"/>
      <c r="H727" s="9"/>
      <c r="I727" s="9"/>
      <c r="J727" s="9"/>
      <c r="K727" s="9"/>
      <c r="L727" s="9"/>
      <c r="M727" s="9"/>
      <c r="N727" s="9"/>
      <c r="O727" s="9"/>
      <c r="P727" s="9"/>
      <c r="Q727" s="9"/>
    </row>
    <row r="728" spans="1:17" ht="12.75">
      <c r="A728" s="9"/>
      <c r="B728" s="9"/>
      <c r="C728" s="9"/>
      <c r="D728" s="9"/>
      <c r="E728" s="9"/>
      <c r="F728" s="9"/>
      <c r="G728" s="9"/>
      <c r="H728" s="9"/>
      <c r="I728" s="9"/>
      <c r="J728" s="9"/>
      <c r="K728" s="9"/>
      <c r="L728" s="9"/>
      <c r="M728" s="9"/>
      <c r="N728" s="9"/>
      <c r="O728" s="9"/>
      <c r="P728" s="9"/>
      <c r="Q728" s="9"/>
    </row>
    <row r="729" spans="1:17" ht="12.75">
      <c r="A729" s="9"/>
      <c r="B729" s="9"/>
      <c r="C729" s="9"/>
      <c r="D729" s="9"/>
      <c r="E729" s="9"/>
      <c r="F729" s="9"/>
      <c r="G729" s="9"/>
      <c r="H729" s="9"/>
      <c r="I729" s="9"/>
      <c r="J729" s="9"/>
      <c r="K729" s="9"/>
      <c r="L729" s="9"/>
      <c r="M729" s="9"/>
      <c r="N729" s="9"/>
      <c r="O729" s="9"/>
      <c r="P729" s="9"/>
      <c r="Q729" s="9"/>
    </row>
    <row r="730" spans="1:17" ht="12.75">
      <c r="A730" s="9"/>
      <c r="B730" s="9"/>
      <c r="C730" s="9"/>
      <c r="D730" s="9"/>
      <c r="E730" s="9"/>
      <c r="F730" s="9"/>
      <c r="G730" s="9"/>
      <c r="H730" s="9"/>
      <c r="I730" s="9"/>
      <c r="J730" s="9"/>
      <c r="K730" s="9"/>
      <c r="L730" s="9"/>
      <c r="M730" s="9"/>
      <c r="N730" s="9"/>
      <c r="O730" s="9"/>
      <c r="P730" s="9"/>
      <c r="Q730" s="9"/>
    </row>
    <row r="731" spans="1:17" ht="12.75">
      <c r="A731" s="9"/>
      <c r="B731" s="9"/>
      <c r="C731" s="9"/>
      <c r="D731" s="9"/>
      <c r="E731" s="9"/>
      <c r="F731" s="9"/>
      <c r="G731" s="9"/>
      <c r="H731" s="9"/>
      <c r="I731" s="9"/>
      <c r="J731" s="9"/>
      <c r="K731" s="9"/>
      <c r="L731" s="9"/>
      <c r="M731" s="9"/>
      <c r="N731" s="9"/>
      <c r="O731" s="9"/>
      <c r="P731" s="9"/>
      <c r="Q731" s="9"/>
    </row>
    <row r="732" spans="1:17" ht="12.75">
      <c r="A732" s="9"/>
      <c r="B732" s="9"/>
      <c r="C732" s="9"/>
      <c r="D732" s="9"/>
      <c r="E732" s="9"/>
      <c r="F732" s="9"/>
      <c r="G732" s="9"/>
      <c r="H732" s="9"/>
      <c r="I732" s="9"/>
      <c r="J732" s="9"/>
      <c r="K732" s="9"/>
      <c r="L732" s="9"/>
      <c r="M732" s="9"/>
      <c r="N732" s="9"/>
      <c r="O732" s="9"/>
      <c r="P732" s="9"/>
      <c r="Q732" s="9"/>
    </row>
    <row r="733" spans="1:17" ht="12.75">
      <c r="A733" s="9"/>
      <c r="B733" s="9"/>
      <c r="C733" s="9"/>
      <c r="D733" s="9"/>
      <c r="E733" s="9"/>
      <c r="F733" s="9"/>
      <c r="G733" s="9"/>
      <c r="H733" s="9"/>
      <c r="I733" s="9"/>
      <c r="J733" s="9"/>
      <c r="K733" s="9"/>
      <c r="L733" s="9"/>
      <c r="M733" s="9"/>
      <c r="N733" s="9"/>
      <c r="O733" s="9"/>
      <c r="P733" s="9"/>
      <c r="Q733" s="9"/>
    </row>
    <row r="734" spans="1:17" ht="12.75">
      <c r="A734" s="9"/>
      <c r="B734" s="9"/>
      <c r="C734" s="9"/>
      <c r="D734" s="9"/>
      <c r="E734" s="9"/>
      <c r="F734" s="9"/>
      <c r="G734" s="9"/>
      <c r="H734" s="9"/>
      <c r="I734" s="9"/>
      <c r="J734" s="9"/>
      <c r="K734" s="9"/>
      <c r="L734" s="9"/>
      <c r="M734" s="9"/>
      <c r="N734" s="9"/>
      <c r="O734" s="9"/>
      <c r="P734" s="9"/>
      <c r="Q734" s="9"/>
    </row>
    <row r="735" spans="1:17" ht="12.75">
      <c r="A735" s="9"/>
      <c r="B735" s="9"/>
      <c r="C735" s="9"/>
      <c r="D735" s="9"/>
      <c r="E735" s="9"/>
      <c r="F735" s="9"/>
      <c r="G735" s="9"/>
      <c r="H735" s="9"/>
      <c r="I735" s="9"/>
      <c r="J735" s="9"/>
      <c r="K735" s="9"/>
      <c r="L735" s="9"/>
      <c r="M735" s="9"/>
      <c r="N735" s="9"/>
      <c r="O735" s="9"/>
      <c r="P735" s="9"/>
      <c r="Q735" s="9"/>
    </row>
    <row r="736" spans="1:17" ht="12.75">
      <c r="A736" s="9"/>
      <c r="B736" s="9"/>
      <c r="C736" s="9"/>
      <c r="D736" s="9"/>
      <c r="E736" s="9"/>
      <c r="F736" s="9"/>
      <c r="G736" s="9"/>
      <c r="H736" s="9"/>
      <c r="I736" s="9"/>
      <c r="J736" s="9"/>
      <c r="K736" s="9"/>
      <c r="L736" s="9"/>
      <c r="M736" s="9"/>
      <c r="N736" s="9"/>
      <c r="O736" s="9"/>
      <c r="P736" s="9"/>
      <c r="Q736" s="9"/>
    </row>
    <row r="737" spans="1:17" ht="12.75">
      <c r="A737" s="9"/>
      <c r="B737" s="9"/>
      <c r="C737" s="9"/>
      <c r="D737" s="9"/>
      <c r="E737" s="9"/>
      <c r="F737" s="9"/>
      <c r="G737" s="9"/>
      <c r="H737" s="9"/>
      <c r="I737" s="9"/>
      <c r="J737" s="9"/>
      <c r="K737" s="9"/>
      <c r="L737" s="9"/>
      <c r="M737" s="9"/>
      <c r="N737" s="9"/>
      <c r="O737" s="9"/>
      <c r="P737" s="9"/>
      <c r="Q737" s="9"/>
    </row>
    <row r="738" spans="1:17" ht="12.75">
      <c r="A738" s="9"/>
      <c r="B738" s="9"/>
      <c r="C738" s="9"/>
      <c r="D738" s="9"/>
      <c r="E738" s="9"/>
      <c r="F738" s="9"/>
      <c r="G738" s="9"/>
      <c r="H738" s="9"/>
      <c r="I738" s="9"/>
      <c r="J738" s="9"/>
      <c r="K738" s="9"/>
      <c r="L738" s="9"/>
      <c r="M738" s="9"/>
      <c r="N738" s="9"/>
      <c r="O738" s="9"/>
      <c r="P738" s="9"/>
      <c r="Q738" s="9"/>
    </row>
    <row r="739" spans="1:17" ht="12.75">
      <c r="A739" s="9"/>
      <c r="B739" s="9"/>
      <c r="C739" s="9"/>
      <c r="D739" s="9"/>
      <c r="E739" s="9"/>
      <c r="F739" s="9"/>
      <c r="G739" s="9"/>
      <c r="H739" s="9"/>
      <c r="I739" s="9"/>
      <c r="J739" s="9"/>
      <c r="K739" s="9"/>
      <c r="L739" s="9"/>
      <c r="M739" s="9"/>
      <c r="N739" s="9"/>
      <c r="O739" s="9"/>
      <c r="P739" s="9"/>
      <c r="Q739" s="9"/>
    </row>
    <row r="740" spans="1:17" ht="12.75">
      <c r="A740" s="9"/>
      <c r="B740" s="9"/>
      <c r="C740" s="9"/>
      <c r="D740" s="9"/>
      <c r="E740" s="9"/>
      <c r="F740" s="9"/>
      <c r="G740" s="9"/>
      <c r="H740" s="9"/>
      <c r="I740" s="9"/>
      <c r="J740" s="9"/>
      <c r="K740" s="9"/>
      <c r="L740" s="9"/>
      <c r="M740" s="9"/>
      <c r="N740" s="9"/>
      <c r="O740" s="9"/>
      <c r="P740" s="9"/>
      <c r="Q740" s="9"/>
    </row>
    <row r="741" spans="1:17" ht="12.75">
      <c r="A741" s="9"/>
      <c r="B741" s="9"/>
      <c r="C741" s="9"/>
      <c r="D741" s="9"/>
      <c r="E741" s="9"/>
      <c r="F741" s="9"/>
      <c r="G741" s="9"/>
      <c r="H741" s="9"/>
      <c r="I741" s="9"/>
      <c r="J741" s="9"/>
      <c r="K741" s="9"/>
      <c r="L741" s="9"/>
      <c r="M741" s="9"/>
      <c r="N741" s="9"/>
      <c r="O741" s="9"/>
      <c r="P741" s="9"/>
      <c r="Q741" s="9"/>
    </row>
    <row r="742" spans="1:17" ht="12.75">
      <c r="A742" s="9"/>
      <c r="B742" s="9"/>
      <c r="C742" s="9"/>
      <c r="D742" s="9"/>
      <c r="E742" s="9"/>
      <c r="F742" s="9"/>
      <c r="G742" s="9"/>
      <c r="H742" s="9"/>
      <c r="I742" s="9"/>
      <c r="J742" s="9"/>
      <c r="K742" s="9"/>
      <c r="L742" s="9"/>
      <c r="M742" s="9"/>
      <c r="N742" s="9"/>
      <c r="O742" s="9"/>
      <c r="P742" s="9"/>
      <c r="Q742" s="9"/>
    </row>
    <row r="743" spans="1:17" ht="12.75">
      <c r="A743" s="9"/>
      <c r="B743" s="9"/>
      <c r="C743" s="9"/>
      <c r="D743" s="9"/>
      <c r="E743" s="9"/>
      <c r="F743" s="9"/>
      <c r="G743" s="9"/>
      <c r="H743" s="9"/>
      <c r="I743" s="9"/>
      <c r="J743" s="9"/>
      <c r="K743" s="9"/>
      <c r="L743" s="9"/>
      <c r="M743" s="9"/>
      <c r="N743" s="9"/>
      <c r="O743" s="9"/>
      <c r="P743" s="9"/>
      <c r="Q743" s="9"/>
    </row>
    <row r="744" spans="1:17" ht="12.75">
      <c r="A744" s="9"/>
      <c r="B744" s="9"/>
      <c r="C744" s="9"/>
      <c r="D744" s="9"/>
      <c r="E744" s="9"/>
      <c r="F744" s="9"/>
      <c r="G744" s="9"/>
      <c r="H744" s="9"/>
      <c r="I744" s="9"/>
      <c r="J744" s="9"/>
      <c r="K744" s="9"/>
      <c r="L744" s="9"/>
      <c r="M744" s="9"/>
      <c r="N744" s="9"/>
      <c r="O744" s="9"/>
      <c r="P744" s="9"/>
      <c r="Q744" s="9"/>
    </row>
    <row r="745" spans="1:17" ht="12.75">
      <c r="A745" s="9"/>
      <c r="B745" s="9"/>
      <c r="C745" s="9"/>
      <c r="D745" s="9"/>
      <c r="E745" s="9"/>
      <c r="F745" s="9"/>
      <c r="G745" s="9"/>
      <c r="H745" s="9"/>
      <c r="I745" s="9"/>
      <c r="J745" s="9"/>
      <c r="K745" s="9"/>
      <c r="L745" s="9"/>
      <c r="M745" s="9"/>
      <c r="N745" s="9"/>
      <c r="O745" s="9"/>
      <c r="P745" s="9"/>
      <c r="Q745" s="9"/>
    </row>
    <row r="746" spans="1:17" ht="12.75">
      <c r="A746" s="9"/>
      <c r="B746" s="9"/>
      <c r="C746" s="9"/>
      <c r="D746" s="9"/>
      <c r="E746" s="9"/>
      <c r="F746" s="9"/>
      <c r="G746" s="9"/>
      <c r="H746" s="9"/>
      <c r="I746" s="9"/>
      <c r="J746" s="9"/>
      <c r="K746" s="9"/>
      <c r="L746" s="9"/>
      <c r="M746" s="9"/>
      <c r="N746" s="9"/>
      <c r="O746" s="9"/>
      <c r="P746" s="9"/>
      <c r="Q746" s="9"/>
    </row>
    <row r="747" spans="1:17" ht="12.75">
      <c r="A747" s="9"/>
      <c r="B747" s="9"/>
      <c r="C747" s="9"/>
      <c r="D747" s="9"/>
      <c r="E747" s="9"/>
      <c r="F747" s="9"/>
      <c r="G747" s="9"/>
      <c r="H747" s="9"/>
      <c r="I747" s="9"/>
      <c r="J747" s="9"/>
      <c r="K747" s="9"/>
      <c r="L747" s="9"/>
      <c r="M747" s="9"/>
      <c r="N747" s="9"/>
      <c r="O747" s="9"/>
      <c r="P747" s="9"/>
      <c r="Q747" s="9"/>
    </row>
    <row r="748" spans="1:17" ht="12.75">
      <c r="A748" s="9"/>
      <c r="B748" s="9"/>
      <c r="C748" s="9"/>
      <c r="D748" s="9"/>
      <c r="E748" s="9"/>
      <c r="F748" s="9"/>
      <c r="G748" s="9"/>
      <c r="H748" s="9"/>
      <c r="I748" s="9"/>
      <c r="J748" s="9"/>
      <c r="K748" s="9"/>
      <c r="L748" s="9"/>
      <c r="M748" s="9"/>
      <c r="N748" s="9"/>
      <c r="O748" s="9"/>
      <c r="P748" s="9"/>
      <c r="Q748" s="9"/>
    </row>
    <row r="749" spans="1:17" ht="12.75">
      <c r="A749" s="9"/>
      <c r="B749" s="9"/>
      <c r="C749" s="9"/>
      <c r="D749" s="9"/>
      <c r="E749" s="9"/>
      <c r="F749" s="9"/>
      <c r="G749" s="9"/>
      <c r="H749" s="9"/>
      <c r="I749" s="9"/>
      <c r="J749" s="9"/>
      <c r="K749" s="9"/>
      <c r="L749" s="9"/>
      <c r="M749" s="9"/>
      <c r="N749" s="9"/>
      <c r="O749" s="9"/>
      <c r="P749" s="9"/>
      <c r="Q749" s="9"/>
    </row>
    <row r="750" spans="1:17" ht="12.75">
      <c r="A750" s="9"/>
      <c r="B750" s="9"/>
      <c r="C750" s="9"/>
      <c r="D750" s="9"/>
      <c r="E750" s="9"/>
      <c r="F750" s="9"/>
      <c r="G750" s="9"/>
      <c r="H750" s="9"/>
      <c r="I750" s="9"/>
      <c r="J750" s="9"/>
      <c r="K750" s="9"/>
      <c r="L750" s="9"/>
      <c r="M750" s="9"/>
      <c r="N750" s="9"/>
      <c r="O750" s="9"/>
      <c r="P750" s="9"/>
      <c r="Q750" s="9"/>
    </row>
    <row r="751" spans="1:17" ht="12.75">
      <c r="A751" s="9"/>
      <c r="B751" s="9"/>
      <c r="C751" s="9"/>
      <c r="D751" s="9"/>
      <c r="E751" s="9"/>
      <c r="F751" s="9"/>
      <c r="G751" s="9"/>
      <c r="H751" s="9"/>
      <c r="I751" s="9"/>
      <c r="J751" s="9"/>
      <c r="K751" s="9"/>
      <c r="L751" s="9"/>
      <c r="M751" s="9"/>
      <c r="N751" s="9"/>
      <c r="O751" s="9"/>
      <c r="P751" s="9"/>
      <c r="Q751" s="9"/>
    </row>
    <row r="752" spans="1:17" ht="12.75">
      <c r="A752" s="9"/>
      <c r="B752" s="9"/>
      <c r="C752" s="9"/>
      <c r="D752" s="9"/>
      <c r="E752" s="9"/>
      <c r="F752" s="9"/>
      <c r="G752" s="9"/>
      <c r="H752" s="9"/>
      <c r="I752" s="9"/>
      <c r="J752" s="9"/>
      <c r="K752" s="9"/>
      <c r="L752" s="9"/>
      <c r="M752" s="9"/>
      <c r="N752" s="9"/>
      <c r="O752" s="9"/>
      <c r="P752" s="9"/>
      <c r="Q752" s="9"/>
    </row>
    <row r="753" spans="1:17" ht="12.75">
      <c r="A753" s="9"/>
      <c r="B753" s="9"/>
      <c r="C753" s="9"/>
      <c r="D753" s="9"/>
      <c r="E753" s="9"/>
      <c r="F753" s="9"/>
      <c r="G753" s="9"/>
      <c r="H753" s="9"/>
      <c r="I753" s="9"/>
      <c r="J753" s="9"/>
      <c r="K753" s="9"/>
      <c r="L753" s="9"/>
      <c r="M753" s="9"/>
      <c r="N753" s="9"/>
      <c r="O753" s="9"/>
      <c r="P753" s="9"/>
      <c r="Q753" s="9"/>
    </row>
    <row r="754" spans="1:17" ht="12.75">
      <c r="A754" s="9"/>
      <c r="B754" s="9"/>
      <c r="C754" s="9"/>
      <c r="D754" s="9"/>
      <c r="E754" s="9"/>
      <c r="F754" s="9"/>
      <c r="G754" s="9"/>
      <c r="H754" s="9"/>
      <c r="I754" s="9"/>
      <c r="J754" s="9"/>
      <c r="K754" s="9"/>
      <c r="L754" s="9"/>
      <c r="M754" s="9"/>
      <c r="N754" s="9"/>
      <c r="O754" s="9"/>
      <c r="P754" s="9"/>
      <c r="Q754" s="9"/>
    </row>
    <row r="755" spans="1:17" ht="12.75">
      <c r="A755" s="9"/>
      <c r="B755" s="9"/>
      <c r="C755" s="9"/>
      <c r="D755" s="9"/>
      <c r="E755" s="9"/>
      <c r="F755" s="9"/>
      <c r="G755" s="9"/>
      <c r="H755" s="9"/>
      <c r="I755" s="9"/>
      <c r="J755" s="9"/>
      <c r="K755" s="9"/>
      <c r="L755" s="9"/>
      <c r="M755" s="9"/>
      <c r="N755" s="9"/>
      <c r="O755" s="9"/>
      <c r="P755" s="9"/>
      <c r="Q755" s="9"/>
    </row>
    <row r="756" spans="1:17" ht="12.75">
      <c r="A756" s="9"/>
      <c r="B756" s="9"/>
      <c r="C756" s="9"/>
      <c r="D756" s="9"/>
      <c r="E756" s="9"/>
      <c r="F756" s="9"/>
      <c r="G756" s="9"/>
      <c r="H756" s="9"/>
      <c r="I756" s="9"/>
      <c r="J756" s="9"/>
      <c r="K756" s="9"/>
      <c r="L756" s="9"/>
      <c r="M756" s="9"/>
      <c r="N756" s="9"/>
      <c r="O756" s="9"/>
      <c r="P756" s="9"/>
      <c r="Q756" s="9"/>
    </row>
    <row r="757" spans="1:17" ht="12.75">
      <c r="A757" s="9"/>
      <c r="B757" s="9"/>
      <c r="C757" s="9"/>
      <c r="D757" s="9"/>
      <c r="E757" s="9"/>
      <c r="F757" s="9"/>
      <c r="G757" s="9"/>
      <c r="H757" s="9"/>
      <c r="I757" s="9"/>
      <c r="J757" s="9"/>
      <c r="K757" s="9"/>
      <c r="L757" s="9"/>
      <c r="M757" s="9"/>
      <c r="N757" s="9"/>
      <c r="O757" s="9"/>
      <c r="P757" s="9"/>
      <c r="Q757" s="9"/>
    </row>
    <row r="758" spans="1:17" ht="12.75">
      <c r="A758" s="9"/>
      <c r="B758" s="9"/>
      <c r="C758" s="9"/>
      <c r="D758" s="9"/>
      <c r="E758" s="9"/>
      <c r="F758" s="9"/>
      <c r="G758" s="9"/>
      <c r="H758" s="9"/>
      <c r="I758" s="9"/>
      <c r="J758" s="9"/>
      <c r="K758" s="9"/>
      <c r="L758" s="9"/>
      <c r="M758" s="9"/>
      <c r="N758" s="9"/>
      <c r="O758" s="9"/>
      <c r="P758" s="9"/>
      <c r="Q758" s="9"/>
    </row>
    <row r="759" spans="1:17" ht="12.75">
      <c r="A759" s="9"/>
      <c r="B759" s="9"/>
      <c r="C759" s="9"/>
      <c r="D759" s="9"/>
      <c r="E759" s="9"/>
      <c r="F759" s="9"/>
      <c r="G759" s="9"/>
      <c r="H759" s="9"/>
      <c r="I759" s="9"/>
      <c r="J759" s="9"/>
      <c r="K759" s="9"/>
      <c r="L759" s="9"/>
      <c r="M759" s="9"/>
      <c r="N759" s="9"/>
      <c r="O759" s="9"/>
      <c r="P759" s="9"/>
      <c r="Q759" s="9"/>
    </row>
    <row r="760" spans="1:17" ht="12.75">
      <c r="A760" s="9"/>
      <c r="B760" s="9"/>
      <c r="C760" s="9"/>
      <c r="D760" s="9"/>
      <c r="E760" s="9"/>
      <c r="F760" s="9"/>
      <c r="G760" s="9"/>
      <c r="H760" s="9"/>
      <c r="I760" s="9"/>
      <c r="J760" s="9"/>
      <c r="K760" s="9"/>
      <c r="L760" s="9"/>
      <c r="M760" s="9"/>
      <c r="N760" s="9"/>
      <c r="O760" s="9"/>
      <c r="P760" s="9"/>
      <c r="Q760" s="9"/>
    </row>
    <row r="761" spans="1:17" ht="12.75">
      <c r="A761" s="9"/>
      <c r="B761" s="9"/>
      <c r="C761" s="9"/>
      <c r="D761" s="9"/>
      <c r="E761" s="9"/>
      <c r="F761" s="9"/>
      <c r="G761" s="9"/>
      <c r="H761" s="9"/>
      <c r="I761" s="9"/>
      <c r="J761" s="9"/>
      <c r="K761" s="9"/>
      <c r="L761" s="9"/>
      <c r="M761" s="9"/>
      <c r="N761" s="9"/>
      <c r="O761" s="9"/>
      <c r="P761" s="9"/>
      <c r="Q761" s="9"/>
    </row>
    <row r="762" spans="1:17" ht="12.75">
      <c r="A762" s="9"/>
      <c r="B762" s="9"/>
      <c r="C762" s="9"/>
      <c r="D762" s="9"/>
      <c r="E762" s="9"/>
      <c r="F762" s="9"/>
      <c r="G762" s="9"/>
      <c r="H762" s="9"/>
      <c r="I762" s="9"/>
      <c r="J762" s="9"/>
      <c r="K762" s="9"/>
      <c r="L762" s="9"/>
      <c r="M762" s="9"/>
      <c r="N762" s="9"/>
      <c r="O762" s="9"/>
      <c r="P762" s="9"/>
      <c r="Q762" s="9"/>
    </row>
    <row r="763" spans="1:17" ht="12.75">
      <c r="A763" s="9"/>
      <c r="B763" s="9"/>
      <c r="C763" s="9"/>
      <c r="D763" s="9"/>
      <c r="E763" s="9"/>
      <c r="F763" s="9"/>
      <c r="G763" s="9"/>
      <c r="H763" s="9"/>
      <c r="I763" s="9"/>
      <c r="J763" s="9"/>
      <c r="K763" s="9"/>
      <c r="L763" s="9"/>
      <c r="M763" s="9"/>
      <c r="N763" s="9"/>
      <c r="O763" s="9"/>
      <c r="P763" s="9"/>
      <c r="Q763" s="9"/>
    </row>
    <row r="764" spans="1:17" ht="12.75">
      <c r="A764" s="9"/>
      <c r="B764" s="9"/>
      <c r="C764" s="9"/>
      <c r="D764" s="9"/>
      <c r="E764" s="9"/>
      <c r="F764" s="9"/>
      <c r="G764" s="9"/>
      <c r="H764" s="9"/>
      <c r="I764" s="9"/>
      <c r="J764" s="9"/>
      <c r="K764" s="9"/>
      <c r="L764" s="9"/>
      <c r="M764" s="9"/>
      <c r="N764" s="9"/>
      <c r="O764" s="9"/>
      <c r="P764" s="9"/>
      <c r="Q764" s="9"/>
    </row>
    <row r="765" spans="1:17" ht="12.75">
      <c r="A765" s="9"/>
      <c r="B765" s="9"/>
      <c r="C765" s="9"/>
      <c r="D765" s="9"/>
      <c r="E765" s="9"/>
      <c r="F765" s="9"/>
      <c r="G765" s="9"/>
      <c r="H765" s="9"/>
      <c r="I765" s="9"/>
      <c r="J765" s="9"/>
      <c r="K765" s="9"/>
      <c r="L765" s="9"/>
      <c r="M765" s="9"/>
      <c r="N765" s="9"/>
      <c r="O765" s="9"/>
      <c r="P765" s="9"/>
      <c r="Q765" s="9"/>
    </row>
    <row r="766" spans="1:17" ht="12.75">
      <c r="A766" s="9"/>
      <c r="B766" s="9"/>
      <c r="C766" s="9"/>
      <c r="D766" s="9"/>
      <c r="E766" s="9"/>
      <c r="F766" s="9"/>
      <c r="G766" s="9"/>
      <c r="H766" s="9"/>
      <c r="I766" s="9"/>
      <c r="J766" s="9"/>
      <c r="K766" s="9"/>
      <c r="L766" s="9"/>
      <c r="M766" s="9"/>
      <c r="N766" s="9"/>
      <c r="O766" s="9"/>
      <c r="P766" s="9"/>
      <c r="Q766" s="9"/>
    </row>
    <row r="767" spans="1:17" ht="12.75">
      <c r="A767" s="9"/>
      <c r="B767" s="9"/>
      <c r="C767" s="9"/>
      <c r="D767" s="9"/>
      <c r="E767" s="9"/>
      <c r="F767" s="9"/>
      <c r="G767" s="9"/>
      <c r="H767" s="9"/>
      <c r="I767" s="9"/>
      <c r="J767" s="9"/>
      <c r="K767" s="9"/>
      <c r="L767" s="9"/>
      <c r="M767" s="9"/>
      <c r="N767" s="9"/>
      <c r="O767" s="9"/>
      <c r="P767" s="9"/>
      <c r="Q767" s="9"/>
    </row>
    <row r="768" spans="1:17" ht="12.75">
      <c r="A768" s="9"/>
      <c r="B768" s="9"/>
      <c r="C768" s="9"/>
      <c r="D768" s="9"/>
      <c r="E768" s="9"/>
      <c r="F768" s="9"/>
      <c r="G768" s="9"/>
      <c r="H768" s="9"/>
      <c r="I768" s="9"/>
      <c r="J768" s="9"/>
      <c r="K768" s="9"/>
      <c r="L768" s="9"/>
      <c r="M768" s="9"/>
      <c r="N768" s="9"/>
      <c r="O768" s="9"/>
      <c r="P768" s="9"/>
      <c r="Q768" s="9"/>
    </row>
    <row r="769" spans="1:17" ht="12.75">
      <c r="A769" s="9"/>
      <c r="B769" s="9"/>
      <c r="C769" s="9"/>
      <c r="D769" s="9"/>
      <c r="E769" s="9"/>
      <c r="F769" s="9"/>
      <c r="G769" s="9"/>
      <c r="H769" s="9"/>
      <c r="I769" s="9"/>
      <c r="J769" s="9"/>
      <c r="K769" s="9"/>
      <c r="L769" s="9"/>
      <c r="M769" s="9"/>
      <c r="N769" s="9"/>
      <c r="O769" s="9"/>
      <c r="P769" s="9"/>
      <c r="Q769" s="9"/>
    </row>
    <row r="770" spans="1:17" ht="12.75">
      <c r="A770" s="9"/>
      <c r="B770" s="9"/>
      <c r="C770" s="9"/>
      <c r="D770" s="9"/>
      <c r="E770" s="9"/>
      <c r="F770" s="9"/>
      <c r="G770" s="9"/>
      <c r="H770" s="9"/>
      <c r="I770" s="9"/>
      <c r="J770" s="9"/>
      <c r="K770" s="9"/>
      <c r="L770" s="9"/>
      <c r="M770" s="9"/>
      <c r="N770" s="9"/>
      <c r="O770" s="9"/>
      <c r="P770" s="9"/>
      <c r="Q770" s="9"/>
    </row>
    <row r="771" spans="1:17" ht="12.75">
      <c r="A771" s="9"/>
      <c r="B771" s="9"/>
      <c r="C771" s="9"/>
      <c r="D771" s="9"/>
      <c r="E771" s="9"/>
      <c r="F771" s="9"/>
      <c r="G771" s="9"/>
      <c r="H771" s="9"/>
      <c r="I771" s="9"/>
      <c r="J771" s="9"/>
      <c r="K771" s="9"/>
      <c r="L771" s="9"/>
      <c r="M771" s="9"/>
      <c r="N771" s="9"/>
      <c r="O771" s="9"/>
      <c r="P771" s="9"/>
      <c r="Q771" s="9"/>
    </row>
    <row r="772" spans="1:17" ht="12.75">
      <c r="A772" s="9"/>
      <c r="B772" s="9"/>
      <c r="C772" s="9"/>
      <c r="D772" s="9"/>
      <c r="E772" s="9"/>
      <c r="F772" s="9"/>
      <c r="G772" s="9"/>
      <c r="H772" s="9"/>
      <c r="I772" s="9"/>
      <c r="J772" s="9"/>
      <c r="K772" s="9"/>
      <c r="L772" s="9"/>
      <c r="M772" s="9"/>
      <c r="N772" s="9"/>
      <c r="O772" s="9"/>
      <c r="P772" s="9"/>
      <c r="Q772" s="9"/>
    </row>
    <row r="773" spans="1:17" ht="12.75">
      <c r="A773" s="9"/>
      <c r="B773" s="9"/>
      <c r="C773" s="9"/>
      <c r="D773" s="9"/>
      <c r="E773" s="9"/>
      <c r="F773" s="9"/>
      <c r="G773" s="9"/>
      <c r="H773" s="9"/>
      <c r="I773" s="9"/>
      <c r="J773" s="9"/>
      <c r="K773" s="9"/>
      <c r="L773" s="9"/>
      <c r="M773" s="9"/>
      <c r="N773" s="9"/>
      <c r="O773" s="9"/>
      <c r="P773" s="9"/>
      <c r="Q773" s="9"/>
    </row>
    <row r="774" spans="1:17" ht="12.75">
      <c r="A774" s="9"/>
      <c r="B774" s="9"/>
      <c r="C774" s="9"/>
      <c r="D774" s="9"/>
      <c r="E774" s="9"/>
      <c r="F774" s="9"/>
      <c r="G774" s="9"/>
      <c r="H774" s="9"/>
      <c r="I774" s="9"/>
      <c r="J774" s="9"/>
      <c r="K774" s="9"/>
      <c r="L774" s="9"/>
      <c r="M774" s="9"/>
      <c r="N774" s="9"/>
      <c r="O774" s="9"/>
      <c r="P774" s="9"/>
      <c r="Q774" s="9"/>
    </row>
    <row r="775" spans="1:17" ht="12.75">
      <c r="A775" s="9"/>
      <c r="B775" s="9"/>
      <c r="C775" s="9"/>
      <c r="D775" s="9"/>
      <c r="E775" s="9"/>
      <c r="F775" s="9"/>
      <c r="G775" s="9"/>
      <c r="H775" s="9"/>
      <c r="I775" s="9"/>
      <c r="J775" s="9"/>
      <c r="K775" s="9"/>
      <c r="L775" s="9"/>
      <c r="M775" s="9"/>
      <c r="N775" s="9"/>
      <c r="O775" s="9"/>
      <c r="P775" s="9"/>
      <c r="Q775" s="9"/>
    </row>
    <row r="776" spans="1:17" ht="12.75">
      <c r="A776" s="9"/>
      <c r="B776" s="9"/>
      <c r="C776" s="9"/>
      <c r="D776" s="9"/>
      <c r="E776" s="9"/>
      <c r="F776" s="9"/>
      <c r="G776" s="9"/>
      <c r="H776" s="9"/>
      <c r="I776" s="9"/>
      <c r="J776" s="9"/>
      <c r="K776" s="9"/>
      <c r="L776" s="9"/>
      <c r="M776" s="9"/>
      <c r="N776" s="9"/>
      <c r="O776" s="9"/>
      <c r="P776" s="9"/>
      <c r="Q776" s="9"/>
    </row>
    <row r="777" spans="1:17" ht="12.75">
      <c r="A777" s="9"/>
      <c r="B777" s="9"/>
      <c r="C777" s="9"/>
      <c r="D777" s="9"/>
      <c r="E777" s="9"/>
      <c r="F777" s="9"/>
      <c r="G777" s="9"/>
      <c r="H777" s="9"/>
      <c r="I777" s="9"/>
      <c r="J777" s="9"/>
      <c r="K777" s="9"/>
      <c r="L777" s="9"/>
      <c r="M777" s="9"/>
      <c r="N777" s="9"/>
      <c r="O777" s="9"/>
      <c r="P777" s="9"/>
      <c r="Q777" s="9"/>
    </row>
    <row r="778" spans="1:17" ht="12.75">
      <c r="A778" s="9"/>
      <c r="B778" s="9"/>
      <c r="C778" s="9"/>
      <c r="D778" s="9"/>
      <c r="E778" s="9"/>
      <c r="F778" s="9"/>
      <c r="G778" s="9"/>
      <c r="H778" s="9"/>
      <c r="I778" s="9"/>
      <c r="J778" s="9"/>
      <c r="K778" s="9"/>
      <c r="L778" s="9"/>
      <c r="M778" s="9"/>
      <c r="N778" s="9"/>
      <c r="O778" s="9"/>
      <c r="P778" s="9"/>
      <c r="Q778" s="9"/>
    </row>
    <row r="779" spans="1:17" ht="12.75">
      <c r="A779" s="9"/>
      <c r="B779" s="9"/>
      <c r="C779" s="9"/>
      <c r="D779" s="9"/>
      <c r="E779" s="9"/>
      <c r="F779" s="9"/>
      <c r="G779" s="9"/>
      <c r="H779" s="9"/>
      <c r="I779" s="9"/>
      <c r="J779" s="9"/>
      <c r="K779" s="9"/>
      <c r="L779" s="9"/>
      <c r="M779" s="9"/>
      <c r="N779" s="9"/>
      <c r="O779" s="9"/>
      <c r="P779" s="9"/>
      <c r="Q779" s="9"/>
    </row>
    <row r="780" spans="1:17" ht="12.75">
      <c r="A780" s="9"/>
      <c r="B780" s="9"/>
      <c r="C780" s="9"/>
      <c r="D780" s="9"/>
      <c r="E780" s="9"/>
      <c r="F780" s="9"/>
      <c r="G780" s="9"/>
      <c r="H780" s="9"/>
      <c r="I780" s="9"/>
      <c r="J780" s="9"/>
      <c r="K780" s="9"/>
      <c r="L780" s="9"/>
      <c r="M780" s="9"/>
      <c r="N780" s="9"/>
      <c r="O780" s="9"/>
      <c r="P780" s="9"/>
      <c r="Q780" s="9"/>
    </row>
    <row r="781" spans="1:17" ht="12.75">
      <c r="A781" s="9"/>
      <c r="B781" s="9"/>
      <c r="C781" s="9"/>
      <c r="D781" s="9"/>
      <c r="E781" s="9"/>
      <c r="F781" s="9"/>
      <c r="G781" s="9"/>
      <c r="H781" s="9"/>
      <c r="I781" s="9"/>
      <c r="J781" s="9"/>
      <c r="K781" s="9"/>
      <c r="L781" s="9"/>
      <c r="M781" s="9"/>
      <c r="N781" s="9"/>
      <c r="O781" s="9"/>
      <c r="P781" s="9"/>
      <c r="Q781" s="9"/>
    </row>
    <row r="782" spans="1:17" ht="12.75">
      <c r="A782" s="9"/>
      <c r="B782" s="9"/>
      <c r="C782" s="9"/>
      <c r="D782" s="9"/>
      <c r="E782" s="9"/>
      <c r="F782" s="9"/>
      <c r="G782" s="9"/>
      <c r="H782" s="9"/>
      <c r="I782" s="9"/>
      <c r="J782" s="9"/>
      <c r="K782" s="9"/>
      <c r="L782" s="9"/>
      <c r="M782" s="9"/>
      <c r="N782" s="9"/>
      <c r="O782" s="9"/>
      <c r="P782" s="9"/>
      <c r="Q782" s="9"/>
    </row>
    <row r="783" spans="1:17" ht="12.75">
      <c r="A783" s="9"/>
      <c r="B783" s="9"/>
      <c r="C783" s="9"/>
      <c r="D783" s="9"/>
      <c r="E783" s="9"/>
      <c r="F783" s="9"/>
      <c r="G783" s="9"/>
      <c r="H783" s="9"/>
      <c r="I783" s="9"/>
      <c r="J783" s="9"/>
      <c r="K783" s="9"/>
      <c r="L783" s="9"/>
      <c r="M783" s="9"/>
      <c r="N783" s="9"/>
      <c r="O783" s="9"/>
      <c r="P783" s="9"/>
      <c r="Q783" s="9"/>
    </row>
    <row r="784" spans="1:17" ht="12.75">
      <c r="A784" s="9"/>
      <c r="B784" s="9"/>
      <c r="C784" s="9"/>
      <c r="D784" s="9"/>
      <c r="E784" s="9"/>
      <c r="F784" s="9"/>
      <c r="G784" s="9"/>
      <c r="H784" s="9"/>
      <c r="I784" s="9"/>
      <c r="J784" s="9"/>
      <c r="K784" s="9"/>
      <c r="L784" s="9"/>
      <c r="M784" s="9"/>
      <c r="N784" s="9"/>
      <c r="O784" s="9"/>
      <c r="P784" s="9"/>
      <c r="Q784" s="9"/>
    </row>
    <row r="785" spans="1:17" ht="12.75">
      <c r="A785" s="9"/>
      <c r="B785" s="9"/>
      <c r="C785" s="9"/>
      <c r="D785" s="9"/>
      <c r="E785" s="9"/>
      <c r="F785" s="9"/>
      <c r="G785" s="9"/>
      <c r="H785" s="9"/>
      <c r="I785" s="9"/>
      <c r="J785" s="9"/>
      <c r="K785" s="9"/>
      <c r="L785" s="9"/>
      <c r="M785" s="9"/>
      <c r="N785" s="9"/>
      <c r="O785" s="9"/>
      <c r="P785" s="9"/>
      <c r="Q785" s="9"/>
    </row>
    <row r="786" spans="1:17" ht="12.75">
      <c r="A786" s="9"/>
      <c r="B786" s="9"/>
      <c r="C786" s="9"/>
      <c r="D786" s="9"/>
      <c r="E786" s="9"/>
      <c r="F786" s="9"/>
      <c r="G786" s="9"/>
      <c r="H786" s="9"/>
      <c r="I786" s="9"/>
      <c r="J786" s="9"/>
      <c r="K786" s="9"/>
      <c r="L786" s="9"/>
      <c r="M786" s="9"/>
      <c r="N786" s="9"/>
      <c r="O786" s="9"/>
      <c r="P786" s="9"/>
      <c r="Q786" s="9"/>
    </row>
    <row r="787" spans="1:17" ht="12.75">
      <c r="A787" s="9"/>
      <c r="B787" s="9"/>
      <c r="C787" s="9"/>
      <c r="D787" s="9"/>
      <c r="E787" s="9"/>
      <c r="F787" s="9"/>
      <c r="G787" s="9"/>
      <c r="H787" s="9"/>
      <c r="I787" s="9"/>
      <c r="J787" s="9"/>
      <c r="K787" s="9"/>
      <c r="L787" s="9"/>
      <c r="M787" s="9"/>
      <c r="N787" s="9"/>
      <c r="O787" s="9"/>
      <c r="P787" s="9"/>
      <c r="Q787" s="9"/>
    </row>
    <row r="788" spans="1:17" ht="12.75">
      <c r="A788" s="9"/>
      <c r="B788" s="9"/>
      <c r="C788" s="9"/>
      <c r="D788" s="9"/>
      <c r="E788" s="9"/>
      <c r="F788" s="9"/>
      <c r="G788" s="9"/>
      <c r="H788" s="9"/>
      <c r="I788" s="9"/>
      <c r="J788" s="9"/>
      <c r="K788" s="9"/>
      <c r="L788" s="9"/>
      <c r="M788" s="9"/>
      <c r="N788" s="9"/>
      <c r="O788" s="9"/>
      <c r="P788" s="9"/>
      <c r="Q788" s="9"/>
    </row>
    <row r="789" spans="1:17" ht="12.75">
      <c r="A789" s="9"/>
      <c r="B789" s="9"/>
      <c r="C789" s="9"/>
      <c r="D789" s="9"/>
      <c r="E789" s="9"/>
      <c r="F789" s="9"/>
      <c r="G789" s="9"/>
      <c r="H789" s="9"/>
      <c r="I789" s="9"/>
      <c r="J789" s="9"/>
      <c r="K789" s="9"/>
      <c r="L789" s="9"/>
      <c r="M789" s="9"/>
      <c r="N789" s="9"/>
      <c r="O789" s="9"/>
      <c r="P789" s="9"/>
      <c r="Q789" s="9"/>
    </row>
    <row r="790" spans="1:17" ht="12.75">
      <c r="A790" s="9"/>
      <c r="B790" s="9"/>
      <c r="C790" s="9"/>
      <c r="D790" s="9"/>
      <c r="E790" s="9"/>
      <c r="F790" s="9"/>
      <c r="G790" s="9"/>
      <c r="H790" s="9"/>
      <c r="I790" s="9"/>
      <c r="J790" s="9"/>
      <c r="K790" s="9"/>
      <c r="L790" s="9"/>
      <c r="M790" s="9"/>
      <c r="N790" s="9"/>
      <c r="O790" s="9"/>
      <c r="P790" s="9"/>
      <c r="Q790" s="9"/>
    </row>
    <row r="791" spans="1:17" ht="12.75">
      <c r="A791" s="9"/>
      <c r="B791" s="9"/>
      <c r="C791" s="9"/>
      <c r="D791" s="9"/>
      <c r="E791" s="9"/>
      <c r="F791" s="9"/>
      <c r="G791" s="9"/>
      <c r="H791" s="9"/>
      <c r="I791" s="9"/>
      <c r="J791" s="9"/>
      <c r="K791" s="9"/>
      <c r="L791" s="9"/>
      <c r="M791" s="9"/>
      <c r="N791" s="9"/>
      <c r="O791" s="9"/>
      <c r="P791" s="9"/>
      <c r="Q791" s="9"/>
    </row>
    <row r="792" spans="1:17" ht="12.75">
      <c r="A792" s="9"/>
      <c r="B792" s="9"/>
      <c r="C792" s="9"/>
      <c r="D792" s="9"/>
      <c r="E792" s="9"/>
      <c r="F792" s="9"/>
      <c r="G792" s="9"/>
      <c r="H792" s="9"/>
      <c r="I792" s="9"/>
      <c r="J792" s="9"/>
      <c r="K792" s="9"/>
      <c r="L792" s="9"/>
      <c r="M792" s="9"/>
      <c r="N792" s="9"/>
      <c r="O792" s="9"/>
      <c r="P792" s="9"/>
      <c r="Q792" s="9"/>
    </row>
    <row r="793" spans="1:17" ht="12.75">
      <c r="A793" s="9"/>
      <c r="B793" s="9"/>
      <c r="C793" s="9"/>
      <c r="D793" s="9"/>
      <c r="E793" s="9"/>
      <c r="F793" s="9"/>
      <c r="G793" s="9"/>
      <c r="H793" s="9"/>
      <c r="I793" s="9"/>
      <c r="J793" s="9"/>
      <c r="K793" s="9"/>
      <c r="L793" s="9"/>
      <c r="M793" s="9"/>
      <c r="N793" s="9"/>
      <c r="O793" s="9"/>
      <c r="P793" s="9"/>
      <c r="Q793" s="9"/>
    </row>
    <row r="794" spans="1:17" ht="12.75">
      <c r="A794" s="9"/>
      <c r="B794" s="9"/>
      <c r="C794" s="9"/>
      <c r="D794" s="9"/>
      <c r="E794" s="9"/>
      <c r="F794" s="9"/>
      <c r="G794" s="9"/>
      <c r="H794" s="9"/>
      <c r="I794" s="9"/>
      <c r="J794" s="9"/>
      <c r="K794" s="9"/>
      <c r="L794" s="9"/>
      <c r="M794" s="9"/>
      <c r="N794" s="9"/>
      <c r="O794" s="9"/>
      <c r="P794" s="9"/>
      <c r="Q794" s="9"/>
    </row>
    <row r="795" spans="1:17" ht="12.75">
      <c r="A795" s="9"/>
      <c r="B795" s="9"/>
      <c r="C795" s="9"/>
      <c r="D795" s="9"/>
      <c r="E795" s="9"/>
      <c r="F795" s="9"/>
      <c r="G795" s="9"/>
      <c r="H795" s="9"/>
      <c r="I795" s="9"/>
      <c r="J795" s="9"/>
      <c r="K795" s="9"/>
      <c r="L795" s="9"/>
      <c r="M795" s="9"/>
      <c r="N795" s="9"/>
      <c r="O795" s="9"/>
      <c r="P795" s="9"/>
      <c r="Q795" s="9"/>
    </row>
    <row r="796" spans="1:17" ht="12.75">
      <c r="A796" s="9"/>
      <c r="B796" s="9"/>
      <c r="C796" s="9"/>
      <c r="D796" s="9"/>
      <c r="E796" s="9"/>
      <c r="F796" s="9"/>
      <c r="G796" s="9"/>
      <c r="H796" s="9"/>
      <c r="I796" s="9"/>
      <c r="J796" s="9"/>
      <c r="K796" s="9"/>
      <c r="L796" s="9"/>
      <c r="M796" s="9"/>
      <c r="N796" s="9"/>
      <c r="O796" s="9"/>
      <c r="P796" s="9"/>
      <c r="Q796" s="9"/>
    </row>
    <row r="797" spans="1:17" ht="12.75">
      <c r="A797" s="9"/>
      <c r="B797" s="9"/>
      <c r="C797" s="9"/>
      <c r="D797" s="9"/>
      <c r="E797" s="9"/>
      <c r="F797" s="9"/>
      <c r="G797" s="9"/>
      <c r="H797" s="9"/>
      <c r="I797" s="9"/>
      <c r="J797" s="9"/>
      <c r="K797" s="9"/>
      <c r="L797" s="9"/>
      <c r="M797" s="9"/>
      <c r="N797" s="9"/>
      <c r="O797" s="9"/>
      <c r="P797" s="9"/>
      <c r="Q797" s="9"/>
    </row>
    <row r="798" spans="1:17" ht="12.75">
      <c r="A798" s="9"/>
      <c r="B798" s="9"/>
      <c r="C798" s="9"/>
      <c r="D798" s="9"/>
      <c r="E798" s="9"/>
      <c r="F798" s="9"/>
      <c r="G798" s="9"/>
      <c r="H798" s="9"/>
      <c r="I798" s="9"/>
      <c r="J798" s="9"/>
      <c r="K798" s="9"/>
      <c r="L798" s="9"/>
      <c r="M798" s="9"/>
      <c r="N798" s="9"/>
      <c r="O798" s="9"/>
      <c r="P798" s="9"/>
      <c r="Q798" s="9"/>
    </row>
    <row r="799" spans="1:17" ht="12.75">
      <c r="A799" s="9"/>
      <c r="B799" s="9"/>
      <c r="C799" s="9"/>
      <c r="D799" s="9"/>
      <c r="E799" s="9"/>
      <c r="F799" s="9"/>
      <c r="G799" s="9"/>
      <c r="H799" s="9"/>
      <c r="I799" s="9"/>
      <c r="J799" s="9"/>
      <c r="K799" s="9"/>
      <c r="L799" s="9"/>
      <c r="M799" s="9"/>
      <c r="N799" s="9"/>
      <c r="O799" s="9"/>
      <c r="P799" s="9"/>
      <c r="Q799" s="9"/>
    </row>
    <row r="800" spans="1:17" ht="12.75">
      <c r="A800" s="9"/>
      <c r="B800" s="9"/>
      <c r="C800" s="9"/>
      <c r="D800" s="9"/>
      <c r="E800" s="9"/>
      <c r="F800" s="9"/>
      <c r="G800" s="9"/>
      <c r="H800" s="9"/>
      <c r="I800" s="9"/>
      <c r="J800" s="9"/>
      <c r="K800" s="9"/>
      <c r="L800" s="9"/>
      <c r="M800" s="9"/>
      <c r="N800" s="9"/>
      <c r="O800" s="9"/>
      <c r="P800" s="9"/>
      <c r="Q800" s="9"/>
    </row>
    <row r="801" spans="1:17" ht="12.75">
      <c r="A801" s="9"/>
      <c r="B801" s="9"/>
      <c r="C801" s="9"/>
      <c r="D801" s="9"/>
      <c r="E801" s="9"/>
      <c r="F801" s="9"/>
      <c r="G801" s="9"/>
      <c r="H801" s="9"/>
      <c r="I801" s="9"/>
      <c r="J801" s="9"/>
      <c r="K801" s="9"/>
      <c r="L801" s="9"/>
      <c r="M801" s="9"/>
      <c r="N801" s="9"/>
      <c r="O801" s="9"/>
      <c r="P801" s="9"/>
      <c r="Q801" s="9"/>
    </row>
    <row r="802" spans="1:17" ht="12.75">
      <c r="A802" s="9"/>
      <c r="B802" s="9"/>
      <c r="C802" s="9"/>
      <c r="D802" s="9"/>
      <c r="E802" s="9"/>
      <c r="F802" s="9"/>
      <c r="G802" s="9"/>
      <c r="H802" s="9"/>
      <c r="I802" s="9"/>
      <c r="J802" s="9"/>
      <c r="K802" s="9"/>
      <c r="L802" s="9"/>
      <c r="M802" s="9"/>
      <c r="N802" s="9"/>
      <c r="O802" s="9"/>
      <c r="P802" s="9"/>
      <c r="Q802" s="9"/>
    </row>
    <row r="803" spans="1:17" ht="12.75">
      <c r="A803" s="9"/>
      <c r="B803" s="9"/>
      <c r="C803" s="9"/>
      <c r="D803" s="9"/>
      <c r="E803" s="9"/>
      <c r="F803" s="9"/>
      <c r="G803" s="9"/>
      <c r="H803" s="9"/>
      <c r="I803" s="9"/>
      <c r="J803" s="9"/>
      <c r="K803" s="9"/>
      <c r="L803" s="9"/>
      <c r="M803" s="9"/>
      <c r="N803" s="9"/>
      <c r="O803" s="9"/>
      <c r="P803" s="9"/>
      <c r="Q803" s="9"/>
    </row>
    <row r="804" spans="1:17" ht="12.75">
      <c r="A804" s="9"/>
      <c r="B804" s="9"/>
      <c r="C804" s="9"/>
      <c r="D804" s="9"/>
      <c r="E804" s="9"/>
      <c r="F804" s="9"/>
      <c r="G804" s="9"/>
      <c r="H804" s="9"/>
      <c r="I804" s="9"/>
      <c r="J804" s="9"/>
      <c r="K804" s="9"/>
      <c r="L804" s="9"/>
      <c r="M804" s="9"/>
      <c r="N804" s="9"/>
      <c r="O804" s="9"/>
      <c r="P804" s="9"/>
      <c r="Q804" s="9"/>
    </row>
    <row r="805" spans="1:17" ht="12.75">
      <c r="A805" s="9"/>
      <c r="B805" s="9"/>
      <c r="C805" s="9"/>
      <c r="D805" s="9"/>
      <c r="E805" s="9"/>
      <c r="F805" s="9"/>
      <c r="G805" s="9"/>
      <c r="H805" s="9"/>
      <c r="I805" s="9"/>
      <c r="J805" s="9"/>
      <c r="K805" s="9"/>
      <c r="L805" s="9"/>
      <c r="M805" s="9"/>
      <c r="N805" s="9"/>
      <c r="O805" s="9"/>
      <c r="P805" s="9"/>
      <c r="Q805" s="9"/>
    </row>
    <row r="806" spans="1:17" ht="12.75">
      <c r="A806" s="9"/>
      <c r="B806" s="9"/>
      <c r="C806" s="9"/>
      <c r="D806" s="9"/>
      <c r="E806" s="9"/>
      <c r="F806" s="9"/>
      <c r="G806" s="9"/>
      <c r="H806" s="9"/>
      <c r="I806" s="9"/>
      <c r="J806" s="9"/>
      <c r="K806" s="9"/>
      <c r="L806" s="9"/>
      <c r="M806" s="9"/>
      <c r="N806" s="9"/>
      <c r="O806" s="9"/>
      <c r="P806" s="9"/>
      <c r="Q806" s="9"/>
    </row>
    <row r="807" spans="1:17" ht="12.75">
      <c r="A807" s="9"/>
      <c r="B807" s="9"/>
      <c r="C807" s="9"/>
      <c r="D807" s="9"/>
      <c r="E807" s="9"/>
      <c r="F807" s="9"/>
      <c r="G807" s="9"/>
      <c r="H807" s="9"/>
      <c r="I807" s="9"/>
      <c r="J807" s="9"/>
      <c r="K807" s="9"/>
      <c r="L807" s="9"/>
      <c r="M807" s="9"/>
      <c r="N807" s="9"/>
      <c r="O807" s="9"/>
      <c r="P807" s="9"/>
      <c r="Q807" s="9"/>
    </row>
    <row r="808" spans="1:17" ht="12.75">
      <c r="A808" s="9"/>
      <c r="B808" s="9"/>
      <c r="C808" s="9"/>
      <c r="D808" s="9"/>
      <c r="E808" s="9"/>
      <c r="F808" s="9"/>
      <c r="G808" s="9"/>
      <c r="H808" s="9"/>
      <c r="I808" s="9"/>
      <c r="J808" s="9"/>
      <c r="K808" s="9"/>
      <c r="L808" s="9"/>
      <c r="M808" s="9"/>
      <c r="N808" s="9"/>
      <c r="O808" s="9"/>
      <c r="P808" s="9"/>
      <c r="Q808" s="9"/>
    </row>
    <row r="809" spans="1:17" ht="12.75">
      <c r="A809" s="9"/>
      <c r="B809" s="9"/>
      <c r="C809" s="9"/>
      <c r="D809" s="9"/>
      <c r="E809" s="9"/>
      <c r="F809" s="9"/>
      <c r="G809" s="9"/>
      <c r="H809" s="9"/>
      <c r="I809" s="9"/>
      <c r="J809" s="9"/>
      <c r="K809" s="9"/>
      <c r="L809" s="9"/>
      <c r="M809" s="9"/>
      <c r="N809" s="9"/>
      <c r="O809" s="9"/>
      <c r="P809" s="9"/>
      <c r="Q809" s="9"/>
    </row>
    <row r="810" spans="1:17" ht="12.75">
      <c r="A810" s="9"/>
      <c r="B810" s="9"/>
      <c r="C810" s="9"/>
      <c r="D810" s="9"/>
      <c r="E810" s="9"/>
      <c r="F810" s="9"/>
      <c r="G810" s="9"/>
      <c r="H810" s="9"/>
      <c r="I810" s="9"/>
      <c r="J810" s="9"/>
      <c r="K810" s="9"/>
      <c r="L810" s="9"/>
      <c r="M810" s="9"/>
      <c r="N810" s="9"/>
      <c r="O810" s="9"/>
      <c r="P810" s="9"/>
      <c r="Q810" s="9"/>
    </row>
    <row r="811" spans="1:17" ht="12.75">
      <c r="A811" s="9"/>
      <c r="B811" s="9"/>
      <c r="C811" s="9"/>
      <c r="D811" s="9"/>
      <c r="E811" s="9"/>
      <c r="F811" s="9"/>
      <c r="G811" s="9"/>
      <c r="H811" s="9"/>
      <c r="I811" s="9"/>
      <c r="J811" s="9"/>
      <c r="K811" s="9"/>
      <c r="L811" s="9"/>
      <c r="M811" s="9"/>
      <c r="N811" s="9"/>
      <c r="O811" s="9"/>
      <c r="P811" s="9"/>
      <c r="Q811" s="9"/>
    </row>
    <row r="812" spans="1:17" ht="12.75">
      <c r="A812" s="9"/>
      <c r="B812" s="9"/>
      <c r="C812" s="9"/>
      <c r="D812" s="9"/>
      <c r="E812" s="9"/>
      <c r="F812" s="9"/>
      <c r="G812" s="9"/>
      <c r="H812" s="9"/>
      <c r="I812" s="9"/>
      <c r="J812" s="9"/>
      <c r="K812" s="9"/>
      <c r="L812" s="9"/>
      <c r="M812" s="9"/>
      <c r="N812" s="9"/>
      <c r="O812" s="9"/>
      <c r="P812" s="9"/>
      <c r="Q812" s="9"/>
    </row>
    <row r="813" spans="1:17" ht="12.75">
      <c r="A813" s="9"/>
      <c r="B813" s="9"/>
      <c r="C813" s="9"/>
      <c r="D813" s="9"/>
      <c r="E813" s="9"/>
      <c r="F813" s="9"/>
      <c r="G813" s="9"/>
      <c r="H813" s="9"/>
      <c r="I813" s="9"/>
      <c r="J813" s="9"/>
      <c r="K813" s="9"/>
      <c r="L813" s="9"/>
      <c r="M813" s="9"/>
      <c r="N813" s="9"/>
      <c r="O813" s="9"/>
      <c r="P813" s="9"/>
      <c r="Q813" s="9"/>
    </row>
    <row r="814" spans="1:17" ht="12.75">
      <c r="A814" s="9"/>
      <c r="B814" s="9"/>
      <c r="C814" s="9"/>
      <c r="D814" s="9"/>
      <c r="E814" s="9"/>
      <c r="F814" s="9"/>
      <c r="G814" s="9"/>
      <c r="H814" s="9"/>
      <c r="I814" s="9"/>
      <c r="J814" s="9"/>
      <c r="K814" s="9"/>
      <c r="L814" s="9"/>
      <c r="M814" s="9"/>
      <c r="N814" s="9"/>
      <c r="O814" s="9"/>
      <c r="P814" s="9"/>
      <c r="Q814" s="9"/>
    </row>
    <row r="815" spans="1:17" ht="12.75">
      <c r="A815" s="9"/>
      <c r="B815" s="9"/>
      <c r="C815" s="9"/>
      <c r="D815" s="9"/>
      <c r="E815" s="9"/>
      <c r="F815" s="9"/>
      <c r="G815" s="9"/>
      <c r="H815" s="9"/>
      <c r="I815" s="9"/>
      <c r="J815" s="9"/>
      <c r="K815" s="9"/>
      <c r="L815" s="9"/>
      <c r="M815" s="9"/>
      <c r="N815" s="9"/>
      <c r="O815" s="9"/>
      <c r="P815" s="9"/>
      <c r="Q815" s="9"/>
    </row>
    <row r="816" spans="1:17" ht="12.75">
      <c r="A816" s="9"/>
      <c r="B816" s="9"/>
      <c r="C816" s="9"/>
      <c r="D816" s="9"/>
      <c r="E816" s="9"/>
      <c r="F816" s="9"/>
      <c r="G816" s="9"/>
      <c r="H816" s="9"/>
      <c r="I816" s="9"/>
      <c r="J816" s="9"/>
      <c r="K816" s="9"/>
      <c r="L816" s="9"/>
      <c r="M816" s="9"/>
      <c r="N816" s="9"/>
      <c r="O816" s="9"/>
      <c r="P816" s="9"/>
      <c r="Q816" s="9"/>
    </row>
    <row r="817" spans="1:17" ht="12.75">
      <c r="A817" s="9"/>
      <c r="B817" s="9"/>
      <c r="C817" s="9"/>
      <c r="D817" s="9"/>
      <c r="E817" s="9"/>
      <c r="F817" s="9"/>
      <c r="G817" s="9"/>
      <c r="H817" s="9"/>
      <c r="I817" s="9"/>
      <c r="J817" s="9"/>
      <c r="K817" s="9"/>
      <c r="L817" s="9"/>
      <c r="M817" s="9"/>
      <c r="N817" s="9"/>
      <c r="O817" s="9"/>
      <c r="P817" s="9"/>
      <c r="Q817" s="9"/>
    </row>
    <row r="818" spans="1:17" ht="12.75">
      <c r="A818" s="9"/>
      <c r="B818" s="9"/>
      <c r="C818" s="9"/>
      <c r="D818" s="9"/>
      <c r="E818" s="9"/>
      <c r="F818" s="9"/>
      <c r="G818" s="9"/>
      <c r="H818" s="9"/>
      <c r="I818" s="9"/>
      <c r="J818" s="9"/>
      <c r="K818" s="9"/>
      <c r="L818" s="9"/>
      <c r="M818" s="9"/>
      <c r="N818" s="9"/>
      <c r="O818" s="9"/>
      <c r="P818" s="9"/>
      <c r="Q818" s="9"/>
    </row>
    <row r="819" spans="1:17" ht="12.75">
      <c r="A819" s="9"/>
      <c r="B819" s="9"/>
      <c r="C819" s="9"/>
      <c r="D819" s="9"/>
      <c r="E819" s="9"/>
      <c r="F819" s="9"/>
      <c r="G819" s="9"/>
      <c r="H819" s="9"/>
      <c r="I819" s="9"/>
      <c r="J819" s="9"/>
      <c r="K819" s="9"/>
      <c r="L819" s="9"/>
      <c r="M819" s="9"/>
      <c r="N819" s="9"/>
      <c r="O819" s="9"/>
      <c r="P819" s="9"/>
      <c r="Q819" s="9"/>
    </row>
    <row r="820" spans="1:17" ht="12.75">
      <c r="A820" s="9"/>
      <c r="B820" s="9"/>
      <c r="C820" s="9"/>
      <c r="D820" s="9"/>
      <c r="E820" s="9"/>
      <c r="F820" s="9"/>
      <c r="G820" s="9"/>
      <c r="H820" s="9"/>
      <c r="I820" s="9"/>
      <c r="J820" s="9"/>
      <c r="K820" s="9"/>
      <c r="L820" s="9"/>
      <c r="M820" s="9"/>
      <c r="N820" s="9"/>
      <c r="O820" s="9"/>
      <c r="P820" s="9"/>
      <c r="Q820" s="9"/>
    </row>
    <row r="821" spans="1:17" ht="12.75">
      <c r="A821" s="9"/>
      <c r="B821" s="9"/>
      <c r="C821" s="9"/>
      <c r="D821" s="9"/>
      <c r="E821" s="9"/>
      <c r="F821" s="9"/>
      <c r="G821" s="9"/>
      <c r="H821" s="9"/>
      <c r="I821" s="9"/>
      <c r="J821" s="9"/>
      <c r="K821" s="9"/>
      <c r="L821" s="9"/>
      <c r="M821" s="9"/>
      <c r="N821" s="9"/>
      <c r="O821" s="9"/>
      <c r="P821" s="9"/>
      <c r="Q821" s="9"/>
    </row>
    <row r="822" spans="1:17" ht="12.75">
      <c r="A822" s="9"/>
      <c r="B822" s="9"/>
      <c r="C822" s="9"/>
      <c r="D822" s="9"/>
      <c r="E822" s="9"/>
      <c r="F822" s="9"/>
      <c r="G822" s="9"/>
      <c r="H822" s="9"/>
      <c r="I822" s="9"/>
      <c r="J822" s="9"/>
      <c r="K822" s="9"/>
      <c r="L822" s="9"/>
      <c r="M822" s="9"/>
      <c r="N822" s="9"/>
      <c r="O822" s="9"/>
      <c r="P822" s="9"/>
      <c r="Q822" s="9"/>
    </row>
    <row r="823" spans="1:17" ht="12.75">
      <c r="A823" s="9"/>
      <c r="B823" s="9"/>
      <c r="C823" s="9"/>
      <c r="D823" s="9"/>
      <c r="E823" s="9"/>
      <c r="F823" s="9"/>
      <c r="G823" s="9"/>
      <c r="H823" s="9"/>
      <c r="I823" s="9"/>
      <c r="J823" s="9"/>
      <c r="K823" s="9"/>
      <c r="L823" s="9"/>
      <c r="M823" s="9"/>
      <c r="N823" s="9"/>
      <c r="O823" s="9"/>
      <c r="P823" s="9"/>
      <c r="Q823" s="9"/>
    </row>
    <row r="824" spans="1:17" ht="12.75">
      <c r="A824" s="9"/>
      <c r="B824" s="9"/>
      <c r="C824" s="9"/>
      <c r="D824" s="9"/>
      <c r="E824" s="9"/>
      <c r="F824" s="9"/>
      <c r="G824" s="9"/>
      <c r="H824" s="9"/>
      <c r="I824" s="9"/>
      <c r="J824" s="9"/>
      <c r="K824" s="9"/>
      <c r="L824" s="9"/>
      <c r="M824" s="9"/>
      <c r="N824" s="9"/>
      <c r="O824" s="9"/>
      <c r="P824" s="9"/>
      <c r="Q824" s="9"/>
    </row>
    <row r="825" spans="1:17" ht="12.75">
      <c r="A825" s="9"/>
      <c r="B825" s="9"/>
      <c r="C825" s="9"/>
      <c r="D825" s="9"/>
      <c r="E825" s="9"/>
      <c r="F825" s="9"/>
      <c r="G825" s="9"/>
      <c r="H825" s="9"/>
      <c r="I825" s="9"/>
      <c r="J825" s="9"/>
      <c r="K825" s="9"/>
      <c r="L825" s="9"/>
      <c r="M825" s="9"/>
      <c r="N825" s="9"/>
      <c r="O825" s="9"/>
      <c r="P825" s="9"/>
      <c r="Q825" s="9"/>
    </row>
    <row r="826" spans="1:17" ht="12.75">
      <c r="A826" s="9"/>
      <c r="B826" s="9"/>
      <c r="C826" s="9"/>
      <c r="D826" s="9"/>
      <c r="E826" s="9"/>
      <c r="F826" s="9"/>
      <c r="G826" s="9"/>
      <c r="H826" s="9"/>
      <c r="I826" s="9"/>
      <c r="J826" s="9"/>
      <c r="K826" s="9"/>
      <c r="L826" s="9"/>
      <c r="M826" s="9"/>
      <c r="N826" s="9"/>
      <c r="O826" s="9"/>
      <c r="P826" s="9"/>
      <c r="Q826" s="9"/>
    </row>
    <row r="827" spans="1:17" ht="12.75">
      <c r="A827" s="9"/>
      <c r="B827" s="9"/>
      <c r="C827" s="9"/>
      <c r="D827" s="9"/>
      <c r="E827" s="9"/>
      <c r="F827" s="9"/>
      <c r="G827" s="9"/>
      <c r="H827" s="9"/>
      <c r="I827" s="9"/>
      <c r="J827" s="9"/>
      <c r="K827" s="9"/>
      <c r="L827" s="9"/>
      <c r="M827" s="9"/>
      <c r="N827" s="9"/>
      <c r="O827" s="9"/>
      <c r="P827" s="9"/>
      <c r="Q827" s="9"/>
    </row>
    <row r="828" spans="1:17" ht="12.75">
      <c r="A828" s="9"/>
      <c r="B828" s="9"/>
      <c r="C828" s="9"/>
      <c r="D828" s="9"/>
      <c r="E828" s="9"/>
      <c r="F828" s="9"/>
      <c r="G828" s="9"/>
      <c r="H828" s="9"/>
      <c r="I828" s="9"/>
      <c r="J828" s="9"/>
      <c r="K828" s="9"/>
      <c r="L828" s="9"/>
      <c r="M828" s="9"/>
      <c r="N828" s="9"/>
      <c r="O828" s="9"/>
      <c r="P828" s="9"/>
      <c r="Q828" s="9"/>
    </row>
    <row r="829" spans="1:17" ht="12.75">
      <c r="A829" s="9"/>
      <c r="B829" s="9"/>
      <c r="C829" s="9"/>
      <c r="D829" s="9"/>
      <c r="E829" s="9"/>
      <c r="F829" s="9"/>
      <c r="G829" s="9"/>
      <c r="H829" s="9"/>
      <c r="I829" s="9"/>
      <c r="J829" s="9"/>
      <c r="K829" s="9"/>
      <c r="L829" s="9"/>
      <c r="M829" s="9"/>
      <c r="N829" s="9"/>
      <c r="O829" s="9"/>
      <c r="P829" s="9"/>
      <c r="Q829" s="9"/>
    </row>
    <row r="830" spans="1:17" ht="12.75">
      <c r="A830" s="9"/>
      <c r="B830" s="9"/>
      <c r="C830" s="9"/>
      <c r="D830" s="9"/>
      <c r="E830" s="9"/>
      <c r="F830" s="9"/>
      <c r="G830" s="9"/>
      <c r="H830" s="9"/>
      <c r="I830" s="9"/>
      <c r="J830" s="9"/>
      <c r="K830" s="9"/>
      <c r="L830" s="9"/>
      <c r="M830" s="9"/>
      <c r="N830" s="9"/>
      <c r="O830" s="9"/>
      <c r="P830" s="9"/>
      <c r="Q830" s="9"/>
    </row>
    <row r="831" spans="1:17" ht="12.75">
      <c r="A831" s="9"/>
      <c r="B831" s="9"/>
      <c r="C831" s="9"/>
      <c r="D831" s="9"/>
      <c r="E831" s="9"/>
      <c r="F831" s="9"/>
      <c r="G831" s="9"/>
      <c r="H831" s="9"/>
      <c r="I831" s="9"/>
      <c r="J831" s="9"/>
      <c r="K831" s="9"/>
      <c r="L831" s="9"/>
      <c r="M831" s="9"/>
      <c r="N831" s="9"/>
      <c r="O831" s="9"/>
      <c r="P831" s="9"/>
      <c r="Q831" s="9"/>
    </row>
    <row r="832" spans="1:17" ht="12.75">
      <c r="A832" s="9"/>
      <c r="B832" s="9"/>
      <c r="C832" s="9"/>
      <c r="D832" s="9"/>
      <c r="E832" s="9"/>
      <c r="F832" s="9"/>
      <c r="G832" s="9"/>
      <c r="H832" s="9"/>
      <c r="I832" s="9"/>
      <c r="J832" s="9"/>
      <c r="K832" s="9"/>
      <c r="L832" s="9"/>
      <c r="M832" s="9"/>
      <c r="N832" s="9"/>
      <c r="O832" s="9"/>
      <c r="P832" s="9"/>
      <c r="Q832" s="9"/>
    </row>
    <row r="833" spans="1:17" ht="12.75">
      <c r="A833" s="9"/>
      <c r="B833" s="9"/>
      <c r="C833" s="9"/>
      <c r="D833" s="9"/>
      <c r="E833" s="9"/>
      <c r="F833" s="9"/>
      <c r="G833" s="9"/>
      <c r="H833" s="9"/>
      <c r="I833" s="9"/>
      <c r="J833" s="9"/>
      <c r="K833" s="9"/>
      <c r="L833" s="9"/>
      <c r="M833" s="9"/>
      <c r="N833" s="9"/>
      <c r="O833" s="9"/>
      <c r="P833" s="9"/>
      <c r="Q833" s="9"/>
    </row>
    <row r="834" spans="1:17" ht="12.75">
      <c r="A834" s="9"/>
      <c r="B834" s="9"/>
      <c r="C834" s="9"/>
      <c r="D834" s="9"/>
      <c r="E834" s="9"/>
      <c r="F834" s="9"/>
      <c r="G834" s="9"/>
      <c r="H834" s="9"/>
      <c r="I834" s="9"/>
      <c r="J834" s="9"/>
      <c r="K834" s="9"/>
      <c r="L834" s="9"/>
      <c r="M834" s="9"/>
      <c r="N834" s="9"/>
      <c r="O834" s="9"/>
      <c r="P834" s="9"/>
      <c r="Q834" s="9"/>
    </row>
    <row r="835" spans="1:17" ht="12.75">
      <c r="A835" s="9"/>
      <c r="B835" s="9"/>
      <c r="C835" s="9"/>
      <c r="D835" s="9"/>
      <c r="E835" s="9"/>
      <c r="F835" s="9"/>
      <c r="G835" s="9"/>
      <c r="H835" s="9"/>
      <c r="I835" s="9"/>
      <c r="J835" s="9"/>
      <c r="K835" s="9"/>
      <c r="L835" s="9"/>
      <c r="M835" s="9"/>
      <c r="N835" s="9"/>
      <c r="O835" s="9"/>
      <c r="P835" s="9"/>
      <c r="Q835" s="9"/>
    </row>
    <row r="836" spans="1:17" ht="12.75">
      <c r="A836" s="9"/>
      <c r="B836" s="9"/>
      <c r="C836" s="9"/>
      <c r="D836" s="9"/>
      <c r="E836" s="9"/>
      <c r="F836" s="9"/>
      <c r="G836" s="9"/>
      <c r="H836" s="9"/>
      <c r="I836" s="9"/>
      <c r="J836" s="9"/>
      <c r="K836" s="9"/>
      <c r="L836" s="9"/>
      <c r="M836" s="9"/>
      <c r="N836" s="9"/>
      <c r="O836" s="9"/>
      <c r="P836" s="9"/>
      <c r="Q836" s="9"/>
    </row>
    <row r="837" spans="1:17" ht="12.75">
      <c r="A837" s="9"/>
      <c r="B837" s="9"/>
      <c r="C837" s="9"/>
      <c r="D837" s="9"/>
      <c r="E837" s="9"/>
      <c r="F837" s="9"/>
      <c r="G837" s="9"/>
      <c r="H837" s="9"/>
      <c r="I837" s="9"/>
      <c r="J837" s="9"/>
      <c r="K837" s="9"/>
      <c r="L837" s="9"/>
      <c r="M837" s="9"/>
      <c r="N837" s="9"/>
      <c r="O837" s="9"/>
      <c r="P837" s="9"/>
      <c r="Q837" s="9"/>
    </row>
    <row r="838" spans="1:17" ht="12.75">
      <c r="A838" s="9"/>
      <c r="B838" s="9"/>
      <c r="C838" s="9"/>
      <c r="D838" s="9"/>
      <c r="E838" s="9"/>
      <c r="F838" s="9"/>
      <c r="G838" s="9"/>
      <c r="H838" s="9"/>
      <c r="I838" s="9"/>
      <c r="J838" s="9"/>
      <c r="K838" s="9"/>
      <c r="L838" s="9"/>
      <c r="M838" s="9"/>
      <c r="N838" s="9"/>
      <c r="O838" s="9"/>
      <c r="P838" s="9"/>
      <c r="Q838" s="9"/>
    </row>
    <row r="839" spans="1:17" ht="12.75">
      <c r="A839" s="9"/>
      <c r="B839" s="9"/>
      <c r="C839" s="9"/>
      <c r="D839" s="9"/>
      <c r="E839" s="9"/>
      <c r="F839" s="9"/>
      <c r="G839" s="9"/>
      <c r="H839" s="9"/>
      <c r="I839" s="9"/>
      <c r="J839" s="9"/>
      <c r="K839" s="9"/>
      <c r="L839" s="9"/>
      <c r="M839" s="9"/>
      <c r="N839" s="9"/>
      <c r="O839" s="9"/>
      <c r="P839" s="9"/>
      <c r="Q839" s="9"/>
    </row>
    <row r="840" spans="1:17" ht="12.75">
      <c r="A840" s="9"/>
      <c r="B840" s="9"/>
      <c r="C840" s="9"/>
      <c r="D840" s="9"/>
      <c r="E840" s="9"/>
      <c r="F840" s="9"/>
      <c r="G840" s="9"/>
      <c r="H840" s="9"/>
      <c r="I840" s="9"/>
      <c r="J840" s="9"/>
      <c r="K840" s="9"/>
      <c r="L840" s="9"/>
      <c r="M840" s="9"/>
      <c r="N840" s="9"/>
      <c r="O840" s="9"/>
      <c r="P840" s="9"/>
      <c r="Q840" s="9"/>
    </row>
    <row r="841" spans="1:17" ht="12.75">
      <c r="A841" s="9"/>
      <c r="B841" s="9"/>
      <c r="C841" s="9"/>
      <c r="D841" s="9"/>
      <c r="E841" s="9"/>
      <c r="F841" s="9"/>
      <c r="G841" s="9"/>
      <c r="H841" s="9"/>
      <c r="I841" s="9"/>
      <c r="J841" s="9"/>
      <c r="K841" s="9"/>
      <c r="L841" s="9"/>
      <c r="M841" s="9"/>
      <c r="N841" s="9"/>
      <c r="O841" s="9"/>
      <c r="P841" s="9"/>
      <c r="Q841" s="9"/>
    </row>
    <row r="842" spans="1:17" ht="12.75">
      <c r="A842" s="9"/>
      <c r="B842" s="9"/>
      <c r="C842" s="9"/>
      <c r="D842" s="9"/>
      <c r="E842" s="9"/>
      <c r="F842" s="9"/>
      <c r="G842" s="9"/>
      <c r="H842" s="9"/>
      <c r="I842" s="9"/>
      <c r="J842" s="9"/>
      <c r="K842" s="9"/>
      <c r="L842" s="9"/>
      <c r="M842" s="9"/>
      <c r="N842" s="9"/>
      <c r="O842" s="9"/>
      <c r="P842" s="9"/>
      <c r="Q842" s="9"/>
    </row>
    <row r="843" spans="1:17" ht="12.75">
      <c r="A843" s="9"/>
      <c r="B843" s="9"/>
      <c r="C843" s="9"/>
      <c r="D843" s="9"/>
      <c r="E843" s="9"/>
      <c r="F843" s="9"/>
      <c r="G843" s="9"/>
      <c r="H843" s="9"/>
      <c r="I843" s="9"/>
      <c r="J843" s="9"/>
      <c r="K843" s="9"/>
      <c r="L843" s="9"/>
      <c r="M843" s="9"/>
      <c r="N843" s="9"/>
      <c r="O843" s="9"/>
      <c r="P843" s="9"/>
      <c r="Q843" s="9"/>
    </row>
    <row r="844" spans="1:17" ht="12.75">
      <c r="A844" s="9"/>
      <c r="B844" s="9"/>
      <c r="C844" s="9"/>
      <c r="D844" s="9"/>
      <c r="E844" s="9"/>
      <c r="F844" s="9"/>
      <c r="G844" s="9"/>
      <c r="H844" s="9"/>
      <c r="I844" s="9"/>
      <c r="J844" s="9"/>
      <c r="K844" s="9"/>
      <c r="L844" s="9"/>
      <c r="M844" s="9"/>
      <c r="N844" s="9"/>
      <c r="O844" s="9"/>
      <c r="P844" s="9"/>
      <c r="Q844" s="9"/>
    </row>
    <row r="845" spans="1:17" ht="12.75">
      <c r="A845" s="9"/>
      <c r="B845" s="9"/>
      <c r="C845" s="9"/>
      <c r="D845" s="9"/>
      <c r="E845" s="9"/>
      <c r="F845" s="9"/>
      <c r="G845" s="9"/>
      <c r="H845" s="9"/>
      <c r="I845" s="9"/>
      <c r="J845" s="9"/>
      <c r="K845" s="9"/>
      <c r="L845" s="9"/>
      <c r="M845" s="9"/>
      <c r="N845" s="9"/>
      <c r="O845" s="9"/>
      <c r="P845" s="9"/>
      <c r="Q845" s="9"/>
    </row>
    <row r="846" spans="1:17" ht="12.75">
      <c r="A846" s="9"/>
      <c r="B846" s="9"/>
      <c r="C846" s="9"/>
      <c r="D846" s="9"/>
      <c r="E846" s="9"/>
      <c r="F846" s="9"/>
      <c r="G846" s="9"/>
      <c r="H846" s="9"/>
      <c r="I846" s="9"/>
      <c r="J846" s="9"/>
      <c r="K846" s="9"/>
      <c r="L846" s="9"/>
      <c r="M846" s="9"/>
      <c r="N846" s="9"/>
      <c r="O846" s="9"/>
      <c r="P846" s="9"/>
      <c r="Q846" s="9"/>
    </row>
    <row r="847" spans="1:17" ht="12.75">
      <c r="A847" s="9"/>
      <c r="B847" s="9"/>
      <c r="C847" s="9"/>
      <c r="D847" s="9"/>
      <c r="E847" s="9"/>
      <c r="F847" s="9"/>
      <c r="G847" s="9"/>
      <c r="H847" s="9"/>
      <c r="I847" s="9"/>
      <c r="J847" s="9"/>
      <c r="K847" s="9"/>
      <c r="L847" s="9"/>
      <c r="M847" s="9"/>
      <c r="N847" s="9"/>
      <c r="O847" s="9"/>
      <c r="P847" s="9"/>
      <c r="Q847" s="9"/>
    </row>
    <row r="848" spans="1:17" ht="12.75">
      <c r="A848" s="9"/>
      <c r="B848" s="9"/>
      <c r="C848" s="9"/>
      <c r="D848" s="9"/>
      <c r="E848" s="9"/>
      <c r="F848" s="9"/>
      <c r="G848" s="9"/>
      <c r="H848" s="9"/>
      <c r="I848" s="9"/>
      <c r="J848" s="9"/>
      <c r="K848" s="9"/>
      <c r="L848" s="9"/>
      <c r="M848" s="9"/>
      <c r="N848" s="9"/>
      <c r="O848" s="9"/>
      <c r="P848" s="9"/>
      <c r="Q848" s="9"/>
    </row>
    <row r="849" spans="1:17" ht="12.75">
      <c r="A849" s="9"/>
      <c r="B849" s="9"/>
      <c r="C849" s="9"/>
      <c r="D849" s="9"/>
      <c r="E849" s="9"/>
      <c r="F849" s="9"/>
      <c r="G849" s="9"/>
      <c r="H849" s="9"/>
      <c r="I849" s="9"/>
      <c r="J849" s="9"/>
      <c r="K849" s="9"/>
      <c r="L849" s="9"/>
      <c r="M849" s="9"/>
      <c r="N849" s="9"/>
      <c r="O849" s="9"/>
      <c r="P849" s="9"/>
      <c r="Q849" s="9"/>
    </row>
    <row r="850" spans="1:17" ht="12.75">
      <c r="A850" s="9"/>
      <c r="B850" s="9"/>
      <c r="C850" s="9"/>
      <c r="D850" s="9"/>
      <c r="E850" s="9"/>
      <c r="F850" s="9"/>
      <c r="G850" s="9"/>
      <c r="H850" s="9"/>
      <c r="I850" s="9"/>
      <c r="J850" s="9"/>
      <c r="K850" s="9"/>
      <c r="L850" s="9"/>
      <c r="M850" s="9"/>
      <c r="N850" s="9"/>
      <c r="O850" s="9"/>
      <c r="P850" s="9"/>
      <c r="Q850" s="9"/>
    </row>
    <row r="851" spans="1:17" ht="12.75">
      <c r="A851" s="9"/>
      <c r="B851" s="9"/>
      <c r="C851" s="9"/>
      <c r="D851" s="9"/>
      <c r="E851" s="9"/>
      <c r="F851" s="9"/>
      <c r="G851" s="9"/>
      <c r="H851" s="9"/>
      <c r="I851" s="9"/>
      <c r="J851" s="9"/>
      <c r="K851" s="9"/>
      <c r="L851" s="9"/>
      <c r="M851" s="9"/>
      <c r="N851" s="9"/>
      <c r="O851" s="9"/>
      <c r="P851" s="9"/>
      <c r="Q851" s="9"/>
    </row>
    <row r="852" spans="1:17" ht="12.75">
      <c r="A852" s="9"/>
      <c r="B852" s="9"/>
      <c r="C852" s="9"/>
      <c r="D852" s="9"/>
      <c r="E852" s="9"/>
      <c r="F852" s="9"/>
      <c r="G852" s="9"/>
      <c r="H852" s="9"/>
      <c r="I852" s="9"/>
      <c r="J852" s="9"/>
      <c r="K852" s="9"/>
      <c r="L852" s="9"/>
      <c r="M852" s="9"/>
      <c r="N852" s="9"/>
      <c r="O852" s="9"/>
      <c r="P852" s="9"/>
      <c r="Q852" s="9"/>
    </row>
    <row r="853" spans="1:17" ht="12.75">
      <c r="A853" s="9"/>
      <c r="B853" s="9"/>
      <c r="C853" s="9"/>
      <c r="D853" s="9"/>
      <c r="E853" s="9"/>
      <c r="F853" s="9"/>
      <c r="G853" s="9"/>
      <c r="H853" s="9"/>
      <c r="I853" s="9"/>
      <c r="J853" s="9"/>
      <c r="K853" s="9"/>
      <c r="L853" s="9"/>
      <c r="M853" s="9"/>
      <c r="N853" s="9"/>
      <c r="O853" s="9"/>
      <c r="P853" s="9"/>
      <c r="Q853" s="9"/>
    </row>
    <row r="854" spans="1:17" ht="12.75">
      <c r="A854" s="9"/>
      <c r="B854" s="9"/>
      <c r="C854" s="9"/>
      <c r="D854" s="9"/>
      <c r="E854" s="9"/>
      <c r="F854" s="9"/>
      <c r="G854" s="9"/>
      <c r="H854" s="9"/>
      <c r="I854" s="9"/>
      <c r="J854" s="9"/>
      <c r="K854" s="9"/>
      <c r="L854" s="9"/>
      <c r="M854" s="9"/>
      <c r="N854" s="9"/>
      <c r="O854" s="9"/>
      <c r="P854" s="9"/>
      <c r="Q854" s="9"/>
    </row>
    <row r="855" spans="1:17" ht="12.75">
      <c r="A855" s="9"/>
      <c r="B855" s="9"/>
      <c r="C855" s="9"/>
      <c r="D855" s="9"/>
      <c r="E855" s="9"/>
      <c r="F855" s="9"/>
      <c r="G855" s="9"/>
      <c r="H855" s="9"/>
      <c r="I855" s="9"/>
      <c r="J855" s="9"/>
      <c r="K855" s="9"/>
      <c r="L855" s="9"/>
      <c r="M855" s="9"/>
      <c r="N855" s="9"/>
      <c r="O855" s="9"/>
      <c r="P855" s="9"/>
      <c r="Q855" s="9"/>
    </row>
    <row r="856" spans="1:17" ht="12.75">
      <c r="A856" s="9"/>
      <c r="B856" s="9"/>
      <c r="C856" s="9"/>
      <c r="D856" s="9"/>
      <c r="E856" s="9"/>
      <c r="F856" s="9"/>
      <c r="G856" s="9"/>
      <c r="H856" s="9"/>
      <c r="I856" s="9"/>
      <c r="J856" s="9"/>
      <c r="K856" s="9"/>
      <c r="L856" s="9"/>
      <c r="M856" s="9"/>
      <c r="N856" s="9"/>
      <c r="O856" s="9"/>
      <c r="P856" s="9"/>
      <c r="Q856" s="9"/>
    </row>
    <row r="857" spans="1:17" ht="12.75">
      <c r="A857" s="9"/>
      <c r="B857" s="9"/>
      <c r="C857" s="9"/>
      <c r="D857" s="9"/>
      <c r="E857" s="9"/>
      <c r="F857" s="9"/>
      <c r="G857" s="9"/>
      <c r="H857" s="9"/>
      <c r="I857" s="9"/>
      <c r="J857" s="9"/>
      <c r="K857" s="9"/>
      <c r="L857" s="9"/>
      <c r="M857" s="9"/>
      <c r="N857" s="9"/>
      <c r="O857" s="9"/>
      <c r="P857" s="9"/>
      <c r="Q857" s="9"/>
    </row>
    <row r="858" spans="1:17" ht="12.75">
      <c r="A858" s="9"/>
      <c r="B858" s="9"/>
      <c r="C858" s="9"/>
      <c r="D858" s="9"/>
      <c r="E858" s="9"/>
      <c r="F858" s="9"/>
      <c r="G858" s="9"/>
      <c r="H858" s="9"/>
      <c r="I858" s="9"/>
      <c r="J858" s="9"/>
      <c r="K858" s="9"/>
      <c r="L858" s="9"/>
      <c r="M858" s="9"/>
      <c r="N858" s="9"/>
      <c r="O858" s="9"/>
      <c r="P858" s="9"/>
      <c r="Q858" s="9"/>
    </row>
    <row r="859" spans="1:17" ht="12.75">
      <c r="A859" s="9"/>
      <c r="B859" s="9"/>
      <c r="C859" s="9"/>
      <c r="D859" s="9"/>
      <c r="E859" s="9"/>
      <c r="F859" s="9"/>
      <c r="G859" s="9"/>
      <c r="H859" s="9"/>
      <c r="I859" s="9"/>
      <c r="J859" s="9"/>
      <c r="K859" s="9"/>
      <c r="L859" s="9"/>
      <c r="M859" s="9"/>
      <c r="N859" s="9"/>
      <c r="O859" s="9"/>
      <c r="P859" s="9"/>
      <c r="Q859" s="9"/>
    </row>
    <row r="860" spans="1:17" ht="12.75">
      <c r="A860" s="9"/>
      <c r="B860" s="9"/>
      <c r="C860" s="9"/>
      <c r="D860" s="9"/>
      <c r="E860" s="9"/>
      <c r="F860" s="9"/>
      <c r="G860" s="9"/>
      <c r="H860" s="9"/>
      <c r="I860" s="9"/>
      <c r="J860" s="9"/>
      <c r="K860" s="9"/>
      <c r="L860" s="9"/>
      <c r="M860" s="9"/>
      <c r="N860" s="9"/>
      <c r="O860" s="9"/>
      <c r="P860" s="9"/>
      <c r="Q860" s="9"/>
    </row>
    <row r="861" spans="1:17" ht="12.75">
      <c r="A861" s="9"/>
      <c r="B861" s="9"/>
      <c r="C861" s="9"/>
      <c r="D861" s="9"/>
      <c r="E861" s="9"/>
      <c r="F861" s="9"/>
      <c r="G861" s="9"/>
      <c r="H861" s="9"/>
      <c r="I861" s="9"/>
      <c r="J861" s="9"/>
      <c r="K861" s="9"/>
      <c r="L861" s="9"/>
      <c r="M861" s="9"/>
      <c r="N861" s="9"/>
      <c r="O861" s="9"/>
      <c r="P861" s="9"/>
      <c r="Q861" s="9"/>
    </row>
    <row r="862" spans="1:17" ht="12.75">
      <c r="A862" s="9"/>
      <c r="B862" s="9"/>
      <c r="C862" s="9"/>
      <c r="D862" s="9"/>
      <c r="E862" s="9"/>
      <c r="F862" s="9"/>
      <c r="G862" s="9"/>
      <c r="H862" s="9"/>
      <c r="I862" s="9"/>
      <c r="J862" s="9"/>
      <c r="K862" s="9"/>
      <c r="L862" s="9"/>
      <c r="M862" s="9"/>
      <c r="N862" s="9"/>
      <c r="O862" s="9"/>
      <c r="P862" s="9"/>
      <c r="Q862" s="9"/>
    </row>
    <row r="863" spans="1:17" ht="12.75">
      <c r="A863" s="9"/>
      <c r="B863" s="9"/>
      <c r="C863" s="9"/>
      <c r="D863" s="9"/>
      <c r="E863" s="9"/>
      <c r="F863" s="9"/>
      <c r="G863" s="9"/>
      <c r="H863" s="9"/>
      <c r="I863" s="9"/>
      <c r="J863" s="9"/>
      <c r="K863" s="9"/>
      <c r="L863" s="9"/>
      <c r="M863" s="9"/>
      <c r="N863" s="9"/>
      <c r="O863" s="9"/>
      <c r="P863" s="9"/>
      <c r="Q863" s="9"/>
    </row>
    <row r="864" spans="1:17" ht="12.75">
      <c r="A864" s="9"/>
      <c r="B864" s="9"/>
      <c r="C864" s="9"/>
      <c r="D864" s="9"/>
      <c r="E864" s="9"/>
      <c r="F864" s="9"/>
      <c r="G864" s="9"/>
      <c r="H864" s="9"/>
      <c r="I864" s="9"/>
      <c r="J864" s="9"/>
      <c r="K864" s="9"/>
      <c r="L864" s="9"/>
      <c r="M864" s="9"/>
      <c r="N864" s="9"/>
      <c r="O864" s="9"/>
      <c r="P864" s="9"/>
      <c r="Q864" s="9"/>
    </row>
    <row r="865" spans="1:17" ht="12.75">
      <c r="A865" s="9"/>
      <c r="B865" s="9"/>
      <c r="C865" s="9"/>
      <c r="D865" s="9"/>
      <c r="E865" s="9"/>
      <c r="F865" s="9"/>
      <c r="G865" s="9"/>
      <c r="H865" s="9"/>
      <c r="I865" s="9"/>
      <c r="J865" s="9"/>
      <c r="K865" s="9"/>
      <c r="L865" s="9"/>
      <c r="M865" s="9"/>
      <c r="N865" s="9"/>
      <c r="O865" s="9"/>
      <c r="P865" s="9"/>
      <c r="Q865" s="9"/>
    </row>
    <row r="866" spans="1:17" ht="12.75">
      <c r="A866" s="9"/>
      <c r="B866" s="9"/>
      <c r="C866" s="9"/>
      <c r="D866" s="9"/>
      <c r="E866" s="9"/>
      <c r="F866" s="9"/>
      <c r="G866" s="9"/>
      <c r="H866" s="9"/>
      <c r="I866" s="9"/>
      <c r="J866" s="9"/>
      <c r="K866" s="9"/>
      <c r="L866" s="9"/>
      <c r="M866" s="9"/>
      <c r="N866" s="9"/>
      <c r="O866" s="9"/>
      <c r="P866" s="9"/>
      <c r="Q866" s="9"/>
    </row>
    <row r="867" spans="1:17" ht="12.75">
      <c r="A867" s="9"/>
      <c r="B867" s="9"/>
      <c r="C867" s="9"/>
      <c r="D867" s="9"/>
      <c r="E867" s="9"/>
      <c r="F867" s="9"/>
      <c r="G867" s="9"/>
      <c r="H867" s="9"/>
      <c r="I867" s="9"/>
      <c r="J867" s="9"/>
      <c r="K867" s="9"/>
      <c r="L867" s="9"/>
      <c r="M867" s="9"/>
      <c r="N867" s="9"/>
      <c r="O867" s="9"/>
      <c r="P867" s="9"/>
      <c r="Q867" s="9"/>
    </row>
    <row r="868" spans="1:17" ht="12.75">
      <c r="A868" s="9"/>
      <c r="B868" s="9"/>
      <c r="C868" s="9"/>
      <c r="D868" s="9"/>
      <c r="E868" s="9"/>
      <c r="F868" s="9"/>
      <c r="G868" s="9"/>
      <c r="H868" s="9"/>
      <c r="I868" s="9"/>
      <c r="J868" s="9"/>
      <c r="K868" s="9"/>
      <c r="L868" s="9"/>
      <c r="M868" s="9"/>
      <c r="N868" s="9"/>
      <c r="O868" s="9"/>
      <c r="P868" s="9"/>
      <c r="Q868" s="9"/>
    </row>
    <row r="869" spans="1:17" ht="12.75">
      <c r="A869" s="9"/>
      <c r="B869" s="9"/>
      <c r="C869" s="9"/>
      <c r="D869" s="9"/>
      <c r="E869" s="9"/>
      <c r="F869" s="9"/>
      <c r="G869" s="9"/>
      <c r="H869" s="9"/>
      <c r="I869" s="9"/>
      <c r="J869" s="9"/>
      <c r="K869" s="9"/>
      <c r="L869" s="9"/>
      <c r="M869" s="9"/>
      <c r="N869" s="9"/>
      <c r="O869" s="9"/>
      <c r="P869" s="9"/>
      <c r="Q869" s="9"/>
    </row>
    <row r="870" spans="1:17" ht="12.75">
      <c r="A870" s="9"/>
      <c r="B870" s="9"/>
      <c r="C870" s="9"/>
      <c r="D870" s="9"/>
      <c r="E870" s="9"/>
      <c r="F870" s="9"/>
      <c r="G870" s="9"/>
      <c r="H870" s="9"/>
      <c r="I870" s="9"/>
      <c r="J870" s="9"/>
      <c r="K870" s="9"/>
      <c r="L870" s="9"/>
      <c r="M870" s="9"/>
      <c r="N870" s="9"/>
      <c r="O870" s="9"/>
      <c r="P870" s="9"/>
      <c r="Q870" s="9"/>
    </row>
    <row r="871" spans="1:17" ht="12.75">
      <c r="A871" s="9"/>
      <c r="B871" s="9"/>
      <c r="C871" s="9"/>
      <c r="D871" s="9"/>
      <c r="E871" s="9"/>
      <c r="F871" s="9"/>
      <c r="G871" s="9"/>
      <c r="H871" s="9"/>
      <c r="I871" s="9"/>
      <c r="J871" s="9"/>
      <c r="K871" s="9"/>
      <c r="L871" s="9"/>
      <c r="M871" s="9"/>
      <c r="N871" s="9"/>
      <c r="O871" s="9"/>
      <c r="P871" s="9"/>
      <c r="Q871" s="9"/>
    </row>
    <row r="872" spans="1:17" ht="12.75">
      <c r="A872" s="9"/>
      <c r="B872" s="9"/>
      <c r="C872" s="9"/>
      <c r="D872" s="9"/>
      <c r="E872" s="9"/>
      <c r="F872" s="9"/>
      <c r="G872" s="9"/>
      <c r="H872" s="9"/>
      <c r="I872" s="9"/>
      <c r="J872" s="9"/>
      <c r="K872" s="9"/>
      <c r="L872" s="9"/>
      <c r="M872" s="9"/>
      <c r="N872" s="9"/>
      <c r="O872" s="9"/>
      <c r="P872" s="9"/>
      <c r="Q872" s="9"/>
    </row>
    <row r="873" spans="1:17" ht="12.75">
      <c r="A873" s="9"/>
      <c r="B873" s="9"/>
      <c r="C873" s="9"/>
      <c r="D873" s="9"/>
      <c r="E873" s="9"/>
      <c r="F873" s="9"/>
      <c r="G873" s="9"/>
      <c r="H873" s="9"/>
      <c r="I873" s="9"/>
      <c r="J873" s="9"/>
      <c r="K873" s="9"/>
      <c r="L873" s="9"/>
      <c r="M873" s="9"/>
      <c r="N873" s="9"/>
      <c r="O873" s="9"/>
      <c r="P873" s="9"/>
      <c r="Q873" s="9"/>
    </row>
    <row r="874" spans="1:17" ht="12.75">
      <c r="A874" s="9"/>
      <c r="B874" s="9"/>
      <c r="C874" s="9"/>
      <c r="D874" s="9"/>
      <c r="E874" s="9"/>
      <c r="F874" s="9"/>
      <c r="G874" s="9"/>
      <c r="H874" s="9"/>
      <c r="I874" s="9"/>
      <c r="J874" s="9"/>
      <c r="K874" s="9"/>
      <c r="L874" s="9"/>
      <c r="M874" s="9"/>
      <c r="N874" s="9"/>
      <c r="O874" s="9"/>
      <c r="P874" s="9"/>
      <c r="Q874" s="9"/>
    </row>
    <row r="875" spans="1:17" ht="12.75">
      <c r="A875" s="9"/>
      <c r="B875" s="9"/>
      <c r="C875" s="9"/>
      <c r="D875" s="9"/>
      <c r="E875" s="9"/>
      <c r="F875" s="9"/>
      <c r="G875" s="9"/>
      <c r="H875" s="9"/>
      <c r="I875" s="9"/>
      <c r="J875" s="9"/>
      <c r="K875" s="9"/>
      <c r="L875" s="9"/>
      <c r="M875" s="9"/>
      <c r="N875" s="9"/>
      <c r="O875" s="9"/>
      <c r="P875" s="9"/>
      <c r="Q875" s="9"/>
    </row>
    <row r="876" spans="1:17" ht="12.75">
      <c r="A876" s="9"/>
      <c r="B876" s="9"/>
      <c r="C876" s="9"/>
      <c r="D876" s="9"/>
      <c r="E876" s="9"/>
      <c r="F876" s="9"/>
      <c r="G876" s="9"/>
      <c r="H876" s="9"/>
      <c r="I876" s="9"/>
      <c r="J876" s="9"/>
      <c r="K876" s="9"/>
      <c r="L876" s="9"/>
      <c r="M876" s="9"/>
      <c r="N876" s="9"/>
      <c r="O876" s="9"/>
      <c r="P876" s="9"/>
      <c r="Q876" s="9"/>
    </row>
    <row r="877" spans="1:17" ht="12.75">
      <c r="A877" s="9"/>
      <c r="B877" s="9"/>
      <c r="C877" s="9"/>
      <c r="D877" s="9"/>
      <c r="E877" s="9"/>
      <c r="F877" s="9"/>
      <c r="G877" s="9"/>
      <c r="H877" s="9"/>
      <c r="I877" s="9"/>
      <c r="J877" s="9"/>
      <c r="K877" s="9"/>
      <c r="L877" s="9"/>
      <c r="M877" s="9"/>
      <c r="N877" s="9"/>
      <c r="O877" s="9"/>
      <c r="P877" s="9"/>
      <c r="Q877" s="9"/>
    </row>
    <row r="878" spans="1:17" ht="12.75">
      <c r="A878" s="9"/>
      <c r="B878" s="9"/>
      <c r="C878" s="9"/>
      <c r="D878" s="9"/>
      <c r="E878" s="9"/>
      <c r="F878" s="9"/>
      <c r="G878" s="9"/>
      <c r="H878" s="9"/>
      <c r="I878" s="9"/>
      <c r="J878" s="9"/>
      <c r="K878" s="9"/>
      <c r="L878" s="9"/>
      <c r="M878" s="9"/>
      <c r="N878" s="9"/>
      <c r="O878" s="9"/>
      <c r="P878" s="9"/>
      <c r="Q878" s="9"/>
    </row>
    <row r="879" spans="1:17" ht="12.75">
      <c r="A879" s="9"/>
      <c r="B879" s="9"/>
      <c r="C879" s="9"/>
      <c r="D879" s="9"/>
      <c r="E879" s="9"/>
      <c r="F879" s="9"/>
      <c r="G879" s="9"/>
      <c r="H879" s="9"/>
      <c r="I879" s="9"/>
      <c r="J879" s="9"/>
      <c r="K879" s="9"/>
      <c r="L879" s="9"/>
      <c r="M879" s="9"/>
      <c r="N879" s="9"/>
      <c r="O879" s="9"/>
      <c r="P879" s="9"/>
      <c r="Q879" s="9"/>
    </row>
    <row r="880" spans="1:17" ht="12.75">
      <c r="A880" s="9"/>
      <c r="B880" s="9"/>
      <c r="C880" s="9"/>
      <c r="D880" s="9"/>
      <c r="E880" s="9"/>
      <c r="F880" s="9"/>
      <c r="G880" s="9"/>
      <c r="H880" s="9"/>
      <c r="I880" s="9"/>
      <c r="J880" s="9"/>
      <c r="K880" s="9"/>
      <c r="L880" s="9"/>
      <c r="M880" s="9"/>
      <c r="N880" s="9"/>
      <c r="O880" s="9"/>
      <c r="P880" s="9"/>
      <c r="Q880" s="9"/>
    </row>
    <row r="881" spans="1:17" ht="12.75">
      <c r="A881" s="9"/>
      <c r="B881" s="9"/>
      <c r="C881" s="9"/>
      <c r="D881" s="9"/>
      <c r="E881" s="9"/>
      <c r="F881" s="9"/>
      <c r="G881" s="9"/>
      <c r="H881" s="9"/>
      <c r="I881" s="9"/>
      <c r="J881" s="9"/>
      <c r="K881" s="9"/>
      <c r="L881" s="9"/>
      <c r="M881" s="9"/>
      <c r="N881" s="9"/>
      <c r="O881" s="9"/>
      <c r="P881" s="9"/>
      <c r="Q881" s="9"/>
    </row>
    <row r="882" spans="1:17" ht="12.75">
      <c r="A882" s="9"/>
      <c r="B882" s="9"/>
      <c r="C882" s="9"/>
      <c r="D882" s="9"/>
      <c r="E882" s="9"/>
      <c r="F882" s="9"/>
      <c r="G882" s="9"/>
      <c r="H882" s="9"/>
      <c r="I882" s="9"/>
      <c r="J882" s="9"/>
      <c r="K882" s="9"/>
      <c r="L882" s="9"/>
      <c r="M882" s="9"/>
      <c r="N882" s="9"/>
      <c r="O882" s="9"/>
      <c r="P882" s="9"/>
      <c r="Q882" s="9"/>
    </row>
    <row r="883" spans="1:17" ht="12.75">
      <c r="A883" s="9"/>
      <c r="B883" s="9"/>
      <c r="C883" s="9"/>
      <c r="D883" s="9"/>
      <c r="E883" s="9"/>
      <c r="F883" s="9"/>
      <c r="G883" s="9"/>
      <c r="H883" s="9"/>
      <c r="I883" s="9"/>
      <c r="J883" s="9"/>
      <c r="K883" s="9"/>
      <c r="L883" s="9"/>
      <c r="M883" s="9"/>
      <c r="N883" s="9"/>
      <c r="O883" s="9"/>
      <c r="P883" s="9"/>
      <c r="Q883" s="9"/>
    </row>
    <row r="884" spans="1:17" ht="12.75">
      <c r="A884" s="9"/>
      <c r="B884" s="9"/>
      <c r="C884" s="9"/>
      <c r="D884" s="9"/>
      <c r="E884" s="9"/>
      <c r="F884" s="9"/>
      <c r="G884" s="9"/>
      <c r="H884" s="9"/>
      <c r="I884" s="9"/>
      <c r="J884" s="9"/>
      <c r="K884" s="9"/>
      <c r="L884" s="9"/>
      <c r="M884" s="9"/>
      <c r="N884" s="9"/>
      <c r="O884" s="9"/>
      <c r="P884" s="9"/>
      <c r="Q884" s="9"/>
    </row>
    <row r="885" spans="1:17" ht="12.75">
      <c r="A885" s="9"/>
      <c r="B885" s="9"/>
      <c r="C885" s="9"/>
      <c r="D885" s="9"/>
      <c r="E885" s="9"/>
      <c r="F885" s="9"/>
      <c r="G885" s="9"/>
      <c r="H885" s="9"/>
      <c r="I885" s="9"/>
      <c r="J885" s="9"/>
      <c r="K885" s="9"/>
      <c r="L885" s="9"/>
      <c r="M885" s="9"/>
      <c r="N885" s="9"/>
      <c r="O885" s="9"/>
      <c r="P885" s="9"/>
      <c r="Q885" s="9"/>
    </row>
    <row r="886" spans="1:17" ht="12.75">
      <c r="A886" s="9"/>
      <c r="B886" s="9"/>
      <c r="C886" s="9"/>
      <c r="D886" s="9"/>
      <c r="E886" s="9"/>
      <c r="F886" s="9"/>
      <c r="G886" s="9"/>
      <c r="H886" s="9"/>
      <c r="I886" s="9"/>
      <c r="J886" s="9"/>
      <c r="K886" s="9"/>
      <c r="L886" s="9"/>
      <c r="M886" s="9"/>
      <c r="N886" s="9"/>
      <c r="O886" s="9"/>
      <c r="P886" s="9"/>
      <c r="Q886" s="9"/>
    </row>
    <row r="887" spans="1:17" ht="12.75">
      <c r="A887" s="9"/>
      <c r="B887" s="9"/>
      <c r="C887" s="9"/>
      <c r="D887" s="9"/>
      <c r="E887" s="9"/>
      <c r="F887" s="9"/>
      <c r="G887" s="9"/>
      <c r="H887" s="9"/>
      <c r="I887" s="9"/>
      <c r="J887" s="9"/>
      <c r="K887" s="9"/>
      <c r="L887" s="9"/>
      <c r="M887" s="9"/>
      <c r="N887" s="9"/>
      <c r="O887" s="9"/>
      <c r="P887" s="9"/>
      <c r="Q887" s="9"/>
    </row>
    <row r="888" spans="1:17" ht="12.75">
      <c r="A888" s="9"/>
      <c r="B888" s="9"/>
      <c r="C888" s="9"/>
      <c r="D888" s="9"/>
      <c r="E888" s="9"/>
      <c r="F888" s="9"/>
      <c r="G888" s="9"/>
      <c r="H888" s="9"/>
      <c r="I888" s="9"/>
      <c r="J888" s="9"/>
      <c r="K888" s="9"/>
      <c r="L888" s="9"/>
      <c r="M888" s="9"/>
      <c r="N888" s="9"/>
      <c r="O888" s="9"/>
      <c r="P888" s="9"/>
      <c r="Q888" s="9"/>
    </row>
    <row r="889" spans="1:17" ht="12.75">
      <c r="A889" s="9"/>
      <c r="B889" s="9"/>
      <c r="C889" s="9"/>
      <c r="D889" s="9"/>
      <c r="E889" s="9"/>
      <c r="F889" s="9"/>
      <c r="G889" s="9"/>
      <c r="H889" s="9"/>
      <c r="I889" s="9"/>
      <c r="J889" s="9"/>
      <c r="K889" s="9"/>
      <c r="L889" s="9"/>
      <c r="M889" s="9"/>
      <c r="N889" s="9"/>
      <c r="O889" s="9"/>
      <c r="P889" s="9"/>
      <c r="Q889" s="9"/>
    </row>
    <row r="890" spans="1:17" ht="12.75">
      <c r="A890" s="9"/>
      <c r="B890" s="9"/>
      <c r="C890" s="9"/>
      <c r="D890" s="9"/>
      <c r="E890" s="9"/>
      <c r="F890" s="9"/>
      <c r="G890" s="9"/>
      <c r="H890" s="9"/>
      <c r="I890" s="9"/>
      <c r="J890" s="9"/>
      <c r="K890" s="9"/>
      <c r="L890" s="9"/>
      <c r="M890" s="9"/>
      <c r="N890" s="9"/>
      <c r="O890" s="9"/>
      <c r="P890" s="9"/>
      <c r="Q890" s="9"/>
    </row>
    <row r="891" spans="1:17" ht="12.75">
      <c r="A891" s="9"/>
      <c r="B891" s="9"/>
      <c r="C891" s="9"/>
      <c r="D891" s="9"/>
      <c r="E891" s="9"/>
      <c r="F891" s="9"/>
      <c r="G891" s="9"/>
      <c r="H891" s="9"/>
      <c r="I891" s="9"/>
      <c r="J891" s="9"/>
      <c r="K891" s="9"/>
      <c r="L891" s="9"/>
      <c r="M891" s="9"/>
      <c r="N891" s="9"/>
      <c r="O891" s="9"/>
      <c r="P891" s="9"/>
      <c r="Q891" s="9"/>
    </row>
    <row r="892" spans="1:17" ht="12.75">
      <c r="A892" s="9"/>
      <c r="B892" s="9"/>
      <c r="C892" s="9"/>
      <c r="D892" s="9"/>
      <c r="E892" s="9"/>
      <c r="F892" s="9"/>
      <c r="G892" s="9"/>
      <c r="H892" s="9"/>
      <c r="I892" s="9"/>
      <c r="J892" s="9"/>
      <c r="K892" s="9"/>
      <c r="L892" s="9"/>
      <c r="M892" s="9"/>
      <c r="N892" s="9"/>
      <c r="O892" s="9"/>
      <c r="P892" s="9"/>
      <c r="Q892" s="9"/>
    </row>
    <row r="893" spans="1:17" ht="12.75">
      <c r="A893" s="9"/>
      <c r="B893" s="9"/>
      <c r="C893" s="9"/>
      <c r="D893" s="9"/>
      <c r="E893" s="9"/>
      <c r="F893" s="9"/>
      <c r="G893" s="9"/>
      <c r="H893" s="9"/>
      <c r="I893" s="9"/>
      <c r="J893" s="9"/>
      <c r="K893" s="9"/>
      <c r="L893" s="9"/>
      <c r="M893" s="9"/>
      <c r="N893" s="9"/>
      <c r="O893" s="9"/>
      <c r="P893" s="9"/>
      <c r="Q893" s="9"/>
    </row>
    <row r="894" spans="1:17" ht="12.75">
      <c r="A894" s="9"/>
      <c r="B894" s="9"/>
      <c r="C894" s="9"/>
      <c r="D894" s="9"/>
      <c r="E894" s="9"/>
      <c r="F894" s="9"/>
      <c r="G894" s="9"/>
      <c r="H894" s="9"/>
      <c r="I894" s="9"/>
      <c r="J894" s="9"/>
      <c r="K894" s="9"/>
      <c r="L894" s="9"/>
      <c r="M894" s="9"/>
      <c r="N894" s="9"/>
      <c r="O894" s="9"/>
      <c r="P894" s="9"/>
      <c r="Q894" s="9"/>
    </row>
    <row r="895" spans="1:17" ht="12.75">
      <c r="A895" s="9"/>
      <c r="B895" s="9"/>
      <c r="C895" s="9"/>
      <c r="D895" s="9"/>
      <c r="E895" s="9"/>
      <c r="F895" s="9"/>
      <c r="G895" s="9"/>
      <c r="H895" s="9"/>
      <c r="I895" s="9"/>
      <c r="J895" s="9"/>
      <c r="K895" s="9"/>
      <c r="L895" s="9"/>
      <c r="M895" s="9"/>
      <c r="N895" s="9"/>
      <c r="O895" s="9"/>
      <c r="P895" s="9"/>
      <c r="Q895" s="9"/>
    </row>
    <row r="896" spans="1:17" ht="12.75">
      <c r="A896" s="9"/>
      <c r="B896" s="9"/>
      <c r="C896" s="9"/>
      <c r="D896" s="9"/>
      <c r="E896" s="9"/>
      <c r="F896" s="9"/>
      <c r="G896" s="9"/>
      <c r="H896" s="9"/>
      <c r="I896" s="9"/>
      <c r="J896" s="9"/>
      <c r="K896" s="9"/>
      <c r="L896" s="9"/>
      <c r="M896" s="9"/>
      <c r="N896" s="9"/>
      <c r="O896" s="9"/>
      <c r="P896" s="9"/>
      <c r="Q896" s="9"/>
    </row>
    <row r="897" spans="1:17" ht="12.75">
      <c r="A897" s="9"/>
      <c r="B897" s="9"/>
      <c r="C897" s="9"/>
      <c r="D897" s="9"/>
      <c r="E897" s="9"/>
      <c r="F897" s="9"/>
      <c r="G897" s="9"/>
      <c r="H897" s="9"/>
      <c r="I897" s="9"/>
      <c r="J897" s="9"/>
      <c r="K897" s="9"/>
      <c r="L897" s="9"/>
      <c r="M897" s="9"/>
      <c r="N897" s="9"/>
      <c r="O897" s="9"/>
      <c r="P897" s="9"/>
      <c r="Q897" s="9"/>
    </row>
    <row r="898" spans="1:17" ht="12.75">
      <c r="A898" s="9"/>
      <c r="B898" s="9"/>
      <c r="C898" s="9"/>
      <c r="D898" s="9"/>
      <c r="E898" s="9"/>
      <c r="F898" s="9"/>
      <c r="G898" s="9"/>
      <c r="H898" s="9"/>
      <c r="I898" s="9"/>
      <c r="J898" s="9"/>
      <c r="K898" s="9"/>
      <c r="L898" s="9"/>
      <c r="M898" s="9"/>
      <c r="N898" s="9"/>
      <c r="O898" s="9"/>
      <c r="P898" s="9"/>
      <c r="Q898" s="9"/>
    </row>
    <row r="899" spans="1:17" ht="12.75">
      <c r="A899" s="9"/>
      <c r="B899" s="9"/>
      <c r="C899" s="9"/>
      <c r="D899" s="9"/>
      <c r="E899" s="9"/>
      <c r="F899" s="9"/>
      <c r="G899" s="9"/>
      <c r="H899" s="9"/>
      <c r="I899" s="9"/>
      <c r="J899" s="9"/>
      <c r="K899" s="9"/>
      <c r="L899" s="9"/>
      <c r="M899" s="9"/>
      <c r="N899" s="9"/>
      <c r="O899" s="9"/>
      <c r="P899" s="9"/>
      <c r="Q899" s="9"/>
    </row>
    <row r="900" spans="1:17" ht="12.75">
      <c r="A900" s="9"/>
      <c r="B900" s="9"/>
      <c r="C900" s="9"/>
      <c r="D900" s="9"/>
      <c r="E900" s="9"/>
      <c r="F900" s="9"/>
      <c r="G900" s="9"/>
      <c r="H900" s="9"/>
      <c r="I900" s="9"/>
      <c r="J900" s="9"/>
      <c r="K900" s="9"/>
      <c r="L900" s="9"/>
      <c r="M900" s="9"/>
      <c r="N900" s="9"/>
      <c r="O900" s="9"/>
      <c r="P900" s="9"/>
      <c r="Q900" s="9"/>
    </row>
    <row r="901" spans="1:17" ht="12.75">
      <c r="A901" s="9"/>
      <c r="B901" s="9"/>
      <c r="C901" s="9"/>
      <c r="D901" s="9"/>
      <c r="E901" s="9"/>
      <c r="F901" s="9"/>
      <c r="G901" s="9"/>
      <c r="H901" s="9"/>
      <c r="I901" s="9"/>
      <c r="J901" s="9"/>
      <c r="K901" s="9"/>
      <c r="L901" s="9"/>
      <c r="M901" s="9"/>
      <c r="N901" s="9"/>
      <c r="O901" s="9"/>
      <c r="P901" s="9"/>
      <c r="Q901" s="9"/>
    </row>
    <row r="902" spans="1:17" ht="12.75">
      <c r="A902" s="9"/>
      <c r="B902" s="9"/>
      <c r="C902" s="9"/>
      <c r="D902" s="9"/>
      <c r="E902" s="9"/>
      <c r="F902" s="9"/>
      <c r="G902" s="9"/>
      <c r="H902" s="9"/>
      <c r="I902" s="9"/>
      <c r="J902" s="9"/>
      <c r="K902" s="9"/>
      <c r="L902" s="9"/>
      <c r="M902" s="9"/>
      <c r="N902" s="9"/>
      <c r="O902" s="9"/>
      <c r="P902" s="9"/>
      <c r="Q902" s="9"/>
    </row>
    <row r="903" spans="1:17" ht="12.75">
      <c r="A903" s="9"/>
      <c r="B903" s="9"/>
      <c r="C903" s="9"/>
      <c r="D903" s="9"/>
      <c r="E903" s="9"/>
      <c r="F903" s="9"/>
      <c r="G903" s="9"/>
      <c r="H903" s="9"/>
      <c r="I903" s="9"/>
      <c r="J903" s="9"/>
      <c r="K903" s="9"/>
      <c r="L903" s="9"/>
      <c r="M903" s="9"/>
      <c r="N903" s="9"/>
      <c r="O903" s="9"/>
      <c r="P903" s="9"/>
      <c r="Q903" s="9"/>
    </row>
    <row r="904" spans="1:17" ht="12.75">
      <c r="A904" s="9"/>
      <c r="B904" s="9"/>
      <c r="C904" s="9"/>
      <c r="D904" s="9"/>
      <c r="E904" s="9"/>
      <c r="F904" s="9"/>
      <c r="G904" s="9"/>
      <c r="H904" s="9"/>
      <c r="I904" s="9"/>
      <c r="J904" s="9"/>
      <c r="K904" s="9"/>
      <c r="L904" s="9"/>
      <c r="M904" s="9"/>
      <c r="N904" s="9"/>
      <c r="O904" s="9"/>
      <c r="P904" s="9"/>
      <c r="Q904" s="9"/>
    </row>
    <row r="905" spans="1:17" ht="12.75">
      <c r="A905" s="9"/>
      <c r="B905" s="9"/>
      <c r="C905" s="9"/>
      <c r="D905" s="9"/>
      <c r="E905" s="9"/>
      <c r="F905" s="9"/>
      <c r="G905" s="9"/>
      <c r="H905" s="9"/>
      <c r="I905" s="9"/>
      <c r="J905" s="9"/>
      <c r="K905" s="9"/>
      <c r="L905" s="9"/>
      <c r="M905" s="9"/>
      <c r="N905" s="9"/>
      <c r="O905" s="9"/>
      <c r="P905" s="9"/>
      <c r="Q905" s="9"/>
    </row>
    <row r="906" spans="1:17" ht="12.75">
      <c r="A906" s="9"/>
      <c r="B906" s="9"/>
      <c r="C906" s="9"/>
      <c r="D906" s="9"/>
      <c r="E906" s="9"/>
      <c r="F906" s="9"/>
      <c r="G906" s="9"/>
      <c r="H906" s="9"/>
      <c r="I906" s="9"/>
      <c r="J906" s="9"/>
      <c r="K906" s="9"/>
      <c r="L906" s="9"/>
      <c r="M906" s="9"/>
      <c r="N906" s="9"/>
      <c r="O906" s="9"/>
      <c r="P906" s="9"/>
      <c r="Q906" s="9"/>
    </row>
    <row r="907" spans="1:17" ht="12.75">
      <c r="A907" s="9"/>
      <c r="B907" s="9"/>
      <c r="C907" s="9"/>
      <c r="D907" s="9"/>
      <c r="E907" s="9"/>
      <c r="F907" s="9"/>
      <c r="G907" s="9"/>
      <c r="H907" s="9"/>
      <c r="I907" s="9"/>
      <c r="J907" s="9"/>
      <c r="K907" s="9"/>
      <c r="L907" s="9"/>
      <c r="M907" s="9"/>
      <c r="N907" s="9"/>
      <c r="O907" s="9"/>
      <c r="P907" s="9"/>
      <c r="Q907" s="9"/>
    </row>
    <row r="908" spans="1:17" ht="12.75">
      <c r="A908" s="9"/>
      <c r="B908" s="9"/>
      <c r="C908" s="9"/>
      <c r="D908" s="9"/>
      <c r="E908" s="9"/>
      <c r="F908" s="9"/>
      <c r="G908" s="9"/>
      <c r="H908" s="9"/>
      <c r="I908" s="9"/>
      <c r="J908" s="9"/>
      <c r="K908" s="9"/>
      <c r="L908" s="9"/>
      <c r="M908" s="9"/>
      <c r="N908" s="9"/>
      <c r="O908" s="9"/>
      <c r="P908" s="9"/>
      <c r="Q908" s="9"/>
    </row>
    <row r="909" spans="1:17" ht="12.75">
      <c r="A909" s="9"/>
      <c r="B909" s="9"/>
      <c r="C909" s="9"/>
      <c r="D909" s="9"/>
      <c r="E909" s="9"/>
      <c r="F909" s="9"/>
      <c r="G909" s="9"/>
      <c r="H909" s="9"/>
      <c r="I909" s="9"/>
      <c r="J909" s="9"/>
      <c r="K909" s="9"/>
      <c r="L909" s="9"/>
      <c r="M909" s="9"/>
      <c r="N909" s="9"/>
      <c r="O909" s="9"/>
      <c r="P909" s="9"/>
      <c r="Q909" s="9"/>
    </row>
    <row r="910" spans="1:17" ht="12.75">
      <c r="A910" s="9"/>
      <c r="B910" s="9"/>
      <c r="C910" s="9"/>
      <c r="D910" s="9"/>
      <c r="E910" s="9"/>
      <c r="F910" s="9"/>
      <c r="G910" s="9"/>
      <c r="H910" s="9"/>
      <c r="I910" s="9"/>
      <c r="J910" s="9"/>
      <c r="K910" s="9"/>
      <c r="L910" s="9"/>
      <c r="M910" s="9"/>
      <c r="N910" s="9"/>
      <c r="O910" s="9"/>
      <c r="P910" s="9"/>
      <c r="Q910" s="9"/>
    </row>
    <row r="911" spans="1:17" ht="12.75">
      <c r="A911" s="9"/>
      <c r="B911" s="9"/>
      <c r="C911" s="9"/>
      <c r="D911" s="9"/>
      <c r="E911" s="9"/>
      <c r="F911" s="9"/>
      <c r="G911" s="9"/>
      <c r="H911" s="9"/>
      <c r="I911" s="9"/>
      <c r="J911" s="9"/>
      <c r="K911" s="9"/>
      <c r="L911" s="9"/>
      <c r="M911" s="9"/>
      <c r="N911" s="9"/>
      <c r="O911" s="9"/>
      <c r="P911" s="9"/>
      <c r="Q911" s="9"/>
    </row>
    <row r="912" spans="1:17" ht="12.75">
      <c r="A912" s="9"/>
      <c r="B912" s="9"/>
      <c r="C912" s="9"/>
      <c r="D912" s="9"/>
      <c r="E912" s="9"/>
      <c r="F912" s="9"/>
      <c r="G912" s="9"/>
      <c r="H912" s="9"/>
      <c r="I912" s="9"/>
      <c r="J912" s="9"/>
      <c r="K912" s="9"/>
      <c r="L912" s="9"/>
      <c r="M912" s="9"/>
      <c r="N912" s="9"/>
      <c r="O912" s="9"/>
      <c r="P912" s="9"/>
      <c r="Q912" s="9"/>
    </row>
    <row r="913" spans="1:17" ht="12.75">
      <c r="A913" s="9"/>
      <c r="B913" s="9"/>
      <c r="C913" s="9"/>
      <c r="D913" s="9"/>
      <c r="E913" s="9"/>
      <c r="F913" s="9"/>
      <c r="G913" s="9"/>
      <c r="H913" s="9"/>
      <c r="I913" s="9"/>
      <c r="J913" s="9"/>
      <c r="K913" s="9"/>
      <c r="L913" s="9"/>
      <c r="M913" s="9"/>
      <c r="N913" s="9"/>
      <c r="O913" s="9"/>
      <c r="P913" s="9"/>
      <c r="Q913" s="9"/>
    </row>
    <row r="914" spans="1:17" ht="12.75">
      <c r="A914" s="9"/>
      <c r="B914" s="9"/>
      <c r="C914" s="9"/>
      <c r="D914" s="9"/>
      <c r="E914" s="9"/>
      <c r="F914" s="9"/>
      <c r="G914" s="9"/>
      <c r="H914" s="9"/>
      <c r="I914" s="9"/>
      <c r="J914" s="9"/>
      <c r="K914" s="9"/>
      <c r="L914" s="9"/>
      <c r="M914" s="9"/>
      <c r="N914" s="9"/>
      <c r="O914" s="9"/>
      <c r="P914" s="9"/>
      <c r="Q914" s="9"/>
    </row>
    <row r="915" spans="1:17" ht="12.75">
      <c r="A915" s="9"/>
      <c r="B915" s="9"/>
      <c r="C915" s="9"/>
      <c r="D915" s="9"/>
      <c r="E915" s="9"/>
      <c r="F915" s="9"/>
      <c r="G915" s="9"/>
      <c r="H915" s="9"/>
      <c r="I915" s="9"/>
      <c r="J915" s="9"/>
      <c r="K915" s="9"/>
      <c r="L915" s="9"/>
      <c r="M915" s="9"/>
      <c r="N915" s="9"/>
      <c r="O915" s="9"/>
      <c r="P915" s="9"/>
      <c r="Q915" s="9"/>
    </row>
    <row r="916" spans="1:17" ht="12.75">
      <c r="A916" s="9"/>
      <c r="B916" s="9"/>
      <c r="C916" s="9"/>
      <c r="D916" s="9"/>
      <c r="E916" s="9"/>
      <c r="F916" s="9"/>
      <c r="G916" s="9"/>
      <c r="H916" s="9"/>
      <c r="I916" s="9"/>
      <c r="J916" s="9"/>
      <c r="K916" s="9"/>
      <c r="L916" s="9"/>
      <c r="M916" s="9"/>
      <c r="N916" s="9"/>
      <c r="O916" s="9"/>
      <c r="P916" s="9"/>
      <c r="Q916" s="9"/>
    </row>
    <row r="917" spans="1:17" ht="12.75">
      <c r="A917" s="9"/>
      <c r="B917" s="9"/>
      <c r="C917" s="9"/>
      <c r="D917" s="9"/>
      <c r="E917" s="9"/>
      <c r="F917" s="9"/>
      <c r="G917" s="9"/>
      <c r="H917" s="9"/>
      <c r="I917" s="9"/>
      <c r="J917" s="9"/>
      <c r="K917" s="9"/>
      <c r="L917" s="9"/>
      <c r="M917" s="9"/>
      <c r="N917" s="9"/>
      <c r="O917" s="9"/>
      <c r="P917" s="9"/>
      <c r="Q917" s="9"/>
    </row>
    <row r="918" spans="1:17" ht="12.75">
      <c r="A918" s="9"/>
      <c r="B918" s="9"/>
      <c r="C918" s="9"/>
      <c r="D918" s="9"/>
      <c r="E918" s="9"/>
      <c r="F918" s="9"/>
      <c r="G918" s="9"/>
      <c r="H918" s="9"/>
      <c r="I918" s="9"/>
      <c r="J918" s="9"/>
      <c r="K918" s="9"/>
      <c r="L918" s="9"/>
      <c r="M918" s="9"/>
      <c r="N918" s="9"/>
      <c r="O918" s="9"/>
      <c r="P918" s="9"/>
      <c r="Q918" s="9"/>
    </row>
    <row r="919" spans="1:17" ht="12.75">
      <c r="A919" s="9"/>
      <c r="B919" s="9"/>
      <c r="C919" s="9"/>
      <c r="D919" s="9"/>
      <c r="E919" s="9"/>
      <c r="F919" s="9"/>
      <c r="G919" s="9"/>
      <c r="H919" s="9"/>
      <c r="I919" s="9"/>
      <c r="J919" s="9"/>
      <c r="K919" s="9"/>
      <c r="L919" s="9"/>
      <c r="M919" s="9"/>
      <c r="N919" s="9"/>
      <c r="O919" s="9"/>
      <c r="P919" s="9"/>
      <c r="Q919" s="9"/>
    </row>
    <row r="920" spans="1:17" ht="12.75">
      <c r="A920" s="9"/>
      <c r="B920" s="9"/>
      <c r="C920" s="9"/>
      <c r="D920" s="9"/>
      <c r="E920" s="9"/>
      <c r="F920" s="9"/>
      <c r="G920" s="9"/>
      <c r="H920" s="9"/>
      <c r="I920" s="9"/>
      <c r="J920" s="9"/>
      <c r="K920" s="9"/>
      <c r="L920" s="9"/>
      <c r="M920" s="9"/>
      <c r="N920" s="9"/>
      <c r="O920" s="9"/>
      <c r="P920" s="9"/>
      <c r="Q920" s="9"/>
    </row>
    <row r="921" spans="1:17" ht="12.75">
      <c r="A921" s="9"/>
      <c r="B921" s="9"/>
      <c r="C921" s="9"/>
      <c r="D921" s="9"/>
      <c r="E921" s="9"/>
      <c r="F921" s="9"/>
      <c r="G921" s="9"/>
      <c r="H921" s="9"/>
      <c r="I921" s="9"/>
      <c r="J921" s="9"/>
      <c r="K921" s="9"/>
      <c r="L921" s="9"/>
      <c r="M921" s="9"/>
      <c r="N921" s="9"/>
      <c r="O921" s="9"/>
      <c r="P921" s="9"/>
      <c r="Q921" s="9"/>
    </row>
    <row r="922" spans="1:17" ht="12.75">
      <c r="A922" s="9"/>
      <c r="B922" s="9"/>
      <c r="C922" s="9"/>
      <c r="D922" s="9"/>
      <c r="E922" s="9"/>
      <c r="F922" s="9"/>
      <c r="G922" s="9"/>
      <c r="H922" s="9"/>
      <c r="I922" s="9"/>
      <c r="J922" s="9"/>
      <c r="K922" s="9"/>
      <c r="L922" s="9"/>
      <c r="M922" s="9"/>
      <c r="N922" s="9"/>
      <c r="O922" s="9"/>
      <c r="P922" s="9"/>
      <c r="Q922" s="9"/>
    </row>
    <row r="923" spans="1:17" ht="12.75">
      <c r="A923" s="9"/>
      <c r="B923" s="9"/>
      <c r="C923" s="9"/>
      <c r="D923" s="9"/>
      <c r="E923" s="9"/>
      <c r="F923" s="9"/>
      <c r="G923" s="9"/>
      <c r="H923" s="9"/>
      <c r="I923" s="9"/>
      <c r="J923" s="9"/>
      <c r="K923" s="9"/>
      <c r="L923" s="9"/>
      <c r="M923" s="9"/>
      <c r="N923" s="9"/>
      <c r="O923" s="9"/>
      <c r="P923" s="9"/>
      <c r="Q923" s="9"/>
    </row>
    <row r="924" spans="1:17" ht="12.75">
      <c r="A924" s="9"/>
      <c r="B924" s="9"/>
      <c r="C924" s="9"/>
      <c r="D924" s="9"/>
      <c r="E924" s="9"/>
      <c r="F924" s="9"/>
      <c r="G924" s="9"/>
      <c r="H924" s="9"/>
      <c r="I924" s="9"/>
      <c r="J924" s="9"/>
      <c r="K924" s="9"/>
      <c r="L924" s="9"/>
      <c r="M924" s="9"/>
      <c r="N924" s="9"/>
      <c r="O924" s="9"/>
      <c r="P924" s="9"/>
      <c r="Q924" s="9"/>
    </row>
    <row r="925" spans="1:17" ht="12.75">
      <c r="A925" s="9"/>
      <c r="B925" s="9"/>
      <c r="C925" s="9"/>
      <c r="D925" s="9"/>
      <c r="E925" s="9"/>
      <c r="F925" s="9"/>
      <c r="G925" s="9"/>
      <c r="H925" s="9"/>
      <c r="I925" s="9"/>
      <c r="J925" s="9"/>
      <c r="K925" s="9"/>
      <c r="L925" s="9"/>
      <c r="M925" s="9"/>
      <c r="N925" s="9"/>
      <c r="O925" s="9"/>
      <c r="P925" s="9"/>
      <c r="Q925" s="9"/>
    </row>
    <row r="926" spans="1:17" ht="12.75">
      <c r="A926" s="9"/>
      <c r="B926" s="9"/>
      <c r="C926" s="9"/>
      <c r="D926" s="9"/>
      <c r="E926" s="9"/>
      <c r="F926" s="9"/>
      <c r="G926" s="9"/>
      <c r="H926" s="9"/>
      <c r="I926" s="9"/>
      <c r="J926" s="9"/>
      <c r="K926" s="9"/>
      <c r="L926" s="9"/>
      <c r="M926" s="9"/>
      <c r="N926" s="9"/>
      <c r="O926" s="9"/>
      <c r="P926" s="9"/>
      <c r="Q926" s="9"/>
    </row>
    <row r="927" spans="1:17" ht="12.75">
      <c r="A927" s="9"/>
      <c r="B927" s="9"/>
      <c r="C927" s="9"/>
      <c r="D927" s="9"/>
      <c r="E927" s="9"/>
      <c r="F927" s="9"/>
      <c r="G927" s="9"/>
      <c r="H927" s="9"/>
      <c r="I927" s="9"/>
      <c r="J927" s="9"/>
      <c r="K927" s="9"/>
      <c r="L927" s="9"/>
      <c r="M927" s="9"/>
      <c r="N927" s="9"/>
      <c r="O927" s="9"/>
      <c r="P927" s="9"/>
      <c r="Q927" s="9"/>
    </row>
    <row r="928" spans="1:17" ht="12.75">
      <c r="A928" s="9"/>
      <c r="B928" s="9"/>
      <c r="C928" s="9"/>
      <c r="D928" s="9"/>
      <c r="E928" s="9"/>
      <c r="F928" s="9"/>
      <c r="G928" s="9"/>
      <c r="H928" s="9"/>
      <c r="I928" s="9"/>
      <c r="J928" s="9"/>
      <c r="K928" s="9"/>
      <c r="L928" s="9"/>
      <c r="M928" s="9"/>
      <c r="N928" s="9"/>
      <c r="O928" s="9"/>
      <c r="P928" s="9"/>
      <c r="Q928" s="9"/>
    </row>
    <row r="929" spans="1:17" ht="12.75">
      <c r="A929" s="9"/>
      <c r="B929" s="9"/>
      <c r="C929" s="9"/>
      <c r="D929" s="9"/>
      <c r="E929" s="9"/>
      <c r="F929" s="9"/>
      <c r="G929" s="9"/>
      <c r="H929" s="9"/>
      <c r="I929" s="9"/>
      <c r="J929" s="9"/>
      <c r="K929" s="9"/>
      <c r="L929" s="9"/>
      <c r="M929" s="9"/>
      <c r="N929" s="9"/>
      <c r="O929" s="9"/>
      <c r="P929" s="9"/>
      <c r="Q929" s="9"/>
    </row>
    <row r="930" spans="1:17" ht="12.75">
      <c r="A930" s="9"/>
      <c r="B930" s="9"/>
      <c r="C930" s="9"/>
      <c r="D930" s="9"/>
      <c r="E930" s="9"/>
      <c r="F930" s="9"/>
      <c r="G930" s="9"/>
      <c r="H930" s="9"/>
      <c r="I930" s="9"/>
      <c r="J930" s="9"/>
      <c r="K930" s="9"/>
      <c r="L930" s="9"/>
      <c r="M930" s="9"/>
      <c r="N930" s="9"/>
      <c r="O930" s="9"/>
      <c r="P930" s="9"/>
      <c r="Q930" s="9"/>
    </row>
    <row r="931" spans="1:17" ht="12.75">
      <c r="A931" s="9"/>
      <c r="B931" s="9"/>
      <c r="C931" s="9"/>
      <c r="D931" s="9"/>
      <c r="E931" s="9"/>
      <c r="F931" s="9"/>
      <c r="G931" s="9"/>
      <c r="H931" s="9"/>
      <c r="I931" s="9"/>
      <c r="J931" s="9"/>
      <c r="K931" s="9"/>
      <c r="L931" s="9"/>
      <c r="M931" s="9"/>
      <c r="N931" s="9"/>
      <c r="O931" s="9"/>
      <c r="P931" s="9"/>
      <c r="Q931" s="9"/>
    </row>
    <row r="932" spans="1:17" ht="12.75">
      <c r="A932" s="9"/>
      <c r="B932" s="9"/>
      <c r="C932" s="9"/>
      <c r="D932" s="9"/>
      <c r="E932" s="9"/>
      <c r="F932" s="9"/>
      <c r="G932" s="9"/>
      <c r="H932" s="9"/>
      <c r="I932" s="9"/>
      <c r="J932" s="9"/>
      <c r="K932" s="9"/>
      <c r="L932" s="9"/>
      <c r="M932" s="9"/>
      <c r="N932" s="9"/>
      <c r="O932" s="9"/>
      <c r="P932" s="9"/>
      <c r="Q932" s="9"/>
    </row>
    <row r="933" spans="1:17" ht="12.75">
      <c r="A933" s="9"/>
      <c r="B933" s="9"/>
      <c r="C933" s="9"/>
      <c r="D933" s="9"/>
      <c r="E933" s="9"/>
      <c r="F933" s="9"/>
      <c r="G933" s="9"/>
      <c r="H933" s="9"/>
      <c r="I933" s="9"/>
      <c r="J933" s="9"/>
      <c r="K933" s="9"/>
      <c r="L933" s="9"/>
      <c r="M933" s="9"/>
      <c r="N933" s="9"/>
      <c r="O933" s="9"/>
      <c r="P933" s="9"/>
      <c r="Q933" s="9"/>
    </row>
    <row r="934" spans="1:17" ht="12.75">
      <c r="A934" s="9"/>
      <c r="B934" s="9"/>
      <c r="C934" s="9"/>
      <c r="D934" s="9"/>
      <c r="E934" s="9"/>
      <c r="F934" s="9"/>
      <c r="G934" s="9"/>
      <c r="H934" s="9"/>
      <c r="I934" s="9"/>
      <c r="J934" s="9"/>
      <c r="K934" s="9"/>
      <c r="L934" s="9"/>
      <c r="M934" s="9"/>
      <c r="N934" s="9"/>
      <c r="O934" s="9"/>
      <c r="P934" s="9"/>
      <c r="Q934" s="9"/>
    </row>
    <row r="935" spans="1:17" ht="12.75">
      <c r="A935" s="9"/>
      <c r="B935" s="9"/>
      <c r="C935" s="9"/>
      <c r="D935" s="9"/>
      <c r="E935" s="9"/>
      <c r="F935" s="9"/>
      <c r="G935" s="9"/>
      <c r="H935" s="9"/>
      <c r="I935" s="9"/>
      <c r="J935" s="9"/>
      <c r="K935" s="9"/>
      <c r="L935" s="9"/>
      <c r="M935" s="9"/>
      <c r="N935" s="9"/>
      <c r="O935" s="9"/>
      <c r="P935" s="9"/>
      <c r="Q935" s="9"/>
    </row>
    <row r="936" spans="1:17" ht="12.75">
      <c r="A936" s="9"/>
      <c r="B936" s="9"/>
      <c r="C936" s="9"/>
      <c r="D936" s="9"/>
      <c r="E936" s="9"/>
      <c r="F936" s="9"/>
      <c r="G936" s="9"/>
      <c r="H936" s="9"/>
      <c r="I936" s="9"/>
      <c r="J936" s="9"/>
      <c r="K936" s="9"/>
      <c r="L936" s="9"/>
      <c r="M936" s="9"/>
      <c r="N936" s="9"/>
      <c r="O936" s="9"/>
      <c r="P936" s="9"/>
      <c r="Q936" s="9"/>
    </row>
    <row r="937" spans="1:17" ht="12.75">
      <c r="A937" s="9"/>
      <c r="B937" s="9"/>
      <c r="C937" s="9"/>
      <c r="D937" s="9"/>
      <c r="E937" s="9"/>
      <c r="F937" s="9"/>
      <c r="G937" s="9"/>
      <c r="H937" s="9"/>
      <c r="I937" s="9"/>
      <c r="J937" s="9"/>
      <c r="K937" s="9"/>
      <c r="L937" s="9"/>
      <c r="M937" s="9"/>
      <c r="N937" s="9"/>
      <c r="O937" s="9"/>
      <c r="P937" s="9"/>
      <c r="Q937" s="9"/>
    </row>
    <row r="938" spans="1:17" ht="12.75">
      <c r="A938" s="9"/>
      <c r="B938" s="9"/>
      <c r="C938" s="9"/>
      <c r="D938" s="9"/>
      <c r="E938" s="9"/>
      <c r="F938" s="9"/>
      <c r="G938" s="9"/>
      <c r="H938" s="9"/>
      <c r="I938" s="9"/>
      <c r="J938" s="9"/>
      <c r="K938" s="9"/>
      <c r="L938" s="9"/>
      <c r="M938" s="9"/>
      <c r="N938" s="9"/>
      <c r="O938" s="9"/>
      <c r="P938" s="9"/>
      <c r="Q938" s="9"/>
    </row>
    <row r="939" spans="1:17" ht="12.75">
      <c r="A939" s="9"/>
      <c r="B939" s="9"/>
      <c r="C939" s="9"/>
      <c r="D939" s="9"/>
      <c r="E939" s="9"/>
      <c r="F939" s="9"/>
      <c r="G939" s="9"/>
      <c r="H939" s="9"/>
      <c r="I939" s="9"/>
      <c r="J939" s="9"/>
      <c r="K939" s="9"/>
      <c r="L939" s="9"/>
      <c r="M939" s="9"/>
      <c r="N939" s="9"/>
      <c r="O939" s="9"/>
      <c r="P939" s="9"/>
      <c r="Q939" s="9"/>
    </row>
    <row r="940" spans="1:17" ht="12.75">
      <c r="A940" s="9"/>
      <c r="B940" s="9"/>
      <c r="C940" s="9"/>
      <c r="D940" s="9"/>
      <c r="E940" s="9"/>
      <c r="F940" s="9"/>
      <c r="G940" s="9"/>
      <c r="H940" s="9"/>
      <c r="I940" s="9"/>
      <c r="J940" s="9"/>
      <c r="K940" s="9"/>
      <c r="L940" s="9"/>
      <c r="M940" s="9"/>
      <c r="N940" s="9"/>
      <c r="O940" s="9"/>
      <c r="P940" s="9"/>
      <c r="Q940" s="9"/>
    </row>
    <row r="941" spans="1:17" ht="12.75">
      <c r="A941" s="9"/>
      <c r="B941" s="9"/>
      <c r="C941" s="9"/>
      <c r="D941" s="9"/>
      <c r="E941" s="9"/>
      <c r="F941" s="9"/>
      <c r="G941" s="9"/>
      <c r="H941" s="9"/>
      <c r="I941" s="9"/>
      <c r="J941" s="9"/>
      <c r="K941" s="9"/>
      <c r="L941" s="9"/>
      <c r="M941" s="9"/>
      <c r="N941" s="9"/>
      <c r="O941" s="9"/>
      <c r="P941" s="9"/>
      <c r="Q941" s="9"/>
    </row>
    <row r="942" spans="1:17" ht="12.75">
      <c r="A942" s="9"/>
      <c r="B942" s="9"/>
      <c r="C942" s="9"/>
      <c r="D942" s="9"/>
      <c r="E942" s="9"/>
      <c r="F942" s="9"/>
      <c r="G942" s="9"/>
      <c r="H942" s="9"/>
      <c r="I942" s="9"/>
      <c r="J942" s="9"/>
      <c r="K942" s="9"/>
      <c r="L942" s="9"/>
      <c r="M942" s="9"/>
      <c r="N942" s="9"/>
      <c r="O942" s="9"/>
      <c r="P942" s="9"/>
      <c r="Q942" s="9"/>
    </row>
    <row r="943" spans="1:17" ht="12.75">
      <c r="A943" s="9"/>
      <c r="B943" s="9"/>
      <c r="C943" s="9"/>
      <c r="D943" s="9"/>
      <c r="E943" s="9"/>
      <c r="F943" s="9"/>
      <c r="G943" s="9"/>
      <c r="H943" s="9"/>
      <c r="I943" s="9"/>
      <c r="J943" s="9"/>
      <c r="K943" s="9"/>
      <c r="L943" s="9"/>
      <c r="M943" s="9"/>
      <c r="N943" s="9"/>
      <c r="O943" s="9"/>
      <c r="P943" s="9"/>
      <c r="Q943" s="9"/>
    </row>
    <row r="944" spans="1:17" ht="12.75">
      <c r="A944" s="9"/>
      <c r="B944" s="9"/>
      <c r="C944" s="9"/>
      <c r="D944" s="9"/>
      <c r="E944" s="9"/>
      <c r="F944" s="9"/>
      <c r="G944" s="9"/>
      <c r="H944" s="9"/>
      <c r="I944" s="9"/>
      <c r="J944" s="9"/>
      <c r="K944" s="9"/>
      <c r="L944" s="9"/>
      <c r="M944" s="9"/>
      <c r="N944" s="9"/>
      <c r="O944" s="9"/>
      <c r="P944" s="9"/>
      <c r="Q944" s="9"/>
    </row>
    <row r="945" spans="1:17" ht="12.75">
      <c r="A945" s="9"/>
      <c r="B945" s="9"/>
      <c r="C945" s="9"/>
      <c r="D945" s="9"/>
      <c r="E945" s="9"/>
      <c r="F945" s="9"/>
      <c r="G945" s="9"/>
      <c r="H945" s="9"/>
      <c r="I945" s="9"/>
      <c r="J945" s="9"/>
      <c r="K945" s="9"/>
      <c r="L945" s="9"/>
      <c r="M945" s="9"/>
      <c r="N945" s="9"/>
      <c r="O945" s="9"/>
      <c r="P945" s="9"/>
      <c r="Q945" s="9"/>
    </row>
    <row r="946" spans="1:17" ht="12.75">
      <c r="A946" s="9"/>
      <c r="B946" s="9"/>
      <c r="C946" s="9"/>
      <c r="D946" s="9"/>
      <c r="E946" s="9"/>
      <c r="F946" s="9"/>
      <c r="G946" s="9"/>
      <c r="H946" s="9"/>
      <c r="I946" s="9"/>
      <c r="J946" s="9"/>
      <c r="K946" s="9"/>
      <c r="L946" s="9"/>
      <c r="M946" s="9"/>
      <c r="N946" s="9"/>
      <c r="O946" s="9"/>
      <c r="P946" s="9"/>
      <c r="Q946" s="9"/>
    </row>
    <row r="947" spans="1:17" ht="12.75">
      <c r="A947" s="9"/>
      <c r="B947" s="9"/>
      <c r="C947" s="9"/>
      <c r="D947" s="9"/>
      <c r="E947" s="9"/>
      <c r="F947" s="9"/>
      <c r="G947" s="9"/>
      <c r="H947" s="9"/>
      <c r="I947" s="9"/>
      <c r="J947" s="9"/>
      <c r="K947" s="9"/>
      <c r="L947" s="9"/>
      <c r="M947" s="9"/>
      <c r="N947" s="9"/>
      <c r="O947" s="9"/>
      <c r="P947" s="9"/>
      <c r="Q947" s="9"/>
    </row>
    <row r="948" spans="1:17" ht="12.75">
      <c r="A948" s="9"/>
      <c r="B948" s="9"/>
      <c r="C948" s="9"/>
      <c r="D948" s="9"/>
      <c r="E948" s="9"/>
      <c r="F948" s="9"/>
      <c r="G948" s="9"/>
      <c r="H948" s="9"/>
      <c r="I948" s="9"/>
      <c r="J948" s="9"/>
      <c r="K948" s="9"/>
      <c r="L948" s="9"/>
      <c r="M948" s="9"/>
      <c r="N948" s="9"/>
      <c r="O948" s="9"/>
      <c r="P948" s="9"/>
      <c r="Q948" s="9"/>
    </row>
    <row r="949" spans="1:17" ht="12.75">
      <c r="A949" s="9"/>
      <c r="B949" s="9"/>
      <c r="C949" s="9"/>
      <c r="D949" s="9"/>
      <c r="E949" s="9"/>
      <c r="F949" s="9"/>
      <c r="G949" s="9"/>
      <c r="H949" s="9"/>
      <c r="I949" s="9"/>
      <c r="J949" s="9"/>
      <c r="K949" s="9"/>
      <c r="L949" s="9"/>
      <c r="M949" s="9"/>
      <c r="N949" s="9"/>
      <c r="O949" s="9"/>
      <c r="P949" s="9"/>
      <c r="Q949" s="9"/>
    </row>
    <row r="950" spans="1:17" ht="12.75">
      <c r="A950" s="9"/>
      <c r="B950" s="9"/>
      <c r="C950" s="9"/>
      <c r="D950" s="9"/>
      <c r="E950" s="9"/>
      <c r="F950" s="9"/>
      <c r="G950" s="9"/>
      <c r="H950" s="9"/>
      <c r="I950" s="9"/>
      <c r="J950" s="9"/>
      <c r="K950" s="9"/>
      <c r="L950" s="9"/>
      <c r="M950" s="9"/>
      <c r="N950" s="9"/>
      <c r="O950" s="9"/>
      <c r="P950" s="9"/>
      <c r="Q950" s="9"/>
    </row>
    <row r="951" spans="1:17" ht="12.75">
      <c r="A951" s="9"/>
      <c r="B951" s="9"/>
      <c r="C951" s="9"/>
      <c r="D951" s="9"/>
      <c r="E951" s="9"/>
      <c r="F951" s="9"/>
      <c r="G951" s="9"/>
      <c r="H951" s="9"/>
      <c r="I951" s="9"/>
      <c r="J951" s="9"/>
      <c r="K951" s="9"/>
      <c r="L951" s="9"/>
      <c r="M951" s="9"/>
      <c r="N951" s="9"/>
      <c r="O951" s="9"/>
      <c r="P951" s="9"/>
      <c r="Q951" s="9"/>
    </row>
    <row r="952" spans="1:17" ht="12.75">
      <c r="A952" s="9"/>
      <c r="B952" s="9"/>
      <c r="C952" s="9"/>
      <c r="D952" s="9"/>
      <c r="E952" s="9"/>
      <c r="F952" s="9"/>
      <c r="G952" s="9"/>
      <c r="H952" s="9"/>
      <c r="I952" s="9"/>
      <c r="J952" s="9"/>
      <c r="K952" s="9"/>
      <c r="L952" s="9"/>
      <c r="M952" s="9"/>
      <c r="N952" s="9"/>
      <c r="O952" s="9"/>
      <c r="P952" s="9"/>
      <c r="Q952" s="9"/>
    </row>
    <row r="953" spans="1:17" ht="12.75">
      <c r="A953" s="9"/>
      <c r="B953" s="9"/>
      <c r="C953" s="9"/>
      <c r="D953" s="9"/>
      <c r="E953" s="9"/>
      <c r="F953" s="9"/>
      <c r="G953" s="9"/>
      <c r="H953" s="9"/>
      <c r="I953" s="9"/>
      <c r="J953" s="9"/>
      <c r="K953" s="9"/>
      <c r="L953" s="9"/>
      <c r="M953" s="9"/>
      <c r="N953" s="9"/>
      <c r="O953" s="9"/>
      <c r="P953" s="9"/>
      <c r="Q953" s="9"/>
    </row>
    <row r="954" spans="1:17" ht="12.75">
      <c r="A954" s="9"/>
      <c r="B954" s="9"/>
      <c r="C954" s="9"/>
      <c r="D954" s="9"/>
      <c r="E954" s="9"/>
      <c r="F954" s="9"/>
      <c r="G954" s="9"/>
      <c r="H954" s="9"/>
      <c r="I954" s="9"/>
      <c r="J954" s="9"/>
      <c r="K954" s="9"/>
      <c r="L954" s="9"/>
      <c r="M954" s="9"/>
      <c r="N954" s="9"/>
      <c r="O954" s="9"/>
      <c r="P954" s="9"/>
      <c r="Q954" s="9"/>
    </row>
    <row r="955" spans="1:17" ht="12.75">
      <c r="A955" s="9"/>
      <c r="B955" s="9"/>
      <c r="C955" s="9"/>
      <c r="D955" s="9"/>
      <c r="E955" s="9"/>
      <c r="F955" s="9"/>
      <c r="G955" s="9"/>
      <c r="H955" s="9"/>
      <c r="I955" s="9"/>
      <c r="J955" s="9"/>
      <c r="K955" s="9"/>
      <c r="L955" s="9"/>
      <c r="M955" s="9"/>
      <c r="N955" s="9"/>
      <c r="O955" s="9"/>
      <c r="P955" s="9"/>
      <c r="Q955" s="9"/>
    </row>
    <row r="956" spans="1:17" ht="12.75">
      <c r="A956" s="9"/>
      <c r="B956" s="9"/>
      <c r="C956" s="9"/>
      <c r="D956" s="9"/>
      <c r="E956" s="9"/>
      <c r="F956" s="9"/>
      <c r="G956" s="9"/>
      <c r="H956" s="9"/>
      <c r="I956" s="9"/>
      <c r="J956" s="9"/>
      <c r="K956" s="9"/>
      <c r="L956" s="9"/>
      <c r="M956" s="9"/>
      <c r="N956" s="9"/>
      <c r="O956" s="9"/>
      <c r="P956" s="9"/>
      <c r="Q956" s="9"/>
    </row>
    <row r="957" spans="1:17" ht="12.75">
      <c r="A957" s="9"/>
      <c r="B957" s="9"/>
      <c r="C957" s="9"/>
      <c r="D957" s="9"/>
      <c r="E957" s="9"/>
      <c r="F957" s="9"/>
      <c r="G957" s="9"/>
      <c r="H957" s="9"/>
      <c r="I957" s="9"/>
      <c r="J957" s="9"/>
      <c r="K957" s="9"/>
      <c r="L957" s="9"/>
      <c r="M957" s="9"/>
      <c r="N957" s="9"/>
      <c r="O957" s="9"/>
      <c r="P957" s="9"/>
      <c r="Q957" s="9"/>
    </row>
    <row r="958" spans="1:17" ht="12.75">
      <c r="A958" s="9"/>
      <c r="B958" s="9"/>
      <c r="C958" s="9"/>
      <c r="D958" s="9"/>
      <c r="E958" s="9"/>
      <c r="F958" s="9"/>
      <c r="G958" s="9"/>
      <c r="H958" s="9"/>
      <c r="I958" s="9"/>
      <c r="J958" s="9"/>
      <c r="K958" s="9"/>
      <c r="L958" s="9"/>
      <c r="M958" s="9"/>
      <c r="N958" s="9"/>
      <c r="O958" s="9"/>
      <c r="P958" s="9"/>
      <c r="Q958" s="9"/>
    </row>
    <row r="959" spans="1:17" ht="12.75">
      <c r="A959" s="9"/>
      <c r="B959" s="9"/>
      <c r="C959" s="9"/>
      <c r="D959" s="9"/>
      <c r="E959" s="9"/>
      <c r="F959" s="9"/>
      <c r="G959" s="9"/>
      <c r="H959" s="9"/>
      <c r="I959" s="9"/>
      <c r="J959" s="9"/>
      <c r="K959" s="9"/>
      <c r="L959" s="9"/>
      <c r="M959" s="9"/>
      <c r="N959" s="9"/>
      <c r="O959" s="9"/>
      <c r="P959" s="9"/>
      <c r="Q959" s="9"/>
    </row>
    <row r="960" spans="1:17" ht="12.75">
      <c r="A960" s="9"/>
      <c r="B960" s="9"/>
      <c r="C960" s="9"/>
      <c r="D960" s="9"/>
      <c r="E960" s="9"/>
      <c r="F960" s="9"/>
      <c r="G960" s="9"/>
      <c r="H960" s="9"/>
      <c r="I960" s="9"/>
      <c r="J960" s="9"/>
      <c r="K960" s="9"/>
      <c r="L960" s="9"/>
      <c r="M960" s="9"/>
      <c r="N960" s="9"/>
      <c r="O960" s="9"/>
      <c r="P960" s="9"/>
      <c r="Q960" s="9"/>
    </row>
    <row r="961" spans="1:17" ht="12.75">
      <c r="A961" s="9"/>
      <c r="B961" s="9"/>
      <c r="C961" s="9"/>
      <c r="D961" s="9"/>
      <c r="E961" s="9"/>
      <c r="F961" s="9"/>
      <c r="G961" s="9"/>
      <c r="H961" s="9"/>
      <c r="I961" s="9"/>
      <c r="J961" s="9"/>
      <c r="K961" s="9"/>
      <c r="L961" s="9"/>
      <c r="M961" s="9"/>
      <c r="N961" s="9"/>
      <c r="O961" s="9"/>
      <c r="P961" s="9"/>
      <c r="Q961" s="9"/>
    </row>
    <row r="962" spans="1:17" ht="12.75">
      <c r="A962" s="9"/>
      <c r="B962" s="9"/>
      <c r="C962" s="9"/>
      <c r="D962" s="9"/>
      <c r="E962" s="9"/>
      <c r="F962" s="9"/>
      <c r="G962" s="9"/>
      <c r="H962" s="9"/>
      <c r="I962" s="9"/>
      <c r="J962" s="9"/>
      <c r="K962" s="9"/>
      <c r="L962" s="9"/>
      <c r="M962" s="9"/>
      <c r="N962" s="9"/>
      <c r="O962" s="9"/>
      <c r="P962" s="9"/>
      <c r="Q962" s="9"/>
    </row>
    <row r="963" spans="1:17" ht="12.75">
      <c r="A963" s="9"/>
      <c r="B963" s="9"/>
      <c r="C963" s="9"/>
      <c r="D963" s="9"/>
      <c r="E963" s="9"/>
      <c r="F963" s="9"/>
      <c r="G963" s="9"/>
      <c r="H963" s="9"/>
      <c r="I963" s="9"/>
      <c r="J963" s="9"/>
      <c r="K963" s="9"/>
      <c r="L963" s="9"/>
      <c r="M963" s="9"/>
      <c r="N963" s="9"/>
      <c r="O963" s="9"/>
      <c r="P963" s="9"/>
      <c r="Q963" s="9"/>
    </row>
    <row r="964" spans="1:17" ht="12.75">
      <c r="A964" s="9"/>
      <c r="B964" s="9"/>
      <c r="C964" s="9"/>
      <c r="D964" s="9"/>
      <c r="E964" s="9"/>
      <c r="F964" s="9"/>
      <c r="G964" s="9"/>
      <c r="H964" s="9"/>
      <c r="I964" s="9"/>
      <c r="J964" s="9"/>
      <c r="K964" s="9"/>
      <c r="L964" s="9"/>
      <c r="M964" s="9"/>
      <c r="N964" s="9"/>
      <c r="O964" s="9"/>
      <c r="P964" s="9"/>
      <c r="Q964" s="9"/>
    </row>
    <row r="965" spans="1:17" ht="12.75">
      <c r="A965" s="9"/>
      <c r="B965" s="9"/>
      <c r="C965" s="9"/>
      <c r="D965" s="9"/>
      <c r="E965" s="9"/>
      <c r="F965" s="9"/>
      <c r="G965" s="9"/>
      <c r="H965" s="9"/>
      <c r="I965" s="9"/>
      <c r="J965" s="9"/>
      <c r="K965" s="9"/>
      <c r="L965" s="9"/>
      <c r="M965" s="9"/>
      <c r="N965" s="9"/>
      <c r="O965" s="9"/>
      <c r="P965" s="9"/>
      <c r="Q965" s="9"/>
    </row>
    <row r="966" spans="1:17" ht="12.75">
      <c r="A966" s="9"/>
      <c r="B966" s="9"/>
      <c r="C966" s="9"/>
      <c r="D966" s="9"/>
      <c r="E966" s="9"/>
      <c r="F966" s="9"/>
      <c r="G966" s="9"/>
      <c r="H966" s="9"/>
      <c r="I966" s="9"/>
      <c r="J966" s="9"/>
      <c r="K966" s="9"/>
      <c r="L966" s="9"/>
      <c r="M966" s="9"/>
      <c r="N966" s="9"/>
      <c r="O966" s="9"/>
      <c r="P966" s="9"/>
      <c r="Q966" s="9"/>
    </row>
    <row r="967" spans="1:17" ht="12.75">
      <c r="A967" s="9"/>
      <c r="B967" s="9"/>
      <c r="C967" s="9"/>
      <c r="D967" s="9"/>
      <c r="E967" s="9"/>
      <c r="F967" s="9"/>
      <c r="G967" s="9"/>
      <c r="H967" s="9"/>
      <c r="I967" s="9"/>
      <c r="J967" s="9"/>
      <c r="K967" s="9"/>
      <c r="L967" s="9"/>
      <c r="M967" s="9"/>
      <c r="N967" s="9"/>
      <c r="O967" s="9"/>
      <c r="P967" s="9"/>
      <c r="Q967" s="9"/>
    </row>
    <row r="968" spans="1:17" ht="12.75">
      <c r="A968" s="9"/>
      <c r="B968" s="9"/>
      <c r="C968" s="9"/>
      <c r="D968" s="9"/>
      <c r="E968" s="9"/>
      <c r="F968" s="9"/>
      <c r="G968" s="9"/>
      <c r="H968" s="9"/>
      <c r="I968" s="9"/>
      <c r="J968" s="9"/>
      <c r="K968" s="9"/>
      <c r="L968" s="9"/>
      <c r="M968" s="9"/>
      <c r="N968" s="9"/>
      <c r="O968" s="9"/>
      <c r="P968" s="9"/>
      <c r="Q968" s="9"/>
    </row>
    <row r="969" spans="1:17" ht="12.75">
      <c r="A969" s="9"/>
      <c r="B969" s="9"/>
      <c r="C969" s="9"/>
      <c r="D969" s="9"/>
      <c r="E969" s="9"/>
      <c r="F969" s="9"/>
      <c r="G969" s="9"/>
      <c r="H969" s="9"/>
      <c r="I969" s="9"/>
      <c r="J969" s="9"/>
      <c r="K969" s="9"/>
      <c r="L969" s="9"/>
      <c r="M969" s="9"/>
      <c r="N969" s="9"/>
      <c r="O969" s="9"/>
      <c r="P969" s="9"/>
      <c r="Q969" s="9"/>
    </row>
    <row r="970" spans="1:17" ht="12.75">
      <c r="A970" s="9"/>
      <c r="B970" s="9"/>
      <c r="C970" s="9"/>
      <c r="D970" s="9"/>
      <c r="E970" s="9"/>
      <c r="F970" s="9"/>
      <c r="G970" s="9"/>
      <c r="H970" s="9"/>
      <c r="I970" s="9"/>
      <c r="J970" s="9"/>
      <c r="K970" s="9"/>
      <c r="L970" s="9"/>
      <c r="M970" s="9"/>
      <c r="N970" s="9"/>
      <c r="O970" s="9"/>
      <c r="P970" s="9"/>
      <c r="Q970" s="9"/>
    </row>
    <row r="971" spans="1:17" ht="12.75">
      <c r="A971" s="9"/>
      <c r="B971" s="9"/>
      <c r="C971" s="9"/>
      <c r="D971" s="9"/>
      <c r="E971" s="9"/>
      <c r="F971" s="9"/>
      <c r="G971" s="9"/>
      <c r="H971" s="9"/>
      <c r="I971" s="9"/>
      <c r="J971" s="9"/>
      <c r="K971" s="9"/>
      <c r="L971" s="9"/>
      <c r="M971" s="9"/>
      <c r="N971" s="9"/>
      <c r="O971" s="9"/>
      <c r="P971" s="9"/>
      <c r="Q971" s="9"/>
    </row>
    <row r="972" spans="1:17" ht="12.75">
      <c r="A972" s="9"/>
      <c r="B972" s="9"/>
      <c r="C972" s="9"/>
      <c r="D972" s="9"/>
      <c r="E972" s="9"/>
      <c r="F972" s="9"/>
      <c r="G972" s="9"/>
      <c r="H972" s="9"/>
      <c r="I972" s="9"/>
      <c r="J972" s="9"/>
      <c r="K972" s="9"/>
      <c r="L972" s="9"/>
      <c r="M972" s="9"/>
      <c r="N972" s="9"/>
      <c r="O972" s="9"/>
      <c r="P972" s="9"/>
      <c r="Q972" s="9"/>
    </row>
    <row r="973" spans="1:17" ht="12.75">
      <c r="A973" s="9"/>
      <c r="B973" s="9"/>
      <c r="C973" s="9"/>
      <c r="D973" s="9"/>
      <c r="E973" s="9"/>
      <c r="F973" s="9"/>
      <c r="G973" s="9"/>
      <c r="H973" s="9"/>
      <c r="I973" s="9"/>
      <c r="J973" s="9"/>
      <c r="K973" s="9"/>
      <c r="L973" s="9"/>
      <c r="M973" s="9"/>
      <c r="N973" s="9"/>
      <c r="O973" s="9"/>
      <c r="P973" s="9"/>
      <c r="Q973" s="9"/>
    </row>
    <row r="974" spans="1:17" ht="12.75">
      <c r="A974" s="9"/>
      <c r="B974" s="9"/>
      <c r="C974" s="9"/>
      <c r="D974" s="9"/>
      <c r="E974" s="9"/>
      <c r="F974" s="9"/>
      <c r="G974" s="9"/>
      <c r="H974" s="9"/>
      <c r="I974" s="9"/>
      <c r="J974" s="9"/>
      <c r="K974" s="9"/>
      <c r="L974" s="9"/>
      <c r="M974" s="9"/>
      <c r="N974" s="9"/>
      <c r="O974" s="9"/>
      <c r="P974" s="9"/>
      <c r="Q974" s="9"/>
    </row>
    <row r="975" spans="1:17" ht="12.75">
      <c r="A975" s="9"/>
      <c r="B975" s="9"/>
      <c r="C975" s="9"/>
      <c r="D975" s="9"/>
      <c r="E975" s="9"/>
      <c r="F975" s="9"/>
      <c r="G975" s="9"/>
      <c r="H975" s="9"/>
      <c r="I975" s="9"/>
      <c r="J975" s="9"/>
      <c r="K975" s="9"/>
      <c r="L975" s="9"/>
      <c r="M975" s="9"/>
      <c r="N975" s="9"/>
      <c r="O975" s="9"/>
      <c r="P975" s="9"/>
      <c r="Q975" s="9"/>
    </row>
    <row r="976" spans="1:17" ht="12.75">
      <c r="A976" s="9"/>
      <c r="B976" s="9"/>
      <c r="C976" s="9"/>
      <c r="D976" s="9"/>
      <c r="E976" s="9"/>
      <c r="F976" s="9"/>
      <c r="G976" s="9"/>
      <c r="H976" s="9"/>
      <c r="I976" s="9"/>
      <c r="J976" s="9"/>
      <c r="K976" s="9"/>
      <c r="L976" s="9"/>
      <c r="M976" s="9"/>
      <c r="N976" s="9"/>
      <c r="O976" s="9"/>
      <c r="P976" s="9"/>
      <c r="Q976" s="9"/>
    </row>
    <row r="977" spans="1:17" ht="12.75">
      <c r="A977" s="9"/>
      <c r="B977" s="9"/>
      <c r="C977" s="9"/>
      <c r="D977" s="9"/>
      <c r="E977" s="9"/>
      <c r="F977" s="9"/>
      <c r="G977" s="9"/>
      <c r="H977" s="9"/>
      <c r="I977" s="9"/>
      <c r="J977" s="9"/>
      <c r="K977" s="9"/>
      <c r="L977" s="9"/>
      <c r="M977" s="9"/>
      <c r="N977" s="9"/>
      <c r="O977" s="9"/>
      <c r="P977" s="9"/>
      <c r="Q977" s="9"/>
    </row>
    <row r="978" spans="1:17" ht="12.75">
      <c r="A978" s="9"/>
      <c r="B978" s="9"/>
      <c r="C978" s="9"/>
      <c r="D978" s="9"/>
      <c r="E978" s="9"/>
      <c r="F978" s="9"/>
      <c r="G978" s="9"/>
      <c r="H978" s="9"/>
      <c r="I978" s="9"/>
      <c r="J978" s="9"/>
      <c r="K978" s="9"/>
      <c r="L978" s="9"/>
      <c r="M978" s="9"/>
      <c r="N978" s="9"/>
      <c r="O978" s="9"/>
      <c r="P978" s="9"/>
      <c r="Q978" s="9"/>
    </row>
    <row r="979" spans="1:17" ht="12.75">
      <c r="A979" s="9"/>
      <c r="B979" s="9"/>
      <c r="C979" s="9"/>
      <c r="D979" s="9"/>
      <c r="E979" s="9"/>
      <c r="F979" s="9"/>
      <c r="G979" s="9"/>
      <c r="H979" s="9"/>
      <c r="I979" s="9"/>
      <c r="J979" s="9"/>
      <c r="K979" s="9"/>
      <c r="L979" s="9"/>
      <c r="M979" s="9"/>
      <c r="N979" s="9"/>
      <c r="O979" s="9"/>
      <c r="P979" s="9"/>
      <c r="Q979" s="9"/>
    </row>
    <row r="980" spans="1:17" ht="12.75">
      <c r="A980" s="9"/>
      <c r="B980" s="9"/>
      <c r="C980" s="9"/>
      <c r="D980" s="9"/>
      <c r="E980" s="9"/>
      <c r="F980" s="9"/>
      <c r="G980" s="9"/>
      <c r="H980" s="9"/>
      <c r="I980" s="9"/>
      <c r="J980" s="9"/>
      <c r="K980" s="9"/>
      <c r="L980" s="9"/>
      <c r="M980" s="9"/>
      <c r="N980" s="9"/>
      <c r="O980" s="9"/>
      <c r="P980" s="9"/>
      <c r="Q980" s="9"/>
    </row>
    <row r="981" spans="1:17" ht="12.75">
      <c r="A981" s="9"/>
      <c r="B981" s="9"/>
      <c r="C981" s="9"/>
      <c r="D981" s="9"/>
      <c r="E981" s="9"/>
      <c r="F981" s="9"/>
      <c r="G981" s="9"/>
      <c r="H981" s="9"/>
      <c r="I981" s="9"/>
      <c r="J981" s="9"/>
      <c r="K981" s="9"/>
      <c r="L981" s="9"/>
      <c r="M981" s="9"/>
      <c r="N981" s="9"/>
      <c r="O981" s="9"/>
      <c r="P981" s="9"/>
      <c r="Q981" s="9"/>
    </row>
    <row r="982" spans="1:17" ht="12.75">
      <c r="A982" s="9"/>
      <c r="B982" s="9"/>
      <c r="C982" s="9"/>
      <c r="D982" s="9"/>
      <c r="E982" s="9"/>
      <c r="F982" s="9"/>
      <c r="G982" s="9"/>
      <c r="H982" s="9"/>
      <c r="I982" s="9"/>
      <c r="J982" s="9"/>
      <c r="K982" s="9"/>
      <c r="L982" s="9"/>
      <c r="M982" s="9"/>
      <c r="N982" s="9"/>
      <c r="O982" s="9"/>
      <c r="P982" s="9"/>
      <c r="Q982" s="9"/>
    </row>
    <row r="983" spans="1:17" ht="12.75">
      <c r="A983" s="9"/>
      <c r="B983" s="9"/>
      <c r="C983" s="9"/>
      <c r="D983" s="9"/>
      <c r="E983" s="9"/>
      <c r="F983" s="9"/>
      <c r="G983" s="9"/>
      <c r="H983" s="9"/>
      <c r="I983" s="9"/>
      <c r="J983" s="9"/>
      <c r="K983" s="9"/>
      <c r="L983" s="9"/>
      <c r="M983" s="9"/>
      <c r="N983" s="9"/>
      <c r="O983" s="9"/>
      <c r="P983" s="9"/>
      <c r="Q983" s="9"/>
    </row>
    <row r="984" spans="1:17" ht="12.75">
      <c r="A984" s="9"/>
      <c r="B984" s="9"/>
      <c r="C984" s="9"/>
      <c r="D984" s="9"/>
      <c r="E984" s="9"/>
      <c r="F984" s="9"/>
      <c r="G984" s="9"/>
      <c r="H984" s="9"/>
      <c r="I984" s="9"/>
      <c r="J984" s="9"/>
      <c r="K984" s="9"/>
      <c r="L984" s="9"/>
      <c r="M984" s="9"/>
      <c r="N984" s="9"/>
      <c r="O984" s="9"/>
      <c r="P984" s="9"/>
      <c r="Q984" s="9"/>
    </row>
    <row r="985" spans="1:17" ht="12.75">
      <c r="A985" s="9"/>
      <c r="B985" s="9"/>
      <c r="C985" s="9"/>
      <c r="D985" s="9"/>
      <c r="E985" s="9"/>
      <c r="F985" s="9"/>
      <c r="G985" s="9"/>
      <c r="H985" s="9"/>
      <c r="I985" s="9"/>
      <c r="J985" s="9"/>
      <c r="K985" s="9"/>
      <c r="L985" s="9"/>
      <c r="M985" s="9"/>
      <c r="N985" s="9"/>
      <c r="O985" s="9"/>
      <c r="P985" s="9"/>
      <c r="Q985" s="9"/>
    </row>
    <row r="986" spans="1:17" ht="12.75">
      <c r="A986" s="9"/>
      <c r="B986" s="9"/>
      <c r="C986" s="9"/>
      <c r="D986" s="9"/>
      <c r="E986" s="9"/>
      <c r="F986" s="9"/>
      <c r="G986" s="9"/>
      <c r="H986" s="9"/>
      <c r="I986" s="9"/>
      <c r="J986" s="9"/>
      <c r="K986" s="9"/>
      <c r="L986" s="9"/>
      <c r="M986" s="9"/>
      <c r="N986" s="9"/>
      <c r="O986" s="9"/>
      <c r="P986" s="9"/>
      <c r="Q986" s="9"/>
    </row>
    <row r="987" spans="1:17" ht="12.75">
      <c r="A987" s="9"/>
      <c r="B987" s="9"/>
      <c r="C987" s="9"/>
      <c r="D987" s="9"/>
      <c r="E987" s="9"/>
      <c r="F987" s="9"/>
      <c r="G987" s="9"/>
      <c r="H987" s="9"/>
      <c r="I987" s="9"/>
      <c r="J987" s="9"/>
      <c r="K987" s="9"/>
      <c r="L987" s="9"/>
      <c r="M987" s="9"/>
      <c r="N987" s="9"/>
      <c r="O987" s="9"/>
      <c r="P987" s="9"/>
      <c r="Q987" s="9"/>
    </row>
    <row r="988" spans="1:17" ht="12.75">
      <c r="A988" s="9"/>
      <c r="B988" s="9"/>
      <c r="C988" s="9"/>
      <c r="D988" s="9"/>
      <c r="E988" s="9"/>
      <c r="F988" s="9"/>
      <c r="G988" s="9"/>
      <c r="H988" s="9"/>
      <c r="I988" s="9"/>
      <c r="J988" s="9"/>
      <c r="K988" s="9"/>
      <c r="L988" s="9"/>
      <c r="M988" s="9"/>
      <c r="N988" s="9"/>
      <c r="O988" s="9"/>
      <c r="P988" s="9"/>
      <c r="Q988" s="9"/>
    </row>
    <row r="989" spans="1:17" ht="12.75">
      <c r="A989" s="9"/>
      <c r="B989" s="9"/>
      <c r="C989" s="9"/>
      <c r="D989" s="9"/>
      <c r="E989" s="9"/>
      <c r="F989" s="9"/>
      <c r="G989" s="9"/>
      <c r="H989" s="9"/>
      <c r="I989" s="9"/>
      <c r="J989" s="9"/>
      <c r="K989" s="9"/>
      <c r="L989" s="9"/>
      <c r="M989" s="9"/>
      <c r="N989" s="9"/>
      <c r="O989" s="9"/>
      <c r="P989" s="9"/>
      <c r="Q989" s="9"/>
    </row>
    <row r="990" spans="1:17" ht="12.75">
      <c r="A990" s="9"/>
      <c r="B990" s="9"/>
      <c r="C990" s="9"/>
      <c r="D990" s="9"/>
      <c r="E990" s="9"/>
      <c r="F990" s="9"/>
      <c r="G990" s="9"/>
      <c r="H990" s="9"/>
      <c r="I990" s="9"/>
      <c r="J990" s="9"/>
      <c r="K990" s="9"/>
      <c r="L990" s="9"/>
      <c r="M990" s="9"/>
      <c r="N990" s="9"/>
      <c r="O990" s="9"/>
      <c r="P990" s="9"/>
      <c r="Q990" s="9"/>
    </row>
    <row r="991" spans="1:17" ht="12.75">
      <c r="A991" s="9"/>
      <c r="B991" s="9"/>
      <c r="C991" s="9"/>
      <c r="D991" s="9"/>
      <c r="E991" s="9"/>
      <c r="F991" s="9"/>
      <c r="G991" s="9"/>
      <c r="H991" s="9"/>
      <c r="I991" s="9"/>
      <c r="J991" s="9"/>
      <c r="K991" s="9"/>
      <c r="L991" s="9"/>
      <c r="M991" s="9"/>
      <c r="N991" s="9"/>
      <c r="O991" s="9"/>
      <c r="P991" s="9"/>
      <c r="Q991" s="9"/>
    </row>
    <row r="992" spans="1:17" ht="12.75">
      <c r="A992" s="9"/>
      <c r="B992" s="9"/>
      <c r="C992" s="9"/>
      <c r="D992" s="9"/>
      <c r="E992" s="9"/>
      <c r="F992" s="9"/>
      <c r="G992" s="9"/>
      <c r="H992" s="9"/>
      <c r="I992" s="9"/>
      <c r="J992" s="9"/>
      <c r="K992" s="9"/>
      <c r="L992" s="9"/>
      <c r="M992" s="9"/>
      <c r="N992" s="9"/>
      <c r="O992" s="9"/>
      <c r="P992" s="9"/>
      <c r="Q992" s="9"/>
    </row>
    <row r="993" spans="1:17" ht="12.75">
      <c r="A993" s="9"/>
      <c r="B993" s="9"/>
      <c r="C993" s="9"/>
      <c r="D993" s="9"/>
      <c r="E993" s="9"/>
      <c r="F993" s="9"/>
      <c r="G993" s="9"/>
      <c r="H993" s="9"/>
      <c r="I993" s="9"/>
      <c r="J993" s="9"/>
      <c r="K993" s="9"/>
      <c r="L993" s="9"/>
      <c r="M993" s="9"/>
      <c r="N993" s="9"/>
      <c r="O993" s="9"/>
      <c r="P993" s="9"/>
      <c r="Q993" s="9"/>
    </row>
    <row r="994" spans="1:17" ht="12.75">
      <c r="A994" s="9"/>
      <c r="B994" s="9"/>
      <c r="C994" s="9"/>
      <c r="D994" s="9"/>
      <c r="E994" s="9"/>
      <c r="F994" s="9"/>
      <c r="G994" s="9"/>
      <c r="H994" s="9"/>
      <c r="I994" s="9"/>
      <c r="J994" s="9"/>
      <c r="K994" s="9"/>
      <c r="L994" s="9"/>
      <c r="M994" s="9"/>
      <c r="N994" s="9"/>
      <c r="O994" s="9"/>
      <c r="P994" s="9"/>
      <c r="Q994" s="9"/>
    </row>
    <row r="995" spans="1:17" ht="12.75">
      <c r="A995" s="9"/>
      <c r="B995" s="9"/>
      <c r="C995" s="9"/>
      <c r="D995" s="9"/>
      <c r="E995" s="9"/>
      <c r="F995" s="9"/>
      <c r="G995" s="9"/>
      <c r="H995" s="9"/>
      <c r="I995" s="9"/>
      <c r="J995" s="9"/>
      <c r="K995" s="9"/>
      <c r="L995" s="9"/>
      <c r="M995" s="9"/>
      <c r="N995" s="9"/>
      <c r="O995" s="9"/>
      <c r="P995" s="9"/>
      <c r="Q995" s="9"/>
    </row>
    <row r="996" spans="1:17" ht="12.75">
      <c r="A996" s="9"/>
      <c r="B996" s="9"/>
      <c r="C996" s="9"/>
      <c r="D996" s="9"/>
      <c r="E996" s="9"/>
      <c r="F996" s="9"/>
      <c r="G996" s="9"/>
      <c r="H996" s="9"/>
      <c r="I996" s="9"/>
      <c r="J996" s="9"/>
      <c r="K996" s="9"/>
      <c r="L996" s="9"/>
      <c r="M996" s="9"/>
      <c r="N996" s="9"/>
      <c r="O996" s="9"/>
      <c r="P996" s="9"/>
      <c r="Q996" s="9"/>
    </row>
    <row r="997" spans="1:17" ht="12.75">
      <c r="A997" s="9"/>
      <c r="B997" s="9"/>
      <c r="C997" s="9"/>
      <c r="D997" s="9"/>
      <c r="E997" s="9"/>
      <c r="F997" s="9"/>
      <c r="G997" s="9"/>
      <c r="H997" s="9"/>
      <c r="I997" s="9"/>
      <c r="J997" s="9"/>
      <c r="K997" s="9"/>
      <c r="L997" s="9"/>
      <c r="M997" s="9"/>
      <c r="N997" s="9"/>
      <c r="O997" s="9"/>
      <c r="P997" s="9"/>
      <c r="Q997" s="9"/>
    </row>
    <row r="998" spans="1:17" ht="12.75">
      <c r="A998" s="9"/>
      <c r="B998" s="9"/>
      <c r="C998" s="9"/>
      <c r="D998" s="9"/>
      <c r="E998" s="9"/>
      <c r="F998" s="9"/>
      <c r="G998" s="9"/>
      <c r="H998" s="9"/>
      <c r="I998" s="9"/>
      <c r="J998" s="9"/>
      <c r="K998" s="9"/>
      <c r="L998" s="9"/>
      <c r="M998" s="9"/>
      <c r="N998" s="9"/>
      <c r="O998" s="9"/>
      <c r="P998" s="9"/>
      <c r="Q998" s="9"/>
    </row>
    <row r="999" spans="1:17" ht="12.75">
      <c r="A999" s="9"/>
      <c r="B999" s="9"/>
      <c r="C999" s="9"/>
      <c r="D999" s="9"/>
      <c r="E999" s="9"/>
      <c r="F999" s="9"/>
      <c r="G999" s="9"/>
      <c r="H999" s="9"/>
      <c r="I999" s="9"/>
      <c r="J999" s="9"/>
      <c r="K999" s="9"/>
      <c r="L999" s="9"/>
      <c r="M999" s="9"/>
      <c r="N999" s="9"/>
      <c r="O999" s="9"/>
      <c r="P999" s="9"/>
      <c r="Q999" s="9"/>
    </row>
    <row r="1000" spans="1:17" ht="12.75">
      <c r="A1000" s="9"/>
      <c r="B1000" s="9"/>
      <c r="C1000" s="9"/>
      <c r="D1000" s="9"/>
      <c r="E1000" s="9"/>
      <c r="F1000" s="9"/>
      <c r="G1000" s="9"/>
      <c r="H1000" s="9"/>
      <c r="I1000" s="9"/>
      <c r="J1000" s="9"/>
      <c r="K1000" s="9"/>
      <c r="L1000" s="9"/>
      <c r="M1000" s="9"/>
      <c r="N1000" s="9"/>
      <c r="O1000" s="9"/>
      <c r="P1000" s="9"/>
      <c r="Q1000" s="9"/>
    </row>
    <row r="1001" spans="1:17" ht="12.75">
      <c r="A1001" s="9"/>
      <c r="B1001" s="9"/>
      <c r="C1001" s="9"/>
      <c r="D1001" s="9"/>
      <c r="E1001" s="9"/>
      <c r="F1001" s="9"/>
      <c r="G1001" s="9"/>
      <c r="H1001" s="9"/>
      <c r="I1001" s="9"/>
      <c r="J1001" s="9"/>
      <c r="K1001" s="9"/>
      <c r="L1001" s="9"/>
      <c r="M1001" s="9"/>
      <c r="N1001" s="9"/>
      <c r="O1001" s="9"/>
      <c r="P1001" s="9"/>
      <c r="Q1001" s="9"/>
    </row>
    <row r="1002" spans="1:17" ht="12.75">
      <c r="A1002" s="9"/>
      <c r="B1002" s="9"/>
      <c r="C1002" s="9"/>
      <c r="D1002" s="9"/>
      <c r="E1002" s="9"/>
      <c r="F1002" s="9"/>
      <c r="G1002" s="9"/>
      <c r="H1002" s="9"/>
      <c r="I1002" s="9"/>
      <c r="J1002" s="9"/>
      <c r="K1002" s="9"/>
      <c r="L1002" s="9"/>
      <c r="M1002" s="9"/>
      <c r="N1002" s="9"/>
      <c r="O1002" s="9"/>
      <c r="P1002" s="9"/>
      <c r="Q1002" s="9"/>
    </row>
    <row r="1003" spans="1:17" ht="12.75">
      <c r="A1003" s="9"/>
      <c r="B1003" s="9"/>
      <c r="C1003" s="9"/>
      <c r="D1003" s="9"/>
      <c r="E1003" s="9"/>
      <c r="F1003" s="9"/>
      <c r="G1003" s="9"/>
      <c r="H1003" s="9"/>
      <c r="I1003" s="9"/>
      <c r="J1003" s="9"/>
      <c r="K1003" s="9"/>
      <c r="L1003" s="9"/>
      <c r="M1003" s="9"/>
      <c r="N1003" s="9"/>
      <c r="O1003" s="9"/>
      <c r="P1003" s="9"/>
      <c r="Q1003" s="9"/>
    </row>
    <row r="1004" spans="1:17" ht="12.75">
      <c r="A1004" s="9"/>
      <c r="B1004" s="9"/>
      <c r="C1004" s="9"/>
      <c r="D1004" s="9"/>
      <c r="E1004" s="9"/>
      <c r="F1004" s="9"/>
      <c r="G1004" s="9"/>
      <c r="H1004" s="9"/>
      <c r="I1004" s="9"/>
      <c r="J1004" s="9"/>
      <c r="K1004" s="9"/>
      <c r="L1004" s="9"/>
      <c r="M1004" s="9"/>
      <c r="N1004" s="9"/>
      <c r="O1004" s="9"/>
      <c r="P1004" s="9"/>
      <c r="Q1004" s="9"/>
    </row>
    <row r="1005" spans="1:17" ht="12.75">
      <c r="A1005" s="9"/>
      <c r="B1005" s="9"/>
      <c r="C1005" s="9"/>
      <c r="D1005" s="9"/>
      <c r="E1005" s="9"/>
      <c r="F1005" s="9"/>
      <c r="G1005" s="9"/>
      <c r="H1005" s="9"/>
      <c r="I1005" s="9"/>
      <c r="J1005" s="9"/>
      <c r="K1005" s="9"/>
      <c r="L1005" s="9"/>
      <c r="M1005" s="9"/>
      <c r="N1005" s="9"/>
      <c r="O1005" s="9"/>
      <c r="P1005" s="9"/>
      <c r="Q1005" s="9"/>
    </row>
    <row r="1006" spans="1:17" ht="12.75">
      <c r="A1006" s="9"/>
      <c r="B1006" s="9"/>
      <c r="C1006" s="9"/>
      <c r="D1006" s="9"/>
      <c r="E1006" s="9"/>
      <c r="F1006" s="9"/>
      <c r="G1006" s="9"/>
      <c r="H1006" s="9"/>
      <c r="I1006" s="9"/>
      <c r="J1006" s="9"/>
      <c r="K1006" s="9"/>
      <c r="L1006" s="9"/>
      <c r="M1006" s="9"/>
      <c r="N1006" s="9"/>
      <c r="O1006" s="9"/>
      <c r="P1006" s="9"/>
      <c r="Q1006" s="9"/>
    </row>
    <row r="1007" spans="1:17" ht="12.75">
      <c r="A1007" s="9"/>
      <c r="B1007" s="9"/>
      <c r="C1007" s="9"/>
      <c r="D1007" s="9"/>
      <c r="E1007" s="9"/>
      <c r="F1007" s="9"/>
      <c r="G1007" s="9"/>
      <c r="H1007" s="9"/>
      <c r="I1007" s="9"/>
      <c r="J1007" s="9"/>
      <c r="K1007" s="9"/>
      <c r="L1007" s="9"/>
      <c r="M1007" s="9"/>
      <c r="N1007" s="9"/>
      <c r="O1007" s="9"/>
      <c r="P1007" s="9"/>
      <c r="Q1007" s="9"/>
    </row>
    <row r="1008" spans="1:17" ht="12.75">
      <c r="A1008" s="9"/>
      <c r="B1008" s="9"/>
      <c r="C1008" s="9"/>
      <c r="D1008" s="9"/>
      <c r="E1008" s="9"/>
      <c r="F1008" s="9"/>
      <c r="G1008" s="9"/>
      <c r="H1008" s="9"/>
      <c r="I1008" s="9"/>
      <c r="J1008" s="9"/>
      <c r="K1008" s="9"/>
      <c r="L1008" s="9"/>
      <c r="M1008" s="9"/>
      <c r="N1008" s="9"/>
      <c r="O1008" s="9"/>
      <c r="P1008" s="9"/>
      <c r="Q1008" s="9"/>
    </row>
    <row r="1009" spans="1:17" ht="12.75">
      <c r="A1009" s="9"/>
      <c r="B1009" s="9"/>
      <c r="C1009" s="9"/>
      <c r="D1009" s="9"/>
      <c r="E1009" s="9"/>
      <c r="F1009" s="9"/>
      <c r="G1009" s="9"/>
      <c r="H1009" s="9"/>
      <c r="I1009" s="9"/>
      <c r="J1009" s="9"/>
      <c r="K1009" s="9"/>
      <c r="L1009" s="9"/>
      <c r="M1009" s="9"/>
      <c r="N1009" s="9"/>
      <c r="O1009" s="9"/>
      <c r="P1009" s="9"/>
      <c r="Q1009" s="9"/>
    </row>
    <row r="1010" spans="1:17" ht="12.75">
      <c r="A1010" s="9"/>
      <c r="B1010" s="9"/>
      <c r="C1010" s="9"/>
      <c r="D1010" s="9"/>
      <c r="E1010" s="9"/>
      <c r="F1010" s="9"/>
      <c r="G1010" s="9"/>
      <c r="H1010" s="9"/>
      <c r="I1010" s="9"/>
      <c r="J1010" s="9"/>
      <c r="K1010" s="9"/>
      <c r="L1010" s="9"/>
      <c r="M1010" s="9"/>
      <c r="N1010" s="9"/>
      <c r="O1010" s="9"/>
      <c r="P1010" s="9"/>
      <c r="Q1010" s="9"/>
    </row>
  </sheetData>
  <mergeCells count="8">
    <mergeCell ref="A60:M60"/>
    <mergeCell ref="A74:M74"/>
    <mergeCell ref="A86:M86"/>
    <mergeCell ref="A2:M2"/>
    <mergeCell ref="A10:M10"/>
    <mergeCell ref="A20:M20"/>
    <mergeCell ref="A41:M41"/>
    <mergeCell ref="A48:M48"/>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8"/>
  </sheetPr>
  <dimension ref="A1:AB994"/>
  <sheetViews>
    <sheetView workbookViewId="0">
      <selection activeCell="I5" sqref="I5:K5"/>
    </sheetView>
  </sheetViews>
  <sheetFormatPr defaultColWidth="11.125" defaultRowHeight="15" customHeight="1" outlineLevelRow="1"/>
  <cols>
    <col min="1" max="1" width="20" style="1" customWidth="1"/>
    <col min="2" max="2" width="80" style="1" customWidth="1"/>
    <col min="3" max="7" width="11.125" style="2" customWidth="1"/>
    <col min="8" max="28" width="11.125" style="2"/>
    <col min="29" max="16384" width="11.125" style="1"/>
  </cols>
  <sheetData>
    <row r="1" spans="1:28" s="95" customFormat="1" ht="24" customHeight="1">
      <c r="A1" s="875" t="s">
        <v>30</v>
      </c>
      <c r="B1" s="875"/>
      <c r="C1" s="88"/>
      <c r="D1" s="89"/>
      <c r="E1" s="89"/>
      <c r="F1" s="89"/>
      <c r="G1" s="89"/>
      <c r="H1" s="88"/>
      <c r="I1" s="94"/>
      <c r="J1" s="94"/>
      <c r="K1" s="94"/>
      <c r="L1" s="94"/>
      <c r="M1" s="94"/>
      <c r="N1" s="94"/>
      <c r="O1" s="94"/>
      <c r="P1" s="94"/>
      <c r="Q1" s="94"/>
      <c r="R1" s="94"/>
      <c r="S1" s="94"/>
      <c r="T1" s="94"/>
      <c r="U1" s="94"/>
      <c r="V1" s="94"/>
      <c r="W1" s="94"/>
      <c r="X1" s="94"/>
      <c r="Y1" s="94"/>
      <c r="Z1" s="94"/>
      <c r="AA1" s="94"/>
      <c r="AB1" s="94"/>
    </row>
    <row r="2" spans="1:28" ht="20.25" customHeight="1">
      <c r="A2" s="1281" t="s">
        <v>224</v>
      </c>
      <c r="B2" s="1281"/>
      <c r="C2" s="921"/>
      <c r="D2" s="52"/>
      <c r="E2" s="52"/>
      <c r="F2" s="52"/>
      <c r="G2" s="52"/>
    </row>
    <row r="3" spans="1:28" ht="21.6" customHeight="1">
      <c r="A3" s="517" t="s">
        <v>225</v>
      </c>
      <c r="B3" s="533"/>
      <c r="C3" s="52"/>
      <c r="D3" s="52"/>
      <c r="E3" s="52"/>
      <c r="F3" s="52"/>
      <c r="G3" s="52"/>
    </row>
    <row r="4" spans="1:28" ht="15" customHeight="1" outlineLevel="1">
      <c r="A4" s="919" t="s">
        <v>226</v>
      </c>
      <c r="B4" s="919" t="s">
        <v>227</v>
      </c>
      <c r="C4" s="940"/>
      <c r="D4" s="52"/>
      <c r="E4" s="52"/>
      <c r="F4" s="52"/>
      <c r="G4" s="52"/>
    </row>
    <row r="5" spans="1:28" ht="15" customHeight="1" outlineLevel="1">
      <c r="A5" s="941" t="s">
        <v>228</v>
      </c>
      <c r="B5" s="942" t="str">
        <f>'Workbook Intro'!$B$9</f>
        <v>City and County of Denver</v>
      </c>
      <c r="C5" s="52"/>
      <c r="D5" s="52"/>
      <c r="E5" s="52"/>
      <c r="F5" s="52"/>
      <c r="G5" s="52"/>
    </row>
    <row r="6" spans="1:28" ht="15" customHeight="1" outlineLevel="1">
      <c r="A6" s="941" t="s">
        <v>229</v>
      </c>
      <c r="B6" s="942" t="s">
        <v>230</v>
      </c>
      <c r="C6" s="940"/>
      <c r="D6" s="52"/>
      <c r="E6" s="52"/>
      <c r="F6" s="52"/>
      <c r="G6" s="52"/>
    </row>
    <row r="7" spans="1:28" ht="15" customHeight="1" outlineLevel="1">
      <c r="A7" s="941" t="s">
        <v>231</v>
      </c>
      <c r="B7" s="942" t="s">
        <v>232</v>
      </c>
      <c r="C7" s="52"/>
      <c r="D7" s="52"/>
      <c r="E7" s="52"/>
      <c r="F7" s="52"/>
      <c r="G7" s="52"/>
    </row>
    <row r="8" spans="1:28" ht="15" customHeight="1" outlineLevel="1">
      <c r="A8" s="941" t="s">
        <v>233</v>
      </c>
      <c r="B8" s="942">
        <f>'Workbook Intro'!F4</f>
        <v>2019</v>
      </c>
      <c r="C8" s="52"/>
      <c r="D8" s="52"/>
      <c r="E8" s="52"/>
      <c r="F8" s="52"/>
      <c r="G8" s="52"/>
    </row>
    <row r="9" spans="1:28" ht="15" customHeight="1" outlineLevel="1">
      <c r="A9" s="941" t="s">
        <v>234</v>
      </c>
      <c r="B9" s="943" t="s">
        <v>1277</v>
      </c>
      <c r="C9" s="52"/>
      <c r="D9" s="52"/>
      <c r="E9" s="52"/>
      <c r="F9" s="52"/>
      <c r="G9" s="52"/>
    </row>
    <row r="10" spans="1:28" ht="15" customHeight="1" outlineLevel="1">
      <c r="A10" s="941" t="s">
        <v>235</v>
      </c>
      <c r="B10" s="942" t="s">
        <v>1216</v>
      </c>
      <c r="C10" s="52"/>
      <c r="D10" s="52"/>
      <c r="E10" s="52"/>
      <c r="F10" s="52"/>
      <c r="G10" s="52"/>
    </row>
    <row r="11" spans="1:28" ht="15" customHeight="1" outlineLevel="1">
      <c r="A11" s="941" t="s">
        <v>382</v>
      </c>
      <c r="B11" s="942">
        <f>'Community Indicators'!$B$16</f>
        <v>153</v>
      </c>
      <c r="C11" s="52"/>
      <c r="D11" s="52"/>
      <c r="E11" s="52"/>
      <c r="F11" s="52"/>
      <c r="G11" s="52"/>
    </row>
    <row r="12" spans="1:28" ht="15" customHeight="1" outlineLevel="1">
      <c r="A12" s="941" t="s">
        <v>236</v>
      </c>
      <c r="B12" s="944">
        <f>'Community Indicators'!$B$17</f>
        <v>727211</v>
      </c>
      <c r="C12" s="52"/>
      <c r="D12" s="52"/>
      <c r="E12" s="52"/>
      <c r="F12" s="52"/>
      <c r="G12" s="52"/>
    </row>
    <row r="13" spans="1:28" ht="15" customHeight="1" outlineLevel="1">
      <c r="A13" s="941" t="s">
        <v>237</v>
      </c>
      <c r="B13" s="945">
        <f>'Community Indicators'!$B$20</f>
        <v>78230146160</v>
      </c>
      <c r="C13" s="52"/>
      <c r="D13" s="52"/>
      <c r="E13" s="52"/>
      <c r="F13" s="52"/>
      <c r="G13" s="52"/>
    </row>
    <row r="14" spans="1:28" ht="12.75" outlineLevel="1">
      <c r="A14" s="941" t="s">
        <v>238</v>
      </c>
      <c r="B14" s="945" t="str">
        <f>'Community Indicators'!$B$21</f>
        <v>Federal, high-tech, tourism, financial, higher education</v>
      </c>
      <c r="C14" s="52"/>
      <c r="D14" s="52"/>
      <c r="E14" s="52"/>
      <c r="F14" s="52"/>
      <c r="G14" s="52"/>
    </row>
    <row r="15" spans="1:28" ht="15" customHeight="1" outlineLevel="1">
      <c r="A15" s="941" t="s">
        <v>187</v>
      </c>
      <c r="B15" s="945" t="str">
        <f>'Community Indicators'!$B$22</f>
        <v>Semi-arid, with low humidity</v>
      </c>
      <c r="C15" s="52"/>
      <c r="D15" s="52"/>
      <c r="E15" s="52"/>
      <c r="F15" s="52"/>
      <c r="G15" s="52"/>
    </row>
    <row r="16" spans="1:28" ht="15" customHeight="1" outlineLevel="1">
      <c r="A16" s="941" t="s">
        <v>240</v>
      </c>
      <c r="B16" s="942" t="s">
        <v>241</v>
      </c>
      <c r="C16" s="52"/>
      <c r="D16" s="52"/>
      <c r="E16" s="52"/>
      <c r="F16" s="52"/>
      <c r="G16" s="52"/>
    </row>
    <row r="17" spans="1:7" s="2" customFormat="1" ht="15" customHeight="1">
      <c r="A17" s="946"/>
      <c r="B17" s="947"/>
      <c r="C17" s="52"/>
      <c r="D17" s="52"/>
      <c r="E17" s="52"/>
      <c r="F17" s="52"/>
      <c r="G17" s="52"/>
    </row>
    <row r="18" spans="1:7" s="2" customFormat="1" ht="15" customHeight="1">
      <c r="A18" s="52"/>
      <c r="B18" s="52"/>
      <c r="C18" s="52"/>
      <c r="D18" s="52"/>
      <c r="E18" s="52"/>
      <c r="F18" s="52"/>
      <c r="G18" s="52"/>
    </row>
    <row r="19" spans="1:7" s="2" customFormat="1" ht="15" customHeight="1">
      <c r="A19" s="52"/>
      <c r="B19" s="52"/>
      <c r="C19" s="52"/>
      <c r="D19" s="52"/>
      <c r="E19" s="52"/>
      <c r="F19" s="52"/>
      <c r="G19" s="52"/>
    </row>
    <row r="20" spans="1:7" s="2" customFormat="1" ht="15" customHeight="1">
      <c r="A20" s="52"/>
      <c r="B20" s="52"/>
      <c r="C20" s="52"/>
      <c r="D20" s="52"/>
      <c r="E20" s="52"/>
      <c r="F20" s="52"/>
      <c r="G20" s="52"/>
    </row>
    <row r="21" spans="1:7" s="2" customFormat="1" ht="15" customHeight="1">
      <c r="A21" s="52"/>
      <c r="B21" s="52"/>
      <c r="C21" s="52"/>
      <c r="D21" s="52"/>
      <c r="E21" s="52"/>
      <c r="F21" s="52"/>
      <c r="G21" s="52"/>
    </row>
    <row r="22" spans="1:7" s="2" customFormat="1" ht="15" customHeight="1">
      <c r="A22" s="52"/>
      <c r="B22" s="52"/>
      <c r="C22" s="52"/>
      <c r="D22" s="52"/>
      <c r="E22" s="52"/>
      <c r="F22" s="52"/>
      <c r="G22" s="52"/>
    </row>
    <row r="23" spans="1:7" s="2" customFormat="1" ht="15" customHeight="1">
      <c r="A23" s="52"/>
      <c r="B23" s="52"/>
      <c r="C23" s="52"/>
      <c r="D23" s="52"/>
      <c r="E23" s="52"/>
      <c r="F23" s="52"/>
      <c r="G23" s="52"/>
    </row>
    <row r="24" spans="1:7" s="2" customFormat="1" ht="15" customHeight="1">
      <c r="D24" s="52"/>
      <c r="E24" s="52"/>
      <c r="F24" s="52"/>
      <c r="G24" s="52"/>
    </row>
    <row r="25" spans="1:7" s="2" customFormat="1" ht="15" customHeight="1"/>
    <row r="26" spans="1:7" s="2" customFormat="1" ht="12.75"/>
    <row r="27" spans="1:7" s="2" customFormat="1" ht="12.75"/>
    <row r="28" spans="1:7" s="2" customFormat="1" ht="12.75"/>
    <row r="29" spans="1:7" s="2" customFormat="1" ht="12.75"/>
    <row r="30" spans="1:7" s="2" customFormat="1" ht="12.75"/>
    <row r="31" spans="1:7" s="2" customFormat="1" ht="12.75"/>
    <row r="32" spans="1:7" s="2" customFormat="1" ht="12.75"/>
    <row r="33" s="2" customFormat="1" ht="12.75"/>
    <row r="34" s="2" customFormat="1" ht="12.75"/>
    <row r="35" s="2" customFormat="1" ht="12.75"/>
    <row r="36" s="2" customFormat="1" ht="12.75"/>
    <row r="37" s="2" customFormat="1" ht="12.75"/>
    <row r="38" s="2" customFormat="1" ht="12.75"/>
    <row r="39" s="2" customFormat="1" ht="12.75"/>
    <row r="40" s="2" customFormat="1" ht="12.75"/>
    <row r="41" s="2" customFormat="1" ht="12.75"/>
    <row r="42" s="2" customFormat="1" ht="12.75"/>
    <row r="43" s="2" customFormat="1" ht="12.75"/>
    <row r="44" s="2" customFormat="1" ht="12.75"/>
    <row r="45" s="2" customFormat="1" ht="12.75"/>
    <row r="46" s="2" customFormat="1" ht="12.75"/>
    <row r="47" s="2" customFormat="1" ht="12.75"/>
    <row r="48" s="2" customFormat="1" ht="12.75"/>
    <row r="49" s="2" customFormat="1" ht="12.75"/>
    <row r="50" s="2" customFormat="1" ht="12.75"/>
    <row r="51" s="2" customFormat="1" ht="12.75"/>
    <row r="52" s="2" customFormat="1" ht="12.75"/>
    <row r="53" s="2" customFormat="1" ht="12.75"/>
    <row r="54" s="2" customFormat="1" ht="12.75"/>
    <row r="55" s="2" customFormat="1" ht="12.75"/>
    <row r="56" s="2" customFormat="1" ht="12.75"/>
    <row r="57" s="2" customFormat="1" ht="12.75"/>
    <row r="58" s="2" customFormat="1" ht="12.75"/>
    <row r="59" s="2" customFormat="1" ht="12.75"/>
    <row r="60" s="2" customFormat="1" ht="12.75"/>
    <row r="61" s="2" customFormat="1" ht="12.75"/>
    <row r="62" s="2" customFormat="1" ht="12.75"/>
    <row r="63" s="2" customFormat="1" ht="12.75"/>
    <row r="64" s="2" customFormat="1" ht="12.75"/>
    <row r="65" s="2" customFormat="1" ht="12.75"/>
    <row r="66" s="2" customFormat="1" ht="12.75"/>
    <row r="67" s="2" customFormat="1" ht="12.75"/>
    <row r="68" s="2" customFormat="1" ht="12.75"/>
    <row r="69" s="2" customFormat="1" ht="12.75"/>
    <row r="70" s="2" customFormat="1" ht="12.75"/>
    <row r="71" s="2" customFormat="1" ht="12.75"/>
    <row r="72" s="2" customFormat="1" ht="12.75"/>
    <row r="73" s="2" customFormat="1" ht="12.75"/>
    <row r="74" s="2" customFormat="1" ht="12.75"/>
    <row r="75" s="2" customFormat="1" ht="12.75"/>
    <row r="76" s="2" customFormat="1" ht="12.75"/>
    <row r="77" s="2" customFormat="1" ht="12.75"/>
    <row r="78" s="2" customFormat="1" ht="12.75"/>
    <row r="79" s="2" customFormat="1" ht="12.75"/>
    <row r="80" s="2" customFormat="1" ht="12.75"/>
    <row r="81" s="2" customFormat="1" ht="12.75"/>
    <row r="82" s="2" customFormat="1" ht="12.75"/>
    <row r="83" s="2" customFormat="1" ht="12.75"/>
    <row r="84" s="2" customFormat="1"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sheetData>
  <mergeCells count="1">
    <mergeCell ref="A2:B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8"/>
  </sheetPr>
  <dimension ref="A1:CB996"/>
  <sheetViews>
    <sheetView workbookViewId="0">
      <selection activeCell="G28" sqref="G28"/>
    </sheetView>
  </sheetViews>
  <sheetFormatPr defaultColWidth="11.125" defaultRowHeight="15" customHeight="1" outlineLevelRow="1"/>
  <cols>
    <col min="1" max="1" width="27.75" style="1" customWidth="1"/>
    <col min="2" max="2" width="21.625" style="1" customWidth="1"/>
    <col min="3" max="11" width="15.5" style="1" customWidth="1"/>
    <col min="12" max="28" width="10.625" style="2" customWidth="1"/>
    <col min="29" max="57" width="11.125" style="2"/>
    <col min="58" max="16384" width="11.125" style="1"/>
  </cols>
  <sheetData>
    <row r="1" spans="1:80" s="875" customFormat="1" ht="24" customHeight="1">
      <c r="A1" s="875" t="s">
        <v>33</v>
      </c>
      <c r="L1" s="876"/>
      <c r="M1" s="876"/>
      <c r="N1" s="876"/>
      <c r="O1" s="876"/>
      <c r="P1" s="876"/>
      <c r="Q1" s="876"/>
      <c r="R1" s="876"/>
      <c r="S1" s="876"/>
      <c r="T1" s="876"/>
      <c r="U1" s="876"/>
      <c r="V1" s="876"/>
      <c r="W1" s="876"/>
      <c r="X1" s="876"/>
      <c r="Y1" s="876"/>
      <c r="Z1" s="876"/>
      <c r="AA1" s="876"/>
      <c r="AB1" s="876"/>
      <c r="AC1" s="876"/>
      <c r="AD1" s="876"/>
      <c r="AE1" s="876"/>
      <c r="AF1" s="876"/>
      <c r="AG1" s="876"/>
      <c r="AH1" s="876"/>
      <c r="AI1" s="876"/>
      <c r="AJ1" s="876"/>
      <c r="AK1" s="876"/>
      <c r="AL1" s="876"/>
      <c r="AM1" s="876"/>
      <c r="AN1" s="876"/>
      <c r="AO1" s="876"/>
      <c r="AP1" s="876"/>
      <c r="AQ1" s="876"/>
      <c r="AR1" s="876"/>
      <c r="AS1" s="876"/>
      <c r="AT1" s="876"/>
      <c r="AU1" s="876"/>
      <c r="AV1" s="876"/>
      <c r="AW1" s="876"/>
      <c r="AX1" s="876"/>
      <c r="AY1" s="876"/>
      <c r="AZ1" s="876"/>
      <c r="BA1" s="876"/>
      <c r="BB1" s="876"/>
      <c r="BC1" s="876"/>
      <c r="BD1" s="876"/>
      <c r="BE1" s="876"/>
    </row>
    <row r="2" spans="1:80" ht="19.5" customHeight="1">
      <c r="A2" s="1281" t="s">
        <v>224</v>
      </c>
      <c r="B2" s="1288"/>
      <c r="C2" s="1288"/>
      <c r="D2" s="1288"/>
      <c r="E2" s="1288"/>
      <c r="F2" s="1288"/>
      <c r="G2" s="1288"/>
      <c r="H2" s="1288"/>
      <c r="I2" s="1288"/>
      <c r="J2" s="1288"/>
      <c r="K2" s="1288"/>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4"/>
      <c r="BG2" s="54"/>
      <c r="BH2" s="54"/>
      <c r="BI2" s="54"/>
      <c r="BJ2" s="54"/>
      <c r="BK2" s="54"/>
      <c r="BL2" s="54"/>
      <c r="BM2" s="54"/>
      <c r="BN2" s="54"/>
      <c r="BO2" s="54"/>
      <c r="BP2" s="54"/>
      <c r="BQ2" s="54"/>
      <c r="BR2" s="54"/>
      <c r="BS2" s="54"/>
      <c r="BT2" s="54"/>
      <c r="BU2" s="54"/>
      <c r="BV2" s="54"/>
      <c r="BW2" s="54"/>
      <c r="BX2" s="54"/>
      <c r="BY2" s="54"/>
      <c r="BZ2" s="54"/>
      <c r="CA2" s="54"/>
      <c r="CB2" s="54"/>
    </row>
    <row r="3" spans="1:80" ht="16.5" customHeight="1">
      <c r="A3" s="531" t="s">
        <v>239</v>
      </c>
      <c r="B3" s="532"/>
      <c r="C3" s="532"/>
      <c r="D3" s="532"/>
      <c r="E3" s="532"/>
      <c r="F3" s="532"/>
      <c r="G3" s="532"/>
      <c r="H3" s="532"/>
      <c r="I3" s="532"/>
      <c r="J3" s="532"/>
      <c r="K3" s="533"/>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4"/>
      <c r="BG3" s="54"/>
      <c r="BH3" s="54"/>
      <c r="BI3" s="54"/>
      <c r="BJ3" s="54"/>
      <c r="BK3" s="54"/>
      <c r="BL3" s="54"/>
      <c r="BM3" s="54"/>
      <c r="BN3" s="54"/>
      <c r="BO3" s="54"/>
      <c r="BP3" s="54"/>
      <c r="BQ3" s="54"/>
      <c r="BR3" s="54"/>
      <c r="BS3" s="54"/>
      <c r="BT3" s="54"/>
      <c r="BU3" s="54"/>
      <c r="BV3" s="54"/>
      <c r="BW3" s="54"/>
      <c r="BX3" s="54"/>
      <c r="BY3" s="54"/>
      <c r="BZ3" s="54"/>
      <c r="CA3" s="54"/>
      <c r="CB3" s="54"/>
    </row>
    <row r="4" spans="1:80" ht="43.9" customHeight="1" outlineLevel="1">
      <c r="A4" s="1195" t="s">
        <v>58</v>
      </c>
      <c r="B4" s="1203"/>
      <c r="C4" s="915" t="s">
        <v>1217</v>
      </c>
      <c r="D4" s="915" t="s">
        <v>1229</v>
      </c>
      <c r="E4" s="915" t="s">
        <v>1218</v>
      </c>
      <c r="F4" s="915" t="s">
        <v>1219</v>
      </c>
      <c r="G4" s="915" t="s">
        <v>1220</v>
      </c>
      <c r="H4" s="915" t="s">
        <v>1221</v>
      </c>
      <c r="I4" s="915" t="s">
        <v>1222</v>
      </c>
      <c r="J4" s="915" t="s">
        <v>1232</v>
      </c>
      <c r="K4" s="915" t="s">
        <v>1366</v>
      </c>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4"/>
      <c r="BG4" s="54"/>
      <c r="BH4" s="54"/>
      <c r="BI4" s="54"/>
      <c r="BJ4" s="54"/>
      <c r="BK4" s="54"/>
      <c r="BL4" s="54"/>
      <c r="BM4" s="54"/>
      <c r="BN4" s="54"/>
      <c r="BO4" s="54"/>
      <c r="BP4" s="54"/>
      <c r="BQ4" s="54"/>
      <c r="BR4" s="54"/>
      <c r="BS4" s="54"/>
      <c r="BT4" s="54"/>
      <c r="BU4" s="54"/>
      <c r="BV4" s="54"/>
      <c r="BW4" s="54"/>
      <c r="BX4" s="54"/>
      <c r="BY4" s="54"/>
      <c r="BZ4" s="54"/>
      <c r="CA4" s="54"/>
      <c r="CB4" s="54"/>
    </row>
    <row r="5" spans="1:80" ht="12.75" outlineLevel="1">
      <c r="A5" s="1284" t="s">
        <v>52</v>
      </c>
      <c r="B5" s="151" t="s">
        <v>243</v>
      </c>
      <c r="C5" s="96">
        <f>SUM('GPC Table 4.3'!L11,'GPC Table 4.3'!L15,'GPC Table 4.3'!L19)</f>
        <v>1929922.4074851121</v>
      </c>
      <c r="D5" s="696"/>
      <c r="E5" s="96">
        <f>SUM('GPC Table 4.3'!L12,'GPC Table 4.3'!L16,'GPC Table 4.3'!L20)</f>
        <v>3420518.2063317443</v>
      </c>
      <c r="F5" s="694"/>
      <c r="G5" s="695"/>
      <c r="H5" s="695"/>
      <c r="I5" s="187">
        <f>SUM(C5,E5,F5)</f>
        <v>5350440.6138168564</v>
      </c>
      <c r="J5" s="377">
        <f>SUM(C5,E5,F5,H5)</f>
        <v>5350440.6138168564</v>
      </c>
      <c r="K5" s="96">
        <f>SUM(C5:H5)</f>
        <v>5350440.6138168564</v>
      </c>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4"/>
      <c r="BG5" s="54"/>
      <c r="BH5" s="54"/>
      <c r="BI5" s="54"/>
      <c r="BJ5" s="54"/>
      <c r="BK5" s="54"/>
      <c r="BL5" s="54"/>
      <c r="BM5" s="54"/>
      <c r="BN5" s="54"/>
      <c r="BO5" s="54"/>
      <c r="BP5" s="54"/>
      <c r="BQ5" s="54"/>
      <c r="BR5" s="54"/>
      <c r="BS5" s="54"/>
      <c r="BT5" s="54"/>
      <c r="BU5" s="54"/>
      <c r="BV5" s="54"/>
      <c r="BW5" s="54"/>
      <c r="BX5" s="54"/>
      <c r="BY5" s="54"/>
      <c r="BZ5" s="54"/>
      <c r="CA5" s="54"/>
      <c r="CB5" s="54"/>
    </row>
    <row r="6" spans="1:80" ht="12.75" outlineLevel="1">
      <c r="A6" s="1285"/>
      <c r="B6" s="151" t="s">
        <v>79</v>
      </c>
      <c r="C6" s="96">
        <f>'GPC Table 4.3'!L38</f>
        <v>89356.584814458605</v>
      </c>
      <c r="D6" s="696"/>
      <c r="E6" s="694"/>
      <c r="F6" s="694"/>
      <c r="G6" s="695"/>
      <c r="H6" s="695"/>
      <c r="I6" s="187">
        <f t="shared" ref="I6:I12" si="0">SUM(C6,E6,F6)</f>
        <v>89356.584814458605</v>
      </c>
      <c r="J6" s="377">
        <f t="shared" ref="J6:J13" si="1">SUM(C6,E6,F6,H6)</f>
        <v>89356.584814458605</v>
      </c>
      <c r="K6" s="96">
        <f t="shared" ref="K6:K13" si="2">SUM(C6:H6)</f>
        <v>89356.584814458605</v>
      </c>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4"/>
      <c r="BG6" s="54"/>
      <c r="BH6" s="54"/>
      <c r="BI6" s="54"/>
      <c r="BJ6" s="54"/>
      <c r="BK6" s="54"/>
      <c r="BL6" s="54"/>
      <c r="BM6" s="54"/>
      <c r="BN6" s="54"/>
      <c r="BO6" s="54"/>
      <c r="BP6" s="54"/>
      <c r="BQ6" s="54"/>
      <c r="BR6" s="54"/>
      <c r="BS6" s="54"/>
      <c r="BT6" s="54"/>
      <c r="BU6" s="54"/>
      <c r="BV6" s="54"/>
      <c r="BW6" s="54"/>
      <c r="BX6" s="54"/>
      <c r="BY6" s="54"/>
      <c r="BZ6" s="54"/>
      <c r="CA6" s="54"/>
      <c r="CB6" s="54"/>
    </row>
    <row r="7" spans="1:80" ht="12.75" outlineLevel="1">
      <c r="A7" s="920" t="s">
        <v>68</v>
      </c>
      <c r="B7" s="151" t="s">
        <v>244</v>
      </c>
      <c r="C7" s="96">
        <f>SUM('GPC Table 4.3'!L41,'GPC Table 4.3'!L45,'GPC Table 4.3'!L49,'GPC Table 4.3'!L53,'GPC Table 4.3'!L57)</f>
        <v>2777436.8451258931</v>
      </c>
      <c r="D7" s="696"/>
      <c r="E7" s="96">
        <f>SUM('GPC Table 4.3'!L42,'GPC Table 4.3'!L46,'GPC Table 4.3'!L50,'GPC Table 4.3'!L54,'GPC Table 4.3'!L58,)</f>
        <v>36098.254913383331</v>
      </c>
      <c r="F7" s="694"/>
      <c r="G7" s="96">
        <f>SUM('GPC Table 4.3'!L43,'GPC Table 4.3'!L47,'GPC Table 4.3'!L51,'GPC Table 4.3'!L55,'GPC Table 4.3'!L59)</f>
        <v>2057662.9439781066</v>
      </c>
      <c r="H7" s="695"/>
      <c r="I7" s="187">
        <f t="shared" si="0"/>
        <v>2813535.1000392763</v>
      </c>
      <c r="J7" s="377">
        <f t="shared" si="1"/>
        <v>2813535.1000392763</v>
      </c>
      <c r="K7" s="96">
        <f t="shared" si="2"/>
        <v>4871198.0440173829</v>
      </c>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4"/>
      <c r="BG7" s="54"/>
      <c r="BH7" s="54"/>
      <c r="BI7" s="54"/>
      <c r="BJ7" s="54"/>
      <c r="BK7" s="54"/>
      <c r="BL7" s="54"/>
      <c r="BM7" s="54"/>
      <c r="BN7" s="54"/>
      <c r="BO7" s="54"/>
      <c r="BP7" s="54"/>
      <c r="BQ7" s="54"/>
      <c r="BR7" s="54"/>
      <c r="BS7" s="54"/>
      <c r="BT7" s="54"/>
      <c r="BU7" s="54"/>
      <c r="BV7" s="54"/>
      <c r="BW7" s="54"/>
      <c r="BX7" s="54"/>
      <c r="BY7" s="54"/>
      <c r="BZ7" s="54"/>
      <c r="CA7" s="54"/>
      <c r="CB7" s="54"/>
    </row>
    <row r="8" spans="1:80" ht="12.75" outlineLevel="1">
      <c r="A8" s="1287" t="s">
        <v>129</v>
      </c>
      <c r="B8" s="151" t="s">
        <v>548</v>
      </c>
      <c r="C8" s="96">
        <f>SUM('GPC Table 4.3'!L62,'GPC Table 4.3'!L66,'GPC Table 4.3'!L70,'GPC Table 4.3'!L74,'GPC Table 4.3'!L76)</f>
        <v>5778.2</v>
      </c>
      <c r="D8" s="696"/>
      <c r="E8" s="694"/>
      <c r="F8" s="694"/>
      <c r="G8" s="695"/>
      <c r="H8" s="695"/>
      <c r="I8" s="187">
        <f t="shared" si="0"/>
        <v>5778.2</v>
      </c>
      <c r="J8" s="377">
        <f t="shared" si="1"/>
        <v>5778.2</v>
      </c>
      <c r="K8" s="96">
        <f t="shared" si="2"/>
        <v>5778.2</v>
      </c>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4"/>
      <c r="BG8" s="54"/>
      <c r="BH8" s="54"/>
      <c r="BI8" s="54"/>
      <c r="BJ8" s="54"/>
      <c r="BK8" s="54"/>
      <c r="BL8" s="54"/>
      <c r="BM8" s="54"/>
      <c r="BN8" s="54"/>
      <c r="BO8" s="54"/>
      <c r="BP8" s="54"/>
      <c r="BQ8" s="54"/>
      <c r="BR8" s="54"/>
      <c r="BS8" s="54"/>
      <c r="BT8" s="54"/>
      <c r="BU8" s="54"/>
      <c r="BV8" s="54"/>
      <c r="BW8" s="54"/>
      <c r="BX8" s="54"/>
      <c r="BY8" s="54"/>
      <c r="BZ8" s="54"/>
      <c r="CA8" s="54"/>
      <c r="CB8" s="54"/>
    </row>
    <row r="9" spans="1:80" ht="12.75" outlineLevel="1">
      <c r="A9" s="1287"/>
      <c r="B9" s="151" t="s">
        <v>549</v>
      </c>
      <c r="C9" s="694"/>
      <c r="D9" s="696"/>
      <c r="E9" s="694"/>
      <c r="F9" s="96">
        <f>SUM('GPC Table 4.3'!L63,'GPC Table 4.3'!L67)</f>
        <v>169737.70290442201</v>
      </c>
      <c r="G9" s="695"/>
      <c r="H9" s="695"/>
      <c r="I9" s="187">
        <f>SUM(C9,E9,F9)</f>
        <v>169737.70290442201</v>
      </c>
      <c r="J9" s="377">
        <f t="shared" si="1"/>
        <v>169737.70290442201</v>
      </c>
      <c r="K9" s="96">
        <f t="shared" si="2"/>
        <v>169737.70290442201</v>
      </c>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4"/>
      <c r="BG9" s="54"/>
      <c r="BH9" s="54"/>
      <c r="BI9" s="54"/>
      <c r="BJ9" s="54"/>
      <c r="BK9" s="54"/>
      <c r="BL9" s="54"/>
      <c r="BM9" s="54"/>
      <c r="BN9" s="54"/>
      <c r="BO9" s="54"/>
      <c r="BP9" s="54"/>
      <c r="BQ9" s="54"/>
      <c r="BR9" s="54"/>
      <c r="BS9" s="54"/>
      <c r="BT9" s="54"/>
      <c r="BU9" s="54"/>
      <c r="BV9" s="54"/>
      <c r="BW9" s="54"/>
      <c r="BX9" s="54"/>
      <c r="BY9" s="54"/>
      <c r="BZ9" s="54"/>
      <c r="CA9" s="54"/>
      <c r="CB9" s="54"/>
    </row>
    <row r="10" spans="1:80" ht="12.75" outlineLevel="1">
      <c r="A10" s="686" t="s">
        <v>1224</v>
      </c>
      <c r="B10" s="186" t="s">
        <v>465</v>
      </c>
      <c r="C10" s="694"/>
      <c r="D10" s="187">
        <f>'GPC Table 4.3'!L79</f>
        <v>23250.329158333334</v>
      </c>
      <c r="E10" s="694"/>
      <c r="F10" s="694"/>
      <c r="G10" s="695"/>
      <c r="H10" s="695"/>
      <c r="I10" s="187">
        <f t="shared" si="0"/>
        <v>0</v>
      </c>
      <c r="J10" s="377">
        <f t="shared" si="1"/>
        <v>0</v>
      </c>
      <c r="K10" s="96">
        <f t="shared" si="2"/>
        <v>23250.329158333334</v>
      </c>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4"/>
      <c r="BG10" s="54"/>
      <c r="BH10" s="54"/>
      <c r="BI10" s="54"/>
      <c r="BJ10" s="54"/>
      <c r="BK10" s="54"/>
      <c r="BL10" s="54"/>
      <c r="BM10" s="54"/>
      <c r="BN10" s="54"/>
      <c r="BO10" s="54"/>
      <c r="BP10" s="54"/>
      <c r="BQ10" s="54"/>
      <c r="BR10" s="54"/>
      <c r="BS10" s="54"/>
      <c r="BT10" s="54"/>
      <c r="BU10" s="54"/>
      <c r="BV10" s="54"/>
      <c r="BW10" s="54"/>
      <c r="BX10" s="54"/>
      <c r="BY10" s="54"/>
      <c r="BZ10" s="54"/>
      <c r="CA10" s="54"/>
      <c r="CB10" s="54"/>
    </row>
    <row r="11" spans="1:80" ht="12.75" outlineLevel="1">
      <c r="A11" s="1284" t="s">
        <v>557</v>
      </c>
      <c r="B11" s="186" t="s">
        <v>493</v>
      </c>
      <c r="C11" s="694"/>
      <c r="D11" s="696"/>
      <c r="E11" s="694"/>
      <c r="F11" s="694"/>
      <c r="G11" s="695"/>
      <c r="H11" s="187">
        <f>'Emission Summary'!B121</f>
        <v>1425725.4103752396</v>
      </c>
      <c r="I11" s="187">
        <f t="shared" si="0"/>
        <v>0</v>
      </c>
      <c r="J11" s="377">
        <f t="shared" si="1"/>
        <v>1425725.4103752396</v>
      </c>
      <c r="K11" s="96">
        <f t="shared" si="2"/>
        <v>1425725.4103752396</v>
      </c>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4"/>
      <c r="BG11" s="54"/>
      <c r="BH11" s="54"/>
      <c r="BI11" s="54"/>
      <c r="BJ11" s="54"/>
      <c r="BK11" s="54"/>
      <c r="BL11" s="54"/>
      <c r="BM11" s="54"/>
      <c r="BN11" s="54"/>
      <c r="BO11" s="54"/>
      <c r="BP11" s="54"/>
      <c r="BQ11" s="54"/>
      <c r="BR11" s="54"/>
      <c r="BS11" s="54"/>
      <c r="BT11" s="54"/>
      <c r="BU11" s="54"/>
      <c r="BV11" s="54"/>
      <c r="BW11" s="54"/>
      <c r="BX11" s="54"/>
      <c r="BY11" s="54"/>
      <c r="BZ11" s="54"/>
      <c r="CA11" s="54"/>
      <c r="CB11" s="54"/>
    </row>
    <row r="12" spans="1:80" ht="12.75" outlineLevel="1">
      <c r="A12" s="1285"/>
      <c r="B12" s="186" t="s">
        <v>559</v>
      </c>
      <c r="C12" s="694"/>
      <c r="D12" s="696"/>
      <c r="E12" s="694"/>
      <c r="F12" s="694"/>
      <c r="G12" s="695"/>
      <c r="H12" s="187">
        <f>'Emission Summary'!B122</f>
        <v>958724.90635305655</v>
      </c>
      <c r="I12" s="187">
        <f t="shared" si="0"/>
        <v>0</v>
      </c>
      <c r="J12" s="377">
        <f t="shared" si="1"/>
        <v>958724.90635305655</v>
      </c>
      <c r="K12" s="96">
        <f t="shared" si="2"/>
        <v>958724.90635305655</v>
      </c>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4"/>
      <c r="BG12" s="54"/>
      <c r="BH12" s="54"/>
      <c r="BI12" s="54"/>
      <c r="BJ12" s="54"/>
      <c r="BK12" s="54"/>
      <c r="BL12" s="54"/>
      <c r="BM12" s="54"/>
      <c r="BN12" s="54"/>
      <c r="BO12" s="54"/>
      <c r="BP12" s="54"/>
      <c r="BQ12" s="54"/>
      <c r="BR12" s="54"/>
      <c r="BS12" s="54"/>
      <c r="BT12" s="54"/>
      <c r="BU12" s="54"/>
      <c r="BV12" s="54"/>
      <c r="BW12" s="54"/>
      <c r="BX12" s="54"/>
      <c r="BY12" s="54"/>
      <c r="BZ12" s="54"/>
      <c r="CA12" s="54"/>
      <c r="CB12" s="54"/>
    </row>
    <row r="13" spans="1:80" ht="12.75" outlineLevel="1">
      <c r="A13" s="1286"/>
      <c r="B13" s="186" t="s">
        <v>583</v>
      </c>
      <c r="C13" s="694"/>
      <c r="D13" s="696"/>
      <c r="E13" s="694"/>
      <c r="F13" s="694"/>
      <c r="G13" s="695"/>
      <c r="H13" s="187">
        <f>'Emission Summary'!B123</f>
        <v>18890.346420000002</v>
      </c>
      <c r="I13" s="187">
        <f>SUM(C13,E13,F13)</f>
        <v>0</v>
      </c>
      <c r="J13" s="377">
        <f t="shared" si="1"/>
        <v>18890.346420000002</v>
      </c>
      <c r="K13" s="96">
        <f t="shared" si="2"/>
        <v>18890.346420000002</v>
      </c>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4"/>
      <c r="BG13" s="54"/>
      <c r="BH13" s="54"/>
      <c r="BI13" s="54"/>
      <c r="BJ13" s="54"/>
      <c r="BK13" s="54"/>
      <c r="BL13" s="54"/>
      <c r="BM13" s="54"/>
      <c r="BN13" s="54"/>
      <c r="BO13" s="54"/>
      <c r="BP13" s="54"/>
      <c r="BQ13" s="54"/>
      <c r="BR13" s="54"/>
      <c r="BS13" s="54"/>
      <c r="BT13" s="54"/>
      <c r="BU13" s="54"/>
      <c r="BV13" s="54"/>
      <c r="BW13" s="54"/>
      <c r="BX13" s="54"/>
      <c r="BY13" s="54"/>
      <c r="BZ13" s="54"/>
      <c r="CA13" s="54"/>
      <c r="CB13" s="54"/>
    </row>
    <row r="14" spans="1:80" ht="12.75" outlineLevel="1">
      <c r="A14" s="1282" t="s">
        <v>78</v>
      </c>
      <c r="B14" s="1283"/>
      <c r="C14" s="152">
        <f>SUM(C5:C13)</f>
        <v>4802494.037425464</v>
      </c>
      <c r="D14" s="152">
        <f t="shared" ref="D14:K14" si="3">SUM(D5:D13)</f>
        <v>23250.329158333334</v>
      </c>
      <c r="E14" s="152">
        <f t="shared" si="3"/>
        <v>3456616.4612451275</v>
      </c>
      <c r="F14" s="152">
        <f t="shared" si="3"/>
        <v>169737.70290442201</v>
      </c>
      <c r="G14" s="152">
        <f t="shared" si="3"/>
        <v>2057662.9439781066</v>
      </c>
      <c r="H14" s="152">
        <f t="shared" si="3"/>
        <v>2403340.6631482961</v>
      </c>
      <c r="I14" s="152">
        <f>SUM(I5:I13)</f>
        <v>8428848.2015750129</v>
      </c>
      <c r="J14" s="152">
        <f>SUM(J5:J13)</f>
        <v>10832188.864723308</v>
      </c>
      <c r="K14" s="152">
        <f t="shared" si="3"/>
        <v>12913102.137859749</v>
      </c>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4"/>
      <c r="BG14" s="54"/>
      <c r="BH14" s="54"/>
      <c r="BI14" s="54"/>
      <c r="BJ14" s="54"/>
      <c r="BK14" s="54"/>
      <c r="BL14" s="54"/>
      <c r="BM14" s="54"/>
      <c r="BN14" s="54"/>
      <c r="BO14" s="54"/>
      <c r="BP14" s="54"/>
      <c r="BQ14" s="54"/>
      <c r="BR14" s="54"/>
      <c r="BS14" s="54"/>
      <c r="BT14" s="54"/>
      <c r="BU14" s="54"/>
      <c r="BV14" s="54"/>
      <c r="BW14" s="54"/>
      <c r="BX14" s="54"/>
      <c r="BY14" s="54"/>
      <c r="BZ14" s="54"/>
      <c r="CA14" s="54"/>
      <c r="CB14" s="54"/>
    </row>
    <row r="15" spans="1:80" ht="16.5" customHeight="1">
      <c r="A15" s="54"/>
      <c r="B15" s="54"/>
      <c r="C15" s="54"/>
      <c r="D15" s="54"/>
      <c r="E15" s="54"/>
      <c r="F15" s="54"/>
      <c r="G15" s="54"/>
      <c r="H15" s="54"/>
      <c r="I15" s="54"/>
      <c r="J15" s="948"/>
      <c r="K15" s="54"/>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4"/>
      <c r="BG15" s="54"/>
      <c r="BH15" s="54"/>
      <c r="BI15" s="54"/>
      <c r="BJ15" s="54"/>
      <c r="BK15" s="54"/>
      <c r="BL15" s="54"/>
      <c r="BM15" s="54"/>
      <c r="BN15" s="54"/>
      <c r="BO15" s="54"/>
      <c r="BP15" s="54"/>
      <c r="BQ15" s="54"/>
      <c r="BR15" s="54"/>
      <c r="BS15" s="54"/>
      <c r="BT15" s="54"/>
      <c r="BU15" s="54"/>
      <c r="BV15" s="54"/>
      <c r="BW15" s="54"/>
      <c r="BX15" s="54"/>
      <c r="BY15" s="54"/>
      <c r="BZ15" s="54"/>
      <c r="CA15" s="54"/>
      <c r="CB15" s="54"/>
    </row>
    <row r="16" spans="1:80" ht="16.5" customHeight="1">
      <c r="A16" s="54"/>
      <c r="B16" s="54"/>
      <c r="C16" s="948"/>
      <c r="D16" s="54"/>
      <c r="E16" s="54"/>
      <c r="F16" s="54"/>
      <c r="G16" s="54"/>
      <c r="H16" s="54"/>
      <c r="I16" s="54"/>
      <c r="J16" s="54"/>
      <c r="K16" s="54"/>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4"/>
      <c r="BG16" s="54"/>
      <c r="BH16" s="54"/>
      <c r="BI16" s="54"/>
      <c r="BJ16" s="54"/>
      <c r="BK16" s="54"/>
      <c r="BL16" s="54"/>
      <c r="BM16" s="54"/>
      <c r="BN16" s="54"/>
      <c r="BO16" s="54"/>
      <c r="BP16" s="54"/>
      <c r="BQ16" s="54"/>
      <c r="BR16" s="54"/>
      <c r="BS16" s="54"/>
      <c r="BT16" s="54"/>
      <c r="BU16" s="54"/>
      <c r="BV16" s="54"/>
      <c r="BW16" s="54"/>
      <c r="BX16" s="54"/>
      <c r="BY16" s="54"/>
      <c r="BZ16" s="54"/>
      <c r="CA16" s="54"/>
      <c r="CB16" s="54"/>
    </row>
    <row r="17" spans="1:80" ht="16.5" customHeight="1">
      <c r="A17" s="54"/>
      <c r="B17" s="54"/>
      <c r="C17" s="54"/>
      <c r="D17" s="54"/>
      <c r="E17" s="54"/>
      <c r="F17" s="54"/>
      <c r="G17" s="54"/>
      <c r="H17" s="54"/>
      <c r="I17" s="54"/>
      <c r="J17" s="54"/>
      <c r="K17" s="54"/>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4"/>
      <c r="BG17" s="54"/>
      <c r="BH17" s="54"/>
      <c r="BI17" s="54"/>
      <c r="BJ17" s="54"/>
      <c r="BK17" s="54"/>
      <c r="BL17" s="54"/>
      <c r="BM17" s="54"/>
      <c r="BN17" s="54"/>
      <c r="BO17" s="54"/>
      <c r="BP17" s="54"/>
      <c r="BQ17" s="54"/>
      <c r="BR17" s="54"/>
      <c r="BS17" s="54"/>
      <c r="BT17" s="54"/>
      <c r="BU17" s="54"/>
      <c r="BV17" s="54"/>
      <c r="BW17" s="54"/>
      <c r="BX17" s="54"/>
      <c r="BY17" s="54"/>
      <c r="BZ17" s="54"/>
      <c r="CA17" s="54"/>
      <c r="CB17" s="54"/>
    </row>
    <row r="18" spans="1:80" ht="16.5" customHeight="1">
      <c r="A18" s="54"/>
      <c r="B18" s="54"/>
      <c r="C18" s="54"/>
      <c r="D18" s="54"/>
      <c r="E18" s="54"/>
      <c r="F18" s="54"/>
      <c r="G18" s="54"/>
      <c r="H18" s="54"/>
      <c r="I18" s="54"/>
      <c r="J18" s="54"/>
      <c r="K18" s="54"/>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4"/>
      <c r="BG18" s="54"/>
      <c r="BH18" s="54"/>
      <c r="BI18" s="54"/>
      <c r="BJ18" s="54"/>
      <c r="BK18" s="54"/>
      <c r="BL18" s="54"/>
      <c r="BM18" s="54"/>
      <c r="BN18" s="54"/>
      <c r="BO18" s="54"/>
      <c r="BP18" s="54"/>
      <c r="BQ18" s="54"/>
      <c r="BR18" s="54"/>
      <c r="BS18" s="54"/>
      <c r="BT18" s="54"/>
      <c r="BU18" s="54"/>
      <c r="BV18" s="54"/>
      <c r="BW18" s="54"/>
      <c r="BX18" s="54"/>
      <c r="BY18" s="54"/>
      <c r="BZ18" s="54"/>
      <c r="CA18" s="54"/>
      <c r="CB18" s="54"/>
    </row>
    <row r="19" spans="1:80" ht="16.5" customHeight="1">
      <c r="A19" s="54"/>
      <c r="B19" s="54"/>
      <c r="C19" s="54"/>
      <c r="D19" s="54"/>
      <c r="E19" s="54"/>
      <c r="F19" s="54"/>
      <c r="G19" s="54"/>
      <c r="H19" s="54"/>
      <c r="I19" s="54"/>
      <c r="J19" s="54"/>
      <c r="K19" s="54"/>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4"/>
      <c r="BG19" s="54"/>
      <c r="BH19" s="54"/>
      <c r="BI19" s="54"/>
      <c r="BJ19" s="54"/>
      <c r="BK19" s="54"/>
      <c r="BL19" s="54"/>
      <c r="BM19" s="54"/>
      <c r="BN19" s="54"/>
      <c r="BO19" s="54"/>
      <c r="BP19" s="54"/>
      <c r="BQ19" s="54"/>
      <c r="BR19" s="54"/>
      <c r="BS19" s="54"/>
      <c r="BT19" s="54"/>
      <c r="BU19" s="54"/>
      <c r="BV19" s="54"/>
      <c r="BW19" s="54"/>
      <c r="BX19" s="54"/>
      <c r="BY19" s="54"/>
      <c r="BZ19" s="54"/>
      <c r="CA19" s="54"/>
      <c r="CB19" s="54"/>
    </row>
    <row r="20" spans="1:80" ht="16.5" customHeight="1">
      <c r="A20" s="54"/>
      <c r="B20" s="54"/>
      <c r="C20" s="54"/>
      <c r="D20" s="54"/>
      <c r="E20" s="54"/>
      <c r="F20" s="54"/>
      <c r="G20" s="54"/>
      <c r="H20" s="54"/>
      <c r="I20" s="54"/>
      <c r="J20" s="54"/>
      <c r="K20" s="54"/>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4"/>
      <c r="BG20" s="54"/>
      <c r="BH20" s="54"/>
      <c r="BI20" s="54"/>
      <c r="BJ20" s="54"/>
      <c r="BK20" s="54"/>
      <c r="BL20" s="54"/>
      <c r="BM20" s="54"/>
      <c r="BN20" s="54"/>
      <c r="BO20" s="54"/>
      <c r="BP20" s="54"/>
      <c r="BQ20" s="54"/>
      <c r="BR20" s="54"/>
      <c r="BS20" s="54"/>
      <c r="BT20" s="54"/>
      <c r="BU20" s="54"/>
      <c r="BV20" s="54"/>
      <c r="BW20" s="54"/>
      <c r="BX20" s="54"/>
      <c r="BY20" s="54"/>
      <c r="BZ20" s="54"/>
      <c r="CA20" s="54"/>
      <c r="CB20" s="54"/>
    </row>
    <row r="21" spans="1:80" ht="16.5" customHeight="1">
      <c r="A21" s="54"/>
      <c r="B21" s="54"/>
      <c r="C21" s="54"/>
      <c r="D21" s="54"/>
      <c r="E21" s="54"/>
      <c r="F21" s="54"/>
      <c r="G21" s="54"/>
      <c r="H21" s="54"/>
      <c r="I21" s="54"/>
      <c r="J21" s="54"/>
      <c r="K21" s="54"/>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4"/>
      <c r="BG21" s="54"/>
      <c r="BH21" s="54"/>
      <c r="BI21" s="54"/>
      <c r="BJ21" s="54"/>
      <c r="BK21" s="54"/>
      <c r="BL21" s="54"/>
      <c r="BM21" s="54"/>
      <c r="BN21" s="54"/>
      <c r="BO21" s="54"/>
      <c r="BP21" s="54"/>
      <c r="BQ21" s="54"/>
      <c r="BR21" s="54"/>
      <c r="BS21" s="54"/>
      <c r="BT21" s="54"/>
      <c r="BU21" s="54"/>
      <c r="BV21" s="54"/>
      <c r="BW21" s="54"/>
      <c r="BX21" s="54"/>
      <c r="BY21" s="54"/>
      <c r="BZ21" s="54"/>
      <c r="CA21" s="54"/>
      <c r="CB21" s="54"/>
    </row>
    <row r="22" spans="1:80" ht="16.5" customHeight="1">
      <c r="A22" s="54"/>
      <c r="B22" s="54"/>
      <c r="C22" s="54"/>
      <c r="D22" s="54"/>
      <c r="E22" s="54"/>
      <c r="F22" s="54"/>
      <c r="G22" s="54"/>
      <c r="H22" s="54"/>
      <c r="I22" s="54"/>
      <c r="J22" s="54"/>
      <c r="K22" s="54"/>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4"/>
      <c r="BG22" s="54"/>
      <c r="BH22" s="54"/>
      <c r="BI22" s="54"/>
      <c r="BJ22" s="54"/>
      <c r="BK22" s="54"/>
      <c r="BL22" s="54"/>
      <c r="BM22" s="54"/>
      <c r="BN22" s="54"/>
      <c r="BO22" s="54"/>
      <c r="BP22" s="54"/>
      <c r="BQ22" s="54"/>
      <c r="BR22" s="54"/>
      <c r="BS22" s="54"/>
      <c r="BT22" s="54"/>
      <c r="BU22" s="54"/>
      <c r="BV22" s="54"/>
      <c r="BW22" s="54"/>
      <c r="BX22" s="54"/>
      <c r="BY22" s="54"/>
      <c r="BZ22" s="54"/>
      <c r="CA22" s="54"/>
      <c r="CB22" s="54"/>
    </row>
    <row r="23" spans="1:80" ht="16.5" customHeight="1">
      <c r="A23" s="54"/>
      <c r="B23" s="54"/>
      <c r="C23" s="54"/>
      <c r="D23" s="54"/>
      <c r="E23" s="54"/>
      <c r="F23" s="54"/>
      <c r="G23" s="54"/>
      <c r="H23" s="54"/>
      <c r="I23" s="54"/>
      <c r="J23" s="54"/>
      <c r="K23" s="54"/>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4"/>
      <c r="BG23" s="54"/>
      <c r="BH23" s="54"/>
      <c r="BI23" s="54"/>
      <c r="BJ23" s="54"/>
      <c r="BK23" s="54"/>
      <c r="BL23" s="54"/>
      <c r="BM23" s="54"/>
      <c r="BN23" s="54"/>
      <c r="BO23" s="54"/>
      <c r="BP23" s="54"/>
      <c r="BQ23" s="54"/>
      <c r="BR23" s="54"/>
      <c r="BS23" s="54"/>
      <c r="BT23" s="54"/>
      <c r="BU23" s="54"/>
      <c r="BV23" s="54"/>
      <c r="BW23" s="54"/>
      <c r="BX23" s="54"/>
      <c r="BY23" s="54"/>
      <c r="BZ23" s="54"/>
      <c r="CA23" s="54"/>
      <c r="CB23" s="54"/>
    </row>
    <row r="24" spans="1:80" ht="16.5" customHeight="1">
      <c r="A24" s="54"/>
      <c r="B24" s="54"/>
      <c r="C24" s="54"/>
      <c r="D24" s="54"/>
      <c r="E24" s="54"/>
      <c r="F24" s="54"/>
      <c r="G24" s="54"/>
      <c r="H24" s="54"/>
      <c r="I24" s="54"/>
      <c r="J24" s="54"/>
      <c r="K24" s="54"/>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4"/>
      <c r="BG24" s="54"/>
      <c r="BH24" s="54"/>
      <c r="BI24" s="54"/>
      <c r="BJ24" s="54"/>
      <c r="BK24" s="54"/>
      <c r="BL24" s="54"/>
      <c r="BM24" s="54"/>
      <c r="BN24" s="54"/>
      <c r="BO24" s="54"/>
      <c r="BP24" s="54"/>
      <c r="BQ24" s="54"/>
      <c r="BR24" s="54"/>
      <c r="BS24" s="54"/>
      <c r="BT24" s="54"/>
      <c r="BU24" s="54"/>
      <c r="BV24" s="54"/>
      <c r="BW24" s="54"/>
      <c r="BX24" s="54"/>
      <c r="BY24" s="54"/>
      <c r="BZ24" s="54"/>
      <c r="CA24" s="54"/>
      <c r="CB24" s="54"/>
    </row>
    <row r="25" spans="1:80" ht="16.5" customHeight="1">
      <c r="A25" s="54"/>
      <c r="B25" s="54"/>
      <c r="C25" s="54"/>
      <c r="D25" s="54"/>
      <c r="E25" s="54"/>
      <c r="F25" s="54"/>
      <c r="G25" s="54"/>
      <c r="H25" s="54"/>
      <c r="I25" s="54"/>
      <c r="J25" s="54"/>
      <c r="K25" s="54"/>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4"/>
      <c r="BG25" s="54"/>
      <c r="BH25" s="54"/>
      <c r="BI25" s="54"/>
      <c r="BJ25" s="54"/>
      <c r="BK25" s="54"/>
      <c r="BL25" s="54"/>
      <c r="BM25" s="54"/>
      <c r="BN25" s="54"/>
      <c r="BO25" s="54"/>
      <c r="BP25" s="54"/>
      <c r="BQ25" s="54"/>
      <c r="BR25" s="54"/>
      <c r="BS25" s="54"/>
      <c r="BT25" s="54"/>
      <c r="BU25" s="54"/>
      <c r="BV25" s="54"/>
      <c r="BW25" s="54"/>
      <c r="BX25" s="54"/>
      <c r="BY25" s="54"/>
      <c r="BZ25" s="54"/>
      <c r="CA25" s="54"/>
      <c r="CB25" s="54"/>
    </row>
    <row r="26" spans="1:80" ht="16.5" customHeight="1">
      <c r="A26" s="54"/>
      <c r="B26" s="54"/>
      <c r="C26" s="54"/>
      <c r="D26" s="54"/>
      <c r="E26" s="54"/>
      <c r="F26" s="54"/>
      <c r="G26" s="54"/>
      <c r="H26" s="54"/>
      <c r="I26" s="54"/>
      <c r="J26" s="54"/>
      <c r="K26" s="54"/>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4"/>
      <c r="BG26" s="54"/>
      <c r="BH26" s="54"/>
      <c r="BI26" s="54"/>
      <c r="BJ26" s="54"/>
      <c r="BK26" s="54"/>
      <c r="BL26" s="54"/>
      <c r="BM26" s="54"/>
      <c r="BN26" s="54"/>
      <c r="BO26" s="54"/>
      <c r="BP26" s="54"/>
      <c r="BQ26" s="54"/>
      <c r="BR26" s="54"/>
      <c r="BS26" s="54"/>
      <c r="BT26" s="54"/>
      <c r="BU26" s="54"/>
      <c r="BV26" s="54"/>
      <c r="BW26" s="54"/>
      <c r="BX26" s="54"/>
      <c r="BY26" s="54"/>
      <c r="BZ26" s="54"/>
      <c r="CA26" s="54"/>
      <c r="CB26" s="54"/>
    </row>
    <row r="27" spans="1:80" ht="16.5" customHeight="1">
      <c r="A27" s="54"/>
      <c r="B27" s="54"/>
      <c r="C27" s="54"/>
      <c r="D27" s="54"/>
      <c r="E27" s="54"/>
      <c r="F27" s="54"/>
      <c r="G27" s="54"/>
      <c r="H27" s="54"/>
      <c r="I27" s="54"/>
      <c r="J27" s="54"/>
      <c r="K27" s="54"/>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4"/>
      <c r="BG27" s="54"/>
      <c r="BH27" s="54"/>
      <c r="BI27" s="54"/>
      <c r="BJ27" s="54"/>
      <c r="BK27" s="54"/>
      <c r="BL27" s="54"/>
      <c r="BM27" s="54"/>
      <c r="BN27" s="54"/>
      <c r="BO27" s="54"/>
      <c r="BP27" s="54"/>
      <c r="BQ27" s="54"/>
      <c r="BR27" s="54"/>
      <c r="BS27" s="54"/>
      <c r="BT27" s="54"/>
      <c r="BU27" s="54"/>
      <c r="BV27" s="54"/>
      <c r="BW27" s="54"/>
      <c r="BX27" s="54"/>
      <c r="BY27" s="54"/>
      <c r="BZ27" s="54"/>
      <c r="CA27" s="54"/>
      <c r="CB27" s="54"/>
    </row>
    <row r="28" spans="1:80" ht="16.5" customHeight="1">
      <c r="A28" s="54"/>
      <c r="B28" s="54"/>
      <c r="C28" s="54"/>
      <c r="D28" s="54"/>
      <c r="E28" s="54"/>
      <c r="F28" s="54"/>
      <c r="G28" s="54"/>
      <c r="H28" s="54"/>
      <c r="I28" s="54"/>
      <c r="J28" s="54"/>
      <c r="K28" s="54"/>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4"/>
      <c r="BG28" s="54"/>
      <c r="BH28" s="54"/>
      <c r="BI28" s="54"/>
      <c r="BJ28" s="54"/>
      <c r="BK28" s="54"/>
      <c r="BL28" s="54"/>
      <c r="BM28" s="54"/>
      <c r="BN28" s="54"/>
      <c r="BO28" s="54"/>
      <c r="BP28" s="54"/>
      <c r="BQ28" s="54"/>
      <c r="BR28" s="54"/>
      <c r="BS28" s="54"/>
      <c r="BT28" s="54"/>
      <c r="BU28" s="54"/>
      <c r="BV28" s="54"/>
      <c r="BW28" s="54"/>
      <c r="BX28" s="54"/>
      <c r="BY28" s="54"/>
      <c r="BZ28" s="54"/>
      <c r="CA28" s="54"/>
      <c r="CB28" s="54"/>
    </row>
    <row r="29" spans="1:80" ht="16.5" customHeight="1">
      <c r="A29" s="54"/>
      <c r="B29" s="54"/>
      <c r="C29" s="54"/>
      <c r="D29" s="54"/>
      <c r="E29" s="54"/>
      <c r="F29" s="54"/>
      <c r="G29" s="54"/>
      <c r="H29" s="54"/>
      <c r="I29" s="54"/>
      <c r="J29" s="54"/>
      <c r="K29" s="54"/>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4"/>
      <c r="BG29" s="54"/>
      <c r="BH29" s="54"/>
      <c r="BI29" s="54"/>
      <c r="BJ29" s="54"/>
      <c r="BK29" s="54"/>
      <c r="BL29" s="54"/>
      <c r="BM29" s="54"/>
      <c r="BN29" s="54"/>
      <c r="BO29" s="54"/>
      <c r="BP29" s="54"/>
      <c r="BQ29" s="54"/>
      <c r="BR29" s="54"/>
      <c r="BS29" s="54"/>
      <c r="BT29" s="54"/>
      <c r="BU29" s="54"/>
      <c r="BV29" s="54"/>
      <c r="BW29" s="54"/>
      <c r="BX29" s="54"/>
      <c r="BY29" s="54"/>
      <c r="BZ29" s="54"/>
      <c r="CA29" s="54"/>
      <c r="CB29" s="54"/>
    </row>
    <row r="30" spans="1:80" ht="16.5" customHeight="1">
      <c r="A30" s="54"/>
      <c r="B30" s="54"/>
      <c r="C30" s="54"/>
      <c r="D30" s="54"/>
      <c r="E30" s="54"/>
      <c r="F30" s="54"/>
      <c r="G30" s="54"/>
      <c r="H30" s="54"/>
      <c r="I30" s="54"/>
      <c r="J30" s="54"/>
      <c r="K30" s="54"/>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4"/>
      <c r="BG30" s="54"/>
      <c r="BH30" s="54"/>
      <c r="BI30" s="54"/>
      <c r="BJ30" s="54"/>
      <c r="BK30" s="54"/>
      <c r="BL30" s="54"/>
      <c r="BM30" s="54"/>
      <c r="BN30" s="54"/>
      <c r="BO30" s="54"/>
      <c r="BP30" s="54"/>
      <c r="BQ30" s="54"/>
      <c r="BR30" s="54"/>
      <c r="BS30" s="54"/>
      <c r="BT30" s="54"/>
      <c r="BU30" s="54"/>
      <c r="BV30" s="54"/>
      <c r="BW30" s="54"/>
      <c r="BX30" s="54"/>
      <c r="BY30" s="54"/>
      <c r="BZ30" s="54"/>
      <c r="CA30" s="54"/>
      <c r="CB30" s="54"/>
    </row>
    <row r="31" spans="1:80" ht="16.5" customHeight="1">
      <c r="A31" s="54"/>
      <c r="B31" s="54"/>
      <c r="C31" s="54"/>
      <c r="D31" s="54"/>
      <c r="E31" s="54"/>
      <c r="F31" s="54"/>
      <c r="G31" s="54"/>
      <c r="H31" s="54"/>
      <c r="I31" s="54"/>
      <c r="J31" s="54"/>
      <c r="K31" s="54"/>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4"/>
      <c r="BG31" s="54"/>
      <c r="BH31" s="54"/>
      <c r="BI31" s="54"/>
      <c r="BJ31" s="54"/>
      <c r="BK31" s="54"/>
      <c r="BL31" s="54"/>
      <c r="BM31" s="54"/>
      <c r="BN31" s="54"/>
      <c r="BO31" s="54"/>
      <c r="BP31" s="54"/>
      <c r="BQ31" s="54"/>
      <c r="BR31" s="54"/>
      <c r="BS31" s="54"/>
      <c r="BT31" s="54"/>
      <c r="BU31" s="54"/>
      <c r="BV31" s="54"/>
      <c r="BW31" s="54"/>
      <c r="BX31" s="54"/>
      <c r="BY31" s="54"/>
      <c r="BZ31" s="54"/>
      <c r="CA31" s="54"/>
      <c r="CB31" s="54"/>
    </row>
    <row r="32" spans="1:80" ht="16.5" customHeight="1">
      <c r="A32" s="54"/>
      <c r="B32" s="54"/>
      <c r="C32" s="54"/>
      <c r="D32" s="54"/>
      <c r="E32" s="54"/>
      <c r="F32" s="54"/>
      <c r="G32" s="54"/>
      <c r="H32" s="54"/>
      <c r="I32" s="54"/>
      <c r="J32" s="54"/>
      <c r="K32" s="54"/>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4"/>
      <c r="BG32" s="54"/>
      <c r="BH32" s="54"/>
      <c r="BI32" s="54"/>
      <c r="BJ32" s="54"/>
      <c r="BK32" s="54"/>
      <c r="BL32" s="54"/>
      <c r="BM32" s="54"/>
      <c r="BN32" s="54"/>
      <c r="BO32" s="54"/>
      <c r="BP32" s="54"/>
      <c r="BQ32" s="54"/>
      <c r="BR32" s="54"/>
      <c r="BS32" s="54"/>
      <c r="BT32" s="54"/>
      <c r="BU32" s="54"/>
      <c r="BV32" s="54"/>
      <c r="BW32" s="54"/>
      <c r="BX32" s="54"/>
      <c r="BY32" s="54"/>
      <c r="BZ32" s="54"/>
      <c r="CA32" s="54"/>
      <c r="CB32" s="54"/>
    </row>
    <row r="33" spans="1:80" ht="16.5" customHeight="1">
      <c r="A33" s="54"/>
      <c r="B33" s="54"/>
      <c r="C33" s="54"/>
      <c r="D33" s="54"/>
      <c r="E33" s="54"/>
      <c r="F33" s="54"/>
      <c r="G33" s="54"/>
      <c r="H33" s="54"/>
      <c r="I33" s="54"/>
      <c r="J33" s="54"/>
      <c r="K33" s="54"/>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4"/>
      <c r="BG33" s="54"/>
      <c r="BH33" s="54"/>
      <c r="BI33" s="54"/>
      <c r="BJ33" s="54"/>
      <c r="BK33" s="54"/>
      <c r="BL33" s="54"/>
      <c r="BM33" s="54"/>
      <c r="BN33" s="54"/>
      <c r="BO33" s="54"/>
      <c r="BP33" s="54"/>
      <c r="BQ33" s="54"/>
      <c r="BR33" s="54"/>
      <c r="BS33" s="54"/>
      <c r="BT33" s="54"/>
      <c r="BU33" s="54"/>
      <c r="BV33" s="54"/>
      <c r="BW33" s="54"/>
      <c r="BX33" s="54"/>
      <c r="BY33" s="54"/>
      <c r="BZ33" s="54"/>
      <c r="CA33" s="54"/>
      <c r="CB33" s="54"/>
    </row>
    <row r="34" spans="1:80" ht="16.5" customHeight="1">
      <c r="A34" s="54"/>
      <c r="B34" s="54"/>
      <c r="C34" s="54"/>
      <c r="D34" s="54"/>
      <c r="E34" s="54"/>
      <c r="F34" s="54"/>
      <c r="G34" s="54"/>
      <c r="H34" s="54"/>
      <c r="I34" s="54"/>
      <c r="J34" s="54"/>
      <c r="K34" s="54"/>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4"/>
      <c r="BG34" s="54"/>
      <c r="BH34" s="54"/>
      <c r="BI34" s="54"/>
      <c r="BJ34" s="54"/>
      <c r="BK34" s="54"/>
      <c r="BL34" s="54"/>
      <c r="BM34" s="54"/>
      <c r="BN34" s="54"/>
      <c r="BO34" s="54"/>
      <c r="BP34" s="54"/>
      <c r="BQ34" s="54"/>
      <c r="BR34" s="54"/>
      <c r="BS34" s="54"/>
      <c r="BT34" s="54"/>
      <c r="BU34" s="54"/>
      <c r="BV34" s="54"/>
      <c r="BW34" s="54"/>
      <c r="BX34" s="54"/>
      <c r="BY34" s="54"/>
      <c r="BZ34" s="54"/>
      <c r="CA34" s="54"/>
      <c r="CB34" s="54"/>
    </row>
    <row r="35" spans="1:80" ht="16.5" customHeight="1">
      <c r="A35" s="54"/>
      <c r="B35" s="54"/>
      <c r="C35" s="54"/>
      <c r="D35" s="54"/>
      <c r="E35" s="54"/>
      <c r="F35" s="54"/>
      <c r="G35" s="54"/>
      <c r="H35" s="54"/>
      <c r="I35" s="54"/>
      <c r="J35" s="54"/>
      <c r="K35" s="54"/>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4"/>
      <c r="BG35" s="54"/>
      <c r="BH35" s="54"/>
      <c r="BI35" s="54"/>
      <c r="BJ35" s="54"/>
      <c r="BK35" s="54"/>
      <c r="BL35" s="54"/>
      <c r="BM35" s="54"/>
      <c r="BN35" s="54"/>
      <c r="BO35" s="54"/>
      <c r="BP35" s="54"/>
      <c r="BQ35" s="54"/>
      <c r="BR35" s="54"/>
      <c r="BS35" s="54"/>
      <c r="BT35" s="54"/>
      <c r="BU35" s="54"/>
      <c r="BV35" s="54"/>
      <c r="BW35" s="54"/>
      <c r="BX35" s="54"/>
      <c r="BY35" s="54"/>
      <c r="BZ35" s="54"/>
      <c r="CA35" s="54"/>
      <c r="CB35" s="54"/>
    </row>
    <row r="36" spans="1:80" ht="16.5" customHeight="1">
      <c r="A36" s="54"/>
      <c r="B36" s="54"/>
      <c r="C36" s="54"/>
      <c r="D36" s="54"/>
      <c r="E36" s="54"/>
      <c r="F36" s="54"/>
      <c r="G36" s="54"/>
      <c r="H36" s="54"/>
      <c r="I36" s="54"/>
      <c r="J36" s="54"/>
      <c r="K36" s="54"/>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4"/>
      <c r="BG36" s="54"/>
      <c r="BH36" s="54"/>
      <c r="BI36" s="54"/>
      <c r="BJ36" s="54"/>
      <c r="BK36" s="54"/>
      <c r="BL36" s="54"/>
      <c r="BM36" s="54"/>
      <c r="BN36" s="54"/>
      <c r="BO36" s="54"/>
      <c r="BP36" s="54"/>
      <c r="BQ36" s="54"/>
      <c r="BR36" s="54"/>
      <c r="BS36" s="54"/>
      <c r="BT36" s="54"/>
      <c r="BU36" s="54"/>
      <c r="BV36" s="54"/>
      <c r="BW36" s="54"/>
      <c r="BX36" s="54"/>
      <c r="BY36" s="54"/>
      <c r="BZ36" s="54"/>
      <c r="CA36" s="54"/>
      <c r="CB36" s="54"/>
    </row>
    <row r="37" spans="1:80" ht="16.5" customHeight="1">
      <c r="A37" s="54"/>
      <c r="B37" s="54"/>
      <c r="C37" s="54"/>
      <c r="D37" s="54"/>
      <c r="E37" s="54"/>
      <c r="F37" s="54"/>
      <c r="G37" s="54"/>
      <c r="H37" s="54"/>
      <c r="I37" s="54"/>
      <c r="J37" s="54"/>
      <c r="K37" s="54"/>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4"/>
      <c r="BG37" s="54"/>
      <c r="BH37" s="54"/>
      <c r="BI37" s="54"/>
      <c r="BJ37" s="54"/>
      <c r="BK37" s="54"/>
      <c r="BL37" s="54"/>
      <c r="BM37" s="54"/>
      <c r="BN37" s="54"/>
      <c r="BO37" s="54"/>
      <c r="BP37" s="54"/>
      <c r="BQ37" s="54"/>
      <c r="BR37" s="54"/>
      <c r="BS37" s="54"/>
      <c r="BT37" s="54"/>
      <c r="BU37" s="54"/>
      <c r="BV37" s="54"/>
      <c r="BW37" s="54"/>
      <c r="BX37" s="54"/>
      <c r="BY37" s="54"/>
      <c r="BZ37" s="54"/>
      <c r="CA37" s="54"/>
      <c r="CB37" s="54"/>
    </row>
    <row r="38" spans="1:80" ht="16.5" customHeight="1">
      <c r="A38" s="54"/>
      <c r="B38" s="54"/>
      <c r="C38" s="54"/>
      <c r="D38" s="54"/>
      <c r="E38" s="54"/>
      <c r="F38" s="54"/>
      <c r="G38" s="54"/>
      <c r="H38" s="54"/>
      <c r="I38" s="54"/>
      <c r="J38" s="54"/>
      <c r="K38" s="54"/>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4"/>
      <c r="BG38" s="54"/>
      <c r="BH38" s="54"/>
      <c r="BI38" s="54"/>
      <c r="BJ38" s="54"/>
      <c r="BK38" s="54"/>
      <c r="BL38" s="54"/>
      <c r="BM38" s="54"/>
      <c r="BN38" s="54"/>
      <c r="BO38" s="54"/>
      <c r="BP38" s="54"/>
      <c r="BQ38" s="54"/>
      <c r="BR38" s="54"/>
      <c r="BS38" s="54"/>
      <c r="BT38" s="54"/>
      <c r="BU38" s="54"/>
      <c r="BV38" s="54"/>
      <c r="BW38" s="54"/>
      <c r="BX38" s="54"/>
      <c r="BY38" s="54"/>
      <c r="BZ38" s="54"/>
      <c r="CA38" s="54"/>
      <c r="CB38" s="54"/>
    </row>
    <row r="39" spans="1:80" ht="16.5" customHeight="1">
      <c r="A39" s="54"/>
      <c r="B39" s="54"/>
      <c r="C39" s="54"/>
      <c r="D39" s="54"/>
      <c r="E39" s="54"/>
      <c r="F39" s="54"/>
      <c r="G39" s="54"/>
      <c r="H39" s="54"/>
      <c r="I39" s="54"/>
      <c r="J39" s="54"/>
      <c r="K39" s="54"/>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4"/>
      <c r="BG39" s="54"/>
      <c r="BH39" s="54"/>
      <c r="BI39" s="54"/>
      <c r="BJ39" s="54"/>
      <c r="BK39" s="54"/>
      <c r="BL39" s="54"/>
      <c r="BM39" s="54"/>
      <c r="BN39" s="54"/>
      <c r="BO39" s="54"/>
      <c r="BP39" s="54"/>
      <c r="BQ39" s="54"/>
      <c r="BR39" s="54"/>
      <c r="BS39" s="54"/>
      <c r="BT39" s="54"/>
      <c r="BU39" s="54"/>
      <c r="BV39" s="54"/>
      <c r="BW39" s="54"/>
      <c r="BX39" s="54"/>
      <c r="BY39" s="54"/>
      <c r="BZ39" s="54"/>
      <c r="CA39" s="54"/>
      <c r="CB39" s="54"/>
    </row>
    <row r="40" spans="1:80" ht="16.5" customHeight="1">
      <c r="A40" s="54"/>
      <c r="B40" s="54"/>
      <c r="C40" s="54"/>
      <c r="D40" s="54"/>
      <c r="E40" s="54"/>
      <c r="F40" s="54"/>
      <c r="G40" s="54"/>
      <c r="H40" s="54"/>
      <c r="I40" s="54"/>
      <c r="J40" s="54"/>
      <c r="K40" s="54"/>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2"/>
      <c r="BF40" s="54"/>
      <c r="BG40" s="54"/>
      <c r="BH40" s="54"/>
      <c r="BI40" s="54"/>
      <c r="BJ40" s="54"/>
      <c r="BK40" s="54"/>
      <c r="BL40" s="54"/>
      <c r="BM40" s="54"/>
      <c r="BN40" s="54"/>
      <c r="BO40" s="54"/>
      <c r="BP40" s="54"/>
      <c r="BQ40" s="54"/>
      <c r="BR40" s="54"/>
      <c r="BS40" s="54"/>
      <c r="BT40" s="54"/>
      <c r="BU40" s="54"/>
      <c r="BV40" s="54"/>
      <c r="BW40" s="54"/>
      <c r="BX40" s="54"/>
      <c r="BY40" s="54"/>
      <c r="BZ40" s="54"/>
      <c r="CA40" s="54"/>
      <c r="CB40" s="54"/>
    </row>
    <row r="41" spans="1:80" ht="16.5" customHeight="1">
      <c r="A41" s="54"/>
      <c r="B41" s="54"/>
      <c r="C41" s="54"/>
      <c r="D41" s="54"/>
      <c r="E41" s="54"/>
      <c r="F41" s="54"/>
      <c r="G41" s="54"/>
      <c r="H41" s="54"/>
      <c r="I41" s="54"/>
      <c r="J41" s="54"/>
      <c r="K41" s="54"/>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4"/>
      <c r="BG41" s="54"/>
      <c r="BH41" s="54"/>
      <c r="BI41" s="54"/>
      <c r="BJ41" s="54"/>
      <c r="BK41" s="54"/>
      <c r="BL41" s="54"/>
      <c r="BM41" s="54"/>
      <c r="BN41" s="54"/>
      <c r="BO41" s="54"/>
      <c r="BP41" s="54"/>
      <c r="BQ41" s="54"/>
      <c r="BR41" s="54"/>
      <c r="BS41" s="54"/>
      <c r="BT41" s="54"/>
      <c r="BU41" s="54"/>
      <c r="BV41" s="54"/>
      <c r="BW41" s="54"/>
      <c r="BX41" s="54"/>
      <c r="BY41" s="54"/>
      <c r="BZ41" s="54"/>
      <c r="CA41" s="54"/>
      <c r="CB41" s="54"/>
    </row>
    <row r="42" spans="1:80" ht="16.5" customHeight="1">
      <c r="A42" s="54"/>
      <c r="B42" s="54"/>
      <c r="C42" s="54"/>
      <c r="D42" s="54"/>
      <c r="E42" s="54"/>
      <c r="F42" s="54"/>
      <c r="G42" s="54"/>
      <c r="H42" s="54"/>
      <c r="I42" s="54"/>
      <c r="J42" s="54"/>
      <c r="K42" s="54"/>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4"/>
      <c r="BG42" s="54"/>
      <c r="BH42" s="54"/>
      <c r="BI42" s="54"/>
      <c r="BJ42" s="54"/>
      <c r="BK42" s="54"/>
      <c r="BL42" s="54"/>
      <c r="BM42" s="54"/>
      <c r="BN42" s="54"/>
      <c r="BO42" s="54"/>
      <c r="BP42" s="54"/>
      <c r="BQ42" s="54"/>
      <c r="BR42" s="54"/>
      <c r="BS42" s="54"/>
      <c r="BT42" s="54"/>
      <c r="BU42" s="54"/>
      <c r="BV42" s="54"/>
      <c r="BW42" s="54"/>
      <c r="BX42" s="54"/>
      <c r="BY42" s="54"/>
      <c r="BZ42" s="54"/>
      <c r="CA42" s="54"/>
      <c r="CB42" s="54"/>
    </row>
    <row r="43" spans="1:80" ht="16.5" customHeight="1">
      <c r="A43" s="54"/>
      <c r="B43" s="54"/>
      <c r="C43" s="54"/>
      <c r="D43" s="54"/>
      <c r="E43" s="54"/>
      <c r="F43" s="54"/>
      <c r="G43" s="54"/>
      <c r="H43" s="54"/>
      <c r="I43" s="54"/>
      <c r="J43" s="54"/>
      <c r="K43" s="54"/>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4"/>
      <c r="BG43" s="54"/>
      <c r="BH43" s="54"/>
      <c r="BI43" s="54"/>
      <c r="BJ43" s="54"/>
      <c r="BK43" s="54"/>
      <c r="BL43" s="54"/>
      <c r="BM43" s="54"/>
      <c r="BN43" s="54"/>
      <c r="BO43" s="54"/>
      <c r="BP43" s="54"/>
      <c r="BQ43" s="54"/>
      <c r="BR43" s="54"/>
      <c r="BS43" s="54"/>
      <c r="BT43" s="54"/>
      <c r="BU43" s="54"/>
      <c r="BV43" s="54"/>
      <c r="BW43" s="54"/>
      <c r="BX43" s="54"/>
      <c r="BY43" s="54"/>
      <c r="BZ43" s="54"/>
      <c r="CA43" s="54"/>
      <c r="CB43" s="54"/>
    </row>
    <row r="44" spans="1:80" ht="16.5" customHeight="1">
      <c r="A44" s="54"/>
      <c r="B44" s="54"/>
      <c r="C44" s="54"/>
      <c r="D44" s="54"/>
      <c r="E44" s="54"/>
      <c r="F44" s="54"/>
      <c r="G44" s="54"/>
      <c r="H44" s="54"/>
      <c r="I44" s="54"/>
      <c r="J44" s="54"/>
      <c r="K44" s="54"/>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4"/>
      <c r="BG44" s="54"/>
      <c r="BH44" s="54"/>
      <c r="BI44" s="54"/>
      <c r="BJ44" s="54"/>
      <c r="BK44" s="54"/>
      <c r="BL44" s="54"/>
      <c r="BM44" s="54"/>
      <c r="BN44" s="54"/>
      <c r="BO44" s="54"/>
      <c r="BP44" s="54"/>
      <c r="BQ44" s="54"/>
      <c r="BR44" s="54"/>
      <c r="BS44" s="54"/>
      <c r="BT44" s="54"/>
      <c r="BU44" s="54"/>
      <c r="BV44" s="54"/>
      <c r="BW44" s="54"/>
      <c r="BX44" s="54"/>
      <c r="BY44" s="54"/>
      <c r="BZ44" s="54"/>
      <c r="CA44" s="54"/>
      <c r="CB44" s="54"/>
    </row>
    <row r="45" spans="1:80" ht="16.5" customHeight="1">
      <c r="A45" s="54"/>
      <c r="B45" s="54"/>
      <c r="C45" s="54"/>
      <c r="D45" s="54"/>
      <c r="E45" s="54"/>
      <c r="F45" s="54"/>
      <c r="G45" s="54"/>
      <c r="H45" s="54"/>
      <c r="I45" s="54"/>
      <c r="J45" s="54"/>
      <c r="K45" s="54"/>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52"/>
      <c r="AW45" s="52"/>
      <c r="AX45" s="52"/>
      <c r="AY45" s="52"/>
      <c r="AZ45" s="52"/>
      <c r="BA45" s="52"/>
      <c r="BB45" s="52"/>
      <c r="BC45" s="52"/>
      <c r="BD45" s="52"/>
      <c r="BE45" s="52"/>
      <c r="BF45" s="54"/>
      <c r="BG45" s="54"/>
      <c r="BH45" s="54"/>
      <c r="BI45" s="54"/>
      <c r="BJ45" s="54"/>
      <c r="BK45" s="54"/>
      <c r="BL45" s="54"/>
      <c r="BM45" s="54"/>
      <c r="BN45" s="54"/>
      <c r="BO45" s="54"/>
      <c r="BP45" s="54"/>
      <c r="BQ45" s="54"/>
      <c r="BR45" s="54"/>
      <c r="BS45" s="54"/>
      <c r="BT45" s="54"/>
      <c r="BU45" s="54"/>
      <c r="BV45" s="54"/>
      <c r="BW45" s="54"/>
      <c r="BX45" s="54"/>
      <c r="BY45" s="54"/>
      <c r="BZ45" s="54"/>
      <c r="CA45" s="54"/>
      <c r="CB45" s="54"/>
    </row>
    <row r="46" spans="1:80" ht="16.5" customHeight="1">
      <c r="A46" s="54"/>
      <c r="B46" s="54"/>
      <c r="C46" s="54"/>
      <c r="D46" s="54"/>
      <c r="E46" s="54"/>
      <c r="F46" s="54"/>
      <c r="G46" s="54"/>
      <c r="H46" s="54"/>
      <c r="I46" s="54"/>
      <c r="J46" s="54"/>
      <c r="K46" s="54"/>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2"/>
      <c r="BF46" s="54"/>
      <c r="BG46" s="54"/>
      <c r="BH46" s="54"/>
      <c r="BI46" s="54"/>
      <c r="BJ46" s="54"/>
      <c r="BK46" s="54"/>
      <c r="BL46" s="54"/>
      <c r="BM46" s="54"/>
      <c r="BN46" s="54"/>
      <c r="BO46" s="54"/>
      <c r="BP46" s="54"/>
      <c r="BQ46" s="54"/>
      <c r="BR46" s="54"/>
      <c r="BS46" s="54"/>
      <c r="BT46" s="54"/>
      <c r="BU46" s="54"/>
      <c r="BV46" s="54"/>
      <c r="BW46" s="54"/>
      <c r="BX46" s="54"/>
      <c r="BY46" s="54"/>
      <c r="BZ46" s="54"/>
      <c r="CA46" s="54"/>
      <c r="CB46" s="54"/>
    </row>
    <row r="47" spans="1:80" ht="16.5" customHeight="1">
      <c r="A47" s="54"/>
      <c r="B47" s="54"/>
      <c r="C47" s="54"/>
      <c r="D47" s="54"/>
      <c r="E47" s="54"/>
      <c r="F47" s="54"/>
      <c r="G47" s="54"/>
      <c r="H47" s="54"/>
      <c r="I47" s="54"/>
      <c r="J47" s="54"/>
      <c r="K47" s="54"/>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4"/>
      <c r="BG47" s="54"/>
      <c r="BH47" s="54"/>
      <c r="BI47" s="54"/>
      <c r="BJ47" s="54"/>
      <c r="BK47" s="54"/>
      <c r="BL47" s="54"/>
      <c r="BM47" s="54"/>
      <c r="BN47" s="54"/>
      <c r="BO47" s="54"/>
      <c r="BP47" s="54"/>
      <c r="BQ47" s="54"/>
      <c r="BR47" s="54"/>
      <c r="BS47" s="54"/>
      <c r="BT47" s="54"/>
      <c r="BU47" s="54"/>
      <c r="BV47" s="54"/>
      <c r="BW47" s="54"/>
      <c r="BX47" s="54"/>
      <c r="BY47" s="54"/>
      <c r="BZ47" s="54"/>
      <c r="CA47" s="54"/>
      <c r="CB47" s="54"/>
    </row>
    <row r="48" spans="1:80" ht="16.5" customHeight="1">
      <c r="A48" s="54"/>
      <c r="B48" s="54"/>
      <c r="C48" s="54"/>
      <c r="D48" s="54"/>
      <c r="E48" s="54"/>
      <c r="F48" s="54"/>
      <c r="G48" s="54"/>
      <c r="H48" s="54"/>
      <c r="I48" s="54"/>
      <c r="J48" s="54"/>
      <c r="K48" s="54"/>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4"/>
      <c r="BG48" s="54"/>
      <c r="BH48" s="54"/>
      <c r="BI48" s="54"/>
      <c r="BJ48" s="54"/>
      <c r="BK48" s="54"/>
      <c r="BL48" s="54"/>
      <c r="BM48" s="54"/>
      <c r="BN48" s="54"/>
      <c r="BO48" s="54"/>
      <c r="BP48" s="54"/>
      <c r="BQ48" s="54"/>
      <c r="BR48" s="54"/>
      <c r="BS48" s="54"/>
      <c r="BT48" s="54"/>
      <c r="BU48" s="54"/>
      <c r="BV48" s="54"/>
      <c r="BW48" s="54"/>
      <c r="BX48" s="54"/>
      <c r="BY48" s="54"/>
      <c r="BZ48" s="54"/>
      <c r="CA48" s="54"/>
      <c r="CB48" s="54"/>
    </row>
    <row r="49" spans="1:80" ht="16.5" customHeight="1">
      <c r="A49" s="54"/>
      <c r="B49" s="54"/>
      <c r="C49" s="54"/>
      <c r="D49" s="54"/>
      <c r="E49" s="54"/>
      <c r="F49" s="54"/>
      <c r="G49" s="54"/>
      <c r="H49" s="54"/>
      <c r="I49" s="54"/>
      <c r="J49" s="54"/>
      <c r="K49" s="54"/>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2"/>
      <c r="BE49" s="52"/>
      <c r="BF49" s="54"/>
      <c r="BG49" s="54"/>
      <c r="BH49" s="54"/>
      <c r="BI49" s="54"/>
      <c r="BJ49" s="54"/>
      <c r="BK49" s="54"/>
      <c r="BL49" s="54"/>
      <c r="BM49" s="54"/>
      <c r="BN49" s="54"/>
      <c r="BO49" s="54"/>
      <c r="BP49" s="54"/>
      <c r="BQ49" s="54"/>
      <c r="BR49" s="54"/>
      <c r="BS49" s="54"/>
      <c r="BT49" s="54"/>
      <c r="BU49" s="54"/>
      <c r="BV49" s="54"/>
      <c r="BW49" s="54"/>
      <c r="BX49" s="54"/>
      <c r="BY49" s="54"/>
      <c r="BZ49" s="54"/>
      <c r="CA49" s="54"/>
      <c r="CB49" s="54"/>
    </row>
    <row r="50" spans="1:80" ht="16.5" customHeight="1">
      <c r="A50" s="54"/>
      <c r="B50" s="54"/>
      <c r="C50" s="54"/>
      <c r="D50" s="54"/>
      <c r="E50" s="54"/>
      <c r="F50" s="54"/>
      <c r="G50" s="54"/>
      <c r="H50" s="54"/>
      <c r="I50" s="54"/>
      <c r="J50" s="54"/>
      <c r="K50" s="54"/>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4"/>
      <c r="BG50" s="54"/>
      <c r="BH50" s="54"/>
      <c r="BI50" s="54"/>
      <c r="BJ50" s="54"/>
      <c r="BK50" s="54"/>
      <c r="BL50" s="54"/>
      <c r="BM50" s="54"/>
      <c r="BN50" s="54"/>
      <c r="BO50" s="54"/>
      <c r="BP50" s="54"/>
      <c r="BQ50" s="54"/>
      <c r="BR50" s="54"/>
      <c r="BS50" s="54"/>
      <c r="BT50" s="54"/>
      <c r="BU50" s="54"/>
      <c r="BV50" s="54"/>
      <c r="BW50" s="54"/>
      <c r="BX50" s="54"/>
      <c r="BY50" s="54"/>
      <c r="BZ50" s="54"/>
      <c r="CA50" s="54"/>
      <c r="CB50" s="54"/>
    </row>
    <row r="51" spans="1:80" ht="16.5" customHeight="1">
      <c r="A51" s="54"/>
      <c r="B51" s="54"/>
      <c r="C51" s="54"/>
      <c r="D51" s="54"/>
      <c r="E51" s="54"/>
      <c r="F51" s="54"/>
      <c r="G51" s="54"/>
      <c r="H51" s="54"/>
      <c r="I51" s="54"/>
      <c r="J51" s="54"/>
      <c r="K51" s="54"/>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4"/>
      <c r="BG51" s="54"/>
      <c r="BH51" s="54"/>
      <c r="BI51" s="54"/>
      <c r="BJ51" s="54"/>
      <c r="BK51" s="54"/>
      <c r="BL51" s="54"/>
      <c r="BM51" s="54"/>
      <c r="BN51" s="54"/>
      <c r="BO51" s="54"/>
      <c r="BP51" s="54"/>
      <c r="BQ51" s="54"/>
      <c r="BR51" s="54"/>
      <c r="BS51" s="54"/>
      <c r="BT51" s="54"/>
      <c r="BU51" s="54"/>
      <c r="BV51" s="54"/>
      <c r="BW51" s="54"/>
      <c r="BX51" s="54"/>
      <c r="BY51" s="54"/>
      <c r="BZ51" s="54"/>
      <c r="CA51" s="54"/>
      <c r="CB51" s="54"/>
    </row>
    <row r="52" spans="1:80" ht="16.5" customHeight="1">
      <c r="A52" s="54"/>
      <c r="B52" s="54"/>
      <c r="C52" s="54"/>
      <c r="D52" s="54"/>
      <c r="E52" s="54"/>
      <c r="F52" s="54"/>
      <c r="G52" s="54"/>
      <c r="H52" s="54"/>
      <c r="I52" s="54"/>
      <c r="J52" s="54"/>
      <c r="K52" s="54"/>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2"/>
      <c r="AT52" s="52"/>
      <c r="AU52" s="52"/>
      <c r="AV52" s="52"/>
      <c r="AW52" s="52"/>
      <c r="AX52" s="52"/>
      <c r="AY52" s="52"/>
      <c r="AZ52" s="52"/>
      <c r="BA52" s="52"/>
      <c r="BB52" s="52"/>
      <c r="BC52" s="52"/>
      <c r="BD52" s="52"/>
      <c r="BE52" s="52"/>
      <c r="BF52" s="54"/>
      <c r="BG52" s="54"/>
      <c r="BH52" s="54"/>
      <c r="BI52" s="54"/>
      <c r="BJ52" s="54"/>
      <c r="BK52" s="54"/>
      <c r="BL52" s="54"/>
      <c r="BM52" s="54"/>
      <c r="BN52" s="54"/>
      <c r="BO52" s="54"/>
      <c r="BP52" s="54"/>
      <c r="BQ52" s="54"/>
      <c r="BR52" s="54"/>
      <c r="BS52" s="54"/>
      <c r="BT52" s="54"/>
      <c r="BU52" s="54"/>
      <c r="BV52" s="54"/>
      <c r="BW52" s="54"/>
      <c r="BX52" s="54"/>
      <c r="BY52" s="54"/>
      <c r="BZ52" s="54"/>
      <c r="CA52" s="54"/>
      <c r="CB52" s="54"/>
    </row>
    <row r="53" spans="1:80" ht="16.5" customHeight="1">
      <c r="A53" s="54"/>
      <c r="B53" s="54"/>
      <c r="C53" s="54"/>
      <c r="D53" s="54"/>
      <c r="E53" s="54"/>
      <c r="F53" s="54"/>
      <c r="G53" s="54"/>
      <c r="H53" s="54"/>
      <c r="I53" s="54"/>
      <c r="J53" s="54"/>
      <c r="K53" s="54"/>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4"/>
      <c r="BG53" s="54"/>
      <c r="BH53" s="54"/>
      <c r="BI53" s="54"/>
      <c r="BJ53" s="54"/>
      <c r="BK53" s="54"/>
      <c r="BL53" s="54"/>
      <c r="BM53" s="54"/>
      <c r="BN53" s="54"/>
      <c r="BO53" s="54"/>
      <c r="BP53" s="54"/>
      <c r="BQ53" s="54"/>
      <c r="BR53" s="54"/>
      <c r="BS53" s="54"/>
      <c r="BT53" s="54"/>
      <c r="BU53" s="54"/>
      <c r="BV53" s="54"/>
      <c r="BW53" s="54"/>
      <c r="BX53" s="54"/>
      <c r="BY53" s="54"/>
      <c r="BZ53" s="54"/>
      <c r="CA53" s="54"/>
      <c r="CB53" s="54"/>
    </row>
    <row r="54" spans="1:80" ht="16.5" customHeight="1">
      <c r="A54" s="54"/>
      <c r="B54" s="54"/>
      <c r="C54" s="54"/>
      <c r="D54" s="54"/>
      <c r="E54" s="54"/>
      <c r="F54" s="54"/>
      <c r="G54" s="54"/>
      <c r="H54" s="54"/>
      <c r="I54" s="54"/>
      <c r="J54" s="54"/>
      <c r="K54" s="54"/>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4"/>
      <c r="BG54" s="54"/>
      <c r="BH54" s="54"/>
      <c r="BI54" s="54"/>
      <c r="BJ54" s="54"/>
      <c r="BK54" s="54"/>
      <c r="BL54" s="54"/>
      <c r="BM54" s="54"/>
      <c r="BN54" s="54"/>
      <c r="BO54" s="54"/>
      <c r="BP54" s="54"/>
      <c r="BQ54" s="54"/>
      <c r="BR54" s="54"/>
      <c r="BS54" s="54"/>
      <c r="BT54" s="54"/>
      <c r="BU54" s="54"/>
      <c r="BV54" s="54"/>
      <c r="BW54" s="54"/>
      <c r="BX54" s="54"/>
      <c r="BY54" s="54"/>
      <c r="BZ54" s="54"/>
      <c r="CA54" s="54"/>
      <c r="CB54" s="54"/>
    </row>
    <row r="55" spans="1:80" ht="16.5" customHeight="1">
      <c r="A55" s="54"/>
      <c r="B55" s="54"/>
      <c r="C55" s="54"/>
      <c r="D55" s="54"/>
      <c r="E55" s="54"/>
      <c r="F55" s="54"/>
      <c r="G55" s="54"/>
      <c r="H55" s="54"/>
      <c r="I55" s="54"/>
      <c r="J55" s="54"/>
      <c r="K55" s="54"/>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4"/>
      <c r="BG55" s="54"/>
      <c r="BH55" s="54"/>
      <c r="BI55" s="54"/>
      <c r="BJ55" s="54"/>
      <c r="BK55" s="54"/>
      <c r="BL55" s="54"/>
      <c r="BM55" s="54"/>
      <c r="BN55" s="54"/>
      <c r="BO55" s="54"/>
      <c r="BP55" s="54"/>
      <c r="BQ55" s="54"/>
      <c r="BR55" s="54"/>
      <c r="BS55" s="54"/>
      <c r="BT55" s="54"/>
      <c r="BU55" s="54"/>
      <c r="BV55" s="54"/>
      <c r="BW55" s="54"/>
      <c r="BX55" s="54"/>
      <c r="BY55" s="54"/>
      <c r="BZ55" s="54"/>
      <c r="CA55" s="54"/>
      <c r="CB55" s="54"/>
    </row>
    <row r="56" spans="1:80" ht="16.5" customHeight="1">
      <c r="A56" s="54"/>
      <c r="B56" s="54"/>
      <c r="C56" s="54"/>
      <c r="D56" s="54"/>
      <c r="E56" s="54"/>
      <c r="F56" s="54"/>
      <c r="G56" s="54"/>
      <c r="H56" s="54"/>
      <c r="I56" s="54"/>
      <c r="J56" s="54"/>
      <c r="K56" s="54"/>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2"/>
      <c r="AS56" s="52"/>
      <c r="AT56" s="52"/>
      <c r="AU56" s="52"/>
      <c r="AV56" s="52"/>
      <c r="AW56" s="52"/>
      <c r="AX56" s="52"/>
      <c r="AY56" s="52"/>
      <c r="AZ56" s="52"/>
      <c r="BA56" s="52"/>
      <c r="BB56" s="52"/>
      <c r="BC56" s="52"/>
      <c r="BD56" s="52"/>
      <c r="BE56" s="52"/>
      <c r="BF56" s="54"/>
      <c r="BG56" s="54"/>
      <c r="BH56" s="54"/>
      <c r="BI56" s="54"/>
      <c r="BJ56" s="54"/>
      <c r="BK56" s="54"/>
      <c r="BL56" s="54"/>
      <c r="BM56" s="54"/>
      <c r="BN56" s="54"/>
      <c r="BO56" s="54"/>
      <c r="BP56" s="54"/>
      <c r="BQ56" s="54"/>
      <c r="BR56" s="54"/>
      <c r="BS56" s="54"/>
      <c r="BT56" s="54"/>
      <c r="BU56" s="54"/>
      <c r="BV56" s="54"/>
      <c r="BW56" s="54"/>
      <c r="BX56" s="54"/>
      <c r="BY56" s="54"/>
      <c r="BZ56" s="54"/>
      <c r="CA56" s="54"/>
      <c r="CB56" s="54"/>
    </row>
    <row r="57" spans="1:80" ht="16.5" customHeight="1">
      <c r="A57" s="54"/>
      <c r="B57" s="54"/>
      <c r="C57" s="54"/>
      <c r="D57" s="54"/>
      <c r="E57" s="54"/>
      <c r="F57" s="54"/>
      <c r="G57" s="54"/>
      <c r="H57" s="54"/>
      <c r="I57" s="54"/>
      <c r="J57" s="54"/>
      <c r="K57" s="54"/>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4"/>
      <c r="BG57" s="54"/>
      <c r="BH57" s="54"/>
      <c r="BI57" s="54"/>
      <c r="BJ57" s="54"/>
      <c r="BK57" s="54"/>
      <c r="BL57" s="54"/>
      <c r="BM57" s="54"/>
      <c r="BN57" s="54"/>
      <c r="BO57" s="54"/>
      <c r="BP57" s="54"/>
      <c r="BQ57" s="54"/>
      <c r="BR57" s="54"/>
      <c r="BS57" s="54"/>
      <c r="BT57" s="54"/>
      <c r="BU57" s="54"/>
      <c r="BV57" s="54"/>
      <c r="BW57" s="54"/>
      <c r="BX57" s="54"/>
      <c r="BY57" s="54"/>
      <c r="BZ57" s="54"/>
      <c r="CA57" s="54"/>
      <c r="CB57" s="54"/>
    </row>
    <row r="58" spans="1:80" ht="16.5" customHeight="1">
      <c r="A58" s="54"/>
      <c r="B58" s="54"/>
      <c r="C58" s="54"/>
      <c r="D58" s="54"/>
      <c r="E58" s="54"/>
      <c r="F58" s="54"/>
      <c r="G58" s="54"/>
      <c r="H58" s="54"/>
      <c r="I58" s="54"/>
      <c r="J58" s="54"/>
      <c r="K58" s="54"/>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2"/>
      <c r="AS58" s="52"/>
      <c r="AT58" s="52"/>
      <c r="AU58" s="52"/>
      <c r="AV58" s="52"/>
      <c r="AW58" s="52"/>
      <c r="AX58" s="52"/>
      <c r="AY58" s="52"/>
      <c r="AZ58" s="52"/>
      <c r="BA58" s="52"/>
      <c r="BB58" s="52"/>
      <c r="BC58" s="52"/>
      <c r="BD58" s="52"/>
      <c r="BE58" s="52"/>
      <c r="BF58" s="54"/>
      <c r="BG58" s="54"/>
      <c r="BH58" s="54"/>
      <c r="BI58" s="54"/>
      <c r="BJ58" s="54"/>
      <c r="BK58" s="54"/>
      <c r="BL58" s="54"/>
      <c r="BM58" s="54"/>
      <c r="BN58" s="54"/>
      <c r="BO58" s="54"/>
      <c r="BP58" s="54"/>
      <c r="BQ58" s="54"/>
      <c r="BR58" s="54"/>
      <c r="BS58" s="54"/>
      <c r="BT58" s="54"/>
      <c r="BU58" s="54"/>
      <c r="BV58" s="54"/>
      <c r="BW58" s="54"/>
      <c r="BX58" s="54"/>
      <c r="BY58" s="54"/>
      <c r="BZ58" s="54"/>
      <c r="CA58" s="54"/>
      <c r="CB58" s="54"/>
    </row>
    <row r="59" spans="1:80" ht="16.5" customHeight="1">
      <c r="A59" s="54"/>
      <c r="B59" s="54"/>
      <c r="C59" s="54"/>
      <c r="D59" s="54"/>
      <c r="E59" s="54"/>
      <c r="F59" s="54"/>
      <c r="G59" s="54"/>
      <c r="H59" s="54"/>
      <c r="I59" s="54"/>
      <c r="J59" s="54"/>
      <c r="K59" s="54"/>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52"/>
      <c r="BE59" s="52"/>
      <c r="BF59" s="54"/>
      <c r="BG59" s="54"/>
      <c r="BH59" s="54"/>
      <c r="BI59" s="54"/>
      <c r="BJ59" s="54"/>
      <c r="BK59" s="54"/>
      <c r="BL59" s="54"/>
      <c r="BM59" s="54"/>
      <c r="BN59" s="54"/>
      <c r="BO59" s="54"/>
      <c r="BP59" s="54"/>
      <c r="BQ59" s="54"/>
      <c r="BR59" s="54"/>
      <c r="BS59" s="54"/>
      <c r="BT59" s="54"/>
      <c r="BU59" s="54"/>
      <c r="BV59" s="54"/>
      <c r="BW59" s="54"/>
      <c r="BX59" s="54"/>
      <c r="BY59" s="54"/>
      <c r="BZ59" s="54"/>
      <c r="CA59" s="54"/>
      <c r="CB59" s="54"/>
    </row>
    <row r="60" spans="1:80" ht="16.5" customHeight="1">
      <c r="A60" s="54"/>
      <c r="B60" s="54"/>
      <c r="C60" s="54"/>
      <c r="D60" s="54"/>
      <c r="E60" s="54"/>
      <c r="F60" s="54"/>
      <c r="G60" s="54"/>
      <c r="H60" s="54"/>
      <c r="I60" s="54"/>
      <c r="J60" s="54"/>
      <c r="K60" s="54"/>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2"/>
      <c r="BF60" s="54"/>
      <c r="BG60" s="54"/>
      <c r="BH60" s="54"/>
      <c r="BI60" s="54"/>
      <c r="BJ60" s="54"/>
      <c r="BK60" s="54"/>
      <c r="BL60" s="54"/>
      <c r="BM60" s="54"/>
      <c r="BN60" s="54"/>
      <c r="BO60" s="54"/>
      <c r="BP60" s="54"/>
      <c r="BQ60" s="54"/>
      <c r="BR60" s="54"/>
      <c r="BS60" s="54"/>
      <c r="BT60" s="54"/>
      <c r="BU60" s="54"/>
      <c r="BV60" s="54"/>
      <c r="BW60" s="54"/>
      <c r="BX60" s="54"/>
      <c r="BY60" s="54"/>
      <c r="BZ60" s="54"/>
      <c r="CA60" s="54"/>
      <c r="CB60" s="54"/>
    </row>
    <row r="61" spans="1:80" ht="16.5" customHeight="1">
      <c r="A61" s="54"/>
      <c r="B61" s="54"/>
      <c r="C61" s="54"/>
      <c r="D61" s="54"/>
      <c r="E61" s="54"/>
      <c r="F61" s="54"/>
      <c r="G61" s="54"/>
      <c r="H61" s="54"/>
      <c r="I61" s="54"/>
      <c r="J61" s="54"/>
      <c r="K61" s="54"/>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2"/>
      <c r="AS61" s="52"/>
      <c r="AT61" s="52"/>
      <c r="AU61" s="52"/>
      <c r="AV61" s="52"/>
      <c r="AW61" s="52"/>
      <c r="AX61" s="52"/>
      <c r="AY61" s="52"/>
      <c r="AZ61" s="52"/>
      <c r="BA61" s="52"/>
      <c r="BB61" s="52"/>
      <c r="BC61" s="52"/>
      <c r="BD61" s="52"/>
      <c r="BE61" s="52"/>
      <c r="BF61" s="54"/>
      <c r="BG61" s="54"/>
      <c r="BH61" s="54"/>
      <c r="BI61" s="54"/>
      <c r="BJ61" s="54"/>
      <c r="BK61" s="54"/>
      <c r="BL61" s="54"/>
      <c r="BM61" s="54"/>
      <c r="BN61" s="54"/>
      <c r="BO61" s="54"/>
      <c r="BP61" s="54"/>
      <c r="BQ61" s="54"/>
      <c r="BR61" s="54"/>
      <c r="BS61" s="54"/>
      <c r="BT61" s="54"/>
      <c r="BU61" s="54"/>
      <c r="BV61" s="54"/>
      <c r="BW61" s="54"/>
      <c r="BX61" s="54"/>
      <c r="BY61" s="54"/>
      <c r="BZ61" s="54"/>
      <c r="CA61" s="54"/>
      <c r="CB61" s="54"/>
    </row>
    <row r="62" spans="1:80" ht="16.5" customHeight="1">
      <c r="A62" s="54"/>
      <c r="B62" s="54"/>
      <c r="C62" s="54"/>
      <c r="D62" s="54"/>
      <c r="E62" s="54"/>
      <c r="F62" s="54"/>
      <c r="G62" s="54"/>
      <c r="H62" s="54"/>
      <c r="I62" s="54"/>
      <c r="J62" s="54"/>
      <c r="K62" s="54"/>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2"/>
      <c r="AS62" s="52"/>
      <c r="AT62" s="52"/>
      <c r="AU62" s="52"/>
      <c r="AV62" s="52"/>
      <c r="AW62" s="52"/>
      <c r="AX62" s="52"/>
      <c r="AY62" s="52"/>
      <c r="AZ62" s="52"/>
      <c r="BA62" s="52"/>
      <c r="BB62" s="52"/>
      <c r="BC62" s="52"/>
      <c r="BD62" s="52"/>
      <c r="BE62" s="52"/>
      <c r="BF62" s="54"/>
      <c r="BG62" s="54"/>
      <c r="BH62" s="54"/>
      <c r="BI62" s="54"/>
      <c r="BJ62" s="54"/>
      <c r="BK62" s="54"/>
      <c r="BL62" s="54"/>
      <c r="BM62" s="54"/>
      <c r="BN62" s="54"/>
      <c r="BO62" s="54"/>
      <c r="BP62" s="54"/>
      <c r="BQ62" s="54"/>
      <c r="BR62" s="54"/>
      <c r="BS62" s="54"/>
      <c r="BT62" s="54"/>
      <c r="BU62" s="54"/>
      <c r="BV62" s="54"/>
      <c r="BW62" s="54"/>
      <c r="BX62" s="54"/>
      <c r="BY62" s="54"/>
      <c r="BZ62" s="54"/>
      <c r="CA62" s="54"/>
      <c r="CB62" s="54"/>
    </row>
    <row r="63" spans="1:80" ht="16.5" customHeight="1">
      <c r="A63" s="54"/>
      <c r="B63" s="54"/>
      <c r="C63" s="54"/>
      <c r="D63" s="54"/>
      <c r="E63" s="54"/>
      <c r="F63" s="54"/>
      <c r="G63" s="54"/>
      <c r="H63" s="54"/>
      <c r="I63" s="54"/>
      <c r="J63" s="54"/>
      <c r="K63" s="54"/>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2"/>
      <c r="AS63" s="52"/>
      <c r="AT63" s="52"/>
      <c r="AU63" s="52"/>
      <c r="AV63" s="52"/>
      <c r="AW63" s="52"/>
      <c r="AX63" s="52"/>
      <c r="AY63" s="52"/>
      <c r="AZ63" s="52"/>
      <c r="BA63" s="52"/>
      <c r="BB63" s="52"/>
      <c r="BC63" s="52"/>
      <c r="BD63" s="52"/>
      <c r="BE63" s="52"/>
      <c r="BF63" s="54"/>
      <c r="BG63" s="54"/>
      <c r="BH63" s="54"/>
      <c r="BI63" s="54"/>
      <c r="BJ63" s="54"/>
      <c r="BK63" s="54"/>
      <c r="BL63" s="54"/>
      <c r="BM63" s="54"/>
      <c r="BN63" s="54"/>
      <c r="BO63" s="54"/>
      <c r="BP63" s="54"/>
      <c r="BQ63" s="54"/>
      <c r="BR63" s="54"/>
      <c r="BS63" s="54"/>
      <c r="BT63" s="54"/>
      <c r="BU63" s="54"/>
      <c r="BV63" s="54"/>
      <c r="BW63" s="54"/>
      <c r="BX63" s="54"/>
      <c r="BY63" s="54"/>
      <c r="BZ63" s="54"/>
      <c r="CA63" s="54"/>
      <c r="CB63" s="54"/>
    </row>
    <row r="64" spans="1:80" ht="16.5" customHeight="1">
      <c r="A64" s="54"/>
      <c r="B64" s="54"/>
      <c r="C64" s="54"/>
      <c r="D64" s="54"/>
      <c r="E64" s="54"/>
      <c r="F64" s="54"/>
      <c r="G64" s="54"/>
      <c r="H64" s="54"/>
      <c r="I64" s="54"/>
      <c r="J64" s="54"/>
      <c r="K64" s="54"/>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2"/>
      <c r="BF64" s="54"/>
      <c r="BG64" s="54"/>
      <c r="BH64" s="54"/>
      <c r="BI64" s="54"/>
      <c r="BJ64" s="54"/>
      <c r="BK64" s="54"/>
      <c r="BL64" s="54"/>
      <c r="BM64" s="54"/>
      <c r="BN64" s="54"/>
      <c r="BO64" s="54"/>
      <c r="BP64" s="54"/>
      <c r="BQ64" s="54"/>
      <c r="BR64" s="54"/>
      <c r="BS64" s="54"/>
      <c r="BT64" s="54"/>
      <c r="BU64" s="54"/>
      <c r="BV64" s="54"/>
      <c r="BW64" s="54"/>
      <c r="BX64" s="54"/>
      <c r="BY64" s="54"/>
      <c r="BZ64" s="54"/>
      <c r="CA64" s="54"/>
      <c r="CB64" s="54"/>
    </row>
    <row r="65" spans="1:80" ht="16.5" customHeight="1">
      <c r="A65" s="54"/>
      <c r="B65" s="54"/>
      <c r="C65" s="54"/>
      <c r="D65" s="54"/>
      <c r="E65" s="54"/>
      <c r="F65" s="54"/>
      <c r="G65" s="54"/>
      <c r="H65" s="54"/>
      <c r="I65" s="54"/>
      <c r="J65" s="54"/>
      <c r="K65" s="54"/>
      <c r="L65" s="52"/>
      <c r="M65" s="52"/>
      <c r="N65" s="52"/>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2"/>
      <c r="AS65" s="52"/>
      <c r="AT65" s="52"/>
      <c r="AU65" s="52"/>
      <c r="AV65" s="52"/>
      <c r="AW65" s="52"/>
      <c r="AX65" s="52"/>
      <c r="AY65" s="52"/>
      <c r="AZ65" s="52"/>
      <c r="BA65" s="52"/>
      <c r="BB65" s="52"/>
      <c r="BC65" s="52"/>
      <c r="BD65" s="52"/>
      <c r="BE65" s="52"/>
      <c r="BF65" s="54"/>
      <c r="BG65" s="54"/>
      <c r="BH65" s="54"/>
      <c r="BI65" s="54"/>
      <c r="BJ65" s="54"/>
      <c r="BK65" s="54"/>
      <c r="BL65" s="54"/>
      <c r="BM65" s="54"/>
      <c r="BN65" s="54"/>
      <c r="BO65" s="54"/>
      <c r="BP65" s="54"/>
      <c r="BQ65" s="54"/>
      <c r="BR65" s="54"/>
      <c r="BS65" s="54"/>
      <c r="BT65" s="54"/>
      <c r="BU65" s="54"/>
      <c r="BV65" s="54"/>
      <c r="BW65" s="54"/>
      <c r="BX65" s="54"/>
      <c r="BY65" s="54"/>
      <c r="BZ65" s="54"/>
      <c r="CA65" s="54"/>
      <c r="CB65" s="54"/>
    </row>
    <row r="66" spans="1:80" ht="16.5" customHeight="1">
      <c r="A66" s="54"/>
      <c r="B66" s="54"/>
      <c r="C66" s="54"/>
      <c r="D66" s="54"/>
      <c r="E66" s="54"/>
      <c r="F66" s="54"/>
      <c r="G66" s="54"/>
      <c r="H66" s="54"/>
      <c r="I66" s="54"/>
      <c r="J66" s="54"/>
      <c r="K66" s="54"/>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2"/>
      <c r="BF66" s="54"/>
      <c r="BG66" s="54"/>
      <c r="BH66" s="54"/>
      <c r="BI66" s="54"/>
      <c r="BJ66" s="54"/>
      <c r="BK66" s="54"/>
      <c r="BL66" s="54"/>
      <c r="BM66" s="54"/>
      <c r="BN66" s="54"/>
      <c r="BO66" s="54"/>
      <c r="BP66" s="54"/>
      <c r="BQ66" s="54"/>
      <c r="BR66" s="54"/>
      <c r="BS66" s="54"/>
      <c r="BT66" s="54"/>
      <c r="BU66" s="54"/>
      <c r="BV66" s="54"/>
      <c r="BW66" s="54"/>
      <c r="BX66" s="54"/>
      <c r="BY66" s="54"/>
      <c r="BZ66" s="54"/>
      <c r="CA66" s="54"/>
      <c r="CB66" s="54"/>
    </row>
    <row r="67" spans="1:80" ht="16.5" customHeight="1">
      <c r="A67" s="54"/>
      <c r="B67" s="54"/>
      <c r="C67" s="54"/>
      <c r="D67" s="54"/>
      <c r="E67" s="54"/>
      <c r="F67" s="54"/>
      <c r="G67" s="54"/>
      <c r="H67" s="54"/>
      <c r="I67" s="54"/>
      <c r="J67" s="54"/>
      <c r="K67" s="54"/>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c r="AN67" s="52"/>
      <c r="AO67" s="52"/>
      <c r="AP67" s="52"/>
      <c r="AQ67" s="52"/>
      <c r="AR67" s="52"/>
      <c r="AS67" s="52"/>
      <c r="AT67" s="52"/>
      <c r="AU67" s="52"/>
      <c r="AV67" s="52"/>
      <c r="AW67" s="52"/>
      <c r="AX67" s="52"/>
      <c r="AY67" s="52"/>
      <c r="AZ67" s="52"/>
      <c r="BA67" s="52"/>
      <c r="BB67" s="52"/>
      <c r="BC67" s="52"/>
      <c r="BD67" s="52"/>
      <c r="BE67" s="52"/>
      <c r="BF67" s="54"/>
      <c r="BG67" s="54"/>
      <c r="BH67" s="54"/>
      <c r="BI67" s="54"/>
      <c r="BJ67" s="54"/>
      <c r="BK67" s="54"/>
      <c r="BL67" s="54"/>
      <c r="BM67" s="54"/>
      <c r="BN67" s="54"/>
      <c r="BO67" s="54"/>
      <c r="BP67" s="54"/>
      <c r="BQ67" s="54"/>
      <c r="BR67" s="54"/>
      <c r="BS67" s="54"/>
      <c r="BT67" s="54"/>
      <c r="BU67" s="54"/>
      <c r="BV67" s="54"/>
      <c r="BW67" s="54"/>
      <c r="BX67" s="54"/>
      <c r="BY67" s="54"/>
      <c r="BZ67" s="54"/>
      <c r="CA67" s="54"/>
      <c r="CB67" s="54"/>
    </row>
    <row r="68" spans="1:80" ht="16.5" customHeight="1">
      <c r="A68" s="54"/>
      <c r="B68" s="54"/>
      <c r="C68" s="54"/>
      <c r="D68" s="54"/>
      <c r="E68" s="54"/>
      <c r="F68" s="54"/>
      <c r="G68" s="54"/>
      <c r="H68" s="54"/>
      <c r="I68" s="54"/>
      <c r="J68" s="54"/>
      <c r="K68" s="54"/>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2"/>
      <c r="AS68" s="52"/>
      <c r="AT68" s="52"/>
      <c r="AU68" s="52"/>
      <c r="AV68" s="52"/>
      <c r="AW68" s="52"/>
      <c r="AX68" s="52"/>
      <c r="AY68" s="52"/>
      <c r="AZ68" s="52"/>
      <c r="BA68" s="52"/>
      <c r="BB68" s="52"/>
      <c r="BC68" s="52"/>
      <c r="BD68" s="52"/>
      <c r="BE68" s="52"/>
      <c r="BF68" s="54"/>
      <c r="BG68" s="54"/>
      <c r="BH68" s="54"/>
      <c r="BI68" s="54"/>
      <c r="BJ68" s="54"/>
      <c r="BK68" s="54"/>
      <c r="BL68" s="54"/>
      <c r="BM68" s="54"/>
      <c r="BN68" s="54"/>
      <c r="BO68" s="54"/>
      <c r="BP68" s="54"/>
      <c r="BQ68" s="54"/>
      <c r="BR68" s="54"/>
      <c r="BS68" s="54"/>
      <c r="BT68" s="54"/>
      <c r="BU68" s="54"/>
      <c r="BV68" s="54"/>
      <c r="BW68" s="54"/>
      <c r="BX68" s="54"/>
      <c r="BY68" s="54"/>
      <c r="BZ68" s="54"/>
      <c r="CA68" s="54"/>
      <c r="CB68" s="54"/>
    </row>
    <row r="69" spans="1:80" ht="16.5" customHeight="1">
      <c r="A69" s="54"/>
      <c r="B69" s="54"/>
      <c r="C69" s="54"/>
      <c r="D69" s="54"/>
      <c r="E69" s="54"/>
      <c r="F69" s="54"/>
      <c r="G69" s="54"/>
      <c r="H69" s="54"/>
      <c r="I69" s="54"/>
      <c r="J69" s="54"/>
      <c r="K69" s="54"/>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c r="AU69" s="52"/>
      <c r="AV69" s="52"/>
      <c r="AW69" s="52"/>
      <c r="AX69" s="52"/>
      <c r="AY69" s="52"/>
      <c r="AZ69" s="52"/>
      <c r="BA69" s="52"/>
      <c r="BB69" s="52"/>
      <c r="BC69" s="52"/>
      <c r="BD69" s="52"/>
      <c r="BE69" s="52"/>
      <c r="BF69" s="54"/>
      <c r="BG69" s="54"/>
      <c r="BH69" s="54"/>
      <c r="BI69" s="54"/>
      <c r="BJ69" s="54"/>
      <c r="BK69" s="54"/>
      <c r="BL69" s="54"/>
      <c r="BM69" s="54"/>
      <c r="BN69" s="54"/>
      <c r="BO69" s="54"/>
      <c r="BP69" s="54"/>
      <c r="BQ69" s="54"/>
      <c r="BR69" s="54"/>
      <c r="BS69" s="54"/>
      <c r="BT69" s="54"/>
      <c r="BU69" s="54"/>
      <c r="BV69" s="54"/>
      <c r="BW69" s="54"/>
      <c r="BX69" s="54"/>
      <c r="BY69" s="54"/>
      <c r="BZ69" s="54"/>
      <c r="CA69" s="54"/>
      <c r="CB69" s="54"/>
    </row>
    <row r="70" spans="1:80" ht="16.5" customHeight="1">
      <c r="A70" s="54"/>
      <c r="B70" s="54"/>
      <c r="C70" s="54"/>
      <c r="D70" s="54"/>
      <c r="E70" s="54"/>
      <c r="F70" s="54"/>
      <c r="G70" s="54"/>
      <c r="H70" s="54"/>
      <c r="I70" s="54"/>
      <c r="J70" s="54"/>
      <c r="K70" s="54"/>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c r="AU70" s="52"/>
      <c r="AV70" s="52"/>
      <c r="AW70" s="52"/>
      <c r="AX70" s="52"/>
      <c r="AY70" s="52"/>
      <c r="AZ70" s="52"/>
      <c r="BA70" s="52"/>
      <c r="BB70" s="52"/>
      <c r="BC70" s="52"/>
      <c r="BD70" s="52"/>
      <c r="BE70" s="52"/>
      <c r="BF70" s="54"/>
      <c r="BG70" s="54"/>
      <c r="BH70" s="54"/>
      <c r="BI70" s="54"/>
      <c r="BJ70" s="54"/>
      <c r="BK70" s="54"/>
      <c r="BL70" s="54"/>
      <c r="BM70" s="54"/>
      <c r="BN70" s="54"/>
      <c r="BO70" s="54"/>
      <c r="BP70" s="54"/>
      <c r="BQ70" s="54"/>
      <c r="BR70" s="54"/>
      <c r="BS70" s="54"/>
      <c r="BT70" s="54"/>
      <c r="BU70" s="54"/>
      <c r="BV70" s="54"/>
      <c r="BW70" s="54"/>
      <c r="BX70" s="54"/>
      <c r="BY70" s="54"/>
      <c r="BZ70" s="54"/>
      <c r="CA70" s="54"/>
      <c r="CB70" s="54"/>
    </row>
    <row r="71" spans="1:80" ht="16.5" customHeight="1">
      <c r="A71" s="54"/>
      <c r="B71" s="54"/>
      <c r="C71" s="54"/>
      <c r="D71" s="54"/>
      <c r="E71" s="54"/>
      <c r="F71" s="54"/>
      <c r="G71" s="54"/>
      <c r="H71" s="54"/>
      <c r="I71" s="54"/>
      <c r="J71" s="54"/>
      <c r="K71" s="54"/>
      <c r="L71" s="52"/>
      <c r="M71" s="52"/>
      <c r="N71" s="52"/>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c r="AU71" s="52"/>
      <c r="AV71" s="52"/>
      <c r="AW71" s="52"/>
      <c r="AX71" s="52"/>
      <c r="AY71" s="52"/>
      <c r="AZ71" s="52"/>
      <c r="BA71" s="52"/>
      <c r="BB71" s="52"/>
      <c r="BC71" s="52"/>
      <c r="BD71" s="52"/>
      <c r="BE71" s="52"/>
      <c r="BF71" s="54"/>
      <c r="BG71" s="54"/>
      <c r="BH71" s="54"/>
      <c r="BI71" s="54"/>
      <c r="BJ71" s="54"/>
      <c r="BK71" s="54"/>
      <c r="BL71" s="54"/>
      <c r="BM71" s="54"/>
      <c r="BN71" s="54"/>
      <c r="BO71" s="54"/>
      <c r="BP71" s="54"/>
      <c r="BQ71" s="54"/>
      <c r="BR71" s="54"/>
      <c r="BS71" s="54"/>
      <c r="BT71" s="54"/>
      <c r="BU71" s="54"/>
      <c r="BV71" s="54"/>
      <c r="BW71" s="54"/>
      <c r="BX71" s="54"/>
      <c r="BY71" s="54"/>
      <c r="BZ71" s="54"/>
      <c r="CA71" s="54"/>
      <c r="CB71" s="54"/>
    </row>
    <row r="72" spans="1:80" ht="16.5" customHeight="1">
      <c r="A72" s="54"/>
      <c r="B72" s="54"/>
      <c r="C72" s="54"/>
      <c r="D72" s="54"/>
      <c r="E72" s="54"/>
      <c r="F72" s="54"/>
      <c r="G72" s="54"/>
      <c r="H72" s="54"/>
      <c r="I72" s="54"/>
      <c r="J72" s="54"/>
      <c r="K72" s="54"/>
      <c r="L72" s="52"/>
      <c r="M72" s="52"/>
      <c r="N72" s="52"/>
      <c r="O72" s="52"/>
      <c r="P72" s="52"/>
      <c r="Q72" s="52"/>
      <c r="R72" s="52"/>
      <c r="S72" s="52"/>
      <c r="T72" s="52"/>
      <c r="U72" s="52"/>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c r="AU72" s="52"/>
      <c r="AV72" s="52"/>
      <c r="AW72" s="52"/>
      <c r="AX72" s="52"/>
      <c r="AY72" s="52"/>
      <c r="AZ72" s="52"/>
      <c r="BA72" s="52"/>
      <c r="BB72" s="52"/>
      <c r="BC72" s="52"/>
      <c r="BD72" s="52"/>
      <c r="BE72" s="52"/>
      <c r="BF72" s="54"/>
      <c r="BG72" s="54"/>
      <c r="BH72" s="54"/>
      <c r="BI72" s="54"/>
      <c r="BJ72" s="54"/>
      <c r="BK72" s="54"/>
      <c r="BL72" s="54"/>
      <c r="BM72" s="54"/>
      <c r="BN72" s="54"/>
      <c r="BO72" s="54"/>
      <c r="BP72" s="54"/>
      <c r="BQ72" s="54"/>
      <c r="BR72" s="54"/>
      <c r="BS72" s="54"/>
      <c r="BT72" s="54"/>
      <c r="BU72" s="54"/>
      <c r="BV72" s="54"/>
      <c r="BW72" s="54"/>
      <c r="BX72" s="54"/>
      <c r="BY72" s="54"/>
      <c r="BZ72" s="54"/>
      <c r="CA72" s="54"/>
      <c r="CB72" s="54"/>
    </row>
    <row r="73" spans="1:80" ht="16.5" customHeight="1">
      <c r="A73" s="54"/>
      <c r="B73" s="54"/>
      <c r="C73" s="54"/>
      <c r="D73" s="54"/>
      <c r="E73" s="54"/>
      <c r="F73" s="54"/>
      <c r="G73" s="54"/>
      <c r="H73" s="54"/>
      <c r="I73" s="54"/>
      <c r="J73" s="54"/>
      <c r="K73" s="54"/>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c r="AU73" s="52"/>
      <c r="AV73" s="52"/>
      <c r="AW73" s="52"/>
      <c r="AX73" s="52"/>
      <c r="AY73" s="52"/>
      <c r="AZ73" s="52"/>
      <c r="BA73" s="52"/>
      <c r="BB73" s="52"/>
      <c r="BC73" s="52"/>
      <c r="BD73" s="52"/>
      <c r="BE73" s="52"/>
      <c r="BF73" s="54"/>
      <c r="BG73" s="54"/>
      <c r="BH73" s="54"/>
      <c r="BI73" s="54"/>
      <c r="BJ73" s="54"/>
      <c r="BK73" s="54"/>
      <c r="BL73" s="54"/>
      <c r="BM73" s="54"/>
      <c r="BN73" s="54"/>
      <c r="BO73" s="54"/>
      <c r="BP73" s="54"/>
      <c r="BQ73" s="54"/>
      <c r="BR73" s="54"/>
      <c r="BS73" s="54"/>
      <c r="BT73" s="54"/>
      <c r="BU73" s="54"/>
      <c r="BV73" s="54"/>
      <c r="BW73" s="54"/>
      <c r="BX73" s="54"/>
      <c r="BY73" s="54"/>
      <c r="BZ73" s="54"/>
      <c r="CA73" s="54"/>
      <c r="CB73" s="54"/>
    </row>
    <row r="74" spans="1:80" ht="16.5" customHeight="1">
      <c r="A74" s="54"/>
      <c r="B74" s="54"/>
      <c r="C74" s="54"/>
      <c r="D74" s="54"/>
      <c r="E74" s="54"/>
      <c r="F74" s="54"/>
      <c r="G74" s="54"/>
      <c r="H74" s="54"/>
      <c r="I74" s="54"/>
      <c r="J74" s="54"/>
      <c r="K74" s="54"/>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2"/>
      <c r="BF74" s="54"/>
      <c r="BG74" s="54"/>
      <c r="BH74" s="54"/>
      <c r="BI74" s="54"/>
      <c r="BJ74" s="54"/>
      <c r="BK74" s="54"/>
      <c r="BL74" s="54"/>
      <c r="BM74" s="54"/>
      <c r="BN74" s="54"/>
      <c r="BO74" s="54"/>
      <c r="BP74" s="54"/>
      <c r="BQ74" s="54"/>
      <c r="BR74" s="54"/>
      <c r="BS74" s="54"/>
      <c r="BT74" s="54"/>
      <c r="BU74" s="54"/>
      <c r="BV74" s="54"/>
      <c r="BW74" s="54"/>
      <c r="BX74" s="54"/>
      <c r="BY74" s="54"/>
      <c r="BZ74" s="54"/>
      <c r="CA74" s="54"/>
      <c r="CB74" s="54"/>
    </row>
    <row r="75" spans="1:80" ht="16.5" customHeight="1">
      <c r="A75" s="54"/>
      <c r="B75" s="54"/>
      <c r="C75" s="54"/>
      <c r="D75" s="54"/>
      <c r="E75" s="54"/>
      <c r="F75" s="54"/>
      <c r="G75" s="54"/>
      <c r="H75" s="54"/>
      <c r="I75" s="54"/>
      <c r="J75" s="54"/>
      <c r="K75" s="54"/>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c r="AU75" s="52"/>
      <c r="AV75" s="52"/>
      <c r="AW75" s="52"/>
      <c r="AX75" s="52"/>
      <c r="AY75" s="52"/>
      <c r="AZ75" s="52"/>
      <c r="BA75" s="52"/>
      <c r="BB75" s="52"/>
      <c r="BC75" s="52"/>
      <c r="BD75" s="52"/>
      <c r="BE75" s="52"/>
      <c r="BF75" s="54"/>
      <c r="BG75" s="54"/>
      <c r="BH75" s="54"/>
      <c r="BI75" s="54"/>
      <c r="BJ75" s="54"/>
      <c r="BK75" s="54"/>
      <c r="BL75" s="54"/>
      <c r="BM75" s="54"/>
      <c r="BN75" s="54"/>
      <c r="BO75" s="54"/>
      <c r="BP75" s="54"/>
      <c r="BQ75" s="54"/>
      <c r="BR75" s="54"/>
      <c r="BS75" s="54"/>
      <c r="BT75" s="54"/>
      <c r="BU75" s="54"/>
      <c r="BV75" s="54"/>
      <c r="BW75" s="54"/>
      <c r="BX75" s="54"/>
      <c r="BY75" s="54"/>
      <c r="BZ75" s="54"/>
      <c r="CA75" s="54"/>
      <c r="CB75" s="54"/>
    </row>
    <row r="76" spans="1:80" ht="16.5" customHeight="1">
      <c r="A76" s="54"/>
      <c r="B76" s="54"/>
      <c r="C76" s="54"/>
      <c r="D76" s="54"/>
      <c r="E76" s="54"/>
      <c r="F76" s="54"/>
      <c r="G76" s="54"/>
      <c r="H76" s="54"/>
      <c r="I76" s="54"/>
      <c r="J76" s="54"/>
      <c r="K76" s="54"/>
      <c r="L76" s="52"/>
      <c r="M76" s="52"/>
      <c r="N76" s="52"/>
      <c r="O76" s="52"/>
      <c r="P76" s="52"/>
      <c r="Q76" s="52"/>
      <c r="R76" s="52"/>
      <c r="S76" s="52"/>
      <c r="T76" s="52"/>
      <c r="U76" s="52"/>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c r="AU76" s="52"/>
      <c r="AV76" s="52"/>
      <c r="AW76" s="52"/>
      <c r="AX76" s="52"/>
      <c r="AY76" s="52"/>
      <c r="AZ76" s="52"/>
      <c r="BA76" s="52"/>
      <c r="BB76" s="52"/>
      <c r="BC76" s="52"/>
      <c r="BD76" s="52"/>
      <c r="BE76" s="52"/>
      <c r="BF76" s="54"/>
      <c r="BG76" s="54"/>
      <c r="BH76" s="54"/>
      <c r="BI76" s="54"/>
      <c r="BJ76" s="54"/>
      <c r="BK76" s="54"/>
      <c r="BL76" s="54"/>
      <c r="BM76" s="54"/>
      <c r="BN76" s="54"/>
      <c r="BO76" s="54"/>
      <c r="BP76" s="54"/>
      <c r="BQ76" s="54"/>
      <c r="BR76" s="54"/>
      <c r="BS76" s="54"/>
      <c r="BT76" s="54"/>
      <c r="BU76" s="54"/>
      <c r="BV76" s="54"/>
      <c r="BW76" s="54"/>
      <c r="BX76" s="54"/>
      <c r="BY76" s="54"/>
      <c r="BZ76" s="54"/>
      <c r="CA76" s="54"/>
      <c r="CB76" s="54"/>
    </row>
    <row r="77" spans="1:80" ht="16.5" customHeight="1">
      <c r="A77" s="54"/>
      <c r="B77" s="54"/>
      <c r="C77" s="54"/>
      <c r="D77" s="54"/>
      <c r="E77" s="54"/>
      <c r="F77" s="54"/>
      <c r="G77" s="54"/>
      <c r="H77" s="54"/>
      <c r="I77" s="54"/>
      <c r="J77" s="54"/>
      <c r="K77" s="54"/>
      <c r="L77" s="52"/>
      <c r="M77" s="52"/>
      <c r="N77" s="52"/>
      <c r="O77" s="52"/>
      <c r="P77" s="52"/>
      <c r="Q77" s="52"/>
      <c r="R77" s="52"/>
      <c r="S77" s="52"/>
      <c r="T77" s="52"/>
      <c r="U77" s="52"/>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c r="AU77" s="52"/>
      <c r="AV77" s="52"/>
      <c r="AW77" s="52"/>
      <c r="AX77" s="52"/>
      <c r="AY77" s="52"/>
      <c r="AZ77" s="52"/>
      <c r="BA77" s="52"/>
      <c r="BB77" s="52"/>
      <c r="BC77" s="52"/>
      <c r="BD77" s="52"/>
      <c r="BE77" s="52"/>
      <c r="BF77" s="54"/>
      <c r="BG77" s="54"/>
      <c r="BH77" s="54"/>
      <c r="BI77" s="54"/>
      <c r="BJ77" s="54"/>
      <c r="BK77" s="54"/>
      <c r="BL77" s="54"/>
      <c r="BM77" s="54"/>
      <c r="BN77" s="54"/>
      <c r="BO77" s="54"/>
      <c r="BP77" s="54"/>
      <c r="BQ77" s="54"/>
      <c r="BR77" s="54"/>
      <c r="BS77" s="54"/>
      <c r="BT77" s="54"/>
      <c r="BU77" s="54"/>
      <c r="BV77" s="54"/>
      <c r="BW77" s="54"/>
      <c r="BX77" s="54"/>
      <c r="BY77" s="54"/>
      <c r="BZ77" s="54"/>
      <c r="CA77" s="54"/>
      <c r="CB77" s="54"/>
    </row>
    <row r="78" spans="1:80" ht="16.5" customHeight="1">
      <c r="A78" s="54"/>
      <c r="B78" s="54"/>
      <c r="C78" s="54"/>
      <c r="D78" s="54"/>
      <c r="E78" s="54"/>
      <c r="F78" s="54"/>
      <c r="G78" s="54"/>
      <c r="H78" s="54"/>
      <c r="I78" s="54"/>
      <c r="J78" s="54"/>
      <c r="K78" s="54"/>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c r="AU78" s="52"/>
      <c r="AV78" s="52"/>
      <c r="AW78" s="52"/>
      <c r="AX78" s="52"/>
      <c r="AY78" s="52"/>
      <c r="AZ78" s="52"/>
      <c r="BA78" s="52"/>
      <c r="BB78" s="52"/>
      <c r="BC78" s="52"/>
      <c r="BD78" s="52"/>
      <c r="BE78" s="52"/>
      <c r="BF78" s="54"/>
      <c r="BG78" s="54"/>
      <c r="BH78" s="54"/>
      <c r="BI78" s="54"/>
      <c r="BJ78" s="54"/>
      <c r="BK78" s="54"/>
      <c r="BL78" s="54"/>
      <c r="BM78" s="54"/>
      <c r="BN78" s="54"/>
      <c r="BO78" s="54"/>
      <c r="BP78" s="54"/>
      <c r="BQ78" s="54"/>
      <c r="BR78" s="54"/>
      <c r="BS78" s="54"/>
      <c r="BT78" s="54"/>
      <c r="BU78" s="54"/>
      <c r="BV78" s="54"/>
      <c r="BW78" s="54"/>
      <c r="BX78" s="54"/>
      <c r="BY78" s="54"/>
      <c r="BZ78" s="54"/>
      <c r="CA78" s="54"/>
      <c r="CB78" s="54"/>
    </row>
    <row r="79" spans="1:80" ht="16.5" customHeight="1">
      <c r="A79" s="54"/>
      <c r="B79" s="54"/>
      <c r="C79" s="54"/>
      <c r="D79" s="54"/>
      <c r="E79" s="54"/>
      <c r="F79" s="54"/>
      <c r="G79" s="54"/>
      <c r="H79" s="54"/>
      <c r="I79" s="54"/>
      <c r="J79" s="54"/>
      <c r="K79" s="54"/>
      <c r="L79" s="52"/>
      <c r="M79" s="52"/>
      <c r="N79" s="52"/>
      <c r="O79" s="52"/>
      <c r="P79" s="52"/>
      <c r="Q79" s="52"/>
      <c r="R79" s="52"/>
      <c r="S79" s="52"/>
      <c r="T79" s="52"/>
      <c r="U79" s="52"/>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c r="AU79" s="52"/>
      <c r="AV79" s="52"/>
      <c r="AW79" s="52"/>
      <c r="AX79" s="52"/>
      <c r="AY79" s="52"/>
      <c r="AZ79" s="52"/>
      <c r="BA79" s="52"/>
      <c r="BB79" s="52"/>
      <c r="BC79" s="52"/>
      <c r="BD79" s="52"/>
      <c r="BE79" s="52"/>
      <c r="BF79" s="54"/>
      <c r="BG79" s="54"/>
      <c r="BH79" s="54"/>
      <c r="BI79" s="54"/>
      <c r="BJ79" s="54"/>
      <c r="BK79" s="54"/>
      <c r="BL79" s="54"/>
      <c r="BM79" s="54"/>
      <c r="BN79" s="54"/>
      <c r="BO79" s="54"/>
      <c r="BP79" s="54"/>
      <c r="BQ79" s="54"/>
      <c r="BR79" s="54"/>
      <c r="BS79" s="54"/>
      <c r="BT79" s="54"/>
      <c r="BU79" s="54"/>
      <c r="BV79" s="54"/>
      <c r="BW79" s="54"/>
      <c r="BX79" s="54"/>
      <c r="BY79" s="54"/>
      <c r="BZ79" s="54"/>
      <c r="CA79" s="54"/>
      <c r="CB79" s="54"/>
    </row>
    <row r="80" spans="1:80" ht="16.5" customHeight="1">
      <c r="A80" s="54"/>
      <c r="B80" s="54"/>
      <c r="C80" s="54"/>
      <c r="D80" s="54"/>
      <c r="E80" s="54"/>
      <c r="F80" s="54"/>
      <c r="G80" s="54"/>
      <c r="H80" s="54"/>
      <c r="I80" s="54"/>
      <c r="J80" s="54"/>
      <c r="K80" s="54"/>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c r="AU80" s="52"/>
      <c r="AV80" s="52"/>
      <c r="AW80" s="52"/>
      <c r="AX80" s="52"/>
      <c r="AY80" s="52"/>
      <c r="AZ80" s="52"/>
      <c r="BA80" s="52"/>
      <c r="BB80" s="52"/>
      <c r="BC80" s="52"/>
      <c r="BD80" s="52"/>
      <c r="BE80" s="52"/>
      <c r="BF80" s="54"/>
      <c r="BG80" s="54"/>
      <c r="BH80" s="54"/>
      <c r="BI80" s="54"/>
      <c r="BJ80" s="54"/>
      <c r="BK80" s="54"/>
      <c r="BL80" s="54"/>
      <c r="BM80" s="54"/>
      <c r="BN80" s="54"/>
      <c r="BO80" s="54"/>
      <c r="BP80" s="54"/>
      <c r="BQ80" s="54"/>
      <c r="BR80" s="54"/>
      <c r="BS80" s="54"/>
      <c r="BT80" s="54"/>
      <c r="BU80" s="54"/>
      <c r="BV80" s="54"/>
      <c r="BW80" s="54"/>
      <c r="BX80" s="54"/>
      <c r="BY80" s="54"/>
      <c r="BZ80" s="54"/>
      <c r="CA80" s="54"/>
      <c r="CB80" s="54"/>
    </row>
    <row r="81" spans="1:80" ht="16.5" customHeight="1">
      <c r="A81" s="54"/>
      <c r="B81" s="54"/>
      <c r="C81" s="54"/>
      <c r="D81" s="54"/>
      <c r="E81" s="54"/>
      <c r="F81" s="54"/>
      <c r="G81" s="54"/>
      <c r="H81" s="54"/>
      <c r="I81" s="54"/>
      <c r="J81" s="54"/>
      <c r="K81" s="54"/>
      <c r="L81" s="52"/>
      <c r="M81" s="52"/>
      <c r="N81" s="52"/>
      <c r="O81" s="52"/>
      <c r="P81" s="52"/>
      <c r="Q81" s="52"/>
      <c r="R81" s="52"/>
      <c r="S81" s="52"/>
      <c r="T81" s="52"/>
      <c r="U81" s="52"/>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c r="AU81" s="52"/>
      <c r="AV81" s="52"/>
      <c r="AW81" s="52"/>
      <c r="AX81" s="52"/>
      <c r="AY81" s="52"/>
      <c r="AZ81" s="52"/>
      <c r="BA81" s="52"/>
      <c r="BB81" s="52"/>
      <c r="BC81" s="52"/>
      <c r="BD81" s="52"/>
      <c r="BE81" s="52"/>
      <c r="BF81" s="54"/>
      <c r="BG81" s="54"/>
      <c r="BH81" s="54"/>
      <c r="BI81" s="54"/>
      <c r="BJ81" s="54"/>
      <c r="BK81" s="54"/>
      <c r="BL81" s="54"/>
      <c r="BM81" s="54"/>
      <c r="BN81" s="54"/>
      <c r="BO81" s="54"/>
      <c r="BP81" s="54"/>
      <c r="BQ81" s="54"/>
      <c r="BR81" s="54"/>
      <c r="BS81" s="54"/>
      <c r="BT81" s="54"/>
      <c r="BU81" s="54"/>
      <c r="BV81" s="54"/>
      <c r="BW81" s="54"/>
      <c r="BX81" s="54"/>
      <c r="BY81" s="54"/>
      <c r="BZ81" s="54"/>
      <c r="CA81" s="54"/>
      <c r="CB81" s="54"/>
    </row>
    <row r="82" spans="1:80" ht="16.5" customHeight="1">
      <c r="A82" s="54"/>
      <c r="B82" s="54"/>
      <c r="C82" s="54"/>
      <c r="D82" s="54"/>
      <c r="E82" s="54"/>
      <c r="F82" s="54"/>
      <c r="G82" s="54"/>
      <c r="H82" s="54"/>
      <c r="I82" s="54"/>
      <c r="J82" s="54"/>
      <c r="K82" s="54"/>
      <c r="L82" s="52"/>
      <c r="M82" s="52"/>
      <c r="N82" s="52"/>
      <c r="O82" s="52"/>
      <c r="P82" s="52"/>
      <c r="Q82" s="52"/>
      <c r="R82" s="52"/>
      <c r="S82" s="52"/>
      <c r="T82" s="52"/>
      <c r="U82" s="52"/>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c r="AU82" s="52"/>
      <c r="AV82" s="52"/>
      <c r="AW82" s="52"/>
      <c r="AX82" s="52"/>
      <c r="AY82" s="52"/>
      <c r="AZ82" s="52"/>
      <c r="BA82" s="52"/>
      <c r="BB82" s="52"/>
      <c r="BC82" s="52"/>
      <c r="BD82" s="52"/>
      <c r="BE82" s="52"/>
      <c r="BF82" s="54"/>
      <c r="BG82" s="54"/>
      <c r="BH82" s="54"/>
      <c r="BI82" s="54"/>
      <c r="BJ82" s="54"/>
      <c r="BK82" s="54"/>
      <c r="BL82" s="54"/>
      <c r="BM82" s="54"/>
      <c r="BN82" s="54"/>
      <c r="BO82" s="54"/>
      <c r="BP82" s="54"/>
      <c r="BQ82" s="54"/>
      <c r="BR82" s="54"/>
      <c r="BS82" s="54"/>
      <c r="BT82" s="54"/>
      <c r="BU82" s="54"/>
      <c r="BV82" s="54"/>
      <c r="BW82" s="54"/>
      <c r="BX82" s="54"/>
      <c r="BY82" s="54"/>
      <c r="BZ82" s="54"/>
      <c r="CA82" s="54"/>
      <c r="CB82" s="54"/>
    </row>
    <row r="83" spans="1:80" ht="16.5" customHeight="1">
      <c r="A83" s="54"/>
      <c r="B83" s="54"/>
      <c r="C83" s="54"/>
      <c r="D83" s="54"/>
      <c r="E83" s="54"/>
      <c r="F83" s="54"/>
      <c r="G83" s="54"/>
      <c r="H83" s="54"/>
      <c r="I83" s="54"/>
      <c r="J83" s="54"/>
      <c r="K83" s="54"/>
      <c r="L83" s="52"/>
      <c r="M83" s="52"/>
      <c r="N83" s="52"/>
      <c r="O83" s="52"/>
      <c r="P83" s="52"/>
      <c r="Q83" s="52"/>
      <c r="R83" s="52"/>
      <c r="S83" s="52"/>
      <c r="T83" s="52"/>
      <c r="U83" s="52"/>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c r="AU83" s="52"/>
      <c r="AV83" s="52"/>
      <c r="AW83" s="52"/>
      <c r="AX83" s="52"/>
      <c r="AY83" s="52"/>
      <c r="AZ83" s="52"/>
      <c r="BA83" s="52"/>
      <c r="BB83" s="52"/>
      <c r="BC83" s="52"/>
      <c r="BD83" s="52"/>
      <c r="BE83" s="52"/>
      <c r="BF83" s="54"/>
      <c r="BG83" s="54"/>
      <c r="BH83" s="54"/>
      <c r="BI83" s="54"/>
      <c r="BJ83" s="54"/>
      <c r="BK83" s="54"/>
      <c r="BL83" s="54"/>
      <c r="BM83" s="54"/>
      <c r="BN83" s="54"/>
      <c r="BO83" s="54"/>
      <c r="BP83" s="54"/>
      <c r="BQ83" s="54"/>
      <c r="BR83" s="54"/>
      <c r="BS83" s="54"/>
      <c r="BT83" s="54"/>
      <c r="BU83" s="54"/>
      <c r="BV83" s="54"/>
      <c r="BW83" s="54"/>
      <c r="BX83" s="54"/>
      <c r="BY83" s="54"/>
      <c r="BZ83" s="54"/>
      <c r="CA83" s="54"/>
      <c r="CB83" s="54"/>
    </row>
    <row r="84" spans="1:80" ht="16.5" customHeight="1">
      <c r="A84" s="54"/>
      <c r="B84" s="54"/>
      <c r="C84" s="54"/>
      <c r="D84" s="54"/>
      <c r="E84" s="54"/>
      <c r="F84" s="54"/>
      <c r="G84" s="54"/>
      <c r="H84" s="54"/>
      <c r="I84" s="54"/>
      <c r="J84" s="54"/>
      <c r="K84" s="54"/>
      <c r="L84" s="52"/>
      <c r="M84" s="52"/>
      <c r="N84" s="52"/>
      <c r="O84" s="52"/>
      <c r="P84" s="52"/>
      <c r="Q84" s="52"/>
      <c r="R84" s="52"/>
      <c r="S84" s="52"/>
      <c r="T84" s="52"/>
      <c r="U84" s="52"/>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c r="AU84" s="52"/>
      <c r="AV84" s="52"/>
      <c r="AW84" s="52"/>
      <c r="AX84" s="52"/>
      <c r="AY84" s="52"/>
      <c r="AZ84" s="52"/>
      <c r="BA84" s="52"/>
      <c r="BB84" s="52"/>
      <c r="BC84" s="52"/>
      <c r="BD84" s="52"/>
      <c r="BE84" s="52"/>
      <c r="BF84" s="54"/>
      <c r="BG84" s="54"/>
      <c r="BH84" s="54"/>
      <c r="BI84" s="54"/>
      <c r="BJ84" s="54"/>
      <c r="BK84" s="54"/>
      <c r="BL84" s="54"/>
      <c r="BM84" s="54"/>
      <c r="BN84" s="54"/>
      <c r="BO84" s="54"/>
      <c r="BP84" s="54"/>
      <c r="BQ84" s="54"/>
      <c r="BR84" s="54"/>
      <c r="BS84" s="54"/>
      <c r="BT84" s="54"/>
      <c r="BU84" s="54"/>
      <c r="BV84" s="54"/>
      <c r="BW84" s="54"/>
      <c r="BX84" s="54"/>
      <c r="BY84" s="54"/>
      <c r="BZ84" s="54"/>
      <c r="CA84" s="54"/>
      <c r="CB84" s="54"/>
    </row>
    <row r="85" spans="1:80" ht="16.5" customHeight="1">
      <c r="A85" s="54"/>
      <c r="B85" s="54"/>
      <c r="C85" s="54"/>
      <c r="D85" s="54"/>
      <c r="E85" s="54"/>
      <c r="F85" s="54"/>
      <c r="G85" s="54"/>
      <c r="H85" s="54"/>
      <c r="I85" s="54"/>
      <c r="J85" s="54"/>
      <c r="K85" s="54"/>
      <c r="L85" s="52"/>
      <c r="M85" s="52"/>
      <c r="N85" s="52"/>
      <c r="O85" s="52"/>
      <c r="P85" s="52"/>
      <c r="Q85" s="52"/>
      <c r="R85" s="52"/>
      <c r="S85" s="52"/>
      <c r="T85" s="52"/>
      <c r="U85" s="52"/>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c r="AU85" s="52"/>
      <c r="AV85" s="52"/>
      <c r="AW85" s="52"/>
      <c r="AX85" s="52"/>
      <c r="AY85" s="52"/>
      <c r="AZ85" s="52"/>
      <c r="BA85" s="52"/>
      <c r="BB85" s="52"/>
      <c r="BC85" s="52"/>
      <c r="BD85" s="52"/>
      <c r="BE85" s="52"/>
      <c r="BF85" s="54"/>
      <c r="BG85" s="54"/>
      <c r="BH85" s="54"/>
      <c r="BI85" s="54"/>
      <c r="BJ85" s="54"/>
      <c r="BK85" s="54"/>
      <c r="BL85" s="54"/>
      <c r="BM85" s="54"/>
      <c r="BN85" s="54"/>
      <c r="BO85" s="54"/>
      <c r="BP85" s="54"/>
      <c r="BQ85" s="54"/>
      <c r="BR85" s="54"/>
      <c r="BS85" s="54"/>
      <c r="BT85" s="54"/>
      <c r="BU85" s="54"/>
      <c r="BV85" s="54"/>
      <c r="BW85" s="54"/>
      <c r="BX85" s="54"/>
      <c r="BY85" s="54"/>
      <c r="BZ85" s="54"/>
      <c r="CA85" s="54"/>
      <c r="CB85" s="54"/>
    </row>
    <row r="86" spans="1:80" ht="16.5" customHeight="1">
      <c r="A86" s="54"/>
      <c r="B86" s="54"/>
      <c r="C86" s="54"/>
      <c r="D86" s="54"/>
      <c r="E86" s="54"/>
      <c r="F86" s="54"/>
      <c r="G86" s="54"/>
      <c r="H86" s="54"/>
      <c r="I86" s="54"/>
      <c r="J86" s="54"/>
      <c r="K86" s="54"/>
      <c r="L86" s="52"/>
      <c r="M86" s="52"/>
      <c r="N86" s="52"/>
      <c r="O86" s="52"/>
      <c r="P86" s="52"/>
      <c r="Q86" s="52"/>
      <c r="R86" s="52"/>
      <c r="S86" s="52"/>
      <c r="T86" s="52"/>
      <c r="U86" s="52"/>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c r="AU86" s="52"/>
      <c r="AV86" s="52"/>
      <c r="AW86" s="52"/>
      <c r="AX86" s="52"/>
      <c r="AY86" s="52"/>
      <c r="AZ86" s="52"/>
      <c r="BA86" s="52"/>
      <c r="BB86" s="52"/>
      <c r="BC86" s="52"/>
      <c r="BD86" s="52"/>
      <c r="BE86" s="52"/>
      <c r="BF86" s="54"/>
      <c r="BG86" s="54"/>
      <c r="BH86" s="54"/>
      <c r="BI86" s="54"/>
      <c r="BJ86" s="54"/>
      <c r="BK86" s="54"/>
      <c r="BL86" s="54"/>
      <c r="BM86" s="54"/>
      <c r="BN86" s="54"/>
      <c r="BO86" s="54"/>
      <c r="BP86" s="54"/>
      <c r="BQ86" s="54"/>
      <c r="BR86" s="54"/>
      <c r="BS86" s="54"/>
      <c r="BT86" s="54"/>
      <c r="BU86" s="54"/>
      <c r="BV86" s="54"/>
      <c r="BW86" s="54"/>
      <c r="BX86" s="54"/>
      <c r="BY86" s="54"/>
      <c r="BZ86" s="54"/>
      <c r="CA86" s="54"/>
      <c r="CB86" s="54"/>
    </row>
    <row r="87" spans="1:80" ht="16.5" customHeight="1">
      <c r="A87" s="54"/>
      <c r="B87" s="54"/>
      <c r="C87" s="54"/>
      <c r="D87" s="54"/>
      <c r="E87" s="54"/>
      <c r="F87" s="54"/>
      <c r="G87" s="54"/>
      <c r="H87" s="54"/>
      <c r="I87" s="54"/>
      <c r="J87" s="54"/>
      <c r="K87" s="54"/>
      <c r="L87" s="52"/>
      <c r="M87" s="52"/>
      <c r="N87" s="52"/>
      <c r="O87" s="52"/>
      <c r="P87" s="52"/>
      <c r="Q87" s="52"/>
      <c r="R87" s="52"/>
      <c r="S87" s="52"/>
      <c r="T87" s="52"/>
      <c r="U87" s="52"/>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c r="AU87" s="52"/>
      <c r="AV87" s="52"/>
      <c r="AW87" s="52"/>
      <c r="AX87" s="52"/>
      <c r="AY87" s="52"/>
      <c r="AZ87" s="52"/>
      <c r="BA87" s="52"/>
      <c r="BB87" s="52"/>
      <c r="BC87" s="52"/>
      <c r="BD87" s="52"/>
      <c r="BE87" s="52"/>
      <c r="BF87" s="54"/>
      <c r="BG87" s="54"/>
      <c r="BH87" s="54"/>
      <c r="BI87" s="54"/>
      <c r="BJ87" s="54"/>
      <c r="BK87" s="54"/>
      <c r="BL87" s="54"/>
      <c r="BM87" s="54"/>
      <c r="BN87" s="54"/>
      <c r="BO87" s="54"/>
      <c r="BP87" s="54"/>
      <c r="BQ87" s="54"/>
      <c r="BR87" s="54"/>
      <c r="BS87" s="54"/>
      <c r="BT87" s="54"/>
      <c r="BU87" s="54"/>
      <c r="BV87" s="54"/>
      <c r="BW87" s="54"/>
      <c r="BX87" s="54"/>
      <c r="BY87" s="54"/>
      <c r="BZ87" s="54"/>
      <c r="CA87" s="54"/>
      <c r="CB87" s="54"/>
    </row>
    <row r="88" spans="1:80" ht="16.5" customHeight="1">
      <c r="A88" s="54"/>
      <c r="B88" s="54"/>
      <c r="C88" s="54"/>
      <c r="D88" s="54"/>
      <c r="E88" s="54"/>
      <c r="F88" s="54"/>
      <c r="G88" s="54"/>
      <c r="H88" s="54"/>
      <c r="I88" s="54"/>
      <c r="J88" s="54"/>
      <c r="K88" s="54"/>
      <c r="L88" s="52"/>
      <c r="M88" s="52"/>
      <c r="N88" s="52"/>
      <c r="O88" s="52"/>
      <c r="P88" s="52"/>
      <c r="Q88" s="52"/>
      <c r="R88" s="52"/>
      <c r="S88" s="52"/>
      <c r="T88" s="52"/>
      <c r="U88" s="52"/>
      <c r="V88" s="52"/>
      <c r="W88" s="52"/>
      <c r="X88" s="52"/>
      <c r="Y88" s="52"/>
      <c r="Z88" s="52"/>
      <c r="AA88" s="52"/>
      <c r="AB88" s="52"/>
      <c r="AC88" s="52"/>
      <c r="AD88" s="52"/>
      <c r="AE88" s="52"/>
      <c r="AF88" s="52"/>
      <c r="AG88" s="52"/>
      <c r="AH88" s="52"/>
      <c r="AI88" s="52"/>
      <c r="AJ88" s="52"/>
      <c r="AK88" s="52"/>
      <c r="AL88" s="52"/>
      <c r="AM88" s="52"/>
      <c r="AN88" s="52"/>
      <c r="AO88" s="52"/>
      <c r="AP88" s="52"/>
      <c r="AQ88" s="52"/>
      <c r="AR88" s="52"/>
      <c r="AS88" s="52"/>
      <c r="AT88" s="52"/>
      <c r="AU88" s="52"/>
      <c r="AV88" s="52"/>
      <c r="AW88" s="52"/>
      <c r="AX88" s="52"/>
      <c r="AY88" s="52"/>
      <c r="AZ88" s="52"/>
      <c r="BA88" s="52"/>
      <c r="BB88" s="52"/>
      <c r="BC88" s="52"/>
      <c r="BD88" s="52"/>
      <c r="BE88" s="52"/>
      <c r="BF88" s="54"/>
      <c r="BG88" s="54"/>
      <c r="BH88" s="54"/>
      <c r="BI88" s="54"/>
      <c r="BJ88" s="54"/>
      <c r="BK88" s="54"/>
      <c r="BL88" s="54"/>
      <c r="BM88" s="54"/>
      <c r="BN88" s="54"/>
      <c r="BO88" s="54"/>
      <c r="BP88" s="54"/>
      <c r="BQ88" s="54"/>
      <c r="BR88" s="54"/>
      <c r="BS88" s="54"/>
      <c r="BT88" s="54"/>
      <c r="BU88" s="54"/>
      <c r="BV88" s="54"/>
      <c r="BW88" s="54"/>
      <c r="BX88" s="54"/>
      <c r="BY88" s="54"/>
      <c r="BZ88" s="54"/>
      <c r="CA88" s="54"/>
      <c r="CB88" s="54"/>
    </row>
    <row r="89" spans="1:80" ht="16.5" customHeight="1">
      <c r="A89" s="54"/>
      <c r="B89" s="54"/>
      <c r="C89" s="54"/>
      <c r="D89" s="54"/>
      <c r="E89" s="54"/>
      <c r="F89" s="54"/>
      <c r="G89" s="54"/>
      <c r="H89" s="54"/>
      <c r="I89" s="54"/>
      <c r="J89" s="54"/>
      <c r="K89" s="54"/>
      <c r="L89" s="52"/>
      <c r="M89" s="52"/>
      <c r="N89" s="52"/>
      <c r="O89" s="52"/>
      <c r="P89" s="52"/>
      <c r="Q89" s="52"/>
      <c r="R89" s="52"/>
      <c r="S89" s="52"/>
      <c r="T89" s="52"/>
      <c r="U89" s="52"/>
      <c r="V89" s="52"/>
      <c r="W89" s="52"/>
      <c r="X89" s="52"/>
      <c r="Y89" s="52"/>
      <c r="Z89" s="52"/>
      <c r="AA89" s="52"/>
      <c r="AB89" s="52"/>
      <c r="AC89" s="52"/>
      <c r="AD89" s="52"/>
      <c r="AE89" s="52"/>
      <c r="AF89" s="52"/>
      <c r="AG89" s="52"/>
      <c r="AH89" s="52"/>
      <c r="AI89" s="52"/>
      <c r="AJ89" s="52"/>
      <c r="AK89" s="52"/>
      <c r="AL89" s="52"/>
      <c r="AM89" s="52"/>
      <c r="AN89" s="52"/>
      <c r="AO89" s="52"/>
      <c r="AP89" s="52"/>
      <c r="AQ89" s="52"/>
      <c r="AR89" s="52"/>
      <c r="AS89" s="52"/>
      <c r="AT89" s="52"/>
      <c r="AU89" s="52"/>
      <c r="AV89" s="52"/>
      <c r="AW89" s="52"/>
      <c r="AX89" s="52"/>
      <c r="AY89" s="52"/>
      <c r="AZ89" s="52"/>
      <c r="BA89" s="52"/>
      <c r="BB89" s="52"/>
      <c r="BC89" s="52"/>
      <c r="BD89" s="52"/>
      <c r="BE89" s="52"/>
      <c r="BF89" s="54"/>
      <c r="BG89" s="54"/>
      <c r="BH89" s="54"/>
      <c r="BI89" s="54"/>
      <c r="BJ89" s="54"/>
      <c r="BK89" s="54"/>
      <c r="BL89" s="54"/>
      <c r="BM89" s="54"/>
      <c r="BN89" s="54"/>
      <c r="BO89" s="54"/>
      <c r="BP89" s="54"/>
      <c r="BQ89" s="54"/>
      <c r="BR89" s="54"/>
      <c r="BS89" s="54"/>
      <c r="BT89" s="54"/>
      <c r="BU89" s="54"/>
      <c r="BV89" s="54"/>
      <c r="BW89" s="54"/>
      <c r="BX89" s="54"/>
      <c r="BY89" s="54"/>
      <c r="BZ89" s="54"/>
      <c r="CA89" s="54"/>
      <c r="CB89" s="54"/>
    </row>
    <row r="90" spans="1:80" ht="16.5" customHeight="1">
      <c r="A90" s="54"/>
      <c r="B90" s="54"/>
      <c r="C90" s="54"/>
      <c r="D90" s="54"/>
      <c r="E90" s="54"/>
      <c r="F90" s="54"/>
      <c r="G90" s="54"/>
      <c r="H90" s="54"/>
      <c r="I90" s="54"/>
      <c r="J90" s="54"/>
      <c r="K90" s="54"/>
      <c r="L90" s="52"/>
      <c r="M90" s="52"/>
      <c r="N90" s="52"/>
      <c r="O90" s="52"/>
      <c r="P90" s="52"/>
      <c r="Q90" s="52"/>
      <c r="R90" s="52"/>
      <c r="S90" s="52"/>
      <c r="T90" s="52"/>
      <c r="U90" s="52"/>
      <c r="V90" s="52"/>
      <c r="W90" s="52"/>
      <c r="X90" s="52"/>
      <c r="Y90" s="52"/>
      <c r="Z90" s="52"/>
      <c r="AA90" s="52"/>
      <c r="AB90" s="52"/>
      <c r="AC90" s="52"/>
      <c r="AD90" s="52"/>
      <c r="AE90" s="52"/>
      <c r="AF90" s="52"/>
      <c r="AG90" s="52"/>
      <c r="AH90" s="52"/>
      <c r="AI90" s="52"/>
      <c r="AJ90" s="52"/>
      <c r="AK90" s="52"/>
      <c r="AL90" s="52"/>
      <c r="AM90" s="52"/>
      <c r="AN90" s="52"/>
      <c r="AO90" s="52"/>
      <c r="AP90" s="52"/>
      <c r="AQ90" s="52"/>
      <c r="AR90" s="52"/>
      <c r="AS90" s="52"/>
      <c r="AT90" s="52"/>
      <c r="AU90" s="52"/>
      <c r="AV90" s="52"/>
      <c r="AW90" s="52"/>
      <c r="AX90" s="52"/>
      <c r="AY90" s="52"/>
      <c r="AZ90" s="52"/>
      <c r="BA90" s="52"/>
      <c r="BB90" s="52"/>
      <c r="BC90" s="52"/>
      <c r="BD90" s="52"/>
      <c r="BE90" s="52"/>
      <c r="BF90" s="54"/>
      <c r="BG90" s="54"/>
      <c r="BH90" s="54"/>
      <c r="BI90" s="54"/>
      <c r="BJ90" s="54"/>
      <c r="BK90" s="54"/>
      <c r="BL90" s="54"/>
      <c r="BM90" s="54"/>
      <c r="BN90" s="54"/>
      <c r="BO90" s="54"/>
      <c r="BP90" s="54"/>
      <c r="BQ90" s="54"/>
      <c r="BR90" s="54"/>
      <c r="BS90" s="54"/>
      <c r="BT90" s="54"/>
      <c r="BU90" s="54"/>
      <c r="BV90" s="54"/>
      <c r="BW90" s="54"/>
      <c r="BX90" s="54"/>
      <c r="BY90" s="54"/>
      <c r="BZ90" s="54"/>
      <c r="CA90" s="54"/>
      <c r="CB90" s="54"/>
    </row>
    <row r="91" spans="1:80" ht="16.5" customHeight="1">
      <c r="A91" s="54"/>
      <c r="B91" s="54"/>
      <c r="C91" s="54"/>
      <c r="D91" s="54"/>
      <c r="E91" s="54"/>
      <c r="F91" s="54"/>
      <c r="G91" s="54"/>
      <c r="H91" s="54"/>
      <c r="I91" s="54"/>
      <c r="J91" s="54"/>
      <c r="K91" s="54"/>
      <c r="L91" s="52"/>
      <c r="M91" s="52"/>
      <c r="N91" s="52"/>
      <c r="O91" s="52"/>
      <c r="P91" s="52"/>
      <c r="Q91" s="52"/>
      <c r="R91" s="52"/>
      <c r="S91" s="52"/>
      <c r="T91" s="52"/>
      <c r="U91" s="52"/>
      <c r="V91" s="52"/>
      <c r="W91" s="52"/>
      <c r="X91" s="52"/>
      <c r="Y91" s="52"/>
      <c r="Z91" s="52"/>
      <c r="AA91" s="52"/>
      <c r="AB91" s="52"/>
      <c r="AC91" s="52"/>
      <c r="AD91" s="52"/>
      <c r="AE91" s="52"/>
      <c r="AF91" s="52"/>
      <c r="AG91" s="52"/>
      <c r="AH91" s="52"/>
      <c r="AI91" s="52"/>
      <c r="AJ91" s="52"/>
      <c r="AK91" s="52"/>
      <c r="AL91" s="52"/>
      <c r="AM91" s="52"/>
      <c r="AN91" s="52"/>
      <c r="AO91" s="52"/>
      <c r="AP91" s="52"/>
      <c r="AQ91" s="52"/>
      <c r="AR91" s="52"/>
      <c r="AS91" s="52"/>
      <c r="AT91" s="52"/>
      <c r="AU91" s="52"/>
      <c r="AV91" s="52"/>
      <c r="AW91" s="52"/>
      <c r="AX91" s="52"/>
      <c r="AY91" s="52"/>
      <c r="AZ91" s="52"/>
      <c r="BA91" s="52"/>
      <c r="BB91" s="52"/>
      <c r="BC91" s="52"/>
      <c r="BD91" s="52"/>
      <c r="BE91" s="52"/>
      <c r="BF91" s="54"/>
      <c r="BG91" s="54"/>
      <c r="BH91" s="54"/>
      <c r="BI91" s="54"/>
      <c r="BJ91" s="54"/>
      <c r="BK91" s="54"/>
      <c r="BL91" s="54"/>
      <c r="BM91" s="54"/>
      <c r="BN91" s="54"/>
      <c r="BO91" s="54"/>
      <c r="BP91" s="54"/>
      <c r="BQ91" s="54"/>
      <c r="BR91" s="54"/>
      <c r="BS91" s="54"/>
      <c r="BT91" s="54"/>
      <c r="BU91" s="54"/>
      <c r="BV91" s="54"/>
      <c r="BW91" s="54"/>
      <c r="BX91" s="54"/>
      <c r="BY91" s="54"/>
      <c r="BZ91" s="54"/>
      <c r="CA91" s="54"/>
      <c r="CB91" s="54"/>
    </row>
    <row r="92" spans="1:80" ht="16.5" customHeight="1">
      <c r="A92" s="54"/>
      <c r="B92" s="54"/>
      <c r="C92" s="54"/>
      <c r="D92" s="54"/>
      <c r="E92" s="54"/>
      <c r="F92" s="54"/>
      <c r="G92" s="54"/>
      <c r="H92" s="54"/>
      <c r="I92" s="54"/>
      <c r="J92" s="54"/>
      <c r="K92" s="54"/>
      <c r="L92" s="52"/>
      <c r="M92" s="52"/>
      <c r="N92" s="52"/>
      <c r="O92" s="52"/>
      <c r="P92" s="52"/>
      <c r="Q92" s="52"/>
      <c r="R92" s="52"/>
      <c r="S92" s="52"/>
      <c r="T92" s="52"/>
      <c r="U92" s="52"/>
      <c r="V92" s="52"/>
      <c r="W92" s="52"/>
      <c r="X92" s="52"/>
      <c r="Y92" s="52"/>
      <c r="Z92" s="52"/>
      <c r="AA92" s="52"/>
      <c r="AB92" s="52"/>
      <c r="AC92" s="52"/>
      <c r="AD92" s="52"/>
      <c r="AE92" s="52"/>
      <c r="AF92" s="52"/>
      <c r="AG92" s="52"/>
      <c r="AH92" s="52"/>
      <c r="AI92" s="52"/>
      <c r="AJ92" s="52"/>
      <c r="AK92" s="52"/>
      <c r="AL92" s="52"/>
      <c r="AM92" s="52"/>
      <c r="AN92" s="52"/>
      <c r="AO92" s="52"/>
      <c r="AP92" s="52"/>
      <c r="AQ92" s="52"/>
      <c r="AR92" s="52"/>
      <c r="AS92" s="52"/>
      <c r="AT92" s="52"/>
      <c r="AU92" s="52"/>
      <c r="AV92" s="52"/>
      <c r="AW92" s="52"/>
      <c r="AX92" s="52"/>
      <c r="AY92" s="52"/>
      <c r="AZ92" s="52"/>
      <c r="BA92" s="52"/>
      <c r="BB92" s="52"/>
      <c r="BC92" s="52"/>
      <c r="BD92" s="52"/>
      <c r="BE92" s="52"/>
      <c r="BF92" s="54"/>
      <c r="BG92" s="54"/>
      <c r="BH92" s="54"/>
      <c r="BI92" s="54"/>
      <c r="BJ92" s="54"/>
      <c r="BK92" s="54"/>
      <c r="BL92" s="54"/>
      <c r="BM92" s="54"/>
      <c r="BN92" s="54"/>
      <c r="BO92" s="54"/>
      <c r="BP92" s="54"/>
      <c r="BQ92" s="54"/>
      <c r="BR92" s="54"/>
      <c r="BS92" s="54"/>
      <c r="BT92" s="54"/>
      <c r="BU92" s="54"/>
      <c r="BV92" s="54"/>
      <c r="BW92" s="54"/>
      <c r="BX92" s="54"/>
      <c r="BY92" s="54"/>
      <c r="BZ92" s="54"/>
      <c r="CA92" s="54"/>
      <c r="CB92" s="54"/>
    </row>
    <row r="93" spans="1:80" ht="16.5" customHeight="1">
      <c r="A93" s="54"/>
      <c r="B93" s="54"/>
      <c r="C93" s="54"/>
      <c r="D93" s="54"/>
      <c r="E93" s="54"/>
      <c r="F93" s="54"/>
      <c r="G93" s="54"/>
      <c r="H93" s="54"/>
      <c r="I93" s="54"/>
      <c r="J93" s="54"/>
      <c r="K93" s="54"/>
      <c r="L93" s="52"/>
      <c r="M93" s="52"/>
      <c r="N93" s="52"/>
      <c r="O93" s="52"/>
      <c r="P93" s="52"/>
      <c r="Q93" s="52"/>
      <c r="R93" s="52"/>
      <c r="S93" s="52"/>
      <c r="T93" s="52"/>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c r="AS93" s="52"/>
      <c r="AT93" s="52"/>
      <c r="AU93" s="52"/>
      <c r="AV93" s="52"/>
      <c r="AW93" s="52"/>
      <c r="AX93" s="52"/>
      <c r="AY93" s="52"/>
      <c r="AZ93" s="52"/>
      <c r="BA93" s="52"/>
      <c r="BB93" s="52"/>
      <c r="BC93" s="52"/>
      <c r="BD93" s="52"/>
      <c r="BE93" s="52"/>
      <c r="BF93" s="54"/>
      <c r="BG93" s="54"/>
      <c r="BH93" s="54"/>
      <c r="BI93" s="54"/>
      <c r="BJ93" s="54"/>
      <c r="BK93" s="54"/>
      <c r="BL93" s="54"/>
      <c r="BM93" s="54"/>
      <c r="BN93" s="54"/>
      <c r="BO93" s="54"/>
      <c r="BP93" s="54"/>
      <c r="BQ93" s="54"/>
      <c r="BR93" s="54"/>
      <c r="BS93" s="54"/>
      <c r="BT93" s="54"/>
      <c r="BU93" s="54"/>
      <c r="BV93" s="54"/>
      <c r="BW93" s="54"/>
      <c r="BX93" s="54"/>
      <c r="BY93" s="54"/>
      <c r="BZ93" s="54"/>
      <c r="CA93" s="54"/>
      <c r="CB93" s="54"/>
    </row>
    <row r="94" spans="1:80" ht="16.5" customHeight="1">
      <c r="A94" s="54"/>
      <c r="B94" s="54"/>
      <c r="C94" s="54"/>
      <c r="D94" s="54"/>
      <c r="E94" s="54"/>
      <c r="F94" s="54"/>
      <c r="G94" s="54"/>
      <c r="H94" s="54"/>
      <c r="I94" s="54"/>
      <c r="J94" s="54"/>
      <c r="K94" s="54"/>
      <c r="L94" s="52"/>
      <c r="M94" s="52"/>
      <c r="N94" s="52"/>
      <c r="O94" s="52"/>
      <c r="P94" s="52"/>
      <c r="Q94" s="52"/>
      <c r="R94" s="52"/>
      <c r="S94" s="52"/>
      <c r="T94" s="52"/>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c r="AS94" s="52"/>
      <c r="AT94" s="52"/>
      <c r="AU94" s="52"/>
      <c r="AV94" s="52"/>
      <c r="AW94" s="52"/>
      <c r="AX94" s="52"/>
      <c r="AY94" s="52"/>
      <c r="AZ94" s="52"/>
      <c r="BA94" s="52"/>
      <c r="BB94" s="52"/>
      <c r="BC94" s="52"/>
      <c r="BD94" s="52"/>
      <c r="BE94" s="52"/>
      <c r="BF94" s="54"/>
      <c r="BG94" s="54"/>
      <c r="BH94" s="54"/>
      <c r="BI94" s="54"/>
      <c r="BJ94" s="54"/>
      <c r="BK94" s="54"/>
      <c r="BL94" s="54"/>
      <c r="BM94" s="54"/>
      <c r="BN94" s="54"/>
      <c r="BO94" s="54"/>
      <c r="BP94" s="54"/>
      <c r="BQ94" s="54"/>
      <c r="BR94" s="54"/>
      <c r="BS94" s="54"/>
      <c r="BT94" s="54"/>
      <c r="BU94" s="54"/>
      <c r="BV94" s="54"/>
      <c r="BW94" s="54"/>
      <c r="BX94" s="54"/>
      <c r="BY94" s="54"/>
      <c r="BZ94" s="54"/>
      <c r="CA94" s="54"/>
      <c r="CB94" s="54"/>
    </row>
    <row r="95" spans="1:80" ht="16.5" customHeight="1">
      <c r="A95" s="54"/>
      <c r="B95" s="54"/>
      <c r="C95" s="54"/>
      <c r="D95" s="54"/>
      <c r="E95" s="54"/>
      <c r="F95" s="54"/>
      <c r="G95" s="54"/>
      <c r="H95" s="54"/>
      <c r="I95" s="54"/>
      <c r="J95" s="54"/>
      <c r="K95" s="54"/>
      <c r="L95" s="52"/>
      <c r="M95" s="52"/>
      <c r="N95" s="52"/>
      <c r="O95" s="52"/>
      <c r="P95" s="52"/>
      <c r="Q95" s="52"/>
      <c r="R95" s="52"/>
      <c r="S95" s="52"/>
      <c r="T95" s="52"/>
      <c r="U95" s="52"/>
      <c r="V95" s="52"/>
      <c r="W95" s="52"/>
      <c r="X95" s="52"/>
      <c r="Y95" s="52"/>
      <c r="Z95" s="52"/>
      <c r="AA95" s="52"/>
      <c r="AB95" s="52"/>
      <c r="AC95" s="52"/>
      <c r="AD95" s="52"/>
      <c r="AE95" s="52"/>
      <c r="AF95" s="52"/>
      <c r="AG95" s="52"/>
      <c r="AH95" s="52"/>
      <c r="AI95" s="52"/>
      <c r="AJ95" s="52"/>
      <c r="AK95" s="52"/>
      <c r="AL95" s="52"/>
      <c r="AM95" s="52"/>
      <c r="AN95" s="52"/>
      <c r="AO95" s="52"/>
      <c r="AP95" s="52"/>
      <c r="AQ95" s="52"/>
      <c r="AR95" s="52"/>
      <c r="AS95" s="52"/>
      <c r="AT95" s="52"/>
      <c r="AU95" s="52"/>
      <c r="AV95" s="52"/>
      <c r="AW95" s="52"/>
      <c r="AX95" s="52"/>
      <c r="AY95" s="52"/>
      <c r="AZ95" s="52"/>
      <c r="BA95" s="52"/>
      <c r="BB95" s="52"/>
      <c r="BC95" s="52"/>
      <c r="BD95" s="52"/>
      <c r="BE95" s="52"/>
      <c r="BF95" s="54"/>
      <c r="BG95" s="54"/>
      <c r="BH95" s="54"/>
      <c r="BI95" s="54"/>
      <c r="BJ95" s="54"/>
      <c r="BK95" s="54"/>
      <c r="BL95" s="54"/>
      <c r="BM95" s="54"/>
      <c r="BN95" s="54"/>
      <c r="BO95" s="54"/>
      <c r="BP95" s="54"/>
      <c r="BQ95" s="54"/>
      <c r="BR95" s="54"/>
      <c r="BS95" s="54"/>
      <c r="BT95" s="54"/>
      <c r="BU95" s="54"/>
      <c r="BV95" s="54"/>
      <c r="BW95" s="54"/>
      <c r="BX95" s="54"/>
      <c r="BY95" s="54"/>
      <c r="BZ95" s="54"/>
      <c r="CA95" s="54"/>
      <c r="CB95" s="54"/>
    </row>
    <row r="96" spans="1:80" ht="16.5" customHeight="1">
      <c r="A96" s="54"/>
      <c r="B96" s="54"/>
      <c r="C96" s="54"/>
      <c r="D96" s="54"/>
      <c r="E96" s="54"/>
      <c r="F96" s="54"/>
      <c r="G96" s="54"/>
      <c r="H96" s="54"/>
      <c r="I96" s="54"/>
      <c r="J96" s="54"/>
      <c r="K96" s="54"/>
      <c r="L96" s="52"/>
      <c r="M96" s="52"/>
      <c r="N96" s="52"/>
      <c r="O96" s="52"/>
      <c r="P96" s="52"/>
      <c r="Q96" s="52"/>
      <c r="R96" s="52"/>
      <c r="S96" s="52"/>
      <c r="T96" s="52"/>
      <c r="U96" s="52"/>
      <c r="V96" s="52"/>
      <c r="W96" s="52"/>
      <c r="X96" s="52"/>
      <c r="Y96" s="52"/>
      <c r="Z96" s="52"/>
      <c r="AA96" s="52"/>
      <c r="AB96" s="52"/>
      <c r="AC96" s="52"/>
      <c r="AD96" s="52"/>
      <c r="AE96" s="52"/>
      <c r="AF96" s="52"/>
      <c r="AG96" s="52"/>
      <c r="AH96" s="52"/>
      <c r="AI96" s="52"/>
      <c r="AJ96" s="52"/>
      <c r="AK96" s="52"/>
      <c r="AL96" s="52"/>
      <c r="AM96" s="52"/>
      <c r="AN96" s="52"/>
      <c r="AO96" s="52"/>
      <c r="AP96" s="52"/>
      <c r="AQ96" s="52"/>
      <c r="AR96" s="52"/>
      <c r="AS96" s="52"/>
      <c r="AT96" s="52"/>
      <c r="AU96" s="52"/>
      <c r="AV96" s="52"/>
      <c r="AW96" s="52"/>
      <c r="AX96" s="52"/>
      <c r="AY96" s="52"/>
      <c r="AZ96" s="52"/>
      <c r="BA96" s="52"/>
      <c r="BB96" s="52"/>
      <c r="BC96" s="52"/>
      <c r="BD96" s="52"/>
      <c r="BE96" s="52"/>
      <c r="BF96" s="54"/>
      <c r="BG96" s="54"/>
      <c r="BH96" s="54"/>
      <c r="BI96" s="54"/>
      <c r="BJ96" s="54"/>
      <c r="BK96" s="54"/>
      <c r="BL96" s="54"/>
      <c r="BM96" s="54"/>
      <c r="BN96" s="54"/>
      <c r="BO96" s="54"/>
      <c r="BP96" s="54"/>
      <c r="BQ96" s="54"/>
      <c r="BR96" s="54"/>
      <c r="BS96" s="54"/>
      <c r="BT96" s="54"/>
      <c r="BU96" s="54"/>
      <c r="BV96" s="54"/>
      <c r="BW96" s="54"/>
      <c r="BX96" s="54"/>
      <c r="BY96" s="54"/>
      <c r="BZ96" s="54"/>
      <c r="CA96" s="54"/>
      <c r="CB96" s="54"/>
    </row>
    <row r="97" spans="1:80" ht="16.5" customHeight="1">
      <c r="A97" s="54"/>
      <c r="B97" s="54"/>
      <c r="C97" s="54"/>
      <c r="D97" s="54"/>
      <c r="E97" s="54"/>
      <c r="F97" s="54"/>
      <c r="G97" s="54"/>
      <c r="H97" s="54"/>
      <c r="I97" s="54"/>
      <c r="J97" s="54"/>
      <c r="K97" s="54"/>
      <c r="L97" s="52"/>
      <c r="M97" s="52"/>
      <c r="N97" s="52"/>
      <c r="O97" s="52"/>
      <c r="P97" s="52"/>
      <c r="Q97" s="52"/>
      <c r="R97" s="52"/>
      <c r="S97" s="52"/>
      <c r="T97" s="52"/>
      <c r="U97" s="52"/>
      <c r="V97" s="52"/>
      <c r="W97" s="52"/>
      <c r="X97" s="52"/>
      <c r="Y97" s="52"/>
      <c r="Z97" s="52"/>
      <c r="AA97" s="52"/>
      <c r="AB97" s="52"/>
      <c r="AC97" s="52"/>
      <c r="AD97" s="52"/>
      <c r="AE97" s="52"/>
      <c r="AF97" s="52"/>
      <c r="AG97" s="52"/>
      <c r="AH97" s="52"/>
      <c r="AI97" s="52"/>
      <c r="AJ97" s="52"/>
      <c r="AK97" s="52"/>
      <c r="AL97" s="52"/>
      <c r="AM97" s="52"/>
      <c r="AN97" s="52"/>
      <c r="AO97" s="52"/>
      <c r="AP97" s="52"/>
      <c r="AQ97" s="52"/>
      <c r="AR97" s="52"/>
      <c r="AS97" s="52"/>
      <c r="AT97" s="52"/>
      <c r="AU97" s="52"/>
      <c r="AV97" s="52"/>
      <c r="AW97" s="52"/>
      <c r="AX97" s="52"/>
      <c r="AY97" s="52"/>
      <c r="AZ97" s="52"/>
      <c r="BA97" s="52"/>
      <c r="BB97" s="52"/>
      <c r="BC97" s="52"/>
      <c r="BD97" s="52"/>
      <c r="BE97" s="52"/>
      <c r="BF97" s="54"/>
      <c r="BG97" s="54"/>
      <c r="BH97" s="54"/>
      <c r="BI97" s="54"/>
      <c r="BJ97" s="54"/>
      <c r="BK97" s="54"/>
      <c r="BL97" s="54"/>
      <c r="BM97" s="54"/>
      <c r="BN97" s="54"/>
      <c r="BO97" s="54"/>
      <c r="BP97" s="54"/>
      <c r="BQ97" s="54"/>
      <c r="BR97" s="54"/>
      <c r="BS97" s="54"/>
      <c r="BT97" s="54"/>
      <c r="BU97" s="54"/>
      <c r="BV97" s="54"/>
      <c r="BW97" s="54"/>
      <c r="BX97" s="54"/>
      <c r="BY97" s="54"/>
      <c r="BZ97" s="54"/>
      <c r="CA97" s="54"/>
      <c r="CB97" s="54"/>
    </row>
    <row r="98" spans="1:80" ht="16.5" customHeight="1">
      <c r="A98" s="54"/>
      <c r="B98" s="54"/>
      <c r="C98" s="54"/>
      <c r="D98" s="54"/>
      <c r="E98" s="54"/>
      <c r="F98" s="54"/>
      <c r="G98" s="54"/>
      <c r="H98" s="54"/>
      <c r="I98" s="54"/>
      <c r="J98" s="54"/>
      <c r="K98" s="54"/>
      <c r="L98" s="52"/>
      <c r="M98" s="52"/>
      <c r="N98" s="52"/>
      <c r="O98" s="52"/>
      <c r="P98" s="52"/>
      <c r="Q98" s="52"/>
      <c r="R98" s="52"/>
      <c r="S98" s="52"/>
      <c r="T98" s="52"/>
      <c r="U98" s="52"/>
      <c r="V98" s="52"/>
      <c r="W98" s="52"/>
      <c r="X98" s="52"/>
      <c r="Y98" s="52"/>
      <c r="Z98" s="52"/>
      <c r="AA98" s="52"/>
      <c r="AB98" s="52"/>
      <c r="AC98" s="52"/>
      <c r="AD98" s="52"/>
      <c r="AE98" s="52"/>
      <c r="AF98" s="52"/>
      <c r="AG98" s="52"/>
      <c r="AH98" s="52"/>
      <c r="AI98" s="52"/>
      <c r="AJ98" s="52"/>
      <c r="AK98" s="52"/>
      <c r="AL98" s="52"/>
      <c r="AM98" s="52"/>
      <c r="AN98" s="52"/>
      <c r="AO98" s="52"/>
      <c r="AP98" s="52"/>
      <c r="AQ98" s="52"/>
      <c r="AR98" s="52"/>
      <c r="AS98" s="52"/>
      <c r="AT98" s="52"/>
      <c r="AU98" s="52"/>
      <c r="AV98" s="52"/>
      <c r="AW98" s="52"/>
      <c r="AX98" s="52"/>
      <c r="AY98" s="52"/>
      <c r="AZ98" s="52"/>
      <c r="BA98" s="52"/>
      <c r="BB98" s="52"/>
      <c r="BC98" s="52"/>
      <c r="BD98" s="52"/>
      <c r="BE98" s="52"/>
      <c r="BF98" s="54"/>
      <c r="BG98" s="54"/>
      <c r="BH98" s="54"/>
      <c r="BI98" s="54"/>
      <c r="BJ98" s="54"/>
      <c r="BK98" s="54"/>
      <c r="BL98" s="54"/>
      <c r="BM98" s="54"/>
      <c r="BN98" s="54"/>
      <c r="BO98" s="54"/>
      <c r="BP98" s="54"/>
      <c r="BQ98" s="54"/>
      <c r="BR98" s="54"/>
      <c r="BS98" s="54"/>
      <c r="BT98" s="54"/>
      <c r="BU98" s="54"/>
      <c r="BV98" s="54"/>
      <c r="BW98" s="54"/>
      <c r="BX98" s="54"/>
      <c r="BY98" s="54"/>
      <c r="BZ98" s="54"/>
      <c r="CA98" s="54"/>
      <c r="CB98" s="54"/>
    </row>
    <row r="99" spans="1:80" ht="16.5" customHeight="1">
      <c r="A99" s="54"/>
      <c r="B99" s="54"/>
      <c r="C99" s="54"/>
      <c r="D99" s="54"/>
      <c r="E99" s="54"/>
      <c r="F99" s="54"/>
      <c r="G99" s="54"/>
      <c r="H99" s="54"/>
      <c r="I99" s="54"/>
      <c r="J99" s="54"/>
      <c r="K99" s="54"/>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c r="AS99" s="52"/>
      <c r="AT99" s="52"/>
      <c r="AU99" s="52"/>
      <c r="AV99" s="52"/>
      <c r="AW99" s="52"/>
      <c r="AX99" s="52"/>
      <c r="AY99" s="52"/>
      <c r="AZ99" s="52"/>
      <c r="BA99" s="52"/>
      <c r="BB99" s="52"/>
      <c r="BC99" s="52"/>
      <c r="BD99" s="52"/>
      <c r="BE99" s="52"/>
      <c r="BF99" s="54"/>
      <c r="BG99" s="54"/>
      <c r="BH99" s="54"/>
      <c r="BI99" s="54"/>
      <c r="BJ99" s="54"/>
      <c r="BK99" s="54"/>
      <c r="BL99" s="54"/>
      <c r="BM99" s="54"/>
      <c r="BN99" s="54"/>
      <c r="BO99" s="54"/>
      <c r="BP99" s="54"/>
      <c r="BQ99" s="54"/>
      <c r="BR99" s="54"/>
      <c r="BS99" s="54"/>
      <c r="BT99" s="54"/>
      <c r="BU99" s="54"/>
      <c r="BV99" s="54"/>
      <c r="BW99" s="54"/>
      <c r="BX99" s="54"/>
      <c r="BY99" s="54"/>
      <c r="BZ99" s="54"/>
      <c r="CA99" s="54"/>
      <c r="CB99" s="54"/>
    </row>
    <row r="100" spans="1:80" ht="16.5" customHeight="1">
      <c r="A100" s="54"/>
      <c r="B100" s="54"/>
      <c r="C100" s="54"/>
      <c r="D100" s="54"/>
      <c r="E100" s="54"/>
      <c r="F100" s="54"/>
      <c r="G100" s="54"/>
      <c r="H100" s="54"/>
      <c r="I100" s="54"/>
      <c r="J100" s="54"/>
      <c r="K100" s="54"/>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52"/>
      <c r="AJ100" s="52"/>
      <c r="AK100" s="52"/>
      <c r="AL100" s="52"/>
      <c r="AM100" s="52"/>
      <c r="AN100" s="52"/>
      <c r="AO100" s="52"/>
      <c r="AP100" s="52"/>
      <c r="AQ100" s="52"/>
      <c r="AR100" s="52"/>
      <c r="AS100" s="52"/>
      <c r="AT100" s="52"/>
      <c r="AU100" s="52"/>
      <c r="AV100" s="52"/>
      <c r="AW100" s="52"/>
      <c r="AX100" s="52"/>
      <c r="AY100" s="52"/>
      <c r="AZ100" s="52"/>
      <c r="BA100" s="52"/>
      <c r="BB100" s="52"/>
      <c r="BC100" s="52"/>
      <c r="BD100" s="52"/>
      <c r="BE100" s="52"/>
      <c r="BF100" s="54"/>
      <c r="BG100" s="54"/>
      <c r="BH100" s="54"/>
      <c r="BI100" s="54"/>
      <c r="BJ100" s="54"/>
      <c r="BK100" s="54"/>
      <c r="BL100" s="54"/>
      <c r="BM100" s="54"/>
      <c r="BN100" s="54"/>
      <c r="BO100" s="54"/>
      <c r="BP100" s="54"/>
      <c r="BQ100" s="54"/>
      <c r="BR100" s="54"/>
      <c r="BS100" s="54"/>
      <c r="BT100" s="54"/>
      <c r="BU100" s="54"/>
      <c r="BV100" s="54"/>
      <c r="BW100" s="54"/>
      <c r="BX100" s="54"/>
      <c r="BY100" s="54"/>
      <c r="BZ100" s="54"/>
      <c r="CA100" s="54"/>
      <c r="CB100" s="54"/>
    </row>
    <row r="101" spans="1:80" ht="16.5" customHeight="1">
      <c r="A101" s="54"/>
      <c r="B101" s="54"/>
      <c r="C101" s="54"/>
      <c r="D101" s="54"/>
      <c r="E101" s="54"/>
      <c r="F101" s="54"/>
      <c r="G101" s="54"/>
      <c r="H101" s="54"/>
      <c r="I101" s="54"/>
      <c r="J101" s="54"/>
      <c r="K101" s="54"/>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c r="AI101" s="52"/>
      <c r="AJ101" s="52"/>
      <c r="AK101" s="52"/>
      <c r="AL101" s="52"/>
      <c r="AM101" s="52"/>
      <c r="AN101" s="52"/>
      <c r="AO101" s="52"/>
      <c r="AP101" s="52"/>
      <c r="AQ101" s="52"/>
      <c r="AR101" s="52"/>
      <c r="AS101" s="52"/>
      <c r="AT101" s="52"/>
      <c r="AU101" s="52"/>
      <c r="AV101" s="52"/>
      <c r="AW101" s="52"/>
      <c r="AX101" s="52"/>
      <c r="AY101" s="52"/>
      <c r="AZ101" s="52"/>
      <c r="BA101" s="52"/>
      <c r="BB101" s="52"/>
      <c r="BC101" s="52"/>
      <c r="BD101" s="52"/>
      <c r="BE101" s="52"/>
      <c r="BF101" s="54"/>
      <c r="BG101" s="54"/>
      <c r="BH101" s="54"/>
      <c r="BI101" s="54"/>
      <c r="BJ101" s="54"/>
      <c r="BK101" s="54"/>
      <c r="BL101" s="54"/>
      <c r="BM101" s="54"/>
      <c r="BN101" s="54"/>
      <c r="BO101" s="54"/>
      <c r="BP101" s="54"/>
      <c r="BQ101" s="54"/>
      <c r="BR101" s="54"/>
      <c r="BS101" s="54"/>
      <c r="BT101" s="54"/>
      <c r="BU101" s="54"/>
      <c r="BV101" s="54"/>
      <c r="BW101" s="54"/>
      <c r="BX101" s="54"/>
      <c r="BY101" s="54"/>
      <c r="BZ101" s="54"/>
      <c r="CA101" s="54"/>
      <c r="CB101" s="54"/>
    </row>
    <row r="102" spans="1:80" ht="16.5" customHeight="1">
      <c r="A102" s="54"/>
      <c r="B102" s="54"/>
      <c r="C102" s="54"/>
      <c r="D102" s="54"/>
      <c r="E102" s="54"/>
      <c r="F102" s="54"/>
      <c r="G102" s="54"/>
      <c r="H102" s="54"/>
      <c r="I102" s="54"/>
      <c r="J102" s="54"/>
      <c r="K102" s="54"/>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c r="AI102" s="52"/>
      <c r="AJ102" s="52"/>
      <c r="AK102" s="52"/>
      <c r="AL102" s="52"/>
      <c r="AM102" s="52"/>
      <c r="AN102" s="52"/>
      <c r="AO102" s="52"/>
      <c r="AP102" s="52"/>
      <c r="AQ102" s="52"/>
      <c r="AR102" s="52"/>
      <c r="AS102" s="52"/>
      <c r="AT102" s="52"/>
      <c r="AU102" s="52"/>
      <c r="AV102" s="52"/>
      <c r="AW102" s="52"/>
      <c r="AX102" s="52"/>
      <c r="AY102" s="52"/>
      <c r="AZ102" s="52"/>
      <c r="BA102" s="52"/>
      <c r="BB102" s="52"/>
      <c r="BC102" s="52"/>
      <c r="BD102" s="52"/>
      <c r="BE102" s="52"/>
      <c r="BF102" s="54"/>
      <c r="BG102" s="54"/>
      <c r="BH102" s="54"/>
      <c r="BI102" s="54"/>
      <c r="BJ102" s="54"/>
      <c r="BK102" s="54"/>
      <c r="BL102" s="54"/>
      <c r="BM102" s="54"/>
      <c r="BN102" s="54"/>
      <c r="BO102" s="54"/>
      <c r="BP102" s="54"/>
      <c r="BQ102" s="54"/>
      <c r="BR102" s="54"/>
      <c r="BS102" s="54"/>
      <c r="BT102" s="54"/>
      <c r="BU102" s="54"/>
      <c r="BV102" s="54"/>
      <c r="BW102" s="54"/>
      <c r="BX102" s="54"/>
      <c r="BY102" s="54"/>
      <c r="BZ102" s="54"/>
      <c r="CA102" s="54"/>
      <c r="CB102" s="54"/>
    </row>
    <row r="103" spans="1:80" ht="16.5" customHeight="1">
      <c r="A103" s="54"/>
      <c r="B103" s="54"/>
      <c r="C103" s="54"/>
      <c r="D103" s="54"/>
      <c r="E103" s="54"/>
      <c r="F103" s="54"/>
      <c r="G103" s="54"/>
      <c r="H103" s="54"/>
      <c r="I103" s="54"/>
      <c r="J103" s="54"/>
      <c r="K103" s="54"/>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c r="AI103" s="52"/>
      <c r="AJ103" s="52"/>
      <c r="AK103" s="52"/>
      <c r="AL103" s="52"/>
      <c r="AM103" s="52"/>
      <c r="AN103" s="52"/>
      <c r="AO103" s="52"/>
      <c r="AP103" s="52"/>
      <c r="AQ103" s="52"/>
      <c r="AR103" s="52"/>
      <c r="AS103" s="52"/>
      <c r="AT103" s="52"/>
      <c r="AU103" s="52"/>
      <c r="AV103" s="52"/>
      <c r="AW103" s="52"/>
      <c r="AX103" s="52"/>
      <c r="AY103" s="52"/>
      <c r="AZ103" s="52"/>
      <c r="BA103" s="52"/>
      <c r="BB103" s="52"/>
      <c r="BC103" s="52"/>
      <c r="BD103" s="52"/>
      <c r="BE103" s="52"/>
      <c r="BF103" s="54"/>
      <c r="BG103" s="54"/>
      <c r="BH103" s="54"/>
      <c r="BI103" s="54"/>
      <c r="BJ103" s="54"/>
      <c r="BK103" s="54"/>
      <c r="BL103" s="54"/>
      <c r="BM103" s="54"/>
      <c r="BN103" s="54"/>
      <c r="BO103" s="54"/>
      <c r="BP103" s="54"/>
      <c r="BQ103" s="54"/>
      <c r="BR103" s="54"/>
      <c r="BS103" s="54"/>
      <c r="BT103" s="54"/>
      <c r="BU103" s="54"/>
      <c r="BV103" s="54"/>
      <c r="BW103" s="54"/>
      <c r="BX103" s="54"/>
      <c r="BY103" s="54"/>
      <c r="BZ103" s="54"/>
      <c r="CA103" s="54"/>
      <c r="CB103" s="54"/>
    </row>
    <row r="104" spans="1:80" ht="16.5" customHeight="1">
      <c r="A104" s="54"/>
      <c r="B104" s="54"/>
      <c r="C104" s="54"/>
      <c r="D104" s="54"/>
      <c r="E104" s="54"/>
      <c r="F104" s="54"/>
      <c r="G104" s="54"/>
      <c r="H104" s="54"/>
      <c r="I104" s="54"/>
      <c r="J104" s="54"/>
      <c r="K104" s="54"/>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c r="AN104" s="52"/>
      <c r="AO104" s="52"/>
      <c r="AP104" s="52"/>
      <c r="AQ104" s="52"/>
      <c r="AR104" s="52"/>
      <c r="AS104" s="52"/>
      <c r="AT104" s="52"/>
      <c r="AU104" s="52"/>
      <c r="AV104" s="52"/>
      <c r="AW104" s="52"/>
      <c r="AX104" s="52"/>
      <c r="AY104" s="52"/>
      <c r="AZ104" s="52"/>
      <c r="BA104" s="52"/>
      <c r="BB104" s="52"/>
      <c r="BC104" s="52"/>
      <c r="BD104" s="52"/>
      <c r="BE104" s="52"/>
      <c r="BF104" s="54"/>
      <c r="BG104" s="54"/>
      <c r="BH104" s="54"/>
      <c r="BI104" s="54"/>
      <c r="BJ104" s="54"/>
      <c r="BK104" s="54"/>
      <c r="BL104" s="54"/>
      <c r="BM104" s="54"/>
      <c r="BN104" s="54"/>
      <c r="BO104" s="54"/>
      <c r="BP104" s="54"/>
      <c r="BQ104" s="54"/>
      <c r="BR104" s="54"/>
      <c r="BS104" s="54"/>
      <c r="BT104" s="54"/>
      <c r="BU104" s="54"/>
      <c r="BV104" s="54"/>
      <c r="BW104" s="54"/>
      <c r="BX104" s="54"/>
      <c r="BY104" s="54"/>
      <c r="BZ104" s="54"/>
      <c r="CA104" s="54"/>
      <c r="CB104" s="54"/>
    </row>
    <row r="105" spans="1:80" ht="16.5" customHeight="1">
      <c r="A105" s="54"/>
      <c r="B105" s="54"/>
      <c r="C105" s="54"/>
      <c r="D105" s="54"/>
      <c r="E105" s="54"/>
      <c r="F105" s="54"/>
      <c r="G105" s="54"/>
      <c r="H105" s="54"/>
      <c r="I105" s="54"/>
      <c r="J105" s="54"/>
      <c r="K105" s="54"/>
      <c r="L105" s="52"/>
      <c r="M105" s="52"/>
      <c r="N105" s="52"/>
      <c r="O105" s="52"/>
      <c r="P105" s="52"/>
      <c r="Q105" s="52"/>
      <c r="R105" s="52"/>
      <c r="S105" s="52"/>
      <c r="T105" s="52"/>
      <c r="U105" s="52"/>
      <c r="V105" s="52"/>
      <c r="W105" s="52"/>
      <c r="X105" s="52"/>
      <c r="Y105" s="52"/>
      <c r="Z105" s="52"/>
      <c r="AA105" s="52"/>
      <c r="AB105" s="52"/>
      <c r="AC105" s="52"/>
      <c r="AD105" s="52"/>
      <c r="AE105" s="52"/>
      <c r="AF105" s="52"/>
      <c r="AG105" s="52"/>
      <c r="AH105" s="52"/>
      <c r="AI105" s="52"/>
      <c r="AJ105" s="52"/>
      <c r="AK105" s="52"/>
      <c r="AL105" s="52"/>
      <c r="AM105" s="52"/>
      <c r="AN105" s="52"/>
      <c r="AO105" s="52"/>
      <c r="AP105" s="52"/>
      <c r="AQ105" s="52"/>
      <c r="AR105" s="52"/>
      <c r="AS105" s="52"/>
      <c r="AT105" s="52"/>
      <c r="AU105" s="52"/>
      <c r="AV105" s="52"/>
      <c r="AW105" s="52"/>
      <c r="AX105" s="52"/>
      <c r="AY105" s="52"/>
      <c r="AZ105" s="52"/>
      <c r="BA105" s="52"/>
      <c r="BB105" s="52"/>
      <c r="BC105" s="52"/>
      <c r="BD105" s="52"/>
      <c r="BE105" s="52"/>
      <c r="BF105" s="54"/>
      <c r="BG105" s="54"/>
      <c r="BH105" s="54"/>
      <c r="BI105" s="54"/>
      <c r="BJ105" s="54"/>
      <c r="BK105" s="54"/>
      <c r="BL105" s="54"/>
      <c r="BM105" s="54"/>
      <c r="BN105" s="54"/>
      <c r="BO105" s="54"/>
      <c r="BP105" s="54"/>
      <c r="BQ105" s="54"/>
      <c r="BR105" s="54"/>
      <c r="BS105" s="54"/>
      <c r="BT105" s="54"/>
      <c r="BU105" s="54"/>
      <c r="BV105" s="54"/>
      <c r="BW105" s="54"/>
      <c r="BX105" s="54"/>
      <c r="BY105" s="54"/>
      <c r="BZ105" s="54"/>
      <c r="CA105" s="54"/>
      <c r="CB105" s="54"/>
    </row>
    <row r="106" spans="1:80" ht="16.5" customHeight="1">
      <c r="A106" s="54"/>
      <c r="B106" s="54"/>
      <c r="C106" s="54"/>
      <c r="D106" s="54"/>
      <c r="E106" s="54"/>
      <c r="F106" s="54"/>
      <c r="G106" s="54"/>
      <c r="H106" s="54"/>
      <c r="I106" s="54"/>
      <c r="J106" s="54"/>
      <c r="K106" s="54"/>
      <c r="L106" s="52"/>
      <c r="M106" s="52"/>
      <c r="N106" s="52"/>
      <c r="O106" s="52"/>
      <c r="P106" s="52"/>
      <c r="Q106" s="52"/>
      <c r="R106" s="52"/>
      <c r="S106" s="52"/>
      <c r="T106" s="52"/>
      <c r="U106" s="52"/>
      <c r="V106" s="52"/>
      <c r="W106" s="52"/>
      <c r="X106" s="52"/>
      <c r="Y106" s="52"/>
      <c r="Z106" s="52"/>
      <c r="AA106" s="52"/>
      <c r="AB106" s="52"/>
      <c r="AC106" s="52"/>
      <c r="AD106" s="52"/>
      <c r="AE106" s="52"/>
      <c r="AF106" s="52"/>
      <c r="AG106" s="52"/>
      <c r="AH106" s="52"/>
      <c r="AI106" s="52"/>
      <c r="AJ106" s="52"/>
      <c r="AK106" s="52"/>
      <c r="AL106" s="52"/>
      <c r="AM106" s="52"/>
      <c r="AN106" s="52"/>
      <c r="AO106" s="52"/>
      <c r="AP106" s="52"/>
      <c r="AQ106" s="52"/>
      <c r="AR106" s="52"/>
      <c r="AS106" s="52"/>
      <c r="AT106" s="52"/>
      <c r="AU106" s="52"/>
      <c r="AV106" s="52"/>
      <c r="AW106" s="52"/>
      <c r="AX106" s="52"/>
      <c r="AY106" s="52"/>
      <c r="AZ106" s="52"/>
      <c r="BA106" s="52"/>
      <c r="BB106" s="52"/>
      <c r="BC106" s="52"/>
      <c r="BD106" s="52"/>
      <c r="BE106" s="52"/>
      <c r="BF106" s="54"/>
      <c r="BG106" s="54"/>
      <c r="BH106" s="54"/>
      <c r="BI106" s="54"/>
      <c r="BJ106" s="54"/>
      <c r="BK106" s="54"/>
      <c r="BL106" s="54"/>
      <c r="BM106" s="54"/>
      <c r="BN106" s="54"/>
      <c r="BO106" s="54"/>
      <c r="BP106" s="54"/>
      <c r="BQ106" s="54"/>
      <c r="BR106" s="54"/>
      <c r="BS106" s="54"/>
      <c r="BT106" s="54"/>
      <c r="BU106" s="54"/>
      <c r="BV106" s="54"/>
      <c r="BW106" s="54"/>
      <c r="BX106" s="54"/>
      <c r="BY106" s="54"/>
      <c r="BZ106" s="54"/>
      <c r="CA106" s="54"/>
      <c r="CB106" s="54"/>
    </row>
    <row r="107" spans="1:80" ht="16.5" customHeight="1">
      <c r="A107" s="54"/>
      <c r="B107" s="54"/>
      <c r="C107" s="54"/>
      <c r="D107" s="54"/>
      <c r="E107" s="54"/>
      <c r="F107" s="54"/>
      <c r="G107" s="54"/>
      <c r="H107" s="54"/>
      <c r="I107" s="54"/>
      <c r="J107" s="54"/>
      <c r="K107" s="54"/>
      <c r="L107" s="52"/>
      <c r="M107" s="52"/>
      <c r="N107" s="52"/>
      <c r="O107" s="52"/>
      <c r="P107" s="52"/>
      <c r="Q107" s="52"/>
      <c r="R107" s="52"/>
      <c r="S107" s="52"/>
      <c r="T107" s="52"/>
      <c r="U107" s="52"/>
      <c r="V107" s="52"/>
      <c r="W107" s="52"/>
      <c r="X107" s="52"/>
      <c r="Y107" s="52"/>
      <c r="Z107" s="52"/>
      <c r="AA107" s="52"/>
      <c r="AB107" s="52"/>
      <c r="AC107" s="52"/>
      <c r="AD107" s="52"/>
      <c r="AE107" s="52"/>
      <c r="AF107" s="52"/>
      <c r="AG107" s="52"/>
      <c r="AH107" s="52"/>
      <c r="AI107" s="52"/>
      <c r="AJ107" s="52"/>
      <c r="AK107" s="52"/>
      <c r="AL107" s="52"/>
      <c r="AM107" s="52"/>
      <c r="AN107" s="52"/>
      <c r="AO107" s="52"/>
      <c r="AP107" s="52"/>
      <c r="AQ107" s="52"/>
      <c r="AR107" s="52"/>
      <c r="AS107" s="52"/>
      <c r="AT107" s="52"/>
      <c r="AU107" s="52"/>
      <c r="AV107" s="52"/>
      <c r="AW107" s="52"/>
      <c r="AX107" s="52"/>
      <c r="AY107" s="52"/>
      <c r="AZ107" s="52"/>
      <c r="BA107" s="52"/>
      <c r="BB107" s="52"/>
      <c r="BC107" s="52"/>
      <c r="BD107" s="52"/>
      <c r="BE107" s="52"/>
      <c r="BF107" s="54"/>
      <c r="BG107" s="54"/>
      <c r="BH107" s="54"/>
      <c r="BI107" s="54"/>
      <c r="BJ107" s="54"/>
      <c r="BK107" s="54"/>
      <c r="BL107" s="54"/>
      <c r="BM107" s="54"/>
      <c r="BN107" s="54"/>
      <c r="BO107" s="54"/>
      <c r="BP107" s="54"/>
      <c r="BQ107" s="54"/>
      <c r="BR107" s="54"/>
      <c r="BS107" s="54"/>
      <c r="BT107" s="54"/>
      <c r="BU107" s="54"/>
      <c r="BV107" s="54"/>
      <c r="BW107" s="54"/>
      <c r="BX107" s="54"/>
      <c r="BY107" s="54"/>
      <c r="BZ107" s="54"/>
      <c r="CA107" s="54"/>
      <c r="CB107" s="54"/>
    </row>
    <row r="108" spans="1:80" ht="16.5" customHeight="1">
      <c r="A108" s="54"/>
      <c r="B108" s="54"/>
      <c r="C108" s="54"/>
      <c r="D108" s="54"/>
      <c r="E108" s="54"/>
      <c r="F108" s="54"/>
      <c r="G108" s="54"/>
      <c r="H108" s="54"/>
      <c r="I108" s="54"/>
      <c r="J108" s="54"/>
      <c r="K108" s="54"/>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c r="AI108" s="52"/>
      <c r="AJ108" s="52"/>
      <c r="AK108" s="52"/>
      <c r="AL108" s="52"/>
      <c r="AM108" s="52"/>
      <c r="AN108" s="52"/>
      <c r="AO108" s="52"/>
      <c r="AP108" s="52"/>
      <c r="AQ108" s="52"/>
      <c r="AR108" s="52"/>
      <c r="AS108" s="52"/>
      <c r="AT108" s="52"/>
      <c r="AU108" s="52"/>
      <c r="AV108" s="52"/>
      <c r="AW108" s="52"/>
      <c r="AX108" s="52"/>
      <c r="AY108" s="52"/>
      <c r="AZ108" s="52"/>
      <c r="BA108" s="52"/>
      <c r="BB108" s="52"/>
      <c r="BC108" s="52"/>
      <c r="BD108" s="52"/>
      <c r="BE108" s="52"/>
      <c r="BF108" s="54"/>
      <c r="BG108" s="54"/>
      <c r="BH108" s="54"/>
      <c r="BI108" s="54"/>
      <c r="BJ108" s="54"/>
      <c r="BK108" s="54"/>
      <c r="BL108" s="54"/>
      <c r="BM108" s="54"/>
      <c r="BN108" s="54"/>
      <c r="BO108" s="54"/>
      <c r="BP108" s="54"/>
      <c r="BQ108" s="54"/>
      <c r="BR108" s="54"/>
      <c r="BS108" s="54"/>
      <c r="BT108" s="54"/>
      <c r="BU108" s="54"/>
      <c r="BV108" s="54"/>
      <c r="BW108" s="54"/>
      <c r="BX108" s="54"/>
      <c r="BY108" s="54"/>
      <c r="BZ108" s="54"/>
      <c r="CA108" s="54"/>
      <c r="CB108" s="54"/>
    </row>
    <row r="109" spans="1:80" ht="16.5" customHeight="1">
      <c r="A109" s="54"/>
      <c r="B109" s="54"/>
      <c r="C109" s="54"/>
      <c r="D109" s="54"/>
      <c r="E109" s="54"/>
      <c r="F109" s="54"/>
      <c r="G109" s="54"/>
      <c r="H109" s="54"/>
      <c r="I109" s="54"/>
      <c r="J109" s="54"/>
      <c r="K109" s="54"/>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c r="AI109" s="52"/>
      <c r="AJ109" s="52"/>
      <c r="AK109" s="52"/>
      <c r="AL109" s="52"/>
      <c r="AM109" s="52"/>
      <c r="AN109" s="52"/>
      <c r="AO109" s="52"/>
      <c r="AP109" s="52"/>
      <c r="AQ109" s="52"/>
      <c r="AR109" s="52"/>
      <c r="AS109" s="52"/>
      <c r="AT109" s="52"/>
      <c r="AU109" s="52"/>
      <c r="AV109" s="52"/>
      <c r="AW109" s="52"/>
      <c r="AX109" s="52"/>
      <c r="AY109" s="52"/>
      <c r="AZ109" s="52"/>
      <c r="BA109" s="52"/>
      <c r="BB109" s="52"/>
      <c r="BC109" s="52"/>
      <c r="BD109" s="52"/>
      <c r="BE109" s="52"/>
      <c r="BF109" s="54"/>
      <c r="BG109" s="54"/>
      <c r="BH109" s="54"/>
      <c r="BI109" s="54"/>
      <c r="BJ109" s="54"/>
      <c r="BK109" s="54"/>
      <c r="BL109" s="54"/>
      <c r="BM109" s="54"/>
      <c r="BN109" s="54"/>
      <c r="BO109" s="54"/>
      <c r="BP109" s="54"/>
      <c r="BQ109" s="54"/>
      <c r="BR109" s="54"/>
      <c r="BS109" s="54"/>
      <c r="BT109" s="54"/>
      <c r="BU109" s="54"/>
      <c r="BV109" s="54"/>
      <c r="BW109" s="54"/>
      <c r="BX109" s="54"/>
      <c r="BY109" s="54"/>
      <c r="BZ109" s="54"/>
      <c r="CA109" s="54"/>
      <c r="CB109" s="54"/>
    </row>
    <row r="110" spans="1:80" ht="16.5" customHeight="1">
      <c r="A110" s="54"/>
      <c r="B110" s="54"/>
      <c r="C110" s="54"/>
      <c r="D110" s="54"/>
      <c r="E110" s="54"/>
      <c r="F110" s="54"/>
      <c r="G110" s="54"/>
      <c r="H110" s="54"/>
      <c r="I110" s="54"/>
      <c r="J110" s="54"/>
      <c r="K110" s="54"/>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c r="AI110" s="52"/>
      <c r="AJ110" s="52"/>
      <c r="AK110" s="52"/>
      <c r="AL110" s="52"/>
      <c r="AM110" s="52"/>
      <c r="AN110" s="52"/>
      <c r="AO110" s="52"/>
      <c r="AP110" s="52"/>
      <c r="AQ110" s="52"/>
      <c r="AR110" s="52"/>
      <c r="AS110" s="52"/>
      <c r="AT110" s="52"/>
      <c r="AU110" s="52"/>
      <c r="AV110" s="52"/>
      <c r="AW110" s="52"/>
      <c r="AX110" s="52"/>
      <c r="AY110" s="52"/>
      <c r="AZ110" s="52"/>
      <c r="BA110" s="52"/>
      <c r="BB110" s="52"/>
      <c r="BC110" s="52"/>
      <c r="BD110" s="52"/>
      <c r="BE110" s="52"/>
      <c r="BF110" s="54"/>
      <c r="BG110" s="54"/>
      <c r="BH110" s="54"/>
      <c r="BI110" s="54"/>
      <c r="BJ110" s="54"/>
      <c r="BK110" s="54"/>
      <c r="BL110" s="54"/>
      <c r="BM110" s="54"/>
      <c r="BN110" s="54"/>
      <c r="BO110" s="54"/>
      <c r="BP110" s="54"/>
      <c r="BQ110" s="54"/>
      <c r="BR110" s="54"/>
      <c r="BS110" s="54"/>
      <c r="BT110" s="54"/>
      <c r="BU110" s="54"/>
      <c r="BV110" s="54"/>
      <c r="BW110" s="54"/>
      <c r="BX110" s="54"/>
      <c r="BY110" s="54"/>
      <c r="BZ110" s="54"/>
      <c r="CA110" s="54"/>
      <c r="CB110" s="54"/>
    </row>
    <row r="111" spans="1:80" ht="16.5" customHeight="1">
      <c r="A111" s="54"/>
      <c r="B111" s="54"/>
      <c r="C111" s="54"/>
      <c r="D111" s="54"/>
      <c r="E111" s="54"/>
      <c r="F111" s="54"/>
      <c r="G111" s="54"/>
      <c r="H111" s="54"/>
      <c r="I111" s="54"/>
      <c r="J111" s="54"/>
      <c r="K111" s="54"/>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c r="AI111" s="52"/>
      <c r="AJ111" s="52"/>
      <c r="AK111" s="52"/>
      <c r="AL111" s="52"/>
      <c r="AM111" s="52"/>
      <c r="AN111" s="52"/>
      <c r="AO111" s="52"/>
      <c r="AP111" s="52"/>
      <c r="AQ111" s="52"/>
      <c r="AR111" s="52"/>
      <c r="AS111" s="52"/>
      <c r="AT111" s="52"/>
      <c r="AU111" s="52"/>
      <c r="AV111" s="52"/>
      <c r="AW111" s="52"/>
      <c r="AX111" s="52"/>
      <c r="AY111" s="52"/>
      <c r="AZ111" s="52"/>
      <c r="BA111" s="52"/>
      <c r="BB111" s="52"/>
      <c r="BC111" s="52"/>
      <c r="BD111" s="52"/>
      <c r="BE111" s="52"/>
      <c r="BF111" s="54"/>
      <c r="BG111" s="54"/>
      <c r="BH111" s="54"/>
      <c r="BI111" s="54"/>
      <c r="BJ111" s="54"/>
      <c r="BK111" s="54"/>
      <c r="BL111" s="54"/>
      <c r="BM111" s="54"/>
      <c r="BN111" s="54"/>
      <c r="BO111" s="54"/>
      <c r="BP111" s="54"/>
      <c r="BQ111" s="54"/>
      <c r="BR111" s="54"/>
      <c r="BS111" s="54"/>
      <c r="BT111" s="54"/>
      <c r="BU111" s="54"/>
      <c r="BV111" s="54"/>
      <c r="BW111" s="54"/>
      <c r="BX111" s="54"/>
      <c r="BY111" s="54"/>
      <c r="BZ111" s="54"/>
      <c r="CA111" s="54"/>
      <c r="CB111" s="54"/>
    </row>
    <row r="112" spans="1:80" ht="16.5" customHeight="1">
      <c r="A112" s="54"/>
      <c r="B112" s="54"/>
      <c r="C112" s="54"/>
      <c r="D112" s="54"/>
      <c r="E112" s="54"/>
      <c r="F112" s="54"/>
      <c r="G112" s="54"/>
      <c r="H112" s="54"/>
      <c r="I112" s="54"/>
      <c r="J112" s="54"/>
      <c r="K112" s="54"/>
      <c r="L112" s="52"/>
      <c r="M112" s="52"/>
      <c r="N112" s="52"/>
      <c r="O112" s="52"/>
      <c r="P112" s="52"/>
      <c r="Q112" s="52"/>
      <c r="R112" s="52"/>
      <c r="S112" s="52"/>
      <c r="T112" s="52"/>
      <c r="U112" s="52"/>
      <c r="V112" s="52"/>
      <c r="W112" s="52"/>
      <c r="X112" s="52"/>
      <c r="Y112" s="52"/>
      <c r="Z112" s="52"/>
      <c r="AA112" s="52"/>
      <c r="AB112" s="52"/>
      <c r="AC112" s="52"/>
      <c r="AD112" s="52"/>
      <c r="AE112" s="52"/>
      <c r="AF112" s="52"/>
      <c r="AG112" s="52"/>
      <c r="AH112" s="52"/>
      <c r="AI112" s="52"/>
      <c r="AJ112" s="52"/>
      <c r="AK112" s="52"/>
      <c r="AL112" s="52"/>
      <c r="AM112" s="52"/>
      <c r="AN112" s="52"/>
      <c r="AO112" s="52"/>
      <c r="AP112" s="52"/>
      <c r="AQ112" s="52"/>
      <c r="AR112" s="52"/>
      <c r="AS112" s="52"/>
      <c r="AT112" s="52"/>
      <c r="AU112" s="52"/>
      <c r="AV112" s="52"/>
      <c r="AW112" s="52"/>
      <c r="AX112" s="52"/>
      <c r="AY112" s="52"/>
      <c r="AZ112" s="52"/>
      <c r="BA112" s="52"/>
      <c r="BB112" s="52"/>
      <c r="BC112" s="52"/>
      <c r="BD112" s="52"/>
      <c r="BE112" s="52"/>
      <c r="BF112" s="54"/>
      <c r="BG112" s="54"/>
      <c r="BH112" s="54"/>
      <c r="BI112" s="54"/>
      <c r="BJ112" s="54"/>
      <c r="BK112" s="54"/>
      <c r="BL112" s="54"/>
      <c r="BM112" s="54"/>
      <c r="BN112" s="54"/>
      <c r="BO112" s="54"/>
      <c r="BP112" s="54"/>
      <c r="BQ112" s="54"/>
      <c r="BR112" s="54"/>
      <c r="BS112" s="54"/>
      <c r="BT112" s="54"/>
      <c r="BU112" s="54"/>
      <c r="BV112" s="54"/>
      <c r="BW112" s="54"/>
      <c r="BX112" s="54"/>
      <c r="BY112" s="54"/>
      <c r="BZ112" s="54"/>
      <c r="CA112" s="54"/>
      <c r="CB112" s="54"/>
    </row>
    <row r="113" spans="1:80" ht="16.5" customHeight="1">
      <c r="A113" s="54"/>
      <c r="B113" s="54"/>
      <c r="C113" s="54"/>
      <c r="D113" s="54"/>
      <c r="E113" s="54"/>
      <c r="F113" s="54"/>
      <c r="G113" s="54"/>
      <c r="H113" s="54"/>
      <c r="I113" s="54"/>
      <c r="J113" s="54"/>
      <c r="K113" s="54"/>
      <c r="L113" s="52"/>
      <c r="M113" s="52"/>
      <c r="N113" s="52"/>
      <c r="O113" s="52"/>
      <c r="P113" s="52"/>
      <c r="Q113" s="52"/>
      <c r="R113" s="52"/>
      <c r="S113" s="52"/>
      <c r="T113" s="52"/>
      <c r="U113" s="52"/>
      <c r="V113" s="52"/>
      <c r="W113" s="52"/>
      <c r="X113" s="52"/>
      <c r="Y113" s="52"/>
      <c r="Z113" s="52"/>
      <c r="AA113" s="52"/>
      <c r="AB113" s="52"/>
      <c r="AC113" s="52"/>
      <c r="AD113" s="52"/>
      <c r="AE113" s="52"/>
      <c r="AF113" s="52"/>
      <c r="AG113" s="52"/>
      <c r="AH113" s="52"/>
      <c r="AI113" s="52"/>
      <c r="AJ113" s="52"/>
      <c r="AK113" s="52"/>
      <c r="AL113" s="52"/>
      <c r="AM113" s="52"/>
      <c r="AN113" s="52"/>
      <c r="AO113" s="52"/>
      <c r="AP113" s="52"/>
      <c r="AQ113" s="52"/>
      <c r="AR113" s="52"/>
      <c r="AS113" s="52"/>
      <c r="AT113" s="52"/>
      <c r="AU113" s="52"/>
      <c r="AV113" s="52"/>
      <c r="AW113" s="52"/>
      <c r="AX113" s="52"/>
      <c r="AY113" s="52"/>
      <c r="AZ113" s="52"/>
      <c r="BA113" s="52"/>
      <c r="BB113" s="52"/>
      <c r="BC113" s="52"/>
      <c r="BD113" s="52"/>
      <c r="BE113" s="52"/>
      <c r="BF113" s="54"/>
      <c r="BG113" s="54"/>
      <c r="BH113" s="54"/>
      <c r="BI113" s="54"/>
      <c r="BJ113" s="54"/>
      <c r="BK113" s="54"/>
      <c r="BL113" s="54"/>
      <c r="BM113" s="54"/>
      <c r="BN113" s="54"/>
      <c r="BO113" s="54"/>
      <c r="BP113" s="54"/>
      <c r="BQ113" s="54"/>
      <c r="BR113" s="54"/>
      <c r="BS113" s="54"/>
      <c r="BT113" s="54"/>
      <c r="BU113" s="54"/>
      <c r="BV113" s="54"/>
      <c r="BW113" s="54"/>
      <c r="BX113" s="54"/>
      <c r="BY113" s="54"/>
      <c r="BZ113" s="54"/>
      <c r="CA113" s="54"/>
      <c r="CB113" s="54"/>
    </row>
    <row r="114" spans="1:80" ht="16.5" customHeight="1">
      <c r="A114" s="54"/>
      <c r="B114" s="54"/>
      <c r="C114" s="54"/>
      <c r="D114" s="54"/>
      <c r="E114" s="54"/>
      <c r="F114" s="54"/>
      <c r="G114" s="54"/>
      <c r="H114" s="54"/>
      <c r="I114" s="54"/>
      <c r="J114" s="54"/>
      <c r="K114" s="54"/>
      <c r="L114" s="52"/>
      <c r="M114" s="52"/>
      <c r="N114" s="52"/>
      <c r="O114" s="52"/>
      <c r="P114" s="52"/>
      <c r="Q114" s="52"/>
      <c r="R114" s="52"/>
      <c r="S114" s="52"/>
      <c r="T114" s="52"/>
      <c r="U114" s="52"/>
      <c r="V114" s="52"/>
      <c r="W114" s="52"/>
      <c r="X114" s="52"/>
      <c r="Y114" s="52"/>
      <c r="Z114" s="52"/>
      <c r="AA114" s="52"/>
      <c r="AB114" s="52"/>
      <c r="AC114" s="52"/>
      <c r="AD114" s="52"/>
      <c r="AE114" s="52"/>
      <c r="AF114" s="52"/>
      <c r="AG114" s="52"/>
      <c r="AH114" s="52"/>
      <c r="AI114" s="52"/>
      <c r="AJ114" s="52"/>
      <c r="AK114" s="52"/>
      <c r="AL114" s="52"/>
      <c r="AM114" s="52"/>
      <c r="AN114" s="52"/>
      <c r="AO114" s="52"/>
      <c r="AP114" s="52"/>
      <c r="AQ114" s="52"/>
      <c r="AR114" s="52"/>
      <c r="AS114" s="52"/>
      <c r="AT114" s="52"/>
      <c r="AU114" s="52"/>
      <c r="AV114" s="52"/>
      <c r="AW114" s="52"/>
      <c r="AX114" s="52"/>
      <c r="AY114" s="52"/>
      <c r="AZ114" s="52"/>
      <c r="BA114" s="52"/>
      <c r="BB114" s="52"/>
      <c r="BC114" s="52"/>
      <c r="BD114" s="52"/>
      <c r="BE114" s="52"/>
      <c r="BF114" s="54"/>
      <c r="BG114" s="54"/>
      <c r="BH114" s="54"/>
      <c r="BI114" s="54"/>
      <c r="BJ114" s="54"/>
      <c r="BK114" s="54"/>
      <c r="BL114" s="54"/>
      <c r="BM114" s="54"/>
      <c r="BN114" s="54"/>
      <c r="BO114" s="54"/>
      <c r="BP114" s="54"/>
      <c r="BQ114" s="54"/>
      <c r="BR114" s="54"/>
      <c r="BS114" s="54"/>
      <c r="BT114" s="54"/>
      <c r="BU114" s="54"/>
      <c r="BV114" s="54"/>
      <c r="BW114" s="54"/>
      <c r="BX114" s="54"/>
      <c r="BY114" s="54"/>
      <c r="BZ114" s="54"/>
      <c r="CA114" s="54"/>
      <c r="CB114" s="54"/>
    </row>
    <row r="115" spans="1:80" ht="16.5" customHeight="1">
      <c r="A115" s="54"/>
      <c r="B115" s="54"/>
      <c r="C115" s="54"/>
      <c r="D115" s="54"/>
      <c r="E115" s="54"/>
      <c r="F115" s="54"/>
      <c r="G115" s="54"/>
      <c r="H115" s="54"/>
      <c r="I115" s="54"/>
      <c r="J115" s="54"/>
      <c r="K115" s="54"/>
      <c r="L115" s="52"/>
      <c r="M115" s="52"/>
      <c r="N115" s="52"/>
      <c r="O115" s="52"/>
      <c r="P115" s="52"/>
      <c r="Q115" s="52"/>
      <c r="R115" s="52"/>
      <c r="S115" s="52"/>
      <c r="T115" s="52"/>
      <c r="U115" s="52"/>
      <c r="V115" s="52"/>
      <c r="W115" s="52"/>
      <c r="X115" s="52"/>
      <c r="Y115" s="52"/>
      <c r="Z115" s="52"/>
      <c r="AA115" s="52"/>
      <c r="AB115" s="52"/>
      <c r="AC115" s="52"/>
      <c r="AD115" s="52"/>
      <c r="AE115" s="52"/>
      <c r="AF115" s="52"/>
      <c r="AG115" s="52"/>
      <c r="AH115" s="52"/>
      <c r="AI115" s="52"/>
      <c r="AJ115" s="52"/>
      <c r="AK115" s="52"/>
      <c r="AL115" s="52"/>
      <c r="AM115" s="52"/>
      <c r="AN115" s="52"/>
      <c r="AO115" s="52"/>
      <c r="AP115" s="52"/>
      <c r="AQ115" s="52"/>
      <c r="AR115" s="52"/>
      <c r="AS115" s="52"/>
      <c r="AT115" s="52"/>
      <c r="AU115" s="52"/>
      <c r="AV115" s="52"/>
      <c r="AW115" s="52"/>
      <c r="AX115" s="52"/>
      <c r="AY115" s="52"/>
      <c r="AZ115" s="52"/>
      <c r="BA115" s="52"/>
      <c r="BB115" s="52"/>
      <c r="BC115" s="52"/>
      <c r="BD115" s="52"/>
      <c r="BE115" s="52"/>
      <c r="BF115" s="54"/>
      <c r="BG115" s="54"/>
      <c r="BH115" s="54"/>
      <c r="BI115" s="54"/>
      <c r="BJ115" s="54"/>
      <c r="BK115" s="54"/>
      <c r="BL115" s="54"/>
      <c r="BM115" s="54"/>
      <c r="BN115" s="54"/>
      <c r="BO115" s="54"/>
      <c r="BP115" s="54"/>
      <c r="BQ115" s="54"/>
      <c r="BR115" s="54"/>
      <c r="BS115" s="54"/>
      <c r="BT115" s="54"/>
      <c r="BU115" s="54"/>
      <c r="BV115" s="54"/>
      <c r="BW115" s="54"/>
      <c r="BX115" s="54"/>
      <c r="BY115" s="54"/>
      <c r="BZ115" s="54"/>
      <c r="CA115" s="54"/>
      <c r="CB115" s="54"/>
    </row>
    <row r="116" spans="1:80" ht="16.5" customHeight="1">
      <c r="A116" s="54"/>
      <c r="B116" s="54"/>
      <c r="C116" s="54"/>
      <c r="D116" s="54"/>
      <c r="E116" s="54"/>
      <c r="F116" s="54"/>
      <c r="G116" s="54"/>
      <c r="H116" s="54"/>
      <c r="I116" s="54"/>
      <c r="J116" s="54"/>
      <c r="K116" s="54"/>
      <c r="L116" s="52"/>
      <c r="M116" s="52"/>
      <c r="N116" s="52"/>
      <c r="O116" s="52"/>
      <c r="P116" s="52"/>
      <c r="Q116" s="52"/>
      <c r="R116" s="52"/>
      <c r="S116" s="52"/>
      <c r="T116" s="52"/>
      <c r="U116" s="52"/>
      <c r="V116" s="52"/>
      <c r="W116" s="52"/>
      <c r="X116" s="52"/>
      <c r="Y116" s="52"/>
      <c r="Z116" s="52"/>
      <c r="AA116" s="52"/>
      <c r="AB116" s="52"/>
      <c r="AC116" s="52"/>
      <c r="AD116" s="52"/>
      <c r="AE116" s="52"/>
      <c r="AF116" s="52"/>
      <c r="AG116" s="52"/>
      <c r="AH116" s="52"/>
      <c r="AI116" s="52"/>
      <c r="AJ116" s="52"/>
      <c r="AK116" s="52"/>
      <c r="AL116" s="52"/>
      <c r="AM116" s="52"/>
      <c r="AN116" s="52"/>
      <c r="AO116" s="52"/>
      <c r="AP116" s="52"/>
      <c r="AQ116" s="52"/>
      <c r="AR116" s="52"/>
      <c r="AS116" s="52"/>
      <c r="AT116" s="52"/>
      <c r="AU116" s="52"/>
      <c r="AV116" s="52"/>
      <c r="AW116" s="52"/>
      <c r="AX116" s="52"/>
      <c r="AY116" s="52"/>
      <c r="AZ116" s="52"/>
      <c r="BA116" s="52"/>
      <c r="BB116" s="52"/>
      <c r="BC116" s="52"/>
      <c r="BD116" s="52"/>
      <c r="BE116" s="52"/>
      <c r="BF116" s="54"/>
      <c r="BG116" s="54"/>
      <c r="BH116" s="54"/>
      <c r="BI116" s="54"/>
      <c r="BJ116" s="54"/>
      <c r="BK116" s="54"/>
      <c r="BL116" s="54"/>
      <c r="BM116" s="54"/>
      <c r="BN116" s="54"/>
      <c r="BO116" s="54"/>
      <c r="BP116" s="54"/>
      <c r="BQ116" s="54"/>
      <c r="BR116" s="54"/>
      <c r="BS116" s="54"/>
      <c r="BT116" s="54"/>
      <c r="BU116" s="54"/>
      <c r="BV116" s="54"/>
      <c r="BW116" s="54"/>
      <c r="BX116" s="54"/>
      <c r="BY116" s="54"/>
      <c r="BZ116" s="54"/>
      <c r="CA116" s="54"/>
      <c r="CB116" s="54"/>
    </row>
    <row r="117" spans="1:80" ht="16.5" customHeight="1">
      <c r="A117" s="54"/>
      <c r="B117" s="54"/>
      <c r="C117" s="54"/>
      <c r="D117" s="54"/>
      <c r="E117" s="54"/>
      <c r="F117" s="54"/>
      <c r="G117" s="54"/>
      <c r="H117" s="54"/>
      <c r="I117" s="54"/>
      <c r="J117" s="54"/>
      <c r="K117" s="54"/>
      <c r="L117" s="52"/>
      <c r="M117" s="52"/>
      <c r="N117" s="52"/>
      <c r="O117" s="52"/>
      <c r="P117" s="52"/>
      <c r="Q117" s="52"/>
      <c r="R117" s="52"/>
      <c r="S117" s="52"/>
      <c r="T117" s="52"/>
      <c r="U117" s="52"/>
      <c r="V117" s="52"/>
      <c r="W117" s="52"/>
      <c r="X117" s="52"/>
      <c r="Y117" s="52"/>
      <c r="Z117" s="52"/>
      <c r="AA117" s="52"/>
      <c r="AB117" s="52"/>
      <c r="AC117" s="52"/>
      <c r="AD117" s="52"/>
      <c r="AE117" s="52"/>
      <c r="AF117" s="52"/>
      <c r="AG117" s="52"/>
      <c r="AH117" s="52"/>
      <c r="AI117" s="52"/>
      <c r="AJ117" s="52"/>
      <c r="AK117" s="52"/>
      <c r="AL117" s="52"/>
      <c r="AM117" s="52"/>
      <c r="AN117" s="52"/>
      <c r="AO117" s="52"/>
      <c r="AP117" s="52"/>
      <c r="AQ117" s="52"/>
      <c r="AR117" s="52"/>
      <c r="AS117" s="52"/>
      <c r="AT117" s="52"/>
      <c r="AU117" s="52"/>
      <c r="AV117" s="52"/>
      <c r="AW117" s="52"/>
      <c r="AX117" s="52"/>
      <c r="AY117" s="52"/>
      <c r="AZ117" s="52"/>
      <c r="BA117" s="52"/>
      <c r="BB117" s="52"/>
      <c r="BC117" s="52"/>
      <c r="BD117" s="52"/>
      <c r="BE117" s="52"/>
      <c r="BF117" s="54"/>
      <c r="BG117" s="54"/>
      <c r="BH117" s="54"/>
      <c r="BI117" s="54"/>
      <c r="BJ117" s="54"/>
      <c r="BK117" s="54"/>
      <c r="BL117" s="54"/>
      <c r="BM117" s="54"/>
      <c r="BN117" s="54"/>
      <c r="BO117" s="54"/>
      <c r="BP117" s="54"/>
      <c r="BQ117" s="54"/>
      <c r="BR117" s="54"/>
      <c r="BS117" s="54"/>
      <c r="BT117" s="54"/>
      <c r="BU117" s="54"/>
      <c r="BV117" s="54"/>
      <c r="BW117" s="54"/>
      <c r="BX117" s="54"/>
      <c r="BY117" s="54"/>
      <c r="BZ117" s="54"/>
      <c r="CA117" s="54"/>
      <c r="CB117" s="54"/>
    </row>
    <row r="118" spans="1:80" ht="16.5" customHeight="1">
      <c r="A118" s="54"/>
      <c r="B118" s="54"/>
      <c r="C118" s="54"/>
      <c r="D118" s="54"/>
      <c r="E118" s="54"/>
      <c r="F118" s="54"/>
      <c r="G118" s="54"/>
      <c r="H118" s="54"/>
      <c r="I118" s="54"/>
      <c r="J118" s="54"/>
      <c r="K118" s="54"/>
      <c r="L118" s="52"/>
      <c r="M118" s="52"/>
      <c r="N118" s="52"/>
      <c r="O118" s="52"/>
      <c r="P118" s="52"/>
      <c r="Q118" s="52"/>
      <c r="R118" s="52"/>
      <c r="S118" s="52"/>
      <c r="T118" s="52"/>
      <c r="U118" s="52"/>
      <c r="V118" s="52"/>
      <c r="W118" s="52"/>
      <c r="X118" s="52"/>
      <c r="Y118" s="52"/>
      <c r="Z118" s="52"/>
      <c r="AA118" s="52"/>
      <c r="AB118" s="52"/>
      <c r="AC118" s="52"/>
      <c r="AD118" s="52"/>
      <c r="AE118" s="52"/>
      <c r="AF118" s="52"/>
      <c r="AG118" s="52"/>
      <c r="AH118" s="52"/>
      <c r="AI118" s="52"/>
      <c r="AJ118" s="52"/>
      <c r="AK118" s="52"/>
      <c r="AL118" s="52"/>
      <c r="AM118" s="52"/>
      <c r="AN118" s="52"/>
      <c r="AO118" s="52"/>
      <c r="AP118" s="52"/>
      <c r="AQ118" s="52"/>
      <c r="AR118" s="52"/>
      <c r="AS118" s="52"/>
      <c r="AT118" s="52"/>
      <c r="AU118" s="52"/>
      <c r="AV118" s="52"/>
      <c r="AW118" s="52"/>
      <c r="AX118" s="52"/>
      <c r="AY118" s="52"/>
      <c r="AZ118" s="52"/>
      <c r="BA118" s="52"/>
      <c r="BB118" s="52"/>
      <c r="BC118" s="52"/>
      <c r="BD118" s="52"/>
      <c r="BE118" s="52"/>
      <c r="BF118" s="54"/>
      <c r="BG118" s="54"/>
      <c r="BH118" s="54"/>
      <c r="BI118" s="54"/>
      <c r="BJ118" s="54"/>
      <c r="BK118" s="54"/>
      <c r="BL118" s="54"/>
      <c r="BM118" s="54"/>
      <c r="BN118" s="54"/>
      <c r="BO118" s="54"/>
      <c r="BP118" s="54"/>
      <c r="BQ118" s="54"/>
      <c r="BR118" s="54"/>
      <c r="BS118" s="54"/>
      <c r="BT118" s="54"/>
      <c r="BU118" s="54"/>
      <c r="BV118" s="54"/>
      <c r="BW118" s="54"/>
      <c r="BX118" s="54"/>
      <c r="BY118" s="54"/>
      <c r="BZ118" s="54"/>
      <c r="CA118" s="54"/>
      <c r="CB118" s="54"/>
    </row>
    <row r="119" spans="1:80" ht="16.5" customHeight="1">
      <c r="A119" s="54"/>
      <c r="B119" s="54"/>
      <c r="C119" s="54"/>
      <c r="D119" s="54"/>
      <c r="E119" s="54"/>
      <c r="F119" s="54"/>
      <c r="G119" s="54"/>
      <c r="H119" s="54"/>
      <c r="I119" s="54"/>
      <c r="J119" s="54"/>
      <c r="K119" s="54"/>
      <c r="L119" s="52"/>
      <c r="M119" s="52"/>
      <c r="N119" s="52"/>
      <c r="O119" s="52"/>
      <c r="P119" s="52"/>
      <c r="Q119" s="52"/>
      <c r="R119" s="52"/>
      <c r="S119" s="52"/>
      <c r="T119" s="52"/>
      <c r="U119" s="52"/>
      <c r="V119" s="52"/>
      <c r="W119" s="52"/>
      <c r="X119" s="52"/>
      <c r="Y119" s="52"/>
      <c r="Z119" s="52"/>
      <c r="AA119" s="52"/>
      <c r="AB119" s="52"/>
      <c r="AC119" s="52"/>
      <c r="AD119" s="52"/>
      <c r="AE119" s="52"/>
      <c r="AF119" s="52"/>
      <c r="AG119" s="52"/>
      <c r="AH119" s="52"/>
      <c r="AI119" s="52"/>
      <c r="AJ119" s="52"/>
      <c r="AK119" s="52"/>
      <c r="AL119" s="52"/>
      <c r="AM119" s="52"/>
      <c r="AN119" s="52"/>
      <c r="AO119" s="52"/>
      <c r="AP119" s="52"/>
      <c r="AQ119" s="52"/>
      <c r="AR119" s="52"/>
      <c r="AS119" s="52"/>
      <c r="AT119" s="52"/>
      <c r="AU119" s="52"/>
      <c r="AV119" s="52"/>
      <c r="AW119" s="52"/>
      <c r="AX119" s="52"/>
      <c r="AY119" s="52"/>
      <c r="AZ119" s="52"/>
      <c r="BA119" s="52"/>
      <c r="BB119" s="52"/>
      <c r="BC119" s="52"/>
      <c r="BD119" s="52"/>
      <c r="BE119" s="52"/>
      <c r="BF119" s="54"/>
      <c r="BG119" s="54"/>
      <c r="BH119" s="54"/>
      <c r="BI119" s="54"/>
      <c r="BJ119" s="54"/>
      <c r="BK119" s="54"/>
      <c r="BL119" s="54"/>
      <c r="BM119" s="54"/>
      <c r="BN119" s="54"/>
      <c r="BO119" s="54"/>
      <c r="BP119" s="54"/>
      <c r="BQ119" s="54"/>
      <c r="BR119" s="54"/>
      <c r="BS119" s="54"/>
      <c r="BT119" s="54"/>
      <c r="BU119" s="54"/>
      <c r="BV119" s="54"/>
      <c r="BW119" s="54"/>
      <c r="BX119" s="54"/>
      <c r="BY119" s="54"/>
      <c r="BZ119" s="54"/>
      <c r="CA119" s="54"/>
      <c r="CB119" s="54"/>
    </row>
    <row r="120" spans="1:80" ht="16.5" customHeight="1">
      <c r="A120" s="54"/>
      <c r="B120" s="54"/>
      <c r="C120" s="54"/>
      <c r="D120" s="54"/>
      <c r="E120" s="54"/>
      <c r="F120" s="54"/>
      <c r="G120" s="54"/>
      <c r="H120" s="54"/>
      <c r="I120" s="54"/>
      <c r="J120" s="54"/>
      <c r="K120" s="54"/>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c r="AI120" s="52"/>
      <c r="AJ120" s="52"/>
      <c r="AK120" s="52"/>
      <c r="AL120" s="52"/>
      <c r="AM120" s="52"/>
      <c r="AN120" s="52"/>
      <c r="AO120" s="52"/>
      <c r="AP120" s="52"/>
      <c r="AQ120" s="52"/>
      <c r="AR120" s="52"/>
      <c r="AS120" s="52"/>
      <c r="AT120" s="52"/>
      <c r="AU120" s="52"/>
      <c r="AV120" s="52"/>
      <c r="AW120" s="52"/>
      <c r="AX120" s="52"/>
      <c r="AY120" s="52"/>
      <c r="AZ120" s="52"/>
      <c r="BA120" s="52"/>
      <c r="BB120" s="52"/>
      <c r="BC120" s="52"/>
      <c r="BD120" s="52"/>
      <c r="BE120" s="52"/>
      <c r="BF120" s="54"/>
      <c r="BG120" s="54"/>
      <c r="BH120" s="54"/>
      <c r="BI120" s="54"/>
      <c r="BJ120" s="54"/>
      <c r="BK120" s="54"/>
      <c r="BL120" s="54"/>
      <c r="BM120" s="54"/>
      <c r="BN120" s="54"/>
      <c r="BO120" s="54"/>
      <c r="BP120" s="54"/>
      <c r="BQ120" s="54"/>
      <c r="BR120" s="54"/>
      <c r="BS120" s="54"/>
      <c r="BT120" s="54"/>
      <c r="BU120" s="54"/>
      <c r="BV120" s="54"/>
      <c r="BW120" s="54"/>
      <c r="BX120" s="54"/>
      <c r="BY120" s="54"/>
      <c r="BZ120" s="54"/>
      <c r="CA120" s="54"/>
      <c r="CB120" s="54"/>
    </row>
    <row r="121" spans="1:80" ht="16.5" customHeight="1">
      <c r="A121" s="54"/>
      <c r="B121" s="54"/>
      <c r="C121" s="54"/>
      <c r="D121" s="54"/>
      <c r="E121" s="54"/>
      <c r="F121" s="54"/>
      <c r="G121" s="54"/>
      <c r="H121" s="54"/>
      <c r="I121" s="54"/>
      <c r="J121" s="54"/>
      <c r="K121" s="54"/>
      <c r="L121" s="52"/>
      <c r="M121" s="52"/>
      <c r="N121" s="52"/>
      <c r="O121" s="52"/>
      <c r="P121" s="52"/>
      <c r="Q121" s="52"/>
      <c r="R121" s="52"/>
      <c r="S121" s="52"/>
      <c r="T121" s="52"/>
      <c r="U121" s="52"/>
      <c r="V121" s="52"/>
      <c r="W121" s="52"/>
      <c r="X121" s="52"/>
      <c r="Y121" s="52"/>
      <c r="Z121" s="52"/>
      <c r="AA121" s="52"/>
      <c r="AB121" s="52"/>
      <c r="AC121" s="52"/>
      <c r="AD121" s="52"/>
      <c r="AE121" s="52"/>
      <c r="AF121" s="52"/>
      <c r="AG121" s="52"/>
      <c r="AH121" s="52"/>
      <c r="AI121" s="52"/>
      <c r="AJ121" s="52"/>
      <c r="AK121" s="52"/>
      <c r="AL121" s="52"/>
      <c r="AM121" s="52"/>
      <c r="AN121" s="52"/>
      <c r="AO121" s="52"/>
      <c r="AP121" s="52"/>
      <c r="AQ121" s="52"/>
      <c r="AR121" s="52"/>
      <c r="AS121" s="52"/>
      <c r="AT121" s="52"/>
      <c r="AU121" s="52"/>
      <c r="AV121" s="52"/>
      <c r="AW121" s="52"/>
      <c r="AX121" s="52"/>
      <c r="AY121" s="52"/>
      <c r="AZ121" s="52"/>
      <c r="BA121" s="52"/>
      <c r="BB121" s="52"/>
      <c r="BC121" s="52"/>
      <c r="BD121" s="52"/>
      <c r="BE121" s="52"/>
      <c r="BF121" s="54"/>
      <c r="BG121" s="54"/>
      <c r="BH121" s="54"/>
      <c r="BI121" s="54"/>
      <c r="BJ121" s="54"/>
      <c r="BK121" s="54"/>
      <c r="BL121" s="54"/>
      <c r="BM121" s="54"/>
      <c r="BN121" s="54"/>
      <c r="BO121" s="54"/>
      <c r="BP121" s="54"/>
      <c r="BQ121" s="54"/>
      <c r="BR121" s="54"/>
      <c r="BS121" s="54"/>
      <c r="BT121" s="54"/>
      <c r="BU121" s="54"/>
      <c r="BV121" s="54"/>
      <c r="BW121" s="54"/>
      <c r="BX121" s="54"/>
      <c r="BY121" s="54"/>
      <c r="BZ121" s="54"/>
      <c r="CA121" s="54"/>
      <c r="CB121" s="54"/>
    </row>
    <row r="122" spans="1:80" ht="16.5" customHeight="1">
      <c r="A122" s="54"/>
      <c r="B122" s="54"/>
      <c r="C122" s="54"/>
      <c r="D122" s="54"/>
      <c r="E122" s="54"/>
      <c r="F122" s="54"/>
      <c r="G122" s="54"/>
      <c r="H122" s="54"/>
      <c r="I122" s="54"/>
      <c r="J122" s="54"/>
      <c r="K122" s="54"/>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c r="AI122" s="52"/>
      <c r="AJ122" s="52"/>
      <c r="AK122" s="52"/>
      <c r="AL122" s="52"/>
      <c r="AM122" s="52"/>
      <c r="AN122" s="52"/>
      <c r="AO122" s="52"/>
      <c r="AP122" s="52"/>
      <c r="AQ122" s="52"/>
      <c r="AR122" s="52"/>
      <c r="AS122" s="52"/>
      <c r="AT122" s="52"/>
      <c r="AU122" s="52"/>
      <c r="AV122" s="52"/>
      <c r="AW122" s="52"/>
      <c r="AX122" s="52"/>
      <c r="AY122" s="52"/>
      <c r="AZ122" s="52"/>
      <c r="BA122" s="52"/>
      <c r="BB122" s="52"/>
      <c r="BC122" s="52"/>
      <c r="BD122" s="52"/>
      <c r="BE122" s="52"/>
      <c r="BF122" s="54"/>
      <c r="BG122" s="54"/>
      <c r="BH122" s="54"/>
      <c r="BI122" s="54"/>
      <c r="BJ122" s="54"/>
      <c r="BK122" s="54"/>
      <c r="BL122" s="54"/>
      <c r="BM122" s="54"/>
      <c r="BN122" s="54"/>
      <c r="BO122" s="54"/>
      <c r="BP122" s="54"/>
      <c r="BQ122" s="54"/>
      <c r="BR122" s="54"/>
      <c r="BS122" s="54"/>
      <c r="BT122" s="54"/>
      <c r="BU122" s="54"/>
      <c r="BV122" s="54"/>
      <c r="BW122" s="54"/>
      <c r="BX122" s="54"/>
      <c r="BY122" s="54"/>
      <c r="BZ122" s="54"/>
      <c r="CA122" s="54"/>
      <c r="CB122" s="54"/>
    </row>
    <row r="123" spans="1:80" ht="16.5" customHeight="1">
      <c r="A123" s="54"/>
      <c r="B123" s="54"/>
      <c r="C123" s="54"/>
      <c r="D123" s="54"/>
      <c r="E123" s="54"/>
      <c r="F123" s="54"/>
      <c r="G123" s="54"/>
      <c r="H123" s="54"/>
      <c r="I123" s="54"/>
      <c r="J123" s="54"/>
      <c r="K123" s="54"/>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c r="AI123" s="52"/>
      <c r="AJ123" s="52"/>
      <c r="AK123" s="52"/>
      <c r="AL123" s="52"/>
      <c r="AM123" s="52"/>
      <c r="AN123" s="52"/>
      <c r="AO123" s="52"/>
      <c r="AP123" s="52"/>
      <c r="AQ123" s="52"/>
      <c r="AR123" s="52"/>
      <c r="AS123" s="52"/>
      <c r="AT123" s="52"/>
      <c r="AU123" s="52"/>
      <c r="AV123" s="52"/>
      <c r="AW123" s="52"/>
      <c r="AX123" s="52"/>
      <c r="AY123" s="52"/>
      <c r="AZ123" s="52"/>
      <c r="BA123" s="52"/>
      <c r="BB123" s="52"/>
      <c r="BC123" s="52"/>
      <c r="BD123" s="52"/>
      <c r="BE123" s="52"/>
      <c r="BF123" s="54"/>
      <c r="BG123" s="54"/>
      <c r="BH123" s="54"/>
      <c r="BI123" s="54"/>
      <c r="BJ123" s="54"/>
      <c r="BK123" s="54"/>
      <c r="BL123" s="54"/>
      <c r="BM123" s="54"/>
      <c r="BN123" s="54"/>
      <c r="BO123" s="54"/>
      <c r="BP123" s="54"/>
      <c r="BQ123" s="54"/>
      <c r="BR123" s="54"/>
      <c r="BS123" s="54"/>
      <c r="BT123" s="54"/>
      <c r="BU123" s="54"/>
      <c r="BV123" s="54"/>
      <c r="BW123" s="54"/>
      <c r="BX123" s="54"/>
      <c r="BY123" s="54"/>
      <c r="BZ123" s="54"/>
      <c r="CA123" s="54"/>
      <c r="CB123" s="54"/>
    </row>
    <row r="124" spans="1:80" ht="16.5" customHeight="1">
      <c r="A124" s="54"/>
      <c r="B124" s="54"/>
      <c r="C124" s="54"/>
      <c r="D124" s="54"/>
      <c r="E124" s="54"/>
      <c r="F124" s="54"/>
      <c r="G124" s="54"/>
      <c r="H124" s="54"/>
      <c r="I124" s="54"/>
      <c r="J124" s="54"/>
      <c r="K124" s="54"/>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c r="AI124" s="52"/>
      <c r="AJ124" s="52"/>
      <c r="AK124" s="52"/>
      <c r="AL124" s="52"/>
      <c r="AM124" s="52"/>
      <c r="AN124" s="52"/>
      <c r="AO124" s="52"/>
      <c r="AP124" s="52"/>
      <c r="AQ124" s="52"/>
      <c r="AR124" s="52"/>
      <c r="AS124" s="52"/>
      <c r="AT124" s="52"/>
      <c r="AU124" s="52"/>
      <c r="AV124" s="52"/>
      <c r="AW124" s="52"/>
      <c r="AX124" s="52"/>
      <c r="AY124" s="52"/>
      <c r="AZ124" s="52"/>
      <c r="BA124" s="52"/>
      <c r="BB124" s="52"/>
      <c r="BC124" s="52"/>
      <c r="BD124" s="52"/>
      <c r="BE124" s="52"/>
      <c r="BF124" s="54"/>
      <c r="BG124" s="54"/>
      <c r="BH124" s="54"/>
      <c r="BI124" s="54"/>
      <c r="BJ124" s="54"/>
      <c r="BK124" s="54"/>
      <c r="BL124" s="54"/>
      <c r="BM124" s="54"/>
      <c r="BN124" s="54"/>
      <c r="BO124" s="54"/>
      <c r="BP124" s="54"/>
      <c r="BQ124" s="54"/>
      <c r="BR124" s="54"/>
      <c r="BS124" s="54"/>
      <c r="BT124" s="54"/>
      <c r="BU124" s="54"/>
      <c r="BV124" s="54"/>
      <c r="BW124" s="54"/>
      <c r="BX124" s="54"/>
      <c r="BY124" s="54"/>
      <c r="BZ124" s="54"/>
      <c r="CA124" s="54"/>
      <c r="CB124" s="54"/>
    </row>
    <row r="125" spans="1:80" ht="16.5" customHeight="1">
      <c r="A125" s="54"/>
      <c r="B125" s="54"/>
      <c r="C125" s="54"/>
      <c r="D125" s="54"/>
      <c r="E125" s="54"/>
      <c r="F125" s="54"/>
      <c r="G125" s="54"/>
      <c r="H125" s="54"/>
      <c r="I125" s="54"/>
      <c r="J125" s="54"/>
      <c r="K125" s="54"/>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c r="AI125" s="52"/>
      <c r="AJ125" s="52"/>
      <c r="AK125" s="52"/>
      <c r="AL125" s="52"/>
      <c r="AM125" s="52"/>
      <c r="AN125" s="52"/>
      <c r="AO125" s="52"/>
      <c r="AP125" s="52"/>
      <c r="AQ125" s="52"/>
      <c r="AR125" s="52"/>
      <c r="AS125" s="52"/>
      <c r="AT125" s="52"/>
      <c r="AU125" s="52"/>
      <c r="AV125" s="52"/>
      <c r="AW125" s="52"/>
      <c r="AX125" s="52"/>
      <c r="AY125" s="52"/>
      <c r="AZ125" s="52"/>
      <c r="BA125" s="52"/>
      <c r="BB125" s="52"/>
      <c r="BC125" s="52"/>
      <c r="BD125" s="52"/>
      <c r="BE125" s="52"/>
      <c r="BF125" s="54"/>
      <c r="BG125" s="54"/>
      <c r="BH125" s="54"/>
      <c r="BI125" s="54"/>
      <c r="BJ125" s="54"/>
      <c r="BK125" s="54"/>
      <c r="BL125" s="54"/>
      <c r="BM125" s="54"/>
      <c r="BN125" s="54"/>
      <c r="BO125" s="54"/>
      <c r="BP125" s="54"/>
      <c r="BQ125" s="54"/>
      <c r="BR125" s="54"/>
      <c r="BS125" s="54"/>
      <c r="BT125" s="54"/>
      <c r="BU125" s="54"/>
      <c r="BV125" s="54"/>
      <c r="BW125" s="54"/>
      <c r="BX125" s="54"/>
      <c r="BY125" s="54"/>
      <c r="BZ125" s="54"/>
      <c r="CA125" s="54"/>
      <c r="CB125" s="54"/>
    </row>
    <row r="126" spans="1:80" ht="16.5" customHeight="1">
      <c r="A126" s="54"/>
      <c r="B126" s="54"/>
      <c r="C126" s="54"/>
      <c r="D126" s="54"/>
      <c r="E126" s="54"/>
      <c r="F126" s="54"/>
      <c r="G126" s="54"/>
      <c r="H126" s="54"/>
      <c r="I126" s="54"/>
      <c r="J126" s="54"/>
      <c r="K126" s="54"/>
      <c r="L126" s="52"/>
      <c r="M126" s="52"/>
      <c r="N126" s="52"/>
      <c r="O126" s="52"/>
      <c r="P126" s="52"/>
      <c r="Q126" s="52"/>
      <c r="R126" s="52"/>
      <c r="S126" s="52"/>
      <c r="T126" s="52"/>
      <c r="U126" s="52"/>
      <c r="V126" s="52"/>
      <c r="W126" s="52"/>
      <c r="X126" s="52"/>
      <c r="Y126" s="52"/>
      <c r="Z126" s="52"/>
      <c r="AA126" s="52"/>
      <c r="AB126" s="52"/>
      <c r="AC126" s="52"/>
      <c r="AD126" s="52"/>
      <c r="AE126" s="52"/>
      <c r="AF126" s="52"/>
      <c r="AG126" s="52"/>
      <c r="AH126" s="52"/>
      <c r="AI126" s="52"/>
      <c r="AJ126" s="52"/>
      <c r="AK126" s="52"/>
      <c r="AL126" s="52"/>
      <c r="AM126" s="52"/>
      <c r="AN126" s="52"/>
      <c r="AO126" s="52"/>
      <c r="AP126" s="52"/>
      <c r="AQ126" s="52"/>
      <c r="AR126" s="52"/>
      <c r="AS126" s="52"/>
      <c r="AT126" s="52"/>
      <c r="AU126" s="52"/>
      <c r="AV126" s="52"/>
      <c r="AW126" s="52"/>
      <c r="AX126" s="52"/>
      <c r="AY126" s="52"/>
      <c r="AZ126" s="52"/>
      <c r="BA126" s="52"/>
      <c r="BB126" s="52"/>
      <c r="BC126" s="52"/>
      <c r="BD126" s="52"/>
      <c r="BE126" s="52"/>
      <c r="BF126" s="54"/>
      <c r="BG126" s="54"/>
      <c r="BH126" s="54"/>
      <c r="BI126" s="54"/>
      <c r="BJ126" s="54"/>
      <c r="BK126" s="54"/>
      <c r="BL126" s="54"/>
      <c r="BM126" s="54"/>
      <c r="BN126" s="54"/>
      <c r="BO126" s="54"/>
      <c r="BP126" s="54"/>
      <c r="BQ126" s="54"/>
      <c r="BR126" s="54"/>
      <c r="BS126" s="54"/>
      <c r="BT126" s="54"/>
      <c r="BU126" s="54"/>
      <c r="BV126" s="54"/>
      <c r="BW126" s="54"/>
      <c r="BX126" s="54"/>
      <c r="BY126" s="54"/>
      <c r="BZ126" s="54"/>
      <c r="CA126" s="54"/>
      <c r="CB126" s="54"/>
    </row>
    <row r="127" spans="1:80" ht="16.5" customHeight="1">
      <c r="A127" s="54"/>
      <c r="B127" s="54"/>
      <c r="C127" s="54"/>
      <c r="D127" s="54"/>
      <c r="E127" s="54"/>
      <c r="F127" s="54"/>
      <c r="G127" s="54"/>
      <c r="H127" s="54"/>
      <c r="I127" s="54"/>
      <c r="J127" s="54"/>
      <c r="K127" s="54"/>
      <c r="L127" s="52"/>
      <c r="M127" s="52"/>
      <c r="N127" s="52"/>
      <c r="O127" s="52"/>
      <c r="P127" s="52"/>
      <c r="Q127" s="52"/>
      <c r="R127" s="52"/>
      <c r="S127" s="52"/>
      <c r="T127" s="52"/>
      <c r="U127" s="52"/>
      <c r="V127" s="52"/>
      <c r="W127" s="52"/>
      <c r="X127" s="52"/>
      <c r="Y127" s="52"/>
      <c r="Z127" s="52"/>
      <c r="AA127" s="52"/>
      <c r="AB127" s="52"/>
      <c r="AC127" s="52"/>
      <c r="AD127" s="52"/>
      <c r="AE127" s="52"/>
      <c r="AF127" s="52"/>
      <c r="AG127" s="52"/>
      <c r="AH127" s="52"/>
      <c r="AI127" s="52"/>
      <c r="AJ127" s="52"/>
      <c r="AK127" s="52"/>
      <c r="AL127" s="52"/>
      <c r="AM127" s="52"/>
      <c r="AN127" s="52"/>
      <c r="AO127" s="52"/>
      <c r="AP127" s="52"/>
      <c r="AQ127" s="52"/>
      <c r="AR127" s="52"/>
      <c r="AS127" s="52"/>
      <c r="AT127" s="52"/>
      <c r="AU127" s="52"/>
      <c r="AV127" s="52"/>
      <c r="AW127" s="52"/>
      <c r="AX127" s="52"/>
      <c r="AY127" s="52"/>
      <c r="AZ127" s="52"/>
      <c r="BA127" s="52"/>
      <c r="BB127" s="52"/>
      <c r="BC127" s="52"/>
      <c r="BD127" s="52"/>
      <c r="BE127" s="52"/>
      <c r="BF127" s="54"/>
      <c r="BG127" s="54"/>
      <c r="BH127" s="54"/>
      <c r="BI127" s="54"/>
      <c r="BJ127" s="54"/>
      <c r="BK127" s="54"/>
      <c r="BL127" s="54"/>
      <c r="BM127" s="54"/>
      <c r="BN127" s="54"/>
      <c r="BO127" s="54"/>
      <c r="BP127" s="54"/>
      <c r="BQ127" s="54"/>
      <c r="BR127" s="54"/>
      <c r="BS127" s="54"/>
      <c r="BT127" s="54"/>
      <c r="BU127" s="54"/>
      <c r="BV127" s="54"/>
      <c r="BW127" s="54"/>
      <c r="BX127" s="54"/>
      <c r="BY127" s="54"/>
      <c r="BZ127" s="54"/>
      <c r="CA127" s="54"/>
      <c r="CB127" s="54"/>
    </row>
    <row r="128" spans="1:80" ht="16.5" customHeight="1">
      <c r="A128" s="54"/>
      <c r="B128" s="54"/>
      <c r="C128" s="54"/>
      <c r="D128" s="54"/>
      <c r="E128" s="54"/>
      <c r="F128" s="54"/>
      <c r="G128" s="54"/>
      <c r="H128" s="54"/>
      <c r="I128" s="54"/>
      <c r="J128" s="54"/>
      <c r="K128" s="54"/>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c r="AI128" s="52"/>
      <c r="AJ128" s="52"/>
      <c r="AK128" s="52"/>
      <c r="AL128" s="52"/>
      <c r="AM128" s="52"/>
      <c r="AN128" s="52"/>
      <c r="AO128" s="52"/>
      <c r="AP128" s="52"/>
      <c r="AQ128" s="52"/>
      <c r="AR128" s="52"/>
      <c r="AS128" s="52"/>
      <c r="AT128" s="52"/>
      <c r="AU128" s="52"/>
      <c r="AV128" s="52"/>
      <c r="AW128" s="52"/>
      <c r="AX128" s="52"/>
      <c r="AY128" s="52"/>
      <c r="AZ128" s="52"/>
      <c r="BA128" s="52"/>
      <c r="BB128" s="52"/>
      <c r="BC128" s="52"/>
      <c r="BD128" s="52"/>
      <c r="BE128" s="52"/>
      <c r="BF128" s="54"/>
      <c r="BG128" s="54"/>
      <c r="BH128" s="54"/>
      <c r="BI128" s="54"/>
      <c r="BJ128" s="54"/>
      <c r="BK128" s="54"/>
      <c r="BL128" s="54"/>
      <c r="BM128" s="54"/>
      <c r="BN128" s="54"/>
      <c r="BO128" s="54"/>
      <c r="BP128" s="54"/>
      <c r="BQ128" s="54"/>
      <c r="BR128" s="54"/>
      <c r="BS128" s="54"/>
      <c r="BT128" s="54"/>
      <c r="BU128" s="54"/>
      <c r="BV128" s="54"/>
      <c r="BW128" s="54"/>
      <c r="BX128" s="54"/>
      <c r="BY128" s="54"/>
      <c r="BZ128" s="54"/>
      <c r="CA128" s="54"/>
      <c r="CB128" s="54"/>
    </row>
    <row r="129" spans="1:80" ht="16.5" customHeight="1">
      <c r="A129" s="54"/>
      <c r="B129" s="54"/>
      <c r="C129" s="54"/>
      <c r="D129" s="54"/>
      <c r="E129" s="54"/>
      <c r="F129" s="54"/>
      <c r="G129" s="54"/>
      <c r="H129" s="54"/>
      <c r="I129" s="54"/>
      <c r="J129" s="54"/>
      <c r="K129" s="54"/>
      <c r="L129" s="52"/>
      <c r="M129" s="52"/>
      <c r="N129" s="52"/>
      <c r="O129" s="52"/>
      <c r="P129" s="52"/>
      <c r="Q129" s="52"/>
      <c r="R129" s="52"/>
      <c r="S129" s="52"/>
      <c r="T129" s="52"/>
      <c r="U129" s="52"/>
      <c r="V129" s="52"/>
      <c r="W129" s="52"/>
      <c r="X129" s="52"/>
      <c r="Y129" s="52"/>
      <c r="Z129" s="52"/>
      <c r="AA129" s="52"/>
      <c r="AB129" s="52"/>
      <c r="AC129" s="52"/>
      <c r="AD129" s="52"/>
      <c r="AE129" s="52"/>
      <c r="AF129" s="52"/>
      <c r="AG129" s="52"/>
      <c r="AH129" s="52"/>
      <c r="AI129" s="52"/>
      <c r="AJ129" s="52"/>
      <c r="AK129" s="52"/>
      <c r="AL129" s="52"/>
      <c r="AM129" s="52"/>
      <c r="AN129" s="52"/>
      <c r="AO129" s="52"/>
      <c r="AP129" s="52"/>
      <c r="AQ129" s="52"/>
      <c r="AR129" s="52"/>
      <c r="AS129" s="52"/>
      <c r="AT129" s="52"/>
      <c r="AU129" s="52"/>
      <c r="AV129" s="52"/>
      <c r="AW129" s="52"/>
      <c r="AX129" s="52"/>
      <c r="AY129" s="52"/>
      <c r="AZ129" s="52"/>
      <c r="BA129" s="52"/>
      <c r="BB129" s="52"/>
      <c r="BC129" s="52"/>
      <c r="BD129" s="52"/>
      <c r="BE129" s="52"/>
      <c r="BF129" s="54"/>
      <c r="BG129" s="54"/>
      <c r="BH129" s="54"/>
      <c r="BI129" s="54"/>
      <c r="BJ129" s="54"/>
      <c r="BK129" s="54"/>
      <c r="BL129" s="54"/>
      <c r="BM129" s="54"/>
      <c r="BN129" s="54"/>
      <c r="BO129" s="54"/>
      <c r="BP129" s="54"/>
      <c r="BQ129" s="54"/>
      <c r="BR129" s="54"/>
      <c r="BS129" s="54"/>
      <c r="BT129" s="54"/>
      <c r="BU129" s="54"/>
      <c r="BV129" s="54"/>
      <c r="BW129" s="54"/>
      <c r="BX129" s="54"/>
      <c r="BY129" s="54"/>
      <c r="BZ129" s="54"/>
      <c r="CA129" s="54"/>
      <c r="CB129" s="54"/>
    </row>
    <row r="130" spans="1:80" ht="16.5" customHeight="1">
      <c r="A130" s="54"/>
      <c r="B130" s="54"/>
      <c r="C130" s="54"/>
      <c r="D130" s="54"/>
      <c r="E130" s="54"/>
      <c r="F130" s="54"/>
      <c r="G130" s="54"/>
      <c r="H130" s="54"/>
      <c r="I130" s="54"/>
      <c r="J130" s="54"/>
      <c r="K130" s="54"/>
      <c r="L130" s="52"/>
      <c r="M130" s="52"/>
      <c r="N130" s="52"/>
      <c r="O130" s="52"/>
      <c r="P130" s="52"/>
      <c r="Q130" s="52"/>
      <c r="R130" s="52"/>
      <c r="S130" s="52"/>
      <c r="T130" s="52"/>
      <c r="U130" s="52"/>
      <c r="V130" s="52"/>
      <c r="W130" s="52"/>
      <c r="X130" s="52"/>
      <c r="Y130" s="52"/>
      <c r="Z130" s="52"/>
      <c r="AA130" s="52"/>
      <c r="AB130" s="52"/>
      <c r="AC130" s="52"/>
      <c r="AD130" s="52"/>
      <c r="AE130" s="52"/>
      <c r="AF130" s="52"/>
      <c r="AG130" s="52"/>
      <c r="AH130" s="52"/>
      <c r="AI130" s="52"/>
      <c r="AJ130" s="52"/>
      <c r="AK130" s="52"/>
      <c r="AL130" s="52"/>
      <c r="AM130" s="52"/>
      <c r="AN130" s="52"/>
      <c r="AO130" s="52"/>
      <c r="AP130" s="52"/>
      <c r="AQ130" s="52"/>
      <c r="AR130" s="52"/>
      <c r="AS130" s="52"/>
      <c r="AT130" s="52"/>
      <c r="AU130" s="52"/>
      <c r="AV130" s="52"/>
      <c r="AW130" s="52"/>
      <c r="AX130" s="52"/>
      <c r="AY130" s="52"/>
      <c r="AZ130" s="52"/>
      <c r="BA130" s="52"/>
      <c r="BB130" s="52"/>
      <c r="BC130" s="52"/>
      <c r="BD130" s="52"/>
      <c r="BE130" s="52"/>
      <c r="BF130" s="54"/>
      <c r="BG130" s="54"/>
      <c r="BH130" s="54"/>
      <c r="BI130" s="54"/>
      <c r="BJ130" s="54"/>
      <c r="BK130" s="54"/>
      <c r="BL130" s="54"/>
      <c r="BM130" s="54"/>
      <c r="BN130" s="54"/>
      <c r="BO130" s="54"/>
      <c r="BP130" s="54"/>
      <c r="BQ130" s="54"/>
      <c r="BR130" s="54"/>
      <c r="BS130" s="54"/>
      <c r="BT130" s="54"/>
      <c r="BU130" s="54"/>
      <c r="BV130" s="54"/>
      <c r="BW130" s="54"/>
      <c r="BX130" s="54"/>
      <c r="BY130" s="54"/>
      <c r="BZ130" s="54"/>
      <c r="CA130" s="54"/>
      <c r="CB130" s="54"/>
    </row>
    <row r="131" spans="1:80" ht="16.5" customHeight="1">
      <c r="A131" s="54"/>
      <c r="B131" s="54"/>
      <c r="C131" s="54"/>
      <c r="D131" s="54"/>
      <c r="E131" s="54"/>
      <c r="F131" s="54"/>
      <c r="G131" s="54"/>
      <c r="H131" s="54"/>
      <c r="I131" s="54"/>
      <c r="J131" s="54"/>
      <c r="K131" s="54"/>
      <c r="L131" s="52"/>
      <c r="M131" s="52"/>
      <c r="N131" s="52"/>
      <c r="O131" s="52"/>
      <c r="P131" s="52"/>
      <c r="Q131" s="52"/>
      <c r="R131" s="52"/>
      <c r="S131" s="52"/>
      <c r="T131" s="52"/>
      <c r="U131" s="52"/>
      <c r="V131" s="52"/>
      <c r="W131" s="52"/>
      <c r="X131" s="52"/>
      <c r="Y131" s="52"/>
      <c r="Z131" s="52"/>
      <c r="AA131" s="52"/>
      <c r="AB131" s="52"/>
      <c r="AC131" s="52"/>
      <c r="AD131" s="52"/>
      <c r="AE131" s="52"/>
      <c r="AF131" s="52"/>
      <c r="AG131" s="52"/>
      <c r="AH131" s="52"/>
      <c r="AI131" s="52"/>
      <c r="AJ131" s="52"/>
      <c r="AK131" s="52"/>
      <c r="AL131" s="52"/>
      <c r="AM131" s="52"/>
      <c r="AN131" s="52"/>
      <c r="AO131" s="52"/>
      <c r="AP131" s="52"/>
      <c r="AQ131" s="52"/>
      <c r="AR131" s="52"/>
      <c r="AS131" s="52"/>
      <c r="AT131" s="52"/>
      <c r="AU131" s="52"/>
      <c r="AV131" s="52"/>
      <c r="AW131" s="52"/>
      <c r="AX131" s="52"/>
      <c r="AY131" s="52"/>
      <c r="AZ131" s="52"/>
      <c r="BA131" s="52"/>
      <c r="BB131" s="52"/>
      <c r="BC131" s="52"/>
      <c r="BD131" s="52"/>
      <c r="BE131" s="52"/>
      <c r="BF131" s="54"/>
      <c r="BG131" s="54"/>
      <c r="BH131" s="54"/>
      <c r="BI131" s="54"/>
      <c r="BJ131" s="54"/>
      <c r="BK131" s="54"/>
      <c r="BL131" s="54"/>
      <c r="BM131" s="54"/>
      <c r="BN131" s="54"/>
      <c r="BO131" s="54"/>
      <c r="BP131" s="54"/>
      <c r="BQ131" s="54"/>
      <c r="BR131" s="54"/>
      <c r="BS131" s="54"/>
      <c r="BT131" s="54"/>
      <c r="BU131" s="54"/>
      <c r="BV131" s="54"/>
      <c r="BW131" s="54"/>
      <c r="BX131" s="54"/>
      <c r="BY131" s="54"/>
      <c r="BZ131" s="54"/>
      <c r="CA131" s="54"/>
      <c r="CB131" s="54"/>
    </row>
    <row r="132" spans="1:80" ht="16.5" customHeight="1">
      <c r="A132" s="54"/>
      <c r="B132" s="54"/>
      <c r="C132" s="54"/>
      <c r="D132" s="54"/>
      <c r="E132" s="54"/>
      <c r="F132" s="54"/>
      <c r="G132" s="54"/>
      <c r="H132" s="54"/>
      <c r="I132" s="54"/>
      <c r="J132" s="54"/>
      <c r="K132" s="54"/>
      <c r="L132" s="52"/>
      <c r="M132" s="52"/>
      <c r="N132" s="52"/>
      <c r="O132" s="52"/>
      <c r="P132" s="52"/>
      <c r="Q132" s="52"/>
      <c r="R132" s="52"/>
      <c r="S132" s="52"/>
      <c r="T132" s="52"/>
      <c r="U132" s="52"/>
      <c r="V132" s="52"/>
      <c r="W132" s="52"/>
      <c r="X132" s="52"/>
      <c r="Y132" s="52"/>
      <c r="Z132" s="52"/>
      <c r="AA132" s="52"/>
      <c r="AB132" s="52"/>
      <c r="AC132" s="52"/>
      <c r="AD132" s="52"/>
      <c r="AE132" s="52"/>
      <c r="AF132" s="52"/>
      <c r="AG132" s="52"/>
      <c r="AH132" s="52"/>
      <c r="AI132" s="52"/>
      <c r="AJ132" s="52"/>
      <c r="AK132" s="52"/>
      <c r="AL132" s="52"/>
      <c r="AM132" s="52"/>
      <c r="AN132" s="52"/>
      <c r="AO132" s="52"/>
      <c r="AP132" s="52"/>
      <c r="AQ132" s="52"/>
      <c r="AR132" s="52"/>
      <c r="AS132" s="52"/>
      <c r="AT132" s="52"/>
      <c r="AU132" s="52"/>
      <c r="AV132" s="52"/>
      <c r="AW132" s="52"/>
      <c r="AX132" s="52"/>
      <c r="AY132" s="52"/>
      <c r="AZ132" s="52"/>
      <c r="BA132" s="52"/>
      <c r="BB132" s="52"/>
      <c r="BC132" s="52"/>
      <c r="BD132" s="52"/>
      <c r="BE132" s="52"/>
      <c r="BF132" s="54"/>
      <c r="BG132" s="54"/>
      <c r="BH132" s="54"/>
      <c r="BI132" s="54"/>
      <c r="BJ132" s="54"/>
      <c r="BK132" s="54"/>
      <c r="BL132" s="54"/>
      <c r="BM132" s="54"/>
      <c r="BN132" s="54"/>
      <c r="BO132" s="54"/>
      <c r="BP132" s="54"/>
      <c r="BQ132" s="54"/>
      <c r="BR132" s="54"/>
      <c r="BS132" s="54"/>
      <c r="BT132" s="54"/>
      <c r="BU132" s="54"/>
      <c r="BV132" s="54"/>
      <c r="BW132" s="54"/>
      <c r="BX132" s="54"/>
      <c r="BY132" s="54"/>
      <c r="BZ132" s="54"/>
      <c r="CA132" s="54"/>
      <c r="CB132" s="54"/>
    </row>
    <row r="133" spans="1:80" ht="16.5" customHeight="1">
      <c r="A133" s="54"/>
      <c r="B133" s="54"/>
      <c r="C133" s="54"/>
      <c r="D133" s="54"/>
      <c r="E133" s="54"/>
      <c r="F133" s="54"/>
      <c r="G133" s="54"/>
      <c r="H133" s="54"/>
      <c r="I133" s="54"/>
      <c r="J133" s="54"/>
      <c r="K133" s="54"/>
      <c r="L133" s="52"/>
      <c r="M133" s="52"/>
      <c r="N133" s="52"/>
      <c r="O133" s="52"/>
      <c r="P133" s="52"/>
      <c r="Q133" s="52"/>
      <c r="R133" s="52"/>
      <c r="S133" s="52"/>
      <c r="T133" s="52"/>
      <c r="U133" s="52"/>
      <c r="V133" s="52"/>
      <c r="W133" s="52"/>
      <c r="X133" s="52"/>
      <c r="Y133" s="52"/>
      <c r="Z133" s="52"/>
      <c r="AA133" s="52"/>
      <c r="AB133" s="52"/>
      <c r="AC133" s="52"/>
      <c r="AD133" s="52"/>
      <c r="AE133" s="52"/>
      <c r="AF133" s="52"/>
      <c r="AG133" s="52"/>
      <c r="AH133" s="52"/>
      <c r="AI133" s="52"/>
      <c r="AJ133" s="52"/>
      <c r="AK133" s="52"/>
      <c r="AL133" s="52"/>
      <c r="AM133" s="52"/>
      <c r="AN133" s="52"/>
      <c r="AO133" s="52"/>
      <c r="AP133" s="52"/>
      <c r="AQ133" s="52"/>
      <c r="AR133" s="52"/>
      <c r="AS133" s="52"/>
      <c r="AT133" s="52"/>
      <c r="AU133" s="52"/>
      <c r="AV133" s="52"/>
      <c r="AW133" s="52"/>
      <c r="AX133" s="52"/>
      <c r="AY133" s="52"/>
      <c r="AZ133" s="52"/>
      <c r="BA133" s="52"/>
      <c r="BB133" s="52"/>
      <c r="BC133" s="52"/>
      <c r="BD133" s="52"/>
      <c r="BE133" s="52"/>
      <c r="BF133" s="54"/>
      <c r="BG133" s="54"/>
      <c r="BH133" s="54"/>
      <c r="BI133" s="54"/>
      <c r="BJ133" s="54"/>
      <c r="BK133" s="54"/>
      <c r="BL133" s="54"/>
      <c r="BM133" s="54"/>
      <c r="BN133" s="54"/>
      <c r="BO133" s="54"/>
      <c r="BP133" s="54"/>
      <c r="BQ133" s="54"/>
      <c r="BR133" s="54"/>
      <c r="BS133" s="54"/>
      <c r="BT133" s="54"/>
      <c r="BU133" s="54"/>
      <c r="BV133" s="54"/>
      <c r="BW133" s="54"/>
      <c r="BX133" s="54"/>
      <c r="BY133" s="54"/>
      <c r="BZ133" s="54"/>
      <c r="CA133" s="54"/>
      <c r="CB133" s="54"/>
    </row>
    <row r="134" spans="1:80" ht="16.5" customHeight="1">
      <c r="A134" s="54"/>
      <c r="B134" s="54"/>
      <c r="C134" s="54"/>
      <c r="D134" s="54"/>
      <c r="E134" s="54"/>
      <c r="F134" s="54"/>
      <c r="G134" s="54"/>
      <c r="H134" s="54"/>
      <c r="I134" s="54"/>
      <c r="J134" s="54"/>
      <c r="K134" s="54"/>
      <c r="L134" s="52"/>
      <c r="M134" s="52"/>
      <c r="N134" s="52"/>
      <c r="O134" s="52"/>
      <c r="P134" s="52"/>
      <c r="Q134" s="52"/>
      <c r="R134" s="52"/>
      <c r="S134" s="52"/>
      <c r="T134" s="52"/>
      <c r="U134" s="52"/>
      <c r="V134" s="52"/>
      <c r="W134" s="52"/>
      <c r="X134" s="52"/>
      <c r="Y134" s="52"/>
      <c r="Z134" s="52"/>
      <c r="AA134" s="52"/>
      <c r="AB134" s="52"/>
      <c r="AC134" s="52"/>
      <c r="AD134" s="52"/>
      <c r="AE134" s="52"/>
      <c r="AF134" s="52"/>
      <c r="AG134" s="52"/>
      <c r="AH134" s="52"/>
      <c r="AI134" s="52"/>
      <c r="AJ134" s="52"/>
      <c r="AK134" s="52"/>
      <c r="AL134" s="52"/>
      <c r="AM134" s="52"/>
      <c r="AN134" s="52"/>
      <c r="AO134" s="52"/>
      <c r="AP134" s="52"/>
      <c r="AQ134" s="52"/>
      <c r="AR134" s="52"/>
      <c r="AS134" s="52"/>
      <c r="AT134" s="52"/>
      <c r="AU134" s="52"/>
      <c r="AV134" s="52"/>
      <c r="AW134" s="52"/>
      <c r="AX134" s="52"/>
      <c r="AY134" s="52"/>
      <c r="AZ134" s="52"/>
      <c r="BA134" s="52"/>
      <c r="BB134" s="52"/>
      <c r="BC134" s="52"/>
      <c r="BD134" s="52"/>
      <c r="BE134" s="52"/>
      <c r="BF134" s="54"/>
      <c r="BG134" s="54"/>
      <c r="BH134" s="54"/>
      <c r="BI134" s="54"/>
      <c r="BJ134" s="54"/>
      <c r="BK134" s="54"/>
      <c r="BL134" s="54"/>
      <c r="BM134" s="54"/>
      <c r="BN134" s="54"/>
      <c r="BO134" s="54"/>
      <c r="BP134" s="54"/>
      <c r="BQ134" s="54"/>
      <c r="BR134" s="54"/>
      <c r="BS134" s="54"/>
      <c r="BT134" s="54"/>
      <c r="BU134" s="54"/>
      <c r="BV134" s="54"/>
      <c r="BW134" s="54"/>
      <c r="BX134" s="54"/>
      <c r="BY134" s="54"/>
      <c r="BZ134" s="54"/>
      <c r="CA134" s="54"/>
      <c r="CB134" s="54"/>
    </row>
    <row r="135" spans="1:80" ht="16.5" customHeight="1">
      <c r="A135" s="54"/>
      <c r="B135" s="54"/>
      <c r="C135" s="54"/>
      <c r="D135" s="54"/>
      <c r="E135" s="54"/>
      <c r="F135" s="54"/>
      <c r="G135" s="54"/>
      <c r="H135" s="54"/>
      <c r="I135" s="54"/>
      <c r="J135" s="54"/>
      <c r="K135" s="54"/>
      <c r="L135" s="52"/>
      <c r="M135" s="52"/>
      <c r="N135" s="52"/>
      <c r="O135" s="52"/>
      <c r="P135" s="52"/>
      <c r="Q135" s="52"/>
      <c r="R135" s="52"/>
      <c r="S135" s="52"/>
      <c r="T135" s="52"/>
      <c r="U135" s="52"/>
      <c r="V135" s="52"/>
      <c r="W135" s="52"/>
      <c r="X135" s="52"/>
      <c r="Y135" s="52"/>
      <c r="Z135" s="52"/>
      <c r="AA135" s="52"/>
      <c r="AB135" s="52"/>
      <c r="AC135" s="52"/>
      <c r="AD135" s="52"/>
      <c r="AE135" s="52"/>
      <c r="AF135" s="52"/>
      <c r="AG135" s="52"/>
      <c r="AH135" s="52"/>
      <c r="AI135" s="52"/>
      <c r="AJ135" s="52"/>
      <c r="AK135" s="52"/>
      <c r="AL135" s="52"/>
      <c r="AM135" s="52"/>
      <c r="AN135" s="52"/>
      <c r="AO135" s="52"/>
      <c r="AP135" s="52"/>
      <c r="AQ135" s="52"/>
      <c r="AR135" s="52"/>
      <c r="AS135" s="52"/>
      <c r="AT135" s="52"/>
      <c r="AU135" s="52"/>
      <c r="AV135" s="52"/>
      <c r="AW135" s="52"/>
      <c r="AX135" s="52"/>
      <c r="AY135" s="52"/>
      <c r="AZ135" s="52"/>
      <c r="BA135" s="52"/>
      <c r="BB135" s="52"/>
      <c r="BC135" s="52"/>
      <c r="BD135" s="52"/>
      <c r="BE135" s="52"/>
      <c r="BF135" s="54"/>
      <c r="BG135" s="54"/>
      <c r="BH135" s="54"/>
      <c r="BI135" s="54"/>
      <c r="BJ135" s="54"/>
      <c r="BK135" s="54"/>
      <c r="BL135" s="54"/>
      <c r="BM135" s="54"/>
      <c r="BN135" s="54"/>
      <c r="BO135" s="54"/>
      <c r="BP135" s="54"/>
      <c r="BQ135" s="54"/>
      <c r="BR135" s="54"/>
      <c r="BS135" s="54"/>
      <c r="BT135" s="54"/>
      <c r="BU135" s="54"/>
      <c r="BV135" s="54"/>
      <c r="BW135" s="54"/>
      <c r="BX135" s="54"/>
      <c r="BY135" s="54"/>
      <c r="BZ135" s="54"/>
      <c r="CA135" s="54"/>
      <c r="CB135" s="54"/>
    </row>
    <row r="136" spans="1:80" ht="16.5" customHeight="1">
      <c r="A136" s="54"/>
      <c r="B136" s="54"/>
      <c r="C136" s="54"/>
      <c r="D136" s="54"/>
      <c r="E136" s="54"/>
      <c r="F136" s="54"/>
      <c r="G136" s="54"/>
      <c r="H136" s="54"/>
      <c r="I136" s="54"/>
      <c r="J136" s="54"/>
      <c r="K136" s="54"/>
      <c r="L136" s="52"/>
      <c r="M136" s="52"/>
      <c r="N136" s="52"/>
      <c r="O136" s="52"/>
      <c r="P136" s="52"/>
      <c r="Q136" s="52"/>
      <c r="R136" s="52"/>
      <c r="S136" s="52"/>
      <c r="T136" s="52"/>
      <c r="U136" s="52"/>
      <c r="V136" s="52"/>
      <c r="W136" s="52"/>
      <c r="X136" s="52"/>
      <c r="Y136" s="52"/>
      <c r="Z136" s="52"/>
      <c r="AA136" s="52"/>
      <c r="AB136" s="52"/>
      <c r="AC136" s="52"/>
      <c r="AD136" s="52"/>
      <c r="AE136" s="52"/>
      <c r="AF136" s="52"/>
      <c r="AG136" s="52"/>
      <c r="AH136" s="52"/>
      <c r="AI136" s="52"/>
      <c r="AJ136" s="52"/>
      <c r="AK136" s="52"/>
      <c r="AL136" s="52"/>
      <c r="AM136" s="52"/>
      <c r="AN136" s="52"/>
      <c r="AO136" s="52"/>
      <c r="AP136" s="52"/>
      <c r="AQ136" s="52"/>
      <c r="AR136" s="52"/>
      <c r="AS136" s="52"/>
      <c r="AT136" s="52"/>
      <c r="AU136" s="52"/>
      <c r="AV136" s="52"/>
      <c r="AW136" s="52"/>
      <c r="AX136" s="52"/>
      <c r="AY136" s="52"/>
      <c r="AZ136" s="52"/>
      <c r="BA136" s="52"/>
      <c r="BB136" s="52"/>
      <c r="BC136" s="52"/>
      <c r="BD136" s="52"/>
      <c r="BE136" s="52"/>
      <c r="BF136" s="54"/>
      <c r="BG136" s="54"/>
      <c r="BH136" s="54"/>
      <c r="BI136" s="54"/>
      <c r="BJ136" s="54"/>
      <c r="BK136" s="54"/>
      <c r="BL136" s="54"/>
      <c r="BM136" s="54"/>
      <c r="BN136" s="54"/>
      <c r="BO136" s="54"/>
      <c r="BP136" s="54"/>
      <c r="BQ136" s="54"/>
      <c r="BR136" s="54"/>
      <c r="BS136" s="54"/>
      <c r="BT136" s="54"/>
      <c r="BU136" s="54"/>
      <c r="BV136" s="54"/>
      <c r="BW136" s="54"/>
      <c r="BX136" s="54"/>
      <c r="BY136" s="54"/>
      <c r="BZ136" s="54"/>
      <c r="CA136" s="54"/>
      <c r="CB136" s="54"/>
    </row>
    <row r="137" spans="1:80" ht="16.5" customHeight="1">
      <c r="A137" s="54"/>
      <c r="B137" s="54"/>
      <c r="C137" s="54"/>
      <c r="D137" s="54"/>
      <c r="E137" s="54"/>
      <c r="F137" s="54"/>
      <c r="G137" s="54"/>
      <c r="H137" s="54"/>
      <c r="I137" s="54"/>
      <c r="J137" s="54"/>
      <c r="K137" s="54"/>
      <c r="L137" s="52"/>
      <c r="M137" s="52"/>
      <c r="N137" s="52"/>
      <c r="O137" s="52"/>
      <c r="P137" s="52"/>
      <c r="Q137" s="52"/>
      <c r="R137" s="52"/>
      <c r="S137" s="52"/>
      <c r="T137" s="52"/>
      <c r="U137" s="52"/>
      <c r="V137" s="52"/>
      <c r="W137" s="52"/>
      <c r="X137" s="52"/>
      <c r="Y137" s="52"/>
      <c r="Z137" s="52"/>
      <c r="AA137" s="52"/>
      <c r="AB137" s="52"/>
      <c r="AC137" s="52"/>
      <c r="AD137" s="52"/>
      <c r="AE137" s="52"/>
      <c r="AF137" s="52"/>
      <c r="AG137" s="52"/>
      <c r="AH137" s="52"/>
      <c r="AI137" s="52"/>
      <c r="AJ137" s="52"/>
      <c r="AK137" s="52"/>
      <c r="AL137" s="52"/>
      <c r="AM137" s="52"/>
      <c r="AN137" s="52"/>
      <c r="AO137" s="52"/>
      <c r="AP137" s="52"/>
      <c r="AQ137" s="52"/>
      <c r="AR137" s="52"/>
      <c r="AS137" s="52"/>
      <c r="AT137" s="52"/>
      <c r="AU137" s="52"/>
      <c r="AV137" s="52"/>
      <c r="AW137" s="52"/>
      <c r="AX137" s="52"/>
      <c r="AY137" s="52"/>
      <c r="AZ137" s="52"/>
      <c r="BA137" s="52"/>
      <c r="BB137" s="52"/>
      <c r="BC137" s="52"/>
      <c r="BD137" s="52"/>
      <c r="BE137" s="52"/>
      <c r="BF137" s="54"/>
      <c r="BG137" s="54"/>
      <c r="BH137" s="54"/>
      <c r="BI137" s="54"/>
      <c r="BJ137" s="54"/>
      <c r="BK137" s="54"/>
      <c r="BL137" s="54"/>
      <c r="BM137" s="54"/>
      <c r="BN137" s="54"/>
      <c r="BO137" s="54"/>
      <c r="BP137" s="54"/>
      <c r="BQ137" s="54"/>
      <c r="BR137" s="54"/>
      <c r="BS137" s="54"/>
      <c r="BT137" s="54"/>
      <c r="BU137" s="54"/>
      <c r="BV137" s="54"/>
      <c r="BW137" s="54"/>
      <c r="BX137" s="54"/>
      <c r="BY137" s="54"/>
      <c r="BZ137" s="54"/>
      <c r="CA137" s="54"/>
      <c r="CB137" s="54"/>
    </row>
    <row r="138" spans="1:80" ht="16.5" customHeight="1">
      <c r="A138" s="54"/>
      <c r="B138" s="54"/>
      <c r="C138" s="54"/>
      <c r="D138" s="54"/>
      <c r="E138" s="54"/>
      <c r="F138" s="54"/>
      <c r="G138" s="54"/>
      <c r="H138" s="54"/>
      <c r="I138" s="54"/>
      <c r="J138" s="54"/>
      <c r="K138" s="54"/>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2"/>
      <c r="AM138" s="52"/>
      <c r="AN138" s="52"/>
      <c r="AO138" s="52"/>
      <c r="AP138" s="52"/>
      <c r="AQ138" s="52"/>
      <c r="AR138" s="52"/>
      <c r="AS138" s="52"/>
      <c r="AT138" s="52"/>
      <c r="AU138" s="52"/>
      <c r="AV138" s="52"/>
      <c r="AW138" s="52"/>
      <c r="AX138" s="52"/>
      <c r="AY138" s="52"/>
      <c r="AZ138" s="52"/>
      <c r="BA138" s="52"/>
      <c r="BB138" s="52"/>
      <c r="BC138" s="52"/>
      <c r="BD138" s="52"/>
      <c r="BE138" s="52"/>
      <c r="BF138" s="54"/>
      <c r="BG138" s="54"/>
      <c r="BH138" s="54"/>
      <c r="BI138" s="54"/>
      <c r="BJ138" s="54"/>
      <c r="BK138" s="54"/>
      <c r="BL138" s="54"/>
      <c r="BM138" s="54"/>
      <c r="BN138" s="54"/>
      <c r="BO138" s="54"/>
      <c r="BP138" s="54"/>
      <c r="BQ138" s="54"/>
      <c r="BR138" s="54"/>
      <c r="BS138" s="54"/>
      <c r="BT138" s="54"/>
      <c r="BU138" s="54"/>
      <c r="BV138" s="54"/>
      <c r="BW138" s="54"/>
      <c r="BX138" s="54"/>
      <c r="BY138" s="54"/>
      <c r="BZ138" s="54"/>
      <c r="CA138" s="54"/>
      <c r="CB138" s="54"/>
    </row>
    <row r="139" spans="1:80" ht="16.5" customHeight="1">
      <c r="A139" s="54"/>
      <c r="B139" s="54"/>
      <c r="C139" s="54"/>
      <c r="D139" s="54"/>
      <c r="E139" s="54"/>
      <c r="F139" s="54"/>
      <c r="G139" s="54"/>
      <c r="H139" s="54"/>
      <c r="I139" s="54"/>
      <c r="J139" s="54"/>
      <c r="K139" s="54"/>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2"/>
      <c r="AM139" s="52"/>
      <c r="AN139" s="52"/>
      <c r="AO139" s="52"/>
      <c r="AP139" s="52"/>
      <c r="AQ139" s="52"/>
      <c r="AR139" s="52"/>
      <c r="AS139" s="52"/>
      <c r="AT139" s="52"/>
      <c r="AU139" s="52"/>
      <c r="AV139" s="52"/>
      <c r="AW139" s="52"/>
      <c r="AX139" s="52"/>
      <c r="AY139" s="52"/>
      <c r="AZ139" s="52"/>
      <c r="BA139" s="52"/>
      <c r="BB139" s="52"/>
      <c r="BC139" s="52"/>
      <c r="BD139" s="52"/>
      <c r="BE139" s="52"/>
      <c r="BF139" s="54"/>
      <c r="BG139" s="54"/>
      <c r="BH139" s="54"/>
      <c r="BI139" s="54"/>
      <c r="BJ139" s="54"/>
      <c r="BK139" s="54"/>
      <c r="BL139" s="54"/>
      <c r="BM139" s="54"/>
      <c r="BN139" s="54"/>
      <c r="BO139" s="54"/>
      <c r="BP139" s="54"/>
      <c r="BQ139" s="54"/>
      <c r="BR139" s="54"/>
      <c r="BS139" s="54"/>
      <c r="BT139" s="54"/>
      <c r="BU139" s="54"/>
      <c r="BV139" s="54"/>
      <c r="BW139" s="54"/>
      <c r="BX139" s="54"/>
      <c r="BY139" s="54"/>
      <c r="BZ139" s="54"/>
      <c r="CA139" s="54"/>
      <c r="CB139" s="54"/>
    </row>
    <row r="140" spans="1:80" ht="16.5" customHeight="1">
      <c r="A140" s="54"/>
      <c r="B140" s="54"/>
      <c r="C140" s="54"/>
      <c r="D140" s="54"/>
      <c r="E140" s="54"/>
      <c r="F140" s="54"/>
      <c r="G140" s="54"/>
      <c r="H140" s="54"/>
      <c r="I140" s="54"/>
      <c r="J140" s="54"/>
      <c r="K140" s="54"/>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2"/>
      <c r="AM140" s="52"/>
      <c r="AN140" s="52"/>
      <c r="AO140" s="52"/>
      <c r="AP140" s="52"/>
      <c r="AQ140" s="52"/>
      <c r="AR140" s="52"/>
      <c r="AS140" s="52"/>
      <c r="AT140" s="52"/>
      <c r="AU140" s="52"/>
      <c r="AV140" s="52"/>
      <c r="AW140" s="52"/>
      <c r="AX140" s="52"/>
      <c r="AY140" s="52"/>
      <c r="AZ140" s="52"/>
      <c r="BA140" s="52"/>
      <c r="BB140" s="52"/>
      <c r="BC140" s="52"/>
      <c r="BD140" s="52"/>
      <c r="BE140" s="52"/>
      <c r="BF140" s="54"/>
      <c r="BG140" s="54"/>
      <c r="BH140" s="54"/>
      <c r="BI140" s="54"/>
      <c r="BJ140" s="54"/>
      <c r="BK140" s="54"/>
      <c r="BL140" s="54"/>
      <c r="BM140" s="54"/>
      <c r="BN140" s="54"/>
      <c r="BO140" s="54"/>
      <c r="BP140" s="54"/>
      <c r="BQ140" s="54"/>
      <c r="BR140" s="54"/>
      <c r="BS140" s="54"/>
      <c r="BT140" s="54"/>
      <c r="BU140" s="54"/>
      <c r="BV140" s="54"/>
      <c r="BW140" s="54"/>
      <c r="BX140" s="54"/>
      <c r="BY140" s="54"/>
      <c r="BZ140" s="54"/>
      <c r="CA140" s="54"/>
      <c r="CB140" s="54"/>
    </row>
    <row r="141" spans="1:80" ht="16.5" customHeight="1">
      <c r="A141" s="54"/>
      <c r="B141" s="54"/>
      <c r="C141" s="54"/>
      <c r="D141" s="54"/>
      <c r="E141" s="54"/>
      <c r="F141" s="54"/>
      <c r="G141" s="54"/>
      <c r="H141" s="54"/>
      <c r="I141" s="54"/>
      <c r="J141" s="54"/>
      <c r="K141" s="54"/>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52"/>
      <c r="AL141" s="52"/>
      <c r="AM141" s="52"/>
      <c r="AN141" s="52"/>
      <c r="AO141" s="52"/>
      <c r="AP141" s="52"/>
      <c r="AQ141" s="52"/>
      <c r="AR141" s="52"/>
      <c r="AS141" s="52"/>
      <c r="AT141" s="52"/>
      <c r="AU141" s="52"/>
      <c r="AV141" s="52"/>
      <c r="AW141" s="52"/>
      <c r="AX141" s="52"/>
      <c r="AY141" s="52"/>
      <c r="AZ141" s="52"/>
      <c r="BA141" s="52"/>
      <c r="BB141" s="52"/>
      <c r="BC141" s="52"/>
      <c r="BD141" s="52"/>
      <c r="BE141" s="52"/>
      <c r="BF141" s="54"/>
      <c r="BG141" s="54"/>
      <c r="BH141" s="54"/>
      <c r="BI141" s="54"/>
      <c r="BJ141" s="54"/>
      <c r="BK141" s="54"/>
      <c r="BL141" s="54"/>
      <c r="BM141" s="54"/>
      <c r="BN141" s="54"/>
      <c r="BO141" s="54"/>
      <c r="BP141" s="54"/>
      <c r="BQ141" s="54"/>
      <c r="BR141" s="54"/>
      <c r="BS141" s="54"/>
      <c r="BT141" s="54"/>
      <c r="BU141" s="54"/>
      <c r="BV141" s="54"/>
      <c r="BW141" s="54"/>
      <c r="BX141" s="54"/>
      <c r="BY141" s="54"/>
      <c r="BZ141" s="54"/>
      <c r="CA141" s="54"/>
      <c r="CB141" s="54"/>
    </row>
    <row r="142" spans="1:80" ht="16.5" customHeight="1">
      <c r="A142" s="54"/>
      <c r="B142" s="54"/>
      <c r="C142" s="54"/>
      <c r="D142" s="54"/>
      <c r="E142" s="54"/>
      <c r="F142" s="54"/>
      <c r="G142" s="54"/>
      <c r="H142" s="54"/>
      <c r="I142" s="54"/>
      <c r="J142" s="54"/>
      <c r="K142" s="54"/>
      <c r="L142" s="52"/>
      <c r="M142" s="52"/>
      <c r="N142" s="52"/>
      <c r="O142" s="52"/>
      <c r="P142" s="52"/>
      <c r="Q142" s="52"/>
      <c r="R142" s="52"/>
      <c r="S142" s="52"/>
      <c r="T142" s="52"/>
      <c r="U142" s="52"/>
      <c r="V142" s="52"/>
      <c r="W142" s="52"/>
      <c r="X142" s="52"/>
      <c r="Y142" s="52"/>
      <c r="Z142" s="52"/>
      <c r="AA142" s="52"/>
      <c r="AB142" s="52"/>
      <c r="AC142" s="52"/>
      <c r="AD142" s="52"/>
      <c r="AE142" s="52"/>
      <c r="AF142" s="52"/>
      <c r="AG142" s="52"/>
      <c r="AH142" s="52"/>
      <c r="AI142" s="52"/>
      <c r="AJ142" s="52"/>
      <c r="AK142" s="52"/>
      <c r="AL142" s="52"/>
      <c r="AM142" s="52"/>
      <c r="AN142" s="52"/>
      <c r="AO142" s="52"/>
      <c r="AP142" s="52"/>
      <c r="AQ142" s="52"/>
      <c r="AR142" s="52"/>
      <c r="AS142" s="52"/>
      <c r="AT142" s="52"/>
      <c r="AU142" s="52"/>
      <c r="AV142" s="52"/>
      <c r="AW142" s="52"/>
      <c r="AX142" s="52"/>
      <c r="AY142" s="52"/>
      <c r="AZ142" s="52"/>
      <c r="BA142" s="52"/>
      <c r="BB142" s="52"/>
      <c r="BC142" s="52"/>
      <c r="BD142" s="52"/>
      <c r="BE142" s="52"/>
      <c r="BF142" s="54"/>
      <c r="BG142" s="54"/>
      <c r="BH142" s="54"/>
      <c r="BI142" s="54"/>
      <c r="BJ142" s="54"/>
      <c r="BK142" s="54"/>
      <c r="BL142" s="54"/>
      <c r="BM142" s="54"/>
      <c r="BN142" s="54"/>
      <c r="BO142" s="54"/>
      <c r="BP142" s="54"/>
      <c r="BQ142" s="54"/>
      <c r="BR142" s="54"/>
      <c r="BS142" s="54"/>
      <c r="BT142" s="54"/>
      <c r="BU142" s="54"/>
      <c r="BV142" s="54"/>
      <c r="BW142" s="54"/>
      <c r="BX142" s="54"/>
      <c r="BY142" s="54"/>
      <c r="BZ142" s="54"/>
      <c r="CA142" s="54"/>
      <c r="CB142" s="54"/>
    </row>
    <row r="143" spans="1:80" ht="16.5" customHeight="1">
      <c r="A143" s="54"/>
      <c r="B143" s="54"/>
      <c r="C143" s="54"/>
      <c r="D143" s="54"/>
      <c r="E143" s="54"/>
      <c r="F143" s="54"/>
      <c r="G143" s="54"/>
      <c r="H143" s="54"/>
      <c r="I143" s="54"/>
      <c r="J143" s="54"/>
      <c r="K143" s="54"/>
      <c r="L143" s="52"/>
      <c r="M143" s="52"/>
      <c r="N143" s="52"/>
      <c r="O143" s="52"/>
      <c r="P143" s="52"/>
      <c r="Q143" s="52"/>
      <c r="R143" s="52"/>
      <c r="S143" s="52"/>
      <c r="T143" s="52"/>
      <c r="U143" s="52"/>
      <c r="V143" s="52"/>
      <c r="W143" s="52"/>
      <c r="X143" s="52"/>
      <c r="Y143" s="52"/>
      <c r="Z143" s="52"/>
      <c r="AA143" s="52"/>
      <c r="AB143" s="52"/>
      <c r="AC143" s="52"/>
      <c r="AD143" s="52"/>
      <c r="AE143" s="52"/>
      <c r="AF143" s="52"/>
      <c r="AG143" s="52"/>
      <c r="AH143" s="52"/>
      <c r="AI143" s="52"/>
      <c r="AJ143" s="52"/>
      <c r="AK143" s="52"/>
      <c r="AL143" s="52"/>
      <c r="AM143" s="52"/>
      <c r="AN143" s="52"/>
      <c r="AO143" s="52"/>
      <c r="AP143" s="52"/>
      <c r="AQ143" s="52"/>
      <c r="AR143" s="52"/>
      <c r="AS143" s="52"/>
      <c r="AT143" s="52"/>
      <c r="AU143" s="52"/>
      <c r="AV143" s="52"/>
      <c r="AW143" s="52"/>
      <c r="AX143" s="52"/>
      <c r="AY143" s="52"/>
      <c r="AZ143" s="52"/>
      <c r="BA143" s="52"/>
      <c r="BB143" s="52"/>
      <c r="BC143" s="52"/>
      <c r="BD143" s="52"/>
      <c r="BE143" s="52"/>
      <c r="BF143" s="54"/>
      <c r="BG143" s="54"/>
      <c r="BH143" s="54"/>
      <c r="BI143" s="54"/>
      <c r="BJ143" s="54"/>
      <c r="BK143" s="54"/>
      <c r="BL143" s="54"/>
      <c r="BM143" s="54"/>
      <c r="BN143" s="54"/>
      <c r="BO143" s="54"/>
      <c r="BP143" s="54"/>
      <c r="BQ143" s="54"/>
      <c r="BR143" s="54"/>
      <c r="BS143" s="54"/>
      <c r="BT143" s="54"/>
      <c r="BU143" s="54"/>
      <c r="BV143" s="54"/>
      <c r="BW143" s="54"/>
      <c r="BX143" s="54"/>
      <c r="BY143" s="54"/>
      <c r="BZ143" s="54"/>
      <c r="CA143" s="54"/>
      <c r="CB143" s="54"/>
    </row>
    <row r="144" spans="1:80" ht="16.5" customHeight="1">
      <c r="A144" s="54"/>
      <c r="B144" s="54"/>
      <c r="C144" s="54"/>
      <c r="D144" s="54"/>
      <c r="E144" s="54"/>
      <c r="F144" s="54"/>
      <c r="G144" s="54"/>
      <c r="H144" s="54"/>
      <c r="I144" s="54"/>
      <c r="J144" s="54"/>
      <c r="K144" s="54"/>
      <c r="L144" s="52"/>
      <c r="M144" s="52"/>
      <c r="N144" s="52"/>
      <c r="O144" s="52"/>
      <c r="P144" s="52"/>
      <c r="Q144" s="52"/>
      <c r="R144" s="52"/>
      <c r="S144" s="52"/>
      <c r="T144" s="52"/>
      <c r="U144" s="52"/>
      <c r="V144" s="52"/>
      <c r="W144" s="52"/>
      <c r="X144" s="52"/>
      <c r="Y144" s="52"/>
      <c r="Z144" s="52"/>
      <c r="AA144" s="52"/>
      <c r="AB144" s="52"/>
      <c r="AC144" s="52"/>
      <c r="AD144" s="52"/>
      <c r="AE144" s="52"/>
      <c r="AF144" s="52"/>
      <c r="AG144" s="52"/>
      <c r="AH144" s="52"/>
      <c r="AI144" s="52"/>
      <c r="AJ144" s="52"/>
      <c r="AK144" s="52"/>
      <c r="AL144" s="52"/>
      <c r="AM144" s="52"/>
      <c r="AN144" s="52"/>
      <c r="AO144" s="52"/>
      <c r="AP144" s="52"/>
      <c r="AQ144" s="52"/>
      <c r="AR144" s="52"/>
      <c r="AS144" s="52"/>
      <c r="AT144" s="52"/>
      <c r="AU144" s="52"/>
      <c r="AV144" s="52"/>
      <c r="AW144" s="52"/>
      <c r="AX144" s="52"/>
      <c r="AY144" s="52"/>
      <c r="AZ144" s="52"/>
      <c r="BA144" s="52"/>
      <c r="BB144" s="52"/>
      <c r="BC144" s="52"/>
      <c r="BD144" s="52"/>
      <c r="BE144" s="52"/>
      <c r="BF144" s="54"/>
      <c r="BG144" s="54"/>
      <c r="BH144" s="54"/>
      <c r="BI144" s="54"/>
      <c r="BJ144" s="54"/>
      <c r="BK144" s="54"/>
      <c r="BL144" s="54"/>
      <c r="BM144" s="54"/>
      <c r="BN144" s="54"/>
      <c r="BO144" s="54"/>
      <c r="BP144" s="54"/>
      <c r="BQ144" s="54"/>
      <c r="BR144" s="54"/>
      <c r="BS144" s="54"/>
      <c r="BT144" s="54"/>
      <c r="BU144" s="54"/>
      <c r="BV144" s="54"/>
      <c r="BW144" s="54"/>
      <c r="BX144" s="54"/>
      <c r="BY144" s="54"/>
      <c r="BZ144" s="54"/>
      <c r="CA144" s="54"/>
      <c r="CB144" s="54"/>
    </row>
    <row r="145" spans="1:80" ht="16.5" customHeight="1">
      <c r="A145" s="54"/>
      <c r="B145" s="54"/>
      <c r="C145" s="54"/>
      <c r="D145" s="54"/>
      <c r="E145" s="54"/>
      <c r="F145" s="54"/>
      <c r="G145" s="54"/>
      <c r="H145" s="54"/>
      <c r="I145" s="54"/>
      <c r="J145" s="54"/>
      <c r="K145" s="54"/>
      <c r="L145" s="52"/>
      <c r="M145" s="52"/>
      <c r="N145" s="52"/>
      <c r="O145" s="52"/>
      <c r="P145" s="52"/>
      <c r="Q145" s="52"/>
      <c r="R145" s="52"/>
      <c r="S145" s="52"/>
      <c r="T145" s="52"/>
      <c r="U145" s="52"/>
      <c r="V145" s="52"/>
      <c r="W145" s="52"/>
      <c r="X145" s="52"/>
      <c r="Y145" s="52"/>
      <c r="Z145" s="52"/>
      <c r="AA145" s="52"/>
      <c r="AB145" s="52"/>
      <c r="AC145" s="52"/>
      <c r="AD145" s="52"/>
      <c r="AE145" s="52"/>
      <c r="AF145" s="52"/>
      <c r="AG145" s="52"/>
      <c r="AH145" s="52"/>
      <c r="AI145" s="52"/>
      <c r="AJ145" s="52"/>
      <c r="AK145" s="52"/>
      <c r="AL145" s="52"/>
      <c r="AM145" s="52"/>
      <c r="AN145" s="52"/>
      <c r="AO145" s="52"/>
      <c r="AP145" s="52"/>
      <c r="AQ145" s="52"/>
      <c r="AR145" s="52"/>
      <c r="AS145" s="52"/>
      <c r="AT145" s="52"/>
      <c r="AU145" s="52"/>
      <c r="AV145" s="52"/>
      <c r="AW145" s="52"/>
      <c r="AX145" s="52"/>
      <c r="AY145" s="52"/>
      <c r="AZ145" s="52"/>
      <c r="BA145" s="52"/>
      <c r="BB145" s="52"/>
      <c r="BC145" s="52"/>
      <c r="BD145" s="52"/>
      <c r="BE145" s="52"/>
      <c r="BF145" s="54"/>
      <c r="BG145" s="54"/>
      <c r="BH145" s="54"/>
      <c r="BI145" s="54"/>
      <c r="BJ145" s="54"/>
      <c r="BK145" s="54"/>
      <c r="BL145" s="54"/>
      <c r="BM145" s="54"/>
      <c r="BN145" s="54"/>
      <c r="BO145" s="54"/>
      <c r="BP145" s="54"/>
      <c r="BQ145" s="54"/>
      <c r="BR145" s="54"/>
      <c r="BS145" s="54"/>
      <c r="BT145" s="54"/>
      <c r="BU145" s="54"/>
      <c r="BV145" s="54"/>
      <c r="BW145" s="54"/>
      <c r="BX145" s="54"/>
      <c r="BY145" s="54"/>
      <c r="BZ145" s="54"/>
      <c r="CA145" s="54"/>
      <c r="CB145" s="54"/>
    </row>
    <row r="146" spans="1:80" ht="16.5" customHeight="1">
      <c r="A146" s="54"/>
      <c r="B146" s="54"/>
      <c r="C146" s="54"/>
      <c r="D146" s="54"/>
      <c r="E146" s="54"/>
      <c r="F146" s="54"/>
      <c r="G146" s="54"/>
      <c r="H146" s="54"/>
      <c r="I146" s="54"/>
      <c r="J146" s="54"/>
      <c r="K146" s="54"/>
      <c r="L146" s="52"/>
      <c r="M146" s="52"/>
      <c r="N146" s="52"/>
      <c r="O146" s="52"/>
      <c r="P146" s="52"/>
      <c r="Q146" s="52"/>
      <c r="R146" s="52"/>
      <c r="S146" s="52"/>
      <c r="T146" s="52"/>
      <c r="U146" s="52"/>
      <c r="V146" s="52"/>
      <c r="W146" s="52"/>
      <c r="X146" s="52"/>
      <c r="Y146" s="52"/>
      <c r="Z146" s="52"/>
      <c r="AA146" s="52"/>
      <c r="AB146" s="52"/>
      <c r="AC146" s="52"/>
      <c r="AD146" s="52"/>
      <c r="AE146" s="52"/>
      <c r="AF146" s="52"/>
      <c r="AG146" s="52"/>
      <c r="AH146" s="52"/>
      <c r="AI146" s="52"/>
      <c r="AJ146" s="52"/>
      <c r="AK146" s="52"/>
      <c r="AL146" s="52"/>
      <c r="AM146" s="52"/>
      <c r="AN146" s="52"/>
      <c r="AO146" s="52"/>
      <c r="AP146" s="52"/>
      <c r="AQ146" s="52"/>
      <c r="AR146" s="52"/>
      <c r="AS146" s="52"/>
      <c r="AT146" s="52"/>
      <c r="AU146" s="52"/>
      <c r="AV146" s="52"/>
      <c r="AW146" s="52"/>
      <c r="AX146" s="52"/>
      <c r="AY146" s="52"/>
      <c r="AZ146" s="52"/>
      <c r="BA146" s="52"/>
      <c r="BB146" s="52"/>
      <c r="BC146" s="52"/>
      <c r="BD146" s="52"/>
      <c r="BE146" s="52"/>
      <c r="BF146" s="54"/>
      <c r="BG146" s="54"/>
      <c r="BH146" s="54"/>
      <c r="BI146" s="54"/>
      <c r="BJ146" s="54"/>
      <c r="BK146" s="54"/>
      <c r="BL146" s="54"/>
      <c r="BM146" s="54"/>
      <c r="BN146" s="54"/>
      <c r="BO146" s="54"/>
      <c r="BP146" s="54"/>
      <c r="BQ146" s="54"/>
      <c r="BR146" s="54"/>
      <c r="BS146" s="54"/>
      <c r="BT146" s="54"/>
      <c r="BU146" s="54"/>
      <c r="BV146" s="54"/>
      <c r="BW146" s="54"/>
      <c r="BX146" s="54"/>
      <c r="BY146" s="54"/>
      <c r="BZ146" s="54"/>
      <c r="CA146" s="54"/>
      <c r="CB146" s="54"/>
    </row>
    <row r="147" spans="1:80" ht="16.5" customHeight="1">
      <c r="A147" s="54"/>
      <c r="B147" s="54"/>
      <c r="C147" s="54"/>
      <c r="D147" s="54"/>
      <c r="E147" s="54"/>
      <c r="F147" s="54"/>
      <c r="G147" s="54"/>
      <c r="H147" s="54"/>
      <c r="I147" s="54"/>
      <c r="J147" s="54"/>
      <c r="K147" s="54"/>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52"/>
      <c r="AM147" s="52"/>
      <c r="AN147" s="52"/>
      <c r="AO147" s="52"/>
      <c r="AP147" s="52"/>
      <c r="AQ147" s="52"/>
      <c r="AR147" s="52"/>
      <c r="AS147" s="52"/>
      <c r="AT147" s="52"/>
      <c r="AU147" s="52"/>
      <c r="AV147" s="52"/>
      <c r="AW147" s="52"/>
      <c r="AX147" s="52"/>
      <c r="AY147" s="52"/>
      <c r="AZ147" s="52"/>
      <c r="BA147" s="52"/>
      <c r="BB147" s="52"/>
      <c r="BC147" s="52"/>
      <c r="BD147" s="52"/>
      <c r="BE147" s="52"/>
      <c r="BF147" s="54"/>
      <c r="BG147" s="54"/>
      <c r="BH147" s="54"/>
      <c r="BI147" s="54"/>
      <c r="BJ147" s="54"/>
      <c r="BK147" s="54"/>
      <c r="BL147" s="54"/>
      <c r="BM147" s="54"/>
      <c r="BN147" s="54"/>
      <c r="BO147" s="54"/>
      <c r="BP147" s="54"/>
      <c r="BQ147" s="54"/>
      <c r="BR147" s="54"/>
      <c r="BS147" s="54"/>
      <c r="BT147" s="54"/>
      <c r="BU147" s="54"/>
      <c r="BV147" s="54"/>
      <c r="BW147" s="54"/>
      <c r="BX147" s="54"/>
      <c r="BY147" s="54"/>
      <c r="BZ147" s="54"/>
      <c r="CA147" s="54"/>
      <c r="CB147" s="54"/>
    </row>
    <row r="148" spans="1:80" ht="16.5" customHeight="1">
      <c r="A148" s="54"/>
      <c r="B148" s="54"/>
      <c r="C148" s="54"/>
      <c r="D148" s="54"/>
      <c r="E148" s="54"/>
      <c r="F148" s="54"/>
      <c r="G148" s="54"/>
      <c r="H148" s="54"/>
      <c r="I148" s="54"/>
      <c r="J148" s="54"/>
      <c r="K148" s="54"/>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c r="AI148" s="52"/>
      <c r="AJ148" s="52"/>
      <c r="AK148" s="52"/>
      <c r="AL148" s="52"/>
      <c r="AM148" s="52"/>
      <c r="AN148" s="52"/>
      <c r="AO148" s="52"/>
      <c r="AP148" s="52"/>
      <c r="AQ148" s="52"/>
      <c r="AR148" s="52"/>
      <c r="AS148" s="52"/>
      <c r="AT148" s="52"/>
      <c r="AU148" s="52"/>
      <c r="AV148" s="52"/>
      <c r="AW148" s="52"/>
      <c r="AX148" s="52"/>
      <c r="AY148" s="52"/>
      <c r="AZ148" s="52"/>
      <c r="BA148" s="52"/>
      <c r="BB148" s="52"/>
      <c r="BC148" s="52"/>
      <c r="BD148" s="52"/>
      <c r="BE148" s="52"/>
      <c r="BF148" s="54"/>
      <c r="BG148" s="54"/>
      <c r="BH148" s="54"/>
      <c r="BI148" s="54"/>
      <c r="BJ148" s="54"/>
      <c r="BK148" s="54"/>
      <c r="BL148" s="54"/>
      <c r="BM148" s="54"/>
      <c r="BN148" s="54"/>
      <c r="BO148" s="54"/>
      <c r="BP148" s="54"/>
      <c r="BQ148" s="54"/>
      <c r="BR148" s="54"/>
      <c r="BS148" s="54"/>
      <c r="BT148" s="54"/>
      <c r="BU148" s="54"/>
      <c r="BV148" s="54"/>
      <c r="BW148" s="54"/>
      <c r="BX148" s="54"/>
      <c r="BY148" s="54"/>
      <c r="BZ148" s="54"/>
      <c r="CA148" s="54"/>
      <c r="CB148" s="54"/>
    </row>
    <row r="149" spans="1:80" ht="16.5" customHeight="1">
      <c r="A149" s="54"/>
      <c r="B149" s="54"/>
      <c r="C149" s="54"/>
      <c r="D149" s="54"/>
      <c r="E149" s="54"/>
      <c r="F149" s="54"/>
      <c r="G149" s="54"/>
      <c r="H149" s="54"/>
      <c r="I149" s="54"/>
      <c r="J149" s="54"/>
      <c r="K149" s="54"/>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52"/>
      <c r="AN149" s="52"/>
      <c r="AO149" s="52"/>
      <c r="AP149" s="52"/>
      <c r="AQ149" s="52"/>
      <c r="AR149" s="52"/>
      <c r="AS149" s="52"/>
      <c r="AT149" s="52"/>
      <c r="AU149" s="52"/>
      <c r="AV149" s="52"/>
      <c r="AW149" s="52"/>
      <c r="AX149" s="52"/>
      <c r="AY149" s="52"/>
      <c r="AZ149" s="52"/>
      <c r="BA149" s="52"/>
      <c r="BB149" s="52"/>
      <c r="BC149" s="52"/>
      <c r="BD149" s="52"/>
      <c r="BE149" s="52"/>
      <c r="BF149" s="54"/>
      <c r="BG149" s="54"/>
      <c r="BH149" s="54"/>
      <c r="BI149" s="54"/>
      <c r="BJ149" s="54"/>
      <c r="BK149" s="54"/>
      <c r="BL149" s="54"/>
      <c r="BM149" s="54"/>
      <c r="BN149" s="54"/>
      <c r="BO149" s="54"/>
      <c r="BP149" s="54"/>
      <c r="BQ149" s="54"/>
      <c r="BR149" s="54"/>
      <c r="BS149" s="54"/>
      <c r="BT149" s="54"/>
      <c r="BU149" s="54"/>
      <c r="BV149" s="54"/>
      <c r="BW149" s="54"/>
      <c r="BX149" s="54"/>
      <c r="BY149" s="54"/>
      <c r="BZ149" s="54"/>
      <c r="CA149" s="54"/>
      <c r="CB149" s="54"/>
    </row>
    <row r="150" spans="1:80" ht="16.5" customHeight="1">
      <c r="A150" s="54"/>
      <c r="B150" s="54"/>
      <c r="C150" s="54"/>
      <c r="D150" s="54"/>
      <c r="E150" s="54"/>
      <c r="F150" s="54"/>
      <c r="G150" s="54"/>
      <c r="H150" s="54"/>
      <c r="I150" s="54"/>
      <c r="J150" s="54"/>
      <c r="K150" s="54"/>
      <c r="L150" s="52"/>
      <c r="M150" s="52"/>
      <c r="N150" s="52"/>
      <c r="O150" s="52"/>
      <c r="P150" s="52"/>
      <c r="Q150" s="52"/>
      <c r="R150" s="52"/>
      <c r="S150" s="52"/>
      <c r="T150" s="52"/>
      <c r="U150" s="52"/>
      <c r="V150" s="52"/>
      <c r="W150" s="52"/>
      <c r="X150" s="52"/>
      <c r="Y150" s="52"/>
      <c r="Z150" s="52"/>
      <c r="AA150" s="52"/>
      <c r="AB150" s="52"/>
      <c r="AC150" s="52"/>
      <c r="AD150" s="52"/>
      <c r="AE150" s="52"/>
      <c r="AF150" s="52"/>
      <c r="AG150" s="52"/>
      <c r="AH150" s="52"/>
      <c r="AI150" s="52"/>
      <c r="AJ150" s="52"/>
      <c r="AK150" s="52"/>
      <c r="AL150" s="52"/>
      <c r="AM150" s="52"/>
      <c r="AN150" s="52"/>
      <c r="AO150" s="52"/>
      <c r="AP150" s="52"/>
      <c r="AQ150" s="52"/>
      <c r="AR150" s="52"/>
      <c r="AS150" s="52"/>
      <c r="AT150" s="52"/>
      <c r="AU150" s="52"/>
      <c r="AV150" s="52"/>
      <c r="AW150" s="52"/>
      <c r="AX150" s="52"/>
      <c r="AY150" s="52"/>
      <c r="AZ150" s="52"/>
      <c r="BA150" s="52"/>
      <c r="BB150" s="52"/>
      <c r="BC150" s="52"/>
      <c r="BD150" s="52"/>
      <c r="BE150" s="52"/>
      <c r="BF150" s="54"/>
      <c r="BG150" s="54"/>
      <c r="BH150" s="54"/>
      <c r="BI150" s="54"/>
      <c r="BJ150" s="54"/>
      <c r="BK150" s="54"/>
      <c r="BL150" s="54"/>
      <c r="BM150" s="54"/>
      <c r="BN150" s="54"/>
      <c r="BO150" s="54"/>
      <c r="BP150" s="54"/>
      <c r="BQ150" s="54"/>
      <c r="BR150" s="54"/>
      <c r="BS150" s="54"/>
      <c r="BT150" s="54"/>
      <c r="BU150" s="54"/>
      <c r="BV150" s="54"/>
      <c r="BW150" s="54"/>
      <c r="BX150" s="54"/>
      <c r="BY150" s="54"/>
      <c r="BZ150" s="54"/>
      <c r="CA150" s="54"/>
      <c r="CB150" s="54"/>
    </row>
    <row r="151" spans="1:80" ht="16.5" customHeight="1">
      <c r="A151" s="54"/>
      <c r="B151" s="54"/>
      <c r="C151" s="54"/>
      <c r="D151" s="54"/>
      <c r="E151" s="54"/>
      <c r="F151" s="54"/>
      <c r="G151" s="54"/>
      <c r="H151" s="54"/>
      <c r="I151" s="54"/>
      <c r="J151" s="54"/>
      <c r="K151" s="54"/>
      <c r="L151" s="52"/>
      <c r="M151" s="52"/>
      <c r="N151" s="52"/>
      <c r="O151" s="52"/>
      <c r="P151" s="52"/>
      <c r="Q151" s="52"/>
      <c r="R151" s="52"/>
      <c r="S151" s="52"/>
      <c r="T151" s="52"/>
      <c r="U151" s="52"/>
      <c r="V151" s="52"/>
      <c r="W151" s="52"/>
      <c r="X151" s="52"/>
      <c r="Y151" s="52"/>
      <c r="Z151" s="52"/>
      <c r="AA151" s="52"/>
      <c r="AB151" s="52"/>
      <c r="AC151" s="52"/>
      <c r="AD151" s="52"/>
      <c r="AE151" s="52"/>
      <c r="AF151" s="52"/>
      <c r="AG151" s="52"/>
      <c r="AH151" s="52"/>
      <c r="AI151" s="52"/>
      <c r="AJ151" s="52"/>
      <c r="AK151" s="52"/>
      <c r="AL151" s="52"/>
      <c r="AM151" s="52"/>
      <c r="AN151" s="52"/>
      <c r="AO151" s="52"/>
      <c r="AP151" s="52"/>
      <c r="AQ151" s="52"/>
      <c r="AR151" s="52"/>
      <c r="AS151" s="52"/>
      <c r="AT151" s="52"/>
      <c r="AU151" s="52"/>
      <c r="AV151" s="52"/>
      <c r="AW151" s="52"/>
      <c r="AX151" s="52"/>
      <c r="AY151" s="52"/>
      <c r="AZ151" s="52"/>
      <c r="BA151" s="52"/>
      <c r="BB151" s="52"/>
      <c r="BC151" s="52"/>
      <c r="BD151" s="52"/>
      <c r="BE151" s="52"/>
      <c r="BF151" s="54"/>
      <c r="BG151" s="54"/>
      <c r="BH151" s="54"/>
      <c r="BI151" s="54"/>
      <c r="BJ151" s="54"/>
      <c r="BK151" s="54"/>
      <c r="BL151" s="54"/>
      <c r="BM151" s="54"/>
      <c r="BN151" s="54"/>
      <c r="BO151" s="54"/>
      <c r="BP151" s="54"/>
      <c r="BQ151" s="54"/>
      <c r="BR151" s="54"/>
      <c r="BS151" s="54"/>
      <c r="BT151" s="54"/>
      <c r="BU151" s="54"/>
      <c r="BV151" s="54"/>
      <c r="BW151" s="54"/>
      <c r="BX151" s="54"/>
      <c r="BY151" s="54"/>
      <c r="BZ151" s="54"/>
      <c r="CA151" s="54"/>
      <c r="CB151" s="54"/>
    </row>
    <row r="152" spans="1:80" ht="16.5" customHeight="1">
      <c r="A152" s="54"/>
      <c r="B152" s="54"/>
      <c r="C152" s="54"/>
      <c r="D152" s="54"/>
      <c r="E152" s="54"/>
      <c r="F152" s="54"/>
      <c r="G152" s="54"/>
      <c r="H152" s="54"/>
      <c r="I152" s="54"/>
      <c r="J152" s="54"/>
      <c r="K152" s="54"/>
      <c r="L152" s="52"/>
      <c r="M152" s="52"/>
      <c r="N152" s="52"/>
      <c r="O152" s="52"/>
      <c r="P152" s="52"/>
      <c r="Q152" s="52"/>
      <c r="R152" s="52"/>
      <c r="S152" s="52"/>
      <c r="T152" s="52"/>
      <c r="U152" s="52"/>
      <c r="V152" s="52"/>
      <c r="W152" s="52"/>
      <c r="X152" s="52"/>
      <c r="Y152" s="52"/>
      <c r="Z152" s="52"/>
      <c r="AA152" s="52"/>
      <c r="AB152" s="52"/>
      <c r="AC152" s="52"/>
      <c r="AD152" s="52"/>
      <c r="AE152" s="52"/>
      <c r="AF152" s="52"/>
      <c r="AG152" s="52"/>
      <c r="AH152" s="52"/>
      <c r="AI152" s="52"/>
      <c r="AJ152" s="52"/>
      <c r="AK152" s="52"/>
      <c r="AL152" s="52"/>
      <c r="AM152" s="52"/>
      <c r="AN152" s="52"/>
      <c r="AO152" s="52"/>
      <c r="AP152" s="52"/>
      <c r="AQ152" s="52"/>
      <c r="AR152" s="52"/>
      <c r="AS152" s="52"/>
      <c r="AT152" s="52"/>
      <c r="AU152" s="52"/>
      <c r="AV152" s="52"/>
      <c r="AW152" s="52"/>
      <c r="AX152" s="52"/>
      <c r="AY152" s="52"/>
      <c r="AZ152" s="52"/>
      <c r="BA152" s="52"/>
      <c r="BB152" s="52"/>
      <c r="BC152" s="52"/>
      <c r="BD152" s="52"/>
      <c r="BE152" s="52"/>
      <c r="BF152" s="54"/>
      <c r="BG152" s="54"/>
      <c r="BH152" s="54"/>
      <c r="BI152" s="54"/>
      <c r="BJ152" s="54"/>
      <c r="BK152" s="54"/>
      <c r="BL152" s="54"/>
      <c r="BM152" s="54"/>
      <c r="BN152" s="54"/>
      <c r="BO152" s="54"/>
      <c r="BP152" s="54"/>
      <c r="BQ152" s="54"/>
      <c r="BR152" s="54"/>
      <c r="BS152" s="54"/>
      <c r="BT152" s="54"/>
      <c r="BU152" s="54"/>
      <c r="BV152" s="54"/>
      <c r="BW152" s="54"/>
      <c r="BX152" s="54"/>
      <c r="BY152" s="54"/>
      <c r="BZ152" s="54"/>
      <c r="CA152" s="54"/>
      <c r="CB152" s="54"/>
    </row>
    <row r="153" spans="1:80" ht="16.5" customHeight="1">
      <c r="A153" s="54"/>
      <c r="B153" s="54"/>
      <c r="C153" s="54"/>
      <c r="D153" s="54"/>
      <c r="E153" s="54"/>
      <c r="F153" s="54"/>
      <c r="G153" s="54"/>
      <c r="H153" s="54"/>
      <c r="I153" s="54"/>
      <c r="J153" s="54"/>
      <c r="K153" s="54"/>
      <c r="L153" s="52"/>
      <c r="M153" s="52"/>
      <c r="N153" s="52"/>
      <c r="O153" s="52"/>
      <c r="P153" s="52"/>
      <c r="Q153" s="52"/>
      <c r="R153" s="52"/>
      <c r="S153" s="52"/>
      <c r="T153" s="52"/>
      <c r="U153" s="52"/>
      <c r="V153" s="52"/>
      <c r="W153" s="52"/>
      <c r="X153" s="52"/>
      <c r="Y153" s="52"/>
      <c r="Z153" s="52"/>
      <c r="AA153" s="52"/>
      <c r="AB153" s="52"/>
      <c r="AC153" s="52"/>
      <c r="AD153" s="52"/>
      <c r="AE153" s="52"/>
      <c r="AF153" s="52"/>
      <c r="AG153" s="52"/>
      <c r="AH153" s="52"/>
      <c r="AI153" s="52"/>
      <c r="AJ153" s="52"/>
      <c r="AK153" s="52"/>
      <c r="AL153" s="52"/>
      <c r="AM153" s="52"/>
      <c r="AN153" s="52"/>
      <c r="AO153" s="52"/>
      <c r="AP153" s="52"/>
      <c r="AQ153" s="52"/>
      <c r="AR153" s="52"/>
      <c r="AS153" s="52"/>
      <c r="AT153" s="52"/>
      <c r="AU153" s="52"/>
      <c r="AV153" s="52"/>
      <c r="AW153" s="52"/>
      <c r="AX153" s="52"/>
      <c r="AY153" s="52"/>
      <c r="AZ153" s="52"/>
      <c r="BA153" s="52"/>
      <c r="BB153" s="52"/>
      <c r="BC153" s="52"/>
      <c r="BD153" s="52"/>
      <c r="BE153" s="52"/>
      <c r="BF153" s="54"/>
      <c r="BG153" s="54"/>
      <c r="BH153" s="54"/>
      <c r="BI153" s="54"/>
      <c r="BJ153" s="54"/>
      <c r="BK153" s="54"/>
      <c r="BL153" s="54"/>
      <c r="BM153" s="54"/>
      <c r="BN153" s="54"/>
      <c r="BO153" s="54"/>
      <c r="BP153" s="54"/>
      <c r="BQ153" s="54"/>
      <c r="BR153" s="54"/>
      <c r="BS153" s="54"/>
      <c r="BT153" s="54"/>
      <c r="BU153" s="54"/>
      <c r="BV153" s="54"/>
      <c r="BW153" s="54"/>
      <c r="BX153" s="54"/>
      <c r="BY153" s="54"/>
      <c r="BZ153" s="54"/>
      <c r="CA153" s="54"/>
      <c r="CB153" s="54"/>
    </row>
    <row r="154" spans="1:80" ht="16.5" customHeight="1">
      <c r="A154" s="54"/>
      <c r="B154" s="54"/>
      <c r="C154" s="54"/>
      <c r="D154" s="54"/>
      <c r="E154" s="54"/>
      <c r="F154" s="54"/>
      <c r="G154" s="54"/>
      <c r="H154" s="54"/>
      <c r="I154" s="54"/>
      <c r="J154" s="54"/>
      <c r="K154" s="54"/>
      <c r="L154" s="52"/>
      <c r="M154" s="52"/>
      <c r="N154" s="52"/>
      <c r="O154" s="52"/>
      <c r="P154" s="52"/>
      <c r="Q154" s="52"/>
      <c r="R154" s="52"/>
      <c r="S154" s="52"/>
      <c r="T154" s="52"/>
      <c r="U154" s="52"/>
      <c r="V154" s="52"/>
      <c r="W154" s="52"/>
      <c r="X154" s="52"/>
      <c r="Y154" s="52"/>
      <c r="Z154" s="52"/>
      <c r="AA154" s="52"/>
      <c r="AB154" s="52"/>
      <c r="AC154" s="52"/>
      <c r="AD154" s="52"/>
      <c r="AE154" s="52"/>
      <c r="AF154" s="52"/>
      <c r="AG154" s="52"/>
      <c r="AH154" s="52"/>
      <c r="AI154" s="52"/>
      <c r="AJ154" s="52"/>
      <c r="AK154" s="52"/>
      <c r="AL154" s="52"/>
      <c r="AM154" s="52"/>
      <c r="AN154" s="52"/>
      <c r="AO154" s="52"/>
      <c r="AP154" s="52"/>
      <c r="AQ154" s="52"/>
      <c r="AR154" s="52"/>
      <c r="AS154" s="52"/>
      <c r="AT154" s="52"/>
      <c r="AU154" s="52"/>
      <c r="AV154" s="52"/>
      <c r="AW154" s="52"/>
      <c r="AX154" s="52"/>
      <c r="AY154" s="52"/>
      <c r="AZ154" s="52"/>
      <c r="BA154" s="52"/>
      <c r="BB154" s="52"/>
      <c r="BC154" s="52"/>
      <c r="BD154" s="52"/>
      <c r="BE154" s="52"/>
      <c r="BF154" s="54"/>
      <c r="BG154" s="54"/>
      <c r="BH154" s="54"/>
      <c r="BI154" s="54"/>
      <c r="BJ154" s="54"/>
      <c r="BK154" s="54"/>
      <c r="BL154" s="54"/>
      <c r="BM154" s="54"/>
      <c r="BN154" s="54"/>
      <c r="BO154" s="54"/>
      <c r="BP154" s="54"/>
      <c r="BQ154" s="54"/>
      <c r="BR154" s="54"/>
      <c r="BS154" s="54"/>
      <c r="BT154" s="54"/>
      <c r="BU154" s="54"/>
      <c r="BV154" s="54"/>
      <c r="BW154" s="54"/>
      <c r="BX154" s="54"/>
      <c r="BY154" s="54"/>
      <c r="BZ154" s="54"/>
      <c r="CA154" s="54"/>
      <c r="CB154" s="54"/>
    </row>
    <row r="155" spans="1:80" ht="16.5" customHeight="1">
      <c r="A155" s="54"/>
      <c r="B155" s="54"/>
      <c r="C155" s="54"/>
      <c r="D155" s="54"/>
      <c r="E155" s="54"/>
      <c r="F155" s="54"/>
      <c r="G155" s="54"/>
      <c r="H155" s="54"/>
      <c r="I155" s="54"/>
      <c r="J155" s="54"/>
      <c r="K155" s="54"/>
      <c r="L155" s="52"/>
      <c r="M155" s="52"/>
      <c r="N155" s="52"/>
      <c r="O155" s="52"/>
      <c r="P155" s="52"/>
      <c r="Q155" s="52"/>
      <c r="R155" s="52"/>
      <c r="S155" s="52"/>
      <c r="T155" s="52"/>
      <c r="U155" s="52"/>
      <c r="V155" s="52"/>
      <c r="W155" s="52"/>
      <c r="X155" s="52"/>
      <c r="Y155" s="52"/>
      <c r="Z155" s="52"/>
      <c r="AA155" s="52"/>
      <c r="AB155" s="52"/>
      <c r="AC155" s="52"/>
      <c r="AD155" s="52"/>
      <c r="AE155" s="52"/>
      <c r="AF155" s="52"/>
      <c r="AG155" s="52"/>
      <c r="AH155" s="52"/>
      <c r="AI155" s="52"/>
      <c r="AJ155" s="52"/>
      <c r="AK155" s="52"/>
      <c r="AL155" s="52"/>
      <c r="AM155" s="52"/>
      <c r="AN155" s="52"/>
      <c r="AO155" s="52"/>
      <c r="AP155" s="52"/>
      <c r="AQ155" s="52"/>
      <c r="AR155" s="52"/>
      <c r="AS155" s="52"/>
      <c r="AT155" s="52"/>
      <c r="AU155" s="52"/>
      <c r="AV155" s="52"/>
      <c r="AW155" s="52"/>
      <c r="AX155" s="52"/>
      <c r="AY155" s="52"/>
      <c r="AZ155" s="52"/>
      <c r="BA155" s="52"/>
      <c r="BB155" s="52"/>
      <c r="BC155" s="52"/>
      <c r="BD155" s="52"/>
      <c r="BE155" s="52"/>
      <c r="BF155" s="54"/>
      <c r="BG155" s="54"/>
      <c r="BH155" s="54"/>
      <c r="BI155" s="54"/>
      <c r="BJ155" s="54"/>
      <c r="BK155" s="54"/>
      <c r="BL155" s="54"/>
      <c r="BM155" s="54"/>
      <c r="BN155" s="54"/>
      <c r="BO155" s="54"/>
      <c r="BP155" s="54"/>
      <c r="BQ155" s="54"/>
      <c r="BR155" s="54"/>
      <c r="BS155" s="54"/>
      <c r="BT155" s="54"/>
      <c r="BU155" s="54"/>
      <c r="BV155" s="54"/>
      <c r="BW155" s="54"/>
      <c r="BX155" s="54"/>
      <c r="BY155" s="54"/>
      <c r="BZ155" s="54"/>
      <c r="CA155" s="54"/>
      <c r="CB155" s="54"/>
    </row>
    <row r="156" spans="1:80" ht="16.5" customHeight="1">
      <c r="A156" s="54"/>
      <c r="B156" s="54"/>
      <c r="C156" s="54"/>
      <c r="D156" s="54"/>
      <c r="E156" s="54"/>
      <c r="F156" s="54"/>
      <c r="G156" s="54"/>
      <c r="H156" s="54"/>
      <c r="I156" s="54"/>
      <c r="J156" s="54"/>
      <c r="K156" s="54"/>
      <c r="L156" s="52"/>
      <c r="M156" s="52"/>
      <c r="N156" s="52"/>
      <c r="O156" s="52"/>
      <c r="P156" s="52"/>
      <c r="Q156" s="52"/>
      <c r="R156" s="52"/>
      <c r="S156" s="52"/>
      <c r="T156" s="52"/>
      <c r="U156" s="52"/>
      <c r="V156" s="52"/>
      <c r="W156" s="52"/>
      <c r="X156" s="52"/>
      <c r="Y156" s="52"/>
      <c r="Z156" s="52"/>
      <c r="AA156" s="52"/>
      <c r="AB156" s="52"/>
      <c r="AC156" s="52"/>
      <c r="AD156" s="52"/>
      <c r="AE156" s="52"/>
      <c r="AF156" s="52"/>
      <c r="AG156" s="52"/>
      <c r="AH156" s="52"/>
      <c r="AI156" s="52"/>
      <c r="AJ156" s="52"/>
      <c r="AK156" s="52"/>
      <c r="AL156" s="52"/>
      <c r="AM156" s="52"/>
      <c r="AN156" s="52"/>
      <c r="AO156" s="52"/>
      <c r="AP156" s="52"/>
      <c r="AQ156" s="52"/>
      <c r="AR156" s="52"/>
      <c r="AS156" s="52"/>
      <c r="AT156" s="52"/>
      <c r="AU156" s="52"/>
      <c r="AV156" s="52"/>
      <c r="AW156" s="52"/>
      <c r="AX156" s="52"/>
      <c r="AY156" s="52"/>
      <c r="AZ156" s="52"/>
      <c r="BA156" s="52"/>
      <c r="BB156" s="52"/>
      <c r="BC156" s="52"/>
      <c r="BD156" s="52"/>
      <c r="BE156" s="52"/>
      <c r="BF156" s="54"/>
      <c r="BG156" s="54"/>
      <c r="BH156" s="54"/>
      <c r="BI156" s="54"/>
      <c r="BJ156" s="54"/>
      <c r="BK156" s="54"/>
      <c r="BL156" s="54"/>
      <c r="BM156" s="54"/>
      <c r="BN156" s="54"/>
      <c r="BO156" s="54"/>
      <c r="BP156" s="54"/>
      <c r="BQ156" s="54"/>
      <c r="BR156" s="54"/>
      <c r="BS156" s="54"/>
      <c r="BT156" s="54"/>
      <c r="BU156" s="54"/>
      <c r="BV156" s="54"/>
      <c r="BW156" s="54"/>
      <c r="BX156" s="54"/>
      <c r="BY156" s="54"/>
      <c r="BZ156" s="54"/>
      <c r="CA156" s="54"/>
      <c r="CB156" s="54"/>
    </row>
    <row r="157" spans="1:80" ht="16.5" customHeight="1">
      <c r="A157" s="54"/>
      <c r="B157" s="54"/>
      <c r="C157" s="54"/>
      <c r="D157" s="54"/>
      <c r="E157" s="54"/>
      <c r="F157" s="54"/>
      <c r="G157" s="54"/>
      <c r="H157" s="54"/>
      <c r="I157" s="54"/>
      <c r="J157" s="54"/>
      <c r="K157" s="54"/>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c r="AK157" s="52"/>
      <c r="AL157" s="52"/>
      <c r="AM157" s="52"/>
      <c r="AN157" s="52"/>
      <c r="AO157" s="52"/>
      <c r="AP157" s="52"/>
      <c r="AQ157" s="52"/>
      <c r="AR157" s="52"/>
      <c r="AS157" s="52"/>
      <c r="AT157" s="52"/>
      <c r="AU157" s="52"/>
      <c r="AV157" s="52"/>
      <c r="AW157" s="52"/>
      <c r="AX157" s="52"/>
      <c r="AY157" s="52"/>
      <c r="AZ157" s="52"/>
      <c r="BA157" s="52"/>
      <c r="BB157" s="52"/>
      <c r="BC157" s="52"/>
      <c r="BD157" s="52"/>
      <c r="BE157" s="52"/>
      <c r="BF157" s="54"/>
      <c r="BG157" s="54"/>
      <c r="BH157" s="54"/>
      <c r="BI157" s="54"/>
      <c r="BJ157" s="54"/>
      <c r="BK157" s="54"/>
      <c r="BL157" s="54"/>
      <c r="BM157" s="54"/>
      <c r="BN157" s="54"/>
      <c r="BO157" s="54"/>
      <c r="BP157" s="54"/>
      <c r="BQ157" s="54"/>
      <c r="BR157" s="54"/>
      <c r="BS157" s="54"/>
      <c r="BT157" s="54"/>
      <c r="BU157" s="54"/>
      <c r="BV157" s="54"/>
      <c r="BW157" s="54"/>
      <c r="BX157" s="54"/>
      <c r="BY157" s="54"/>
      <c r="BZ157" s="54"/>
      <c r="CA157" s="54"/>
      <c r="CB157" s="54"/>
    </row>
    <row r="158" spans="1:80" ht="16.5" customHeight="1">
      <c r="A158" s="54"/>
      <c r="B158" s="54"/>
      <c r="C158" s="54"/>
      <c r="D158" s="54"/>
      <c r="E158" s="54"/>
      <c r="F158" s="54"/>
      <c r="G158" s="54"/>
      <c r="H158" s="54"/>
      <c r="I158" s="54"/>
      <c r="J158" s="54"/>
      <c r="K158" s="54"/>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c r="AI158" s="52"/>
      <c r="AJ158" s="52"/>
      <c r="AK158" s="52"/>
      <c r="AL158" s="52"/>
      <c r="AM158" s="52"/>
      <c r="AN158" s="52"/>
      <c r="AO158" s="52"/>
      <c r="AP158" s="52"/>
      <c r="AQ158" s="52"/>
      <c r="AR158" s="52"/>
      <c r="AS158" s="52"/>
      <c r="AT158" s="52"/>
      <c r="AU158" s="52"/>
      <c r="AV158" s="52"/>
      <c r="AW158" s="52"/>
      <c r="AX158" s="52"/>
      <c r="AY158" s="52"/>
      <c r="AZ158" s="52"/>
      <c r="BA158" s="52"/>
      <c r="BB158" s="52"/>
      <c r="BC158" s="52"/>
      <c r="BD158" s="52"/>
      <c r="BE158" s="52"/>
      <c r="BF158" s="54"/>
      <c r="BG158" s="54"/>
      <c r="BH158" s="54"/>
      <c r="BI158" s="54"/>
      <c r="BJ158" s="54"/>
      <c r="BK158" s="54"/>
      <c r="BL158" s="54"/>
      <c r="BM158" s="54"/>
      <c r="BN158" s="54"/>
      <c r="BO158" s="54"/>
      <c r="BP158" s="54"/>
      <c r="BQ158" s="54"/>
      <c r="BR158" s="54"/>
      <c r="BS158" s="54"/>
      <c r="BT158" s="54"/>
      <c r="BU158" s="54"/>
      <c r="BV158" s="54"/>
      <c r="BW158" s="54"/>
      <c r="BX158" s="54"/>
      <c r="BY158" s="54"/>
      <c r="BZ158" s="54"/>
      <c r="CA158" s="54"/>
      <c r="CB158" s="54"/>
    </row>
    <row r="159" spans="1:80" ht="16.5" customHeight="1">
      <c r="A159" s="54"/>
      <c r="B159" s="54"/>
      <c r="C159" s="54"/>
      <c r="D159" s="54"/>
      <c r="E159" s="54"/>
      <c r="F159" s="54"/>
      <c r="G159" s="54"/>
      <c r="H159" s="54"/>
      <c r="I159" s="54"/>
      <c r="J159" s="54"/>
      <c r="K159" s="54"/>
      <c r="L159" s="52"/>
      <c r="M159" s="52"/>
      <c r="N159" s="52"/>
      <c r="O159" s="52"/>
      <c r="P159" s="52"/>
      <c r="Q159" s="52"/>
      <c r="R159" s="52"/>
      <c r="S159" s="52"/>
      <c r="T159" s="52"/>
      <c r="U159" s="52"/>
      <c r="V159" s="52"/>
      <c r="W159" s="52"/>
      <c r="X159" s="52"/>
      <c r="Y159" s="52"/>
      <c r="Z159" s="52"/>
      <c r="AA159" s="52"/>
      <c r="AB159" s="52"/>
      <c r="AC159" s="52"/>
      <c r="AD159" s="52"/>
      <c r="AE159" s="52"/>
      <c r="AF159" s="52"/>
      <c r="AG159" s="52"/>
      <c r="AH159" s="52"/>
      <c r="AI159" s="52"/>
      <c r="AJ159" s="52"/>
      <c r="AK159" s="52"/>
      <c r="AL159" s="52"/>
      <c r="AM159" s="52"/>
      <c r="AN159" s="52"/>
      <c r="AO159" s="52"/>
      <c r="AP159" s="52"/>
      <c r="AQ159" s="52"/>
      <c r="AR159" s="52"/>
      <c r="AS159" s="52"/>
      <c r="AT159" s="52"/>
      <c r="AU159" s="52"/>
      <c r="AV159" s="52"/>
      <c r="AW159" s="52"/>
      <c r="AX159" s="52"/>
      <c r="AY159" s="52"/>
      <c r="AZ159" s="52"/>
      <c r="BA159" s="52"/>
      <c r="BB159" s="52"/>
      <c r="BC159" s="52"/>
      <c r="BD159" s="52"/>
      <c r="BE159" s="52"/>
      <c r="BF159" s="54"/>
      <c r="BG159" s="54"/>
      <c r="BH159" s="54"/>
      <c r="BI159" s="54"/>
      <c r="BJ159" s="54"/>
      <c r="BK159" s="54"/>
      <c r="BL159" s="54"/>
      <c r="BM159" s="54"/>
      <c r="BN159" s="54"/>
      <c r="BO159" s="54"/>
      <c r="BP159" s="54"/>
      <c r="BQ159" s="54"/>
      <c r="BR159" s="54"/>
      <c r="BS159" s="54"/>
      <c r="BT159" s="54"/>
      <c r="BU159" s="54"/>
      <c r="BV159" s="54"/>
      <c r="BW159" s="54"/>
      <c r="BX159" s="54"/>
      <c r="BY159" s="54"/>
      <c r="BZ159" s="54"/>
      <c r="CA159" s="54"/>
      <c r="CB159" s="54"/>
    </row>
    <row r="160" spans="1:80" ht="16.5" customHeight="1">
      <c r="A160" s="54"/>
      <c r="B160" s="54"/>
      <c r="C160" s="54"/>
      <c r="D160" s="54"/>
      <c r="E160" s="54"/>
      <c r="F160" s="54"/>
      <c r="G160" s="54"/>
      <c r="H160" s="54"/>
      <c r="I160" s="54"/>
      <c r="J160" s="54"/>
      <c r="K160" s="54"/>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52"/>
      <c r="AL160" s="52"/>
      <c r="AM160" s="52"/>
      <c r="AN160" s="52"/>
      <c r="AO160" s="52"/>
      <c r="AP160" s="52"/>
      <c r="AQ160" s="52"/>
      <c r="AR160" s="52"/>
      <c r="AS160" s="52"/>
      <c r="AT160" s="52"/>
      <c r="AU160" s="52"/>
      <c r="AV160" s="52"/>
      <c r="AW160" s="52"/>
      <c r="AX160" s="52"/>
      <c r="AY160" s="52"/>
      <c r="AZ160" s="52"/>
      <c r="BA160" s="52"/>
      <c r="BB160" s="52"/>
      <c r="BC160" s="52"/>
      <c r="BD160" s="52"/>
      <c r="BE160" s="52"/>
      <c r="BF160" s="54"/>
      <c r="BG160" s="54"/>
      <c r="BH160" s="54"/>
      <c r="BI160" s="54"/>
      <c r="BJ160" s="54"/>
      <c r="BK160" s="54"/>
      <c r="BL160" s="54"/>
      <c r="BM160" s="54"/>
      <c r="BN160" s="54"/>
      <c r="BO160" s="54"/>
      <c r="BP160" s="54"/>
      <c r="BQ160" s="54"/>
      <c r="BR160" s="54"/>
      <c r="BS160" s="54"/>
      <c r="BT160" s="54"/>
      <c r="BU160" s="54"/>
      <c r="BV160" s="54"/>
      <c r="BW160" s="54"/>
      <c r="BX160" s="54"/>
      <c r="BY160" s="54"/>
      <c r="BZ160" s="54"/>
      <c r="CA160" s="54"/>
      <c r="CB160" s="54"/>
    </row>
    <row r="161" spans="1:80" ht="16.5" customHeight="1">
      <c r="A161" s="54"/>
      <c r="B161" s="54"/>
      <c r="C161" s="54"/>
      <c r="D161" s="54"/>
      <c r="E161" s="54"/>
      <c r="F161" s="54"/>
      <c r="G161" s="54"/>
      <c r="H161" s="54"/>
      <c r="I161" s="54"/>
      <c r="J161" s="54"/>
      <c r="K161" s="54"/>
      <c r="L161" s="52"/>
      <c r="M161" s="52"/>
      <c r="N161" s="52"/>
      <c r="O161" s="52"/>
      <c r="P161" s="52"/>
      <c r="Q161" s="52"/>
      <c r="R161" s="52"/>
      <c r="S161" s="52"/>
      <c r="T161" s="52"/>
      <c r="U161" s="52"/>
      <c r="V161" s="52"/>
      <c r="W161" s="52"/>
      <c r="X161" s="52"/>
      <c r="Y161" s="52"/>
      <c r="Z161" s="52"/>
      <c r="AA161" s="52"/>
      <c r="AB161" s="52"/>
      <c r="AC161" s="52"/>
      <c r="AD161" s="52"/>
      <c r="AE161" s="52"/>
      <c r="AF161" s="52"/>
      <c r="AG161" s="52"/>
      <c r="AH161" s="52"/>
      <c r="AI161" s="52"/>
      <c r="AJ161" s="52"/>
      <c r="AK161" s="52"/>
      <c r="AL161" s="52"/>
      <c r="AM161" s="52"/>
      <c r="AN161" s="52"/>
      <c r="AO161" s="52"/>
      <c r="AP161" s="52"/>
      <c r="AQ161" s="52"/>
      <c r="AR161" s="52"/>
      <c r="AS161" s="52"/>
      <c r="AT161" s="52"/>
      <c r="AU161" s="52"/>
      <c r="AV161" s="52"/>
      <c r="AW161" s="52"/>
      <c r="AX161" s="52"/>
      <c r="AY161" s="52"/>
      <c r="AZ161" s="52"/>
      <c r="BA161" s="52"/>
      <c r="BB161" s="52"/>
      <c r="BC161" s="52"/>
      <c r="BD161" s="52"/>
      <c r="BE161" s="52"/>
      <c r="BF161" s="54"/>
      <c r="BG161" s="54"/>
      <c r="BH161" s="54"/>
      <c r="BI161" s="54"/>
      <c r="BJ161" s="54"/>
      <c r="BK161" s="54"/>
      <c r="BL161" s="54"/>
      <c r="BM161" s="54"/>
      <c r="BN161" s="54"/>
      <c r="BO161" s="54"/>
      <c r="BP161" s="54"/>
      <c r="BQ161" s="54"/>
      <c r="BR161" s="54"/>
      <c r="BS161" s="54"/>
      <c r="BT161" s="54"/>
      <c r="BU161" s="54"/>
      <c r="BV161" s="54"/>
      <c r="BW161" s="54"/>
      <c r="BX161" s="54"/>
      <c r="BY161" s="54"/>
      <c r="BZ161" s="54"/>
      <c r="CA161" s="54"/>
      <c r="CB161" s="54"/>
    </row>
    <row r="162" spans="1:80" ht="16.5" customHeight="1">
      <c r="A162" s="54"/>
      <c r="B162" s="54"/>
      <c r="C162" s="54"/>
      <c r="D162" s="54"/>
      <c r="E162" s="54"/>
      <c r="F162" s="54"/>
      <c r="G162" s="54"/>
      <c r="H162" s="54"/>
      <c r="I162" s="54"/>
      <c r="J162" s="54"/>
      <c r="K162" s="54"/>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c r="AI162" s="52"/>
      <c r="AJ162" s="52"/>
      <c r="AK162" s="52"/>
      <c r="AL162" s="52"/>
      <c r="AM162" s="52"/>
      <c r="AN162" s="52"/>
      <c r="AO162" s="52"/>
      <c r="AP162" s="52"/>
      <c r="AQ162" s="52"/>
      <c r="AR162" s="52"/>
      <c r="AS162" s="52"/>
      <c r="AT162" s="52"/>
      <c r="AU162" s="52"/>
      <c r="AV162" s="52"/>
      <c r="AW162" s="52"/>
      <c r="AX162" s="52"/>
      <c r="AY162" s="52"/>
      <c r="AZ162" s="52"/>
      <c r="BA162" s="52"/>
      <c r="BB162" s="52"/>
      <c r="BC162" s="52"/>
      <c r="BD162" s="52"/>
      <c r="BE162" s="52"/>
      <c r="BF162" s="54"/>
      <c r="BG162" s="54"/>
      <c r="BH162" s="54"/>
      <c r="BI162" s="54"/>
      <c r="BJ162" s="54"/>
      <c r="BK162" s="54"/>
      <c r="BL162" s="54"/>
      <c r="BM162" s="54"/>
      <c r="BN162" s="54"/>
      <c r="BO162" s="54"/>
      <c r="BP162" s="54"/>
      <c r="BQ162" s="54"/>
      <c r="BR162" s="54"/>
      <c r="BS162" s="54"/>
      <c r="BT162" s="54"/>
      <c r="BU162" s="54"/>
      <c r="BV162" s="54"/>
      <c r="BW162" s="54"/>
      <c r="BX162" s="54"/>
      <c r="BY162" s="54"/>
      <c r="BZ162" s="54"/>
      <c r="CA162" s="54"/>
      <c r="CB162" s="54"/>
    </row>
    <row r="163" spans="1:80" ht="16.5" customHeight="1">
      <c r="A163" s="54"/>
      <c r="B163" s="54"/>
      <c r="C163" s="54"/>
      <c r="D163" s="54"/>
      <c r="E163" s="54"/>
      <c r="F163" s="54"/>
      <c r="G163" s="54"/>
      <c r="H163" s="54"/>
      <c r="I163" s="54"/>
      <c r="J163" s="54"/>
      <c r="K163" s="54"/>
      <c r="L163" s="52"/>
      <c r="M163" s="52"/>
      <c r="N163" s="52"/>
      <c r="O163" s="52"/>
      <c r="P163" s="52"/>
      <c r="Q163" s="52"/>
      <c r="R163" s="52"/>
      <c r="S163" s="52"/>
      <c r="T163" s="52"/>
      <c r="U163" s="52"/>
      <c r="V163" s="52"/>
      <c r="W163" s="52"/>
      <c r="X163" s="52"/>
      <c r="Y163" s="52"/>
      <c r="Z163" s="52"/>
      <c r="AA163" s="52"/>
      <c r="AB163" s="52"/>
      <c r="AC163" s="52"/>
      <c r="AD163" s="52"/>
      <c r="AE163" s="52"/>
      <c r="AF163" s="52"/>
      <c r="AG163" s="52"/>
      <c r="AH163" s="52"/>
      <c r="AI163" s="52"/>
      <c r="AJ163" s="52"/>
      <c r="AK163" s="52"/>
      <c r="AL163" s="52"/>
      <c r="AM163" s="52"/>
      <c r="AN163" s="52"/>
      <c r="AO163" s="52"/>
      <c r="AP163" s="52"/>
      <c r="AQ163" s="52"/>
      <c r="AR163" s="52"/>
      <c r="AS163" s="52"/>
      <c r="AT163" s="52"/>
      <c r="AU163" s="52"/>
      <c r="AV163" s="52"/>
      <c r="AW163" s="52"/>
      <c r="AX163" s="52"/>
      <c r="AY163" s="52"/>
      <c r="AZ163" s="52"/>
      <c r="BA163" s="52"/>
      <c r="BB163" s="52"/>
      <c r="BC163" s="52"/>
      <c r="BD163" s="52"/>
      <c r="BE163" s="52"/>
      <c r="BF163" s="54"/>
      <c r="BG163" s="54"/>
      <c r="BH163" s="54"/>
      <c r="BI163" s="54"/>
      <c r="BJ163" s="54"/>
      <c r="BK163" s="54"/>
      <c r="BL163" s="54"/>
      <c r="BM163" s="54"/>
      <c r="BN163" s="54"/>
      <c r="BO163" s="54"/>
      <c r="BP163" s="54"/>
      <c r="BQ163" s="54"/>
      <c r="BR163" s="54"/>
      <c r="BS163" s="54"/>
      <c r="BT163" s="54"/>
      <c r="BU163" s="54"/>
      <c r="BV163" s="54"/>
      <c r="BW163" s="54"/>
      <c r="BX163" s="54"/>
      <c r="BY163" s="54"/>
      <c r="BZ163" s="54"/>
      <c r="CA163" s="54"/>
      <c r="CB163" s="54"/>
    </row>
    <row r="164" spans="1:80" ht="16.5" customHeight="1">
      <c r="A164" s="54"/>
      <c r="B164" s="54"/>
      <c r="C164" s="54"/>
      <c r="D164" s="54"/>
      <c r="E164" s="54"/>
      <c r="F164" s="54"/>
      <c r="G164" s="54"/>
      <c r="H164" s="54"/>
      <c r="I164" s="54"/>
      <c r="J164" s="54"/>
      <c r="K164" s="54"/>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52"/>
      <c r="AL164" s="52"/>
      <c r="AM164" s="52"/>
      <c r="AN164" s="52"/>
      <c r="AO164" s="52"/>
      <c r="AP164" s="52"/>
      <c r="AQ164" s="52"/>
      <c r="AR164" s="52"/>
      <c r="AS164" s="52"/>
      <c r="AT164" s="52"/>
      <c r="AU164" s="52"/>
      <c r="AV164" s="52"/>
      <c r="AW164" s="52"/>
      <c r="AX164" s="52"/>
      <c r="AY164" s="52"/>
      <c r="AZ164" s="52"/>
      <c r="BA164" s="52"/>
      <c r="BB164" s="52"/>
      <c r="BC164" s="52"/>
      <c r="BD164" s="52"/>
      <c r="BE164" s="52"/>
      <c r="BF164" s="54"/>
      <c r="BG164" s="54"/>
      <c r="BH164" s="54"/>
      <c r="BI164" s="54"/>
      <c r="BJ164" s="54"/>
      <c r="BK164" s="54"/>
      <c r="BL164" s="54"/>
      <c r="BM164" s="54"/>
      <c r="BN164" s="54"/>
      <c r="BO164" s="54"/>
      <c r="BP164" s="54"/>
      <c r="BQ164" s="54"/>
      <c r="BR164" s="54"/>
      <c r="BS164" s="54"/>
      <c r="BT164" s="54"/>
      <c r="BU164" s="54"/>
      <c r="BV164" s="54"/>
      <c r="BW164" s="54"/>
      <c r="BX164" s="54"/>
      <c r="BY164" s="54"/>
      <c r="BZ164" s="54"/>
      <c r="CA164" s="54"/>
      <c r="CB164" s="54"/>
    </row>
    <row r="165" spans="1:80" ht="16.5" customHeight="1">
      <c r="A165" s="54"/>
      <c r="B165" s="54"/>
      <c r="C165" s="54"/>
      <c r="D165" s="54"/>
      <c r="E165" s="54"/>
      <c r="F165" s="54"/>
      <c r="G165" s="54"/>
      <c r="H165" s="54"/>
      <c r="I165" s="54"/>
      <c r="J165" s="54"/>
      <c r="K165" s="54"/>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c r="AI165" s="52"/>
      <c r="AJ165" s="52"/>
      <c r="AK165" s="52"/>
      <c r="AL165" s="52"/>
      <c r="AM165" s="52"/>
      <c r="AN165" s="52"/>
      <c r="AO165" s="52"/>
      <c r="AP165" s="52"/>
      <c r="AQ165" s="52"/>
      <c r="AR165" s="52"/>
      <c r="AS165" s="52"/>
      <c r="AT165" s="52"/>
      <c r="AU165" s="52"/>
      <c r="AV165" s="52"/>
      <c r="AW165" s="52"/>
      <c r="AX165" s="52"/>
      <c r="AY165" s="52"/>
      <c r="AZ165" s="52"/>
      <c r="BA165" s="52"/>
      <c r="BB165" s="52"/>
      <c r="BC165" s="52"/>
      <c r="BD165" s="52"/>
      <c r="BE165" s="52"/>
      <c r="BF165" s="54"/>
      <c r="BG165" s="54"/>
      <c r="BH165" s="54"/>
      <c r="BI165" s="54"/>
      <c r="BJ165" s="54"/>
      <c r="BK165" s="54"/>
      <c r="BL165" s="54"/>
      <c r="BM165" s="54"/>
      <c r="BN165" s="54"/>
      <c r="BO165" s="54"/>
      <c r="BP165" s="54"/>
      <c r="BQ165" s="54"/>
      <c r="BR165" s="54"/>
      <c r="BS165" s="54"/>
      <c r="BT165" s="54"/>
      <c r="BU165" s="54"/>
      <c r="BV165" s="54"/>
      <c r="BW165" s="54"/>
      <c r="BX165" s="54"/>
      <c r="BY165" s="54"/>
      <c r="BZ165" s="54"/>
      <c r="CA165" s="54"/>
      <c r="CB165" s="54"/>
    </row>
    <row r="166" spans="1:80" ht="16.5" customHeight="1">
      <c r="A166" s="54"/>
      <c r="B166" s="54"/>
      <c r="C166" s="54"/>
      <c r="D166" s="54"/>
      <c r="E166" s="54"/>
      <c r="F166" s="54"/>
      <c r="G166" s="54"/>
      <c r="H166" s="54"/>
      <c r="I166" s="54"/>
      <c r="J166" s="54"/>
      <c r="K166" s="54"/>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c r="AK166" s="52"/>
      <c r="AL166" s="52"/>
      <c r="AM166" s="52"/>
      <c r="AN166" s="52"/>
      <c r="AO166" s="52"/>
      <c r="AP166" s="52"/>
      <c r="AQ166" s="52"/>
      <c r="AR166" s="52"/>
      <c r="AS166" s="52"/>
      <c r="AT166" s="52"/>
      <c r="AU166" s="52"/>
      <c r="AV166" s="52"/>
      <c r="AW166" s="52"/>
      <c r="AX166" s="52"/>
      <c r="AY166" s="52"/>
      <c r="AZ166" s="52"/>
      <c r="BA166" s="52"/>
      <c r="BB166" s="52"/>
      <c r="BC166" s="52"/>
      <c r="BD166" s="52"/>
      <c r="BE166" s="52"/>
      <c r="BF166" s="54"/>
      <c r="BG166" s="54"/>
      <c r="BH166" s="54"/>
      <c r="BI166" s="54"/>
      <c r="BJ166" s="54"/>
      <c r="BK166" s="54"/>
      <c r="BL166" s="54"/>
      <c r="BM166" s="54"/>
      <c r="BN166" s="54"/>
      <c r="BO166" s="54"/>
      <c r="BP166" s="54"/>
      <c r="BQ166" s="54"/>
      <c r="BR166" s="54"/>
      <c r="BS166" s="54"/>
      <c r="BT166" s="54"/>
      <c r="BU166" s="54"/>
      <c r="BV166" s="54"/>
      <c r="BW166" s="54"/>
      <c r="BX166" s="54"/>
      <c r="BY166" s="54"/>
      <c r="BZ166" s="54"/>
      <c r="CA166" s="54"/>
      <c r="CB166" s="54"/>
    </row>
    <row r="167" spans="1:80" ht="16.5" customHeight="1">
      <c r="A167" s="54"/>
      <c r="B167" s="54"/>
      <c r="C167" s="54"/>
      <c r="D167" s="54"/>
      <c r="E167" s="54"/>
      <c r="F167" s="54"/>
      <c r="G167" s="54"/>
      <c r="H167" s="54"/>
      <c r="I167" s="54"/>
      <c r="J167" s="54"/>
      <c r="K167" s="54"/>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c r="AK167" s="52"/>
      <c r="AL167" s="52"/>
      <c r="AM167" s="52"/>
      <c r="AN167" s="52"/>
      <c r="AO167" s="52"/>
      <c r="AP167" s="52"/>
      <c r="AQ167" s="52"/>
      <c r="AR167" s="52"/>
      <c r="AS167" s="52"/>
      <c r="AT167" s="52"/>
      <c r="AU167" s="52"/>
      <c r="AV167" s="52"/>
      <c r="AW167" s="52"/>
      <c r="AX167" s="52"/>
      <c r="AY167" s="52"/>
      <c r="AZ167" s="52"/>
      <c r="BA167" s="52"/>
      <c r="BB167" s="52"/>
      <c r="BC167" s="52"/>
      <c r="BD167" s="52"/>
      <c r="BE167" s="52"/>
      <c r="BF167" s="54"/>
      <c r="BG167" s="54"/>
      <c r="BH167" s="54"/>
      <c r="BI167" s="54"/>
      <c r="BJ167" s="54"/>
      <c r="BK167" s="54"/>
      <c r="BL167" s="54"/>
      <c r="BM167" s="54"/>
      <c r="BN167" s="54"/>
      <c r="BO167" s="54"/>
      <c r="BP167" s="54"/>
      <c r="BQ167" s="54"/>
      <c r="BR167" s="54"/>
      <c r="BS167" s="54"/>
      <c r="BT167" s="54"/>
      <c r="BU167" s="54"/>
      <c r="BV167" s="54"/>
      <c r="BW167" s="54"/>
      <c r="BX167" s="54"/>
      <c r="BY167" s="54"/>
      <c r="BZ167" s="54"/>
      <c r="CA167" s="54"/>
      <c r="CB167" s="54"/>
    </row>
    <row r="168" spans="1:80" ht="16.5" customHeight="1">
      <c r="A168" s="54"/>
      <c r="B168" s="54"/>
      <c r="C168" s="54"/>
      <c r="D168" s="54"/>
      <c r="E168" s="54"/>
      <c r="F168" s="54"/>
      <c r="G168" s="54"/>
      <c r="H168" s="54"/>
      <c r="I168" s="54"/>
      <c r="J168" s="54"/>
      <c r="K168" s="54"/>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52"/>
      <c r="AL168" s="52"/>
      <c r="AM168" s="52"/>
      <c r="AN168" s="52"/>
      <c r="AO168" s="52"/>
      <c r="AP168" s="52"/>
      <c r="AQ168" s="52"/>
      <c r="AR168" s="52"/>
      <c r="AS168" s="52"/>
      <c r="AT168" s="52"/>
      <c r="AU168" s="52"/>
      <c r="AV168" s="52"/>
      <c r="AW168" s="52"/>
      <c r="AX168" s="52"/>
      <c r="AY168" s="52"/>
      <c r="AZ168" s="52"/>
      <c r="BA168" s="52"/>
      <c r="BB168" s="52"/>
      <c r="BC168" s="52"/>
      <c r="BD168" s="52"/>
      <c r="BE168" s="52"/>
      <c r="BF168" s="54"/>
      <c r="BG168" s="54"/>
      <c r="BH168" s="54"/>
      <c r="BI168" s="54"/>
      <c r="BJ168" s="54"/>
      <c r="BK168" s="54"/>
      <c r="BL168" s="54"/>
      <c r="BM168" s="54"/>
      <c r="BN168" s="54"/>
      <c r="BO168" s="54"/>
      <c r="BP168" s="54"/>
      <c r="BQ168" s="54"/>
      <c r="BR168" s="54"/>
      <c r="BS168" s="54"/>
      <c r="BT168" s="54"/>
      <c r="BU168" s="54"/>
      <c r="BV168" s="54"/>
      <c r="BW168" s="54"/>
      <c r="BX168" s="54"/>
      <c r="BY168" s="54"/>
      <c r="BZ168" s="54"/>
      <c r="CA168" s="54"/>
      <c r="CB168" s="54"/>
    </row>
    <row r="169" spans="1:80" ht="16.5" customHeight="1">
      <c r="A169" s="54"/>
      <c r="B169" s="54"/>
      <c r="C169" s="54"/>
      <c r="D169" s="54"/>
      <c r="E169" s="54"/>
      <c r="F169" s="54"/>
      <c r="G169" s="54"/>
      <c r="H169" s="54"/>
      <c r="I169" s="54"/>
      <c r="J169" s="54"/>
      <c r="K169" s="54"/>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52"/>
      <c r="AL169" s="52"/>
      <c r="AM169" s="52"/>
      <c r="AN169" s="52"/>
      <c r="AO169" s="52"/>
      <c r="AP169" s="52"/>
      <c r="AQ169" s="52"/>
      <c r="AR169" s="52"/>
      <c r="AS169" s="52"/>
      <c r="AT169" s="52"/>
      <c r="AU169" s="52"/>
      <c r="AV169" s="52"/>
      <c r="AW169" s="52"/>
      <c r="AX169" s="52"/>
      <c r="AY169" s="52"/>
      <c r="AZ169" s="52"/>
      <c r="BA169" s="52"/>
      <c r="BB169" s="52"/>
      <c r="BC169" s="52"/>
      <c r="BD169" s="52"/>
      <c r="BE169" s="52"/>
      <c r="BF169" s="54"/>
      <c r="BG169" s="54"/>
      <c r="BH169" s="54"/>
      <c r="BI169" s="54"/>
      <c r="BJ169" s="54"/>
      <c r="BK169" s="54"/>
      <c r="BL169" s="54"/>
      <c r="BM169" s="54"/>
      <c r="BN169" s="54"/>
      <c r="BO169" s="54"/>
      <c r="BP169" s="54"/>
      <c r="BQ169" s="54"/>
      <c r="BR169" s="54"/>
      <c r="BS169" s="54"/>
      <c r="BT169" s="54"/>
      <c r="BU169" s="54"/>
      <c r="BV169" s="54"/>
      <c r="BW169" s="54"/>
      <c r="BX169" s="54"/>
      <c r="BY169" s="54"/>
      <c r="BZ169" s="54"/>
      <c r="CA169" s="54"/>
      <c r="CB169" s="54"/>
    </row>
    <row r="170" spans="1:80" ht="16.5" customHeight="1">
      <c r="A170" s="54"/>
      <c r="B170" s="54"/>
      <c r="C170" s="54"/>
      <c r="D170" s="54"/>
      <c r="E170" s="54"/>
      <c r="F170" s="54"/>
      <c r="G170" s="54"/>
      <c r="H170" s="54"/>
      <c r="I170" s="54"/>
      <c r="J170" s="54"/>
      <c r="K170" s="54"/>
      <c r="L170" s="52"/>
      <c r="M170" s="52"/>
      <c r="N170" s="52"/>
      <c r="O170" s="52"/>
      <c r="P170" s="52"/>
      <c r="Q170" s="52"/>
      <c r="R170" s="52"/>
      <c r="S170" s="52"/>
      <c r="T170" s="52"/>
      <c r="U170" s="52"/>
      <c r="V170" s="52"/>
      <c r="W170" s="52"/>
      <c r="X170" s="52"/>
      <c r="Y170" s="52"/>
      <c r="Z170" s="52"/>
      <c r="AA170" s="52"/>
      <c r="AB170" s="52"/>
      <c r="AC170" s="52"/>
      <c r="AD170" s="52"/>
      <c r="AE170" s="52"/>
      <c r="AF170" s="52"/>
      <c r="AG170" s="52"/>
      <c r="AH170" s="52"/>
      <c r="AI170" s="52"/>
      <c r="AJ170" s="52"/>
      <c r="AK170" s="52"/>
      <c r="AL170" s="52"/>
      <c r="AM170" s="52"/>
      <c r="AN170" s="52"/>
      <c r="AO170" s="52"/>
      <c r="AP170" s="52"/>
      <c r="AQ170" s="52"/>
      <c r="AR170" s="52"/>
      <c r="AS170" s="52"/>
      <c r="AT170" s="52"/>
      <c r="AU170" s="52"/>
      <c r="AV170" s="52"/>
      <c r="AW170" s="52"/>
      <c r="AX170" s="52"/>
      <c r="AY170" s="52"/>
      <c r="AZ170" s="52"/>
      <c r="BA170" s="52"/>
      <c r="BB170" s="52"/>
      <c r="BC170" s="52"/>
      <c r="BD170" s="52"/>
      <c r="BE170" s="52"/>
      <c r="BF170" s="54"/>
      <c r="BG170" s="54"/>
      <c r="BH170" s="54"/>
      <c r="BI170" s="54"/>
      <c r="BJ170" s="54"/>
      <c r="BK170" s="54"/>
      <c r="BL170" s="54"/>
      <c r="BM170" s="54"/>
      <c r="BN170" s="54"/>
      <c r="BO170" s="54"/>
      <c r="BP170" s="54"/>
      <c r="BQ170" s="54"/>
      <c r="BR170" s="54"/>
      <c r="BS170" s="54"/>
      <c r="BT170" s="54"/>
      <c r="BU170" s="54"/>
      <c r="BV170" s="54"/>
      <c r="BW170" s="54"/>
      <c r="BX170" s="54"/>
      <c r="BY170" s="54"/>
      <c r="BZ170" s="54"/>
      <c r="CA170" s="54"/>
      <c r="CB170" s="54"/>
    </row>
    <row r="171" spans="1:80" ht="16.5" customHeight="1">
      <c r="A171" s="54"/>
      <c r="B171" s="54"/>
      <c r="C171" s="54"/>
      <c r="D171" s="54"/>
      <c r="E171" s="54"/>
      <c r="F171" s="54"/>
      <c r="G171" s="54"/>
      <c r="H171" s="54"/>
      <c r="I171" s="54"/>
      <c r="J171" s="54"/>
      <c r="K171" s="54"/>
      <c r="L171" s="52"/>
      <c r="M171" s="52"/>
      <c r="N171" s="52"/>
      <c r="O171" s="52"/>
      <c r="P171" s="52"/>
      <c r="Q171" s="52"/>
      <c r="R171" s="52"/>
      <c r="S171" s="52"/>
      <c r="T171" s="52"/>
      <c r="U171" s="52"/>
      <c r="V171" s="52"/>
      <c r="W171" s="52"/>
      <c r="X171" s="52"/>
      <c r="Y171" s="52"/>
      <c r="Z171" s="52"/>
      <c r="AA171" s="52"/>
      <c r="AB171" s="52"/>
      <c r="AC171" s="52"/>
      <c r="AD171" s="52"/>
      <c r="AE171" s="52"/>
      <c r="AF171" s="52"/>
      <c r="AG171" s="52"/>
      <c r="AH171" s="52"/>
      <c r="AI171" s="52"/>
      <c r="AJ171" s="52"/>
      <c r="AK171" s="52"/>
      <c r="AL171" s="52"/>
      <c r="AM171" s="52"/>
      <c r="AN171" s="52"/>
      <c r="AO171" s="52"/>
      <c r="AP171" s="52"/>
      <c r="AQ171" s="52"/>
      <c r="AR171" s="52"/>
      <c r="AS171" s="52"/>
      <c r="AT171" s="52"/>
      <c r="AU171" s="52"/>
      <c r="AV171" s="52"/>
      <c r="AW171" s="52"/>
      <c r="AX171" s="52"/>
      <c r="AY171" s="52"/>
      <c r="AZ171" s="52"/>
      <c r="BA171" s="52"/>
      <c r="BB171" s="52"/>
      <c r="BC171" s="52"/>
      <c r="BD171" s="52"/>
      <c r="BE171" s="52"/>
      <c r="BF171" s="54"/>
      <c r="BG171" s="54"/>
      <c r="BH171" s="54"/>
      <c r="BI171" s="54"/>
      <c r="BJ171" s="54"/>
      <c r="BK171" s="54"/>
      <c r="BL171" s="54"/>
      <c r="BM171" s="54"/>
      <c r="BN171" s="54"/>
      <c r="BO171" s="54"/>
      <c r="BP171" s="54"/>
      <c r="BQ171" s="54"/>
      <c r="BR171" s="54"/>
      <c r="BS171" s="54"/>
      <c r="BT171" s="54"/>
      <c r="BU171" s="54"/>
      <c r="BV171" s="54"/>
      <c r="BW171" s="54"/>
      <c r="BX171" s="54"/>
      <c r="BY171" s="54"/>
      <c r="BZ171" s="54"/>
      <c r="CA171" s="54"/>
      <c r="CB171" s="54"/>
    </row>
    <row r="172" spans="1:80" ht="16.5" customHeight="1">
      <c r="A172" s="54"/>
      <c r="B172" s="54"/>
      <c r="C172" s="54"/>
      <c r="D172" s="54"/>
      <c r="E172" s="54"/>
      <c r="F172" s="54"/>
      <c r="G172" s="54"/>
      <c r="H172" s="54"/>
      <c r="I172" s="54"/>
      <c r="J172" s="54"/>
      <c r="K172" s="54"/>
      <c r="L172" s="52"/>
      <c r="M172" s="52"/>
      <c r="N172" s="52"/>
      <c r="O172" s="52"/>
      <c r="P172" s="52"/>
      <c r="Q172" s="52"/>
      <c r="R172" s="52"/>
      <c r="S172" s="52"/>
      <c r="T172" s="52"/>
      <c r="U172" s="52"/>
      <c r="V172" s="52"/>
      <c r="W172" s="52"/>
      <c r="X172" s="52"/>
      <c r="Y172" s="52"/>
      <c r="Z172" s="52"/>
      <c r="AA172" s="52"/>
      <c r="AB172" s="52"/>
      <c r="AC172" s="52"/>
      <c r="AD172" s="52"/>
      <c r="AE172" s="52"/>
      <c r="AF172" s="52"/>
      <c r="AG172" s="52"/>
      <c r="AH172" s="52"/>
      <c r="AI172" s="52"/>
      <c r="AJ172" s="52"/>
      <c r="AK172" s="52"/>
      <c r="AL172" s="52"/>
      <c r="AM172" s="52"/>
      <c r="AN172" s="52"/>
      <c r="AO172" s="52"/>
      <c r="AP172" s="52"/>
      <c r="AQ172" s="52"/>
      <c r="AR172" s="52"/>
      <c r="AS172" s="52"/>
      <c r="AT172" s="52"/>
      <c r="AU172" s="52"/>
      <c r="AV172" s="52"/>
      <c r="AW172" s="52"/>
      <c r="AX172" s="52"/>
      <c r="AY172" s="52"/>
      <c r="AZ172" s="52"/>
      <c r="BA172" s="52"/>
      <c r="BB172" s="52"/>
      <c r="BC172" s="52"/>
      <c r="BD172" s="52"/>
      <c r="BE172" s="52"/>
      <c r="BF172" s="54"/>
      <c r="BG172" s="54"/>
      <c r="BH172" s="54"/>
      <c r="BI172" s="54"/>
      <c r="BJ172" s="54"/>
      <c r="BK172" s="54"/>
      <c r="BL172" s="54"/>
      <c r="BM172" s="54"/>
      <c r="BN172" s="54"/>
      <c r="BO172" s="54"/>
      <c r="BP172" s="54"/>
      <c r="BQ172" s="54"/>
      <c r="BR172" s="54"/>
      <c r="BS172" s="54"/>
      <c r="BT172" s="54"/>
      <c r="BU172" s="54"/>
      <c r="BV172" s="54"/>
      <c r="BW172" s="54"/>
      <c r="BX172" s="54"/>
      <c r="BY172" s="54"/>
      <c r="BZ172" s="54"/>
      <c r="CA172" s="54"/>
      <c r="CB172" s="54"/>
    </row>
    <row r="173" spans="1:80" ht="16.5" customHeight="1">
      <c r="A173" s="54"/>
      <c r="B173" s="54"/>
      <c r="C173" s="54"/>
      <c r="D173" s="54"/>
      <c r="E173" s="54"/>
      <c r="F173" s="54"/>
      <c r="G173" s="54"/>
      <c r="H173" s="54"/>
      <c r="I173" s="54"/>
      <c r="J173" s="54"/>
      <c r="K173" s="54"/>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c r="AK173" s="52"/>
      <c r="AL173" s="52"/>
      <c r="AM173" s="52"/>
      <c r="AN173" s="52"/>
      <c r="AO173" s="52"/>
      <c r="AP173" s="52"/>
      <c r="AQ173" s="52"/>
      <c r="AR173" s="52"/>
      <c r="AS173" s="52"/>
      <c r="AT173" s="52"/>
      <c r="AU173" s="52"/>
      <c r="AV173" s="52"/>
      <c r="AW173" s="52"/>
      <c r="AX173" s="52"/>
      <c r="AY173" s="52"/>
      <c r="AZ173" s="52"/>
      <c r="BA173" s="52"/>
      <c r="BB173" s="52"/>
      <c r="BC173" s="52"/>
      <c r="BD173" s="52"/>
      <c r="BE173" s="52"/>
      <c r="BF173" s="54"/>
      <c r="BG173" s="54"/>
      <c r="BH173" s="54"/>
      <c r="BI173" s="54"/>
      <c r="BJ173" s="54"/>
      <c r="BK173" s="54"/>
      <c r="BL173" s="54"/>
      <c r="BM173" s="54"/>
      <c r="BN173" s="54"/>
      <c r="BO173" s="54"/>
      <c r="BP173" s="54"/>
      <c r="BQ173" s="54"/>
      <c r="BR173" s="54"/>
      <c r="BS173" s="54"/>
      <c r="BT173" s="54"/>
      <c r="BU173" s="54"/>
      <c r="BV173" s="54"/>
      <c r="BW173" s="54"/>
      <c r="BX173" s="54"/>
      <c r="BY173" s="54"/>
      <c r="BZ173" s="54"/>
      <c r="CA173" s="54"/>
      <c r="CB173" s="54"/>
    </row>
    <row r="174" spans="1:80" ht="16.5" customHeight="1">
      <c r="A174" s="54"/>
      <c r="B174" s="54"/>
      <c r="C174" s="54"/>
      <c r="D174" s="54"/>
      <c r="E174" s="54"/>
      <c r="F174" s="54"/>
      <c r="G174" s="54"/>
      <c r="H174" s="54"/>
      <c r="I174" s="54"/>
      <c r="J174" s="54"/>
      <c r="K174" s="54"/>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c r="AK174" s="52"/>
      <c r="AL174" s="52"/>
      <c r="AM174" s="52"/>
      <c r="AN174" s="52"/>
      <c r="AO174" s="52"/>
      <c r="AP174" s="52"/>
      <c r="AQ174" s="52"/>
      <c r="AR174" s="52"/>
      <c r="AS174" s="52"/>
      <c r="AT174" s="52"/>
      <c r="AU174" s="52"/>
      <c r="AV174" s="52"/>
      <c r="AW174" s="52"/>
      <c r="AX174" s="52"/>
      <c r="AY174" s="52"/>
      <c r="AZ174" s="52"/>
      <c r="BA174" s="52"/>
      <c r="BB174" s="52"/>
      <c r="BC174" s="52"/>
      <c r="BD174" s="52"/>
      <c r="BE174" s="52"/>
      <c r="BF174" s="54"/>
      <c r="BG174" s="54"/>
      <c r="BH174" s="54"/>
      <c r="BI174" s="54"/>
      <c r="BJ174" s="54"/>
      <c r="BK174" s="54"/>
      <c r="BL174" s="54"/>
      <c r="BM174" s="54"/>
      <c r="BN174" s="54"/>
      <c r="BO174" s="54"/>
      <c r="BP174" s="54"/>
      <c r="BQ174" s="54"/>
      <c r="BR174" s="54"/>
      <c r="BS174" s="54"/>
      <c r="BT174" s="54"/>
      <c r="BU174" s="54"/>
      <c r="BV174" s="54"/>
      <c r="BW174" s="54"/>
      <c r="BX174" s="54"/>
      <c r="BY174" s="54"/>
      <c r="BZ174" s="54"/>
      <c r="CA174" s="54"/>
      <c r="CB174" s="54"/>
    </row>
    <row r="175" spans="1:80" ht="16.5" customHeight="1">
      <c r="A175" s="54"/>
      <c r="B175" s="54"/>
      <c r="C175" s="54"/>
      <c r="D175" s="54"/>
      <c r="E175" s="54"/>
      <c r="F175" s="54"/>
      <c r="G175" s="54"/>
      <c r="H175" s="54"/>
      <c r="I175" s="54"/>
      <c r="J175" s="54"/>
      <c r="K175" s="54"/>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c r="AJ175" s="52"/>
      <c r="AK175" s="52"/>
      <c r="AL175" s="52"/>
      <c r="AM175" s="52"/>
      <c r="AN175" s="52"/>
      <c r="AO175" s="52"/>
      <c r="AP175" s="52"/>
      <c r="AQ175" s="52"/>
      <c r="AR175" s="52"/>
      <c r="AS175" s="52"/>
      <c r="AT175" s="52"/>
      <c r="AU175" s="52"/>
      <c r="AV175" s="52"/>
      <c r="AW175" s="52"/>
      <c r="AX175" s="52"/>
      <c r="AY175" s="52"/>
      <c r="AZ175" s="52"/>
      <c r="BA175" s="52"/>
      <c r="BB175" s="52"/>
      <c r="BC175" s="52"/>
      <c r="BD175" s="52"/>
      <c r="BE175" s="52"/>
      <c r="BF175" s="54"/>
      <c r="BG175" s="54"/>
      <c r="BH175" s="54"/>
      <c r="BI175" s="54"/>
      <c r="BJ175" s="54"/>
      <c r="BK175" s="54"/>
      <c r="BL175" s="54"/>
      <c r="BM175" s="54"/>
      <c r="BN175" s="54"/>
      <c r="BO175" s="54"/>
      <c r="BP175" s="54"/>
      <c r="BQ175" s="54"/>
      <c r="BR175" s="54"/>
      <c r="BS175" s="54"/>
      <c r="BT175" s="54"/>
      <c r="BU175" s="54"/>
      <c r="BV175" s="54"/>
      <c r="BW175" s="54"/>
      <c r="BX175" s="54"/>
      <c r="BY175" s="54"/>
      <c r="BZ175" s="54"/>
      <c r="CA175" s="54"/>
      <c r="CB175" s="54"/>
    </row>
    <row r="176" spans="1:80" ht="16.5" customHeight="1">
      <c r="A176" s="54"/>
      <c r="B176" s="54"/>
      <c r="C176" s="54"/>
      <c r="D176" s="54"/>
      <c r="E176" s="54"/>
      <c r="F176" s="54"/>
      <c r="G176" s="54"/>
      <c r="H176" s="54"/>
      <c r="I176" s="54"/>
      <c r="J176" s="54"/>
      <c r="K176" s="54"/>
      <c r="L176" s="52"/>
      <c r="M176" s="52"/>
      <c r="N176" s="52"/>
      <c r="O176" s="52"/>
      <c r="P176" s="52"/>
      <c r="Q176" s="52"/>
      <c r="R176" s="52"/>
      <c r="S176" s="52"/>
      <c r="T176" s="52"/>
      <c r="U176" s="52"/>
      <c r="V176" s="52"/>
      <c r="W176" s="52"/>
      <c r="X176" s="52"/>
      <c r="Y176" s="52"/>
      <c r="Z176" s="52"/>
      <c r="AA176" s="52"/>
      <c r="AB176" s="52"/>
      <c r="AC176" s="52"/>
      <c r="AD176" s="52"/>
      <c r="AE176" s="52"/>
      <c r="AF176" s="52"/>
      <c r="AG176" s="52"/>
      <c r="AH176" s="52"/>
      <c r="AI176" s="52"/>
      <c r="AJ176" s="52"/>
      <c r="AK176" s="52"/>
      <c r="AL176" s="52"/>
      <c r="AM176" s="52"/>
      <c r="AN176" s="52"/>
      <c r="AO176" s="52"/>
      <c r="AP176" s="52"/>
      <c r="AQ176" s="52"/>
      <c r="AR176" s="52"/>
      <c r="AS176" s="52"/>
      <c r="AT176" s="52"/>
      <c r="AU176" s="52"/>
      <c r="AV176" s="52"/>
      <c r="AW176" s="52"/>
      <c r="AX176" s="52"/>
      <c r="AY176" s="52"/>
      <c r="AZ176" s="52"/>
      <c r="BA176" s="52"/>
      <c r="BB176" s="52"/>
      <c r="BC176" s="52"/>
      <c r="BD176" s="52"/>
      <c r="BE176" s="52"/>
      <c r="BF176" s="54"/>
      <c r="BG176" s="54"/>
      <c r="BH176" s="54"/>
      <c r="BI176" s="54"/>
      <c r="BJ176" s="54"/>
      <c r="BK176" s="54"/>
      <c r="BL176" s="54"/>
      <c r="BM176" s="54"/>
      <c r="BN176" s="54"/>
      <c r="BO176" s="54"/>
      <c r="BP176" s="54"/>
      <c r="BQ176" s="54"/>
      <c r="BR176" s="54"/>
      <c r="BS176" s="54"/>
      <c r="BT176" s="54"/>
      <c r="BU176" s="54"/>
      <c r="BV176" s="54"/>
      <c r="BW176" s="54"/>
      <c r="BX176" s="54"/>
      <c r="BY176" s="54"/>
      <c r="BZ176" s="54"/>
      <c r="CA176" s="54"/>
      <c r="CB176" s="54"/>
    </row>
    <row r="177" spans="1:80" ht="16.5" customHeight="1">
      <c r="A177" s="54"/>
      <c r="B177" s="54"/>
      <c r="C177" s="54"/>
      <c r="D177" s="54"/>
      <c r="E177" s="54"/>
      <c r="F177" s="54"/>
      <c r="G177" s="54"/>
      <c r="H177" s="54"/>
      <c r="I177" s="54"/>
      <c r="J177" s="54"/>
      <c r="K177" s="54"/>
      <c r="L177" s="52"/>
      <c r="M177" s="52"/>
      <c r="N177" s="52"/>
      <c r="O177" s="52"/>
      <c r="P177" s="52"/>
      <c r="Q177" s="52"/>
      <c r="R177" s="52"/>
      <c r="S177" s="52"/>
      <c r="T177" s="52"/>
      <c r="U177" s="52"/>
      <c r="V177" s="52"/>
      <c r="W177" s="52"/>
      <c r="X177" s="52"/>
      <c r="Y177" s="52"/>
      <c r="Z177" s="52"/>
      <c r="AA177" s="52"/>
      <c r="AB177" s="52"/>
      <c r="AC177" s="52"/>
      <c r="AD177" s="52"/>
      <c r="AE177" s="52"/>
      <c r="AF177" s="52"/>
      <c r="AG177" s="52"/>
      <c r="AH177" s="52"/>
      <c r="AI177" s="52"/>
      <c r="AJ177" s="52"/>
      <c r="AK177" s="52"/>
      <c r="AL177" s="52"/>
      <c r="AM177" s="52"/>
      <c r="AN177" s="52"/>
      <c r="AO177" s="52"/>
      <c r="AP177" s="52"/>
      <c r="AQ177" s="52"/>
      <c r="AR177" s="52"/>
      <c r="AS177" s="52"/>
      <c r="AT177" s="52"/>
      <c r="AU177" s="52"/>
      <c r="AV177" s="52"/>
      <c r="AW177" s="52"/>
      <c r="AX177" s="52"/>
      <c r="AY177" s="52"/>
      <c r="AZ177" s="52"/>
      <c r="BA177" s="52"/>
      <c r="BB177" s="52"/>
      <c r="BC177" s="52"/>
      <c r="BD177" s="52"/>
      <c r="BE177" s="52"/>
      <c r="BF177" s="54"/>
      <c r="BG177" s="54"/>
      <c r="BH177" s="54"/>
      <c r="BI177" s="54"/>
      <c r="BJ177" s="54"/>
      <c r="BK177" s="54"/>
      <c r="BL177" s="54"/>
      <c r="BM177" s="54"/>
      <c r="BN177" s="54"/>
      <c r="BO177" s="54"/>
      <c r="BP177" s="54"/>
      <c r="BQ177" s="54"/>
      <c r="BR177" s="54"/>
      <c r="BS177" s="54"/>
      <c r="BT177" s="54"/>
      <c r="BU177" s="54"/>
      <c r="BV177" s="54"/>
      <c r="BW177" s="54"/>
      <c r="BX177" s="54"/>
      <c r="BY177" s="54"/>
      <c r="BZ177" s="54"/>
      <c r="CA177" s="54"/>
      <c r="CB177" s="54"/>
    </row>
    <row r="178" spans="1:80" ht="16.5" customHeight="1">
      <c r="A178" s="54"/>
      <c r="B178" s="54"/>
      <c r="C178" s="54"/>
      <c r="D178" s="54"/>
      <c r="E178" s="54"/>
      <c r="F178" s="54"/>
      <c r="G178" s="54"/>
      <c r="H178" s="54"/>
      <c r="I178" s="54"/>
      <c r="J178" s="54"/>
      <c r="K178" s="54"/>
      <c r="L178" s="52"/>
      <c r="M178" s="52"/>
      <c r="N178" s="52"/>
      <c r="O178" s="52"/>
      <c r="P178" s="52"/>
      <c r="Q178" s="52"/>
      <c r="R178" s="52"/>
      <c r="S178" s="52"/>
      <c r="T178" s="52"/>
      <c r="U178" s="52"/>
      <c r="V178" s="52"/>
      <c r="W178" s="52"/>
      <c r="X178" s="52"/>
      <c r="Y178" s="52"/>
      <c r="Z178" s="52"/>
      <c r="AA178" s="52"/>
      <c r="AB178" s="52"/>
      <c r="AC178" s="52"/>
      <c r="AD178" s="52"/>
      <c r="AE178" s="52"/>
      <c r="AF178" s="52"/>
      <c r="AG178" s="52"/>
      <c r="AH178" s="52"/>
      <c r="AI178" s="52"/>
      <c r="AJ178" s="52"/>
      <c r="AK178" s="52"/>
      <c r="AL178" s="52"/>
      <c r="AM178" s="52"/>
      <c r="AN178" s="52"/>
      <c r="AO178" s="52"/>
      <c r="AP178" s="52"/>
      <c r="AQ178" s="52"/>
      <c r="AR178" s="52"/>
      <c r="AS178" s="52"/>
      <c r="AT178" s="52"/>
      <c r="AU178" s="52"/>
      <c r="AV178" s="52"/>
      <c r="AW178" s="52"/>
      <c r="AX178" s="52"/>
      <c r="AY178" s="52"/>
      <c r="AZ178" s="52"/>
      <c r="BA178" s="52"/>
      <c r="BB178" s="52"/>
      <c r="BC178" s="52"/>
      <c r="BD178" s="52"/>
      <c r="BE178" s="52"/>
      <c r="BF178" s="54"/>
      <c r="BG178" s="54"/>
      <c r="BH178" s="54"/>
      <c r="BI178" s="54"/>
      <c r="BJ178" s="54"/>
      <c r="BK178" s="54"/>
      <c r="BL178" s="54"/>
      <c r="BM178" s="54"/>
      <c r="BN178" s="54"/>
      <c r="BO178" s="54"/>
      <c r="BP178" s="54"/>
      <c r="BQ178" s="54"/>
      <c r="BR178" s="54"/>
      <c r="BS178" s="54"/>
      <c r="BT178" s="54"/>
      <c r="BU178" s="54"/>
      <c r="BV178" s="54"/>
      <c r="BW178" s="54"/>
      <c r="BX178" s="54"/>
      <c r="BY178" s="54"/>
      <c r="BZ178" s="54"/>
      <c r="CA178" s="54"/>
      <c r="CB178" s="54"/>
    </row>
    <row r="179" spans="1:80" ht="16.5" customHeight="1">
      <c r="A179" s="54"/>
      <c r="B179" s="54"/>
      <c r="C179" s="54"/>
      <c r="D179" s="54"/>
      <c r="E179" s="54"/>
      <c r="F179" s="54"/>
      <c r="G179" s="54"/>
      <c r="H179" s="54"/>
      <c r="I179" s="54"/>
      <c r="J179" s="54"/>
      <c r="K179" s="54"/>
      <c r="L179" s="52"/>
      <c r="M179" s="52"/>
      <c r="N179" s="52"/>
      <c r="O179" s="52"/>
      <c r="P179" s="52"/>
      <c r="Q179" s="52"/>
      <c r="R179" s="52"/>
      <c r="S179" s="52"/>
      <c r="T179" s="52"/>
      <c r="U179" s="52"/>
      <c r="V179" s="52"/>
      <c r="W179" s="52"/>
      <c r="X179" s="52"/>
      <c r="Y179" s="52"/>
      <c r="Z179" s="52"/>
      <c r="AA179" s="52"/>
      <c r="AB179" s="52"/>
      <c r="AC179" s="52"/>
      <c r="AD179" s="52"/>
      <c r="AE179" s="52"/>
      <c r="AF179" s="52"/>
      <c r="AG179" s="52"/>
      <c r="AH179" s="52"/>
      <c r="AI179" s="52"/>
      <c r="AJ179" s="52"/>
      <c r="AK179" s="52"/>
      <c r="AL179" s="52"/>
      <c r="AM179" s="52"/>
      <c r="AN179" s="52"/>
      <c r="AO179" s="52"/>
      <c r="AP179" s="52"/>
      <c r="AQ179" s="52"/>
      <c r="AR179" s="52"/>
      <c r="AS179" s="52"/>
      <c r="AT179" s="52"/>
      <c r="AU179" s="52"/>
      <c r="AV179" s="52"/>
      <c r="AW179" s="52"/>
      <c r="AX179" s="52"/>
      <c r="AY179" s="52"/>
      <c r="AZ179" s="52"/>
      <c r="BA179" s="52"/>
      <c r="BB179" s="52"/>
      <c r="BC179" s="52"/>
      <c r="BD179" s="52"/>
      <c r="BE179" s="52"/>
      <c r="BF179" s="54"/>
      <c r="BG179" s="54"/>
      <c r="BH179" s="54"/>
      <c r="BI179" s="54"/>
      <c r="BJ179" s="54"/>
      <c r="BK179" s="54"/>
      <c r="BL179" s="54"/>
      <c r="BM179" s="54"/>
      <c r="BN179" s="54"/>
      <c r="BO179" s="54"/>
      <c r="BP179" s="54"/>
      <c r="BQ179" s="54"/>
      <c r="BR179" s="54"/>
      <c r="BS179" s="54"/>
      <c r="BT179" s="54"/>
      <c r="BU179" s="54"/>
      <c r="BV179" s="54"/>
      <c r="BW179" s="54"/>
      <c r="BX179" s="54"/>
      <c r="BY179" s="54"/>
      <c r="BZ179" s="54"/>
      <c r="CA179" s="54"/>
      <c r="CB179" s="54"/>
    </row>
    <row r="180" spans="1:80" ht="16.5" customHeight="1">
      <c r="A180" s="54"/>
      <c r="B180" s="54"/>
      <c r="C180" s="54"/>
      <c r="D180" s="54"/>
      <c r="E180" s="54"/>
      <c r="F180" s="54"/>
      <c r="G180" s="54"/>
      <c r="H180" s="54"/>
      <c r="I180" s="54"/>
      <c r="J180" s="54"/>
      <c r="K180" s="54"/>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c r="AM180" s="52"/>
      <c r="AN180" s="52"/>
      <c r="AO180" s="52"/>
      <c r="AP180" s="52"/>
      <c r="AQ180" s="52"/>
      <c r="AR180" s="52"/>
      <c r="AS180" s="52"/>
      <c r="AT180" s="52"/>
      <c r="AU180" s="52"/>
      <c r="AV180" s="52"/>
      <c r="AW180" s="52"/>
      <c r="AX180" s="52"/>
      <c r="AY180" s="52"/>
      <c r="AZ180" s="52"/>
      <c r="BA180" s="52"/>
      <c r="BB180" s="52"/>
      <c r="BC180" s="52"/>
      <c r="BD180" s="52"/>
      <c r="BE180" s="52"/>
      <c r="BF180" s="54"/>
      <c r="BG180" s="54"/>
      <c r="BH180" s="54"/>
      <c r="BI180" s="54"/>
      <c r="BJ180" s="54"/>
      <c r="BK180" s="54"/>
      <c r="BL180" s="54"/>
      <c r="BM180" s="54"/>
      <c r="BN180" s="54"/>
      <c r="BO180" s="54"/>
      <c r="BP180" s="54"/>
      <c r="BQ180" s="54"/>
      <c r="BR180" s="54"/>
      <c r="BS180" s="54"/>
      <c r="BT180" s="54"/>
      <c r="BU180" s="54"/>
      <c r="BV180" s="54"/>
      <c r="BW180" s="54"/>
      <c r="BX180" s="54"/>
      <c r="BY180" s="54"/>
      <c r="BZ180" s="54"/>
      <c r="CA180" s="54"/>
      <c r="CB180" s="54"/>
    </row>
    <row r="181" spans="1:80" ht="16.5" customHeight="1">
      <c r="A181" s="54"/>
      <c r="B181" s="54"/>
      <c r="C181" s="54"/>
      <c r="D181" s="54"/>
      <c r="E181" s="54"/>
      <c r="F181" s="54"/>
      <c r="G181" s="54"/>
      <c r="H181" s="54"/>
      <c r="I181" s="54"/>
      <c r="J181" s="54"/>
      <c r="K181" s="54"/>
      <c r="L181" s="52"/>
      <c r="M181" s="52"/>
      <c r="N181" s="52"/>
      <c r="O181" s="52"/>
      <c r="P181" s="52"/>
      <c r="Q181" s="52"/>
      <c r="R181" s="52"/>
      <c r="S181" s="52"/>
      <c r="T181" s="52"/>
      <c r="U181" s="52"/>
      <c r="V181" s="52"/>
      <c r="W181" s="52"/>
      <c r="X181" s="52"/>
      <c r="Y181" s="52"/>
      <c r="Z181" s="52"/>
      <c r="AA181" s="52"/>
      <c r="AB181" s="52"/>
      <c r="AC181" s="52"/>
      <c r="AD181" s="52"/>
      <c r="AE181" s="52"/>
      <c r="AF181" s="52"/>
      <c r="AG181" s="52"/>
      <c r="AH181" s="52"/>
      <c r="AI181" s="52"/>
      <c r="AJ181" s="52"/>
      <c r="AK181" s="52"/>
      <c r="AL181" s="52"/>
      <c r="AM181" s="52"/>
      <c r="AN181" s="52"/>
      <c r="AO181" s="52"/>
      <c r="AP181" s="52"/>
      <c r="AQ181" s="52"/>
      <c r="AR181" s="52"/>
      <c r="AS181" s="52"/>
      <c r="AT181" s="52"/>
      <c r="AU181" s="52"/>
      <c r="AV181" s="52"/>
      <c r="AW181" s="52"/>
      <c r="AX181" s="52"/>
      <c r="AY181" s="52"/>
      <c r="AZ181" s="52"/>
      <c r="BA181" s="52"/>
      <c r="BB181" s="52"/>
      <c r="BC181" s="52"/>
      <c r="BD181" s="52"/>
      <c r="BE181" s="52"/>
      <c r="BF181" s="54"/>
      <c r="BG181" s="54"/>
      <c r="BH181" s="54"/>
      <c r="BI181" s="54"/>
      <c r="BJ181" s="54"/>
      <c r="BK181" s="54"/>
      <c r="BL181" s="54"/>
      <c r="BM181" s="54"/>
      <c r="BN181" s="54"/>
      <c r="BO181" s="54"/>
      <c r="BP181" s="54"/>
      <c r="BQ181" s="54"/>
      <c r="BR181" s="54"/>
      <c r="BS181" s="54"/>
      <c r="BT181" s="54"/>
      <c r="BU181" s="54"/>
      <c r="BV181" s="54"/>
      <c r="BW181" s="54"/>
      <c r="BX181" s="54"/>
      <c r="BY181" s="54"/>
      <c r="BZ181" s="54"/>
      <c r="CA181" s="54"/>
      <c r="CB181" s="54"/>
    </row>
    <row r="182" spans="1:80" ht="16.5" customHeight="1">
      <c r="A182" s="54"/>
      <c r="B182" s="54"/>
      <c r="C182" s="54"/>
      <c r="D182" s="54"/>
      <c r="E182" s="54"/>
      <c r="F182" s="54"/>
      <c r="G182" s="54"/>
      <c r="H182" s="54"/>
      <c r="I182" s="54"/>
      <c r="J182" s="54"/>
      <c r="K182" s="54"/>
      <c r="L182" s="52"/>
      <c r="M182" s="52"/>
      <c r="N182" s="52"/>
      <c r="O182" s="52"/>
      <c r="P182" s="52"/>
      <c r="Q182" s="52"/>
      <c r="R182" s="52"/>
      <c r="S182" s="52"/>
      <c r="T182" s="52"/>
      <c r="U182" s="52"/>
      <c r="V182" s="52"/>
      <c r="W182" s="52"/>
      <c r="X182" s="52"/>
      <c r="Y182" s="52"/>
      <c r="Z182" s="52"/>
      <c r="AA182" s="52"/>
      <c r="AB182" s="52"/>
      <c r="AC182" s="52"/>
      <c r="AD182" s="52"/>
      <c r="AE182" s="52"/>
      <c r="AF182" s="52"/>
      <c r="AG182" s="52"/>
      <c r="AH182" s="52"/>
      <c r="AI182" s="52"/>
      <c r="AJ182" s="52"/>
      <c r="AK182" s="52"/>
      <c r="AL182" s="52"/>
      <c r="AM182" s="52"/>
      <c r="AN182" s="52"/>
      <c r="AO182" s="52"/>
      <c r="AP182" s="52"/>
      <c r="AQ182" s="52"/>
      <c r="AR182" s="52"/>
      <c r="AS182" s="52"/>
      <c r="AT182" s="52"/>
      <c r="AU182" s="52"/>
      <c r="AV182" s="52"/>
      <c r="AW182" s="52"/>
      <c r="AX182" s="52"/>
      <c r="AY182" s="52"/>
      <c r="AZ182" s="52"/>
      <c r="BA182" s="52"/>
      <c r="BB182" s="52"/>
      <c r="BC182" s="52"/>
      <c r="BD182" s="52"/>
      <c r="BE182" s="52"/>
      <c r="BF182" s="54"/>
      <c r="BG182" s="54"/>
      <c r="BH182" s="54"/>
      <c r="BI182" s="54"/>
      <c r="BJ182" s="54"/>
      <c r="BK182" s="54"/>
      <c r="BL182" s="54"/>
      <c r="BM182" s="54"/>
      <c r="BN182" s="54"/>
      <c r="BO182" s="54"/>
      <c r="BP182" s="54"/>
      <c r="BQ182" s="54"/>
      <c r="BR182" s="54"/>
      <c r="BS182" s="54"/>
      <c r="BT182" s="54"/>
      <c r="BU182" s="54"/>
      <c r="BV182" s="54"/>
      <c r="BW182" s="54"/>
      <c r="BX182" s="54"/>
      <c r="BY182" s="54"/>
      <c r="BZ182" s="54"/>
      <c r="CA182" s="54"/>
      <c r="CB182" s="54"/>
    </row>
    <row r="183" spans="1:80" ht="16.5" customHeight="1">
      <c r="A183" s="54"/>
      <c r="B183" s="54"/>
      <c r="C183" s="54"/>
      <c r="D183" s="54"/>
      <c r="E183" s="54"/>
      <c r="F183" s="54"/>
      <c r="G183" s="54"/>
      <c r="H183" s="54"/>
      <c r="I183" s="54"/>
      <c r="J183" s="54"/>
      <c r="K183" s="54"/>
      <c r="L183" s="52"/>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c r="AK183" s="52"/>
      <c r="AL183" s="52"/>
      <c r="AM183" s="52"/>
      <c r="AN183" s="52"/>
      <c r="AO183" s="52"/>
      <c r="AP183" s="52"/>
      <c r="AQ183" s="52"/>
      <c r="AR183" s="52"/>
      <c r="AS183" s="52"/>
      <c r="AT183" s="52"/>
      <c r="AU183" s="52"/>
      <c r="AV183" s="52"/>
      <c r="AW183" s="52"/>
      <c r="AX183" s="52"/>
      <c r="AY183" s="52"/>
      <c r="AZ183" s="52"/>
      <c r="BA183" s="52"/>
      <c r="BB183" s="52"/>
      <c r="BC183" s="52"/>
      <c r="BD183" s="52"/>
      <c r="BE183" s="52"/>
      <c r="BF183" s="54"/>
      <c r="BG183" s="54"/>
      <c r="BH183" s="54"/>
      <c r="BI183" s="54"/>
      <c r="BJ183" s="54"/>
      <c r="BK183" s="54"/>
      <c r="BL183" s="54"/>
      <c r="BM183" s="54"/>
      <c r="BN183" s="54"/>
      <c r="BO183" s="54"/>
      <c r="BP183" s="54"/>
      <c r="BQ183" s="54"/>
      <c r="BR183" s="54"/>
      <c r="BS183" s="54"/>
      <c r="BT183" s="54"/>
      <c r="BU183" s="54"/>
      <c r="BV183" s="54"/>
      <c r="BW183" s="54"/>
      <c r="BX183" s="54"/>
      <c r="BY183" s="54"/>
      <c r="BZ183" s="54"/>
      <c r="CA183" s="54"/>
      <c r="CB183" s="54"/>
    </row>
    <row r="184" spans="1:80" ht="16.5" customHeight="1">
      <c r="A184" s="54"/>
      <c r="B184" s="54"/>
      <c r="C184" s="54"/>
      <c r="D184" s="54"/>
      <c r="E184" s="54"/>
      <c r="F184" s="54"/>
      <c r="G184" s="54"/>
      <c r="H184" s="54"/>
      <c r="I184" s="54"/>
      <c r="J184" s="54"/>
      <c r="K184" s="54"/>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c r="AK184" s="52"/>
      <c r="AL184" s="52"/>
      <c r="AM184" s="52"/>
      <c r="AN184" s="52"/>
      <c r="AO184" s="52"/>
      <c r="AP184" s="52"/>
      <c r="AQ184" s="52"/>
      <c r="AR184" s="52"/>
      <c r="AS184" s="52"/>
      <c r="AT184" s="52"/>
      <c r="AU184" s="52"/>
      <c r="AV184" s="52"/>
      <c r="AW184" s="52"/>
      <c r="AX184" s="52"/>
      <c r="AY184" s="52"/>
      <c r="AZ184" s="52"/>
      <c r="BA184" s="52"/>
      <c r="BB184" s="52"/>
      <c r="BC184" s="52"/>
      <c r="BD184" s="52"/>
      <c r="BE184" s="52"/>
      <c r="BF184" s="54"/>
      <c r="BG184" s="54"/>
      <c r="BH184" s="54"/>
      <c r="BI184" s="54"/>
      <c r="BJ184" s="54"/>
      <c r="BK184" s="54"/>
      <c r="BL184" s="54"/>
      <c r="BM184" s="54"/>
      <c r="BN184" s="54"/>
      <c r="BO184" s="54"/>
      <c r="BP184" s="54"/>
      <c r="BQ184" s="54"/>
      <c r="BR184" s="54"/>
      <c r="BS184" s="54"/>
      <c r="BT184" s="54"/>
      <c r="BU184" s="54"/>
      <c r="BV184" s="54"/>
      <c r="BW184" s="54"/>
      <c r="BX184" s="54"/>
      <c r="BY184" s="54"/>
      <c r="BZ184" s="54"/>
      <c r="CA184" s="54"/>
      <c r="CB184" s="54"/>
    </row>
    <row r="185" spans="1:80" ht="16.5" customHeight="1">
      <c r="A185" s="54"/>
      <c r="B185" s="54"/>
      <c r="C185" s="54"/>
      <c r="D185" s="54"/>
      <c r="E185" s="54"/>
      <c r="F185" s="54"/>
      <c r="G185" s="54"/>
      <c r="H185" s="54"/>
      <c r="I185" s="54"/>
      <c r="J185" s="54"/>
      <c r="K185" s="54"/>
      <c r="L185" s="52"/>
      <c r="M185" s="52"/>
      <c r="N185" s="52"/>
      <c r="O185" s="52"/>
      <c r="P185" s="52"/>
      <c r="Q185" s="52"/>
      <c r="R185" s="52"/>
      <c r="S185" s="52"/>
      <c r="T185" s="52"/>
      <c r="U185" s="52"/>
      <c r="V185" s="52"/>
      <c r="W185" s="52"/>
      <c r="X185" s="52"/>
      <c r="Y185" s="52"/>
      <c r="Z185" s="52"/>
      <c r="AA185" s="52"/>
      <c r="AB185" s="52"/>
      <c r="AC185" s="52"/>
      <c r="AD185" s="52"/>
      <c r="AE185" s="52"/>
      <c r="AF185" s="52"/>
      <c r="AG185" s="52"/>
      <c r="AH185" s="52"/>
      <c r="AI185" s="52"/>
      <c r="AJ185" s="52"/>
      <c r="AK185" s="52"/>
      <c r="AL185" s="52"/>
      <c r="AM185" s="52"/>
      <c r="AN185" s="52"/>
      <c r="AO185" s="52"/>
      <c r="AP185" s="52"/>
      <c r="AQ185" s="52"/>
      <c r="AR185" s="52"/>
      <c r="AS185" s="52"/>
      <c r="AT185" s="52"/>
      <c r="AU185" s="52"/>
      <c r="AV185" s="52"/>
      <c r="AW185" s="52"/>
      <c r="AX185" s="52"/>
      <c r="AY185" s="52"/>
      <c r="AZ185" s="52"/>
      <c r="BA185" s="52"/>
      <c r="BB185" s="52"/>
      <c r="BC185" s="52"/>
      <c r="BD185" s="52"/>
      <c r="BE185" s="52"/>
      <c r="BF185" s="54"/>
      <c r="BG185" s="54"/>
      <c r="BH185" s="54"/>
      <c r="BI185" s="54"/>
      <c r="BJ185" s="54"/>
      <c r="BK185" s="54"/>
      <c r="BL185" s="54"/>
      <c r="BM185" s="54"/>
      <c r="BN185" s="54"/>
      <c r="BO185" s="54"/>
      <c r="BP185" s="54"/>
      <c r="BQ185" s="54"/>
      <c r="BR185" s="54"/>
      <c r="BS185" s="54"/>
      <c r="BT185" s="54"/>
      <c r="BU185" s="54"/>
      <c r="BV185" s="54"/>
      <c r="BW185" s="54"/>
      <c r="BX185" s="54"/>
      <c r="BY185" s="54"/>
      <c r="BZ185" s="54"/>
      <c r="CA185" s="54"/>
      <c r="CB185" s="54"/>
    </row>
    <row r="186" spans="1:80" ht="16.5" customHeight="1">
      <c r="A186" s="54"/>
      <c r="B186" s="54"/>
      <c r="C186" s="54"/>
      <c r="D186" s="54"/>
      <c r="E186" s="54"/>
      <c r="F186" s="54"/>
      <c r="G186" s="54"/>
      <c r="H186" s="54"/>
      <c r="I186" s="54"/>
      <c r="J186" s="54"/>
      <c r="K186" s="54"/>
      <c r="L186" s="52"/>
      <c r="M186" s="52"/>
      <c r="N186" s="52"/>
      <c r="O186" s="52"/>
      <c r="P186" s="52"/>
      <c r="Q186" s="52"/>
      <c r="R186" s="52"/>
      <c r="S186" s="52"/>
      <c r="T186" s="52"/>
      <c r="U186" s="52"/>
      <c r="V186" s="52"/>
      <c r="W186" s="52"/>
      <c r="X186" s="52"/>
      <c r="Y186" s="52"/>
      <c r="Z186" s="52"/>
      <c r="AA186" s="52"/>
      <c r="AB186" s="52"/>
      <c r="AC186" s="52"/>
      <c r="AD186" s="52"/>
      <c r="AE186" s="52"/>
      <c r="AF186" s="52"/>
      <c r="AG186" s="52"/>
      <c r="AH186" s="52"/>
      <c r="AI186" s="52"/>
      <c r="AJ186" s="52"/>
      <c r="AK186" s="52"/>
      <c r="AL186" s="52"/>
      <c r="AM186" s="52"/>
      <c r="AN186" s="52"/>
      <c r="AO186" s="52"/>
      <c r="AP186" s="52"/>
      <c r="AQ186" s="52"/>
      <c r="AR186" s="52"/>
      <c r="AS186" s="52"/>
      <c r="AT186" s="52"/>
      <c r="AU186" s="52"/>
      <c r="AV186" s="52"/>
      <c r="AW186" s="52"/>
      <c r="AX186" s="52"/>
      <c r="AY186" s="52"/>
      <c r="AZ186" s="52"/>
      <c r="BA186" s="52"/>
      <c r="BB186" s="52"/>
      <c r="BC186" s="52"/>
      <c r="BD186" s="52"/>
      <c r="BE186" s="52"/>
      <c r="BF186" s="54"/>
      <c r="BG186" s="54"/>
      <c r="BH186" s="54"/>
      <c r="BI186" s="54"/>
      <c r="BJ186" s="54"/>
      <c r="BK186" s="54"/>
      <c r="BL186" s="54"/>
      <c r="BM186" s="54"/>
      <c r="BN186" s="54"/>
      <c r="BO186" s="54"/>
      <c r="BP186" s="54"/>
      <c r="BQ186" s="54"/>
      <c r="BR186" s="54"/>
      <c r="BS186" s="54"/>
      <c r="BT186" s="54"/>
      <c r="BU186" s="54"/>
      <c r="BV186" s="54"/>
      <c r="BW186" s="54"/>
      <c r="BX186" s="54"/>
      <c r="BY186" s="54"/>
      <c r="BZ186" s="54"/>
      <c r="CA186" s="54"/>
      <c r="CB186" s="54"/>
    </row>
    <row r="187" spans="1:80" ht="16.5" customHeight="1">
      <c r="A187" s="54"/>
      <c r="B187" s="54"/>
      <c r="C187" s="54"/>
      <c r="D187" s="54"/>
      <c r="E187" s="54"/>
      <c r="F187" s="54"/>
      <c r="G187" s="54"/>
      <c r="H187" s="54"/>
      <c r="I187" s="54"/>
      <c r="J187" s="54"/>
      <c r="K187" s="54"/>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c r="AJ187" s="52"/>
      <c r="AK187" s="52"/>
      <c r="AL187" s="52"/>
      <c r="AM187" s="52"/>
      <c r="AN187" s="52"/>
      <c r="AO187" s="52"/>
      <c r="AP187" s="52"/>
      <c r="AQ187" s="52"/>
      <c r="AR187" s="52"/>
      <c r="AS187" s="52"/>
      <c r="AT187" s="52"/>
      <c r="AU187" s="52"/>
      <c r="AV187" s="52"/>
      <c r="AW187" s="52"/>
      <c r="AX187" s="52"/>
      <c r="AY187" s="52"/>
      <c r="AZ187" s="52"/>
      <c r="BA187" s="52"/>
      <c r="BB187" s="52"/>
      <c r="BC187" s="52"/>
      <c r="BD187" s="52"/>
      <c r="BE187" s="52"/>
      <c r="BF187" s="54"/>
      <c r="BG187" s="54"/>
      <c r="BH187" s="54"/>
      <c r="BI187" s="54"/>
      <c r="BJ187" s="54"/>
      <c r="BK187" s="54"/>
      <c r="BL187" s="54"/>
      <c r="BM187" s="54"/>
      <c r="BN187" s="54"/>
      <c r="BO187" s="54"/>
      <c r="BP187" s="54"/>
      <c r="BQ187" s="54"/>
      <c r="BR187" s="54"/>
      <c r="BS187" s="54"/>
      <c r="BT187" s="54"/>
      <c r="BU187" s="54"/>
      <c r="BV187" s="54"/>
      <c r="BW187" s="54"/>
      <c r="BX187" s="54"/>
      <c r="BY187" s="54"/>
      <c r="BZ187" s="54"/>
      <c r="CA187" s="54"/>
      <c r="CB187" s="54"/>
    </row>
    <row r="188" spans="1:80" ht="16.5" customHeight="1">
      <c r="A188" s="54"/>
      <c r="B188" s="54"/>
      <c r="C188" s="54"/>
      <c r="D188" s="54"/>
      <c r="E188" s="54"/>
      <c r="F188" s="54"/>
      <c r="G188" s="54"/>
      <c r="H188" s="54"/>
      <c r="I188" s="54"/>
      <c r="J188" s="54"/>
      <c r="K188" s="54"/>
      <c r="L188" s="52"/>
      <c r="M188" s="52"/>
      <c r="N188" s="52"/>
      <c r="O188" s="52"/>
      <c r="P188" s="52"/>
      <c r="Q188" s="52"/>
      <c r="R188" s="52"/>
      <c r="S188" s="52"/>
      <c r="T188" s="52"/>
      <c r="U188" s="52"/>
      <c r="V188" s="52"/>
      <c r="W188" s="52"/>
      <c r="X188" s="52"/>
      <c r="Y188" s="52"/>
      <c r="Z188" s="52"/>
      <c r="AA188" s="52"/>
      <c r="AB188" s="52"/>
      <c r="AC188" s="52"/>
      <c r="AD188" s="52"/>
      <c r="AE188" s="52"/>
      <c r="AF188" s="52"/>
      <c r="AG188" s="52"/>
      <c r="AH188" s="52"/>
      <c r="AI188" s="52"/>
      <c r="AJ188" s="52"/>
      <c r="AK188" s="52"/>
      <c r="AL188" s="52"/>
      <c r="AM188" s="52"/>
      <c r="AN188" s="52"/>
      <c r="AO188" s="52"/>
      <c r="AP188" s="52"/>
      <c r="AQ188" s="52"/>
      <c r="AR188" s="52"/>
      <c r="AS188" s="52"/>
      <c r="AT188" s="52"/>
      <c r="AU188" s="52"/>
      <c r="AV188" s="52"/>
      <c r="AW188" s="52"/>
      <c r="AX188" s="52"/>
      <c r="AY188" s="52"/>
      <c r="AZ188" s="52"/>
      <c r="BA188" s="52"/>
      <c r="BB188" s="52"/>
      <c r="BC188" s="52"/>
      <c r="BD188" s="52"/>
      <c r="BE188" s="52"/>
      <c r="BF188" s="54"/>
      <c r="BG188" s="54"/>
      <c r="BH188" s="54"/>
      <c r="BI188" s="54"/>
      <c r="BJ188" s="54"/>
      <c r="BK188" s="54"/>
      <c r="BL188" s="54"/>
      <c r="BM188" s="54"/>
      <c r="BN188" s="54"/>
      <c r="BO188" s="54"/>
      <c r="BP188" s="54"/>
      <c r="BQ188" s="54"/>
      <c r="BR188" s="54"/>
      <c r="BS188" s="54"/>
      <c r="BT188" s="54"/>
      <c r="BU188" s="54"/>
      <c r="BV188" s="54"/>
      <c r="BW188" s="54"/>
      <c r="BX188" s="54"/>
      <c r="BY188" s="54"/>
      <c r="BZ188" s="54"/>
      <c r="CA188" s="54"/>
      <c r="CB188" s="54"/>
    </row>
    <row r="189" spans="1:80" ht="16.5" customHeight="1">
      <c r="A189" s="54"/>
      <c r="B189" s="54"/>
      <c r="C189" s="54"/>
      <c r="D189" s="54"/>
      <c r="E189" s="54"/>
      <c r="F189" s="54"/>
      <c r="G189" s="54"/>
      <c r="H189" s="54"/>
      <c r="I189" s="54"/>
      <c r="J189" s="54"/>
      <c r="K189" s="54"/>
      <c r="L189" s="52"/>
      <c r="M189" s="52"/>
      <c r="N189" s="52"/>
      <c r="O189" s="52"/>
      <c r="P189" s="52"/>
      <c r="Q189" s="52"/>
      <c r="R189" s="52"/>
      <c r="S189" s="52"/>
      <c r="T189" s="52"/>
      <c r="U189" s="52"/>
      <c r="V189" s="52"/>
      <c r="W189" s="52"/>
      <c r="X189" s="52"/>
      <c r="Y189" s="52"/>
      <c r="Z189" s="52"/>
      <c r="AA189" s="52"/>
      <c r="AB189" s="52"/>
      <c r="AC189" s="52"/>
      <c r="AD189" s="52"/>
      <c r="AE189" s="52"/>
      <c r="AF189" s="52"/>
      <c r="AG189" s="52"/>
      <c r="AH189" s="52"/>
      <c r="AI189" s="52"/>
      <c r="AJ189" s="52"/>
      <c r="AK189" s="52"/>
      <c r="AL189" s="52"/>
      <c r="AM189" s="52"/>
      <c r="AN189" s="52"/>
      <c r="AO189" s="52"/>
      <c r="AP189" s="52"/>
      <c r="AQ189" s="52"/>
      <c r="AR189" s="52"/>
      <c r="AS189" s="52"/>
      <c r="AT189" s="52"/>
      <c r="AU189" s="52"/>
      <c r="AV189" s="52"/>
      <c r="AW189" s="52"/>
      <c r="AX189" s="52"/>
      <c r="AY189" s="52"/>
      <c r="AZ189" s="52"/>
      <c r="BA189" s="52"/>
      <c r="BB189" s="52"/>
      <c r="BC189" s="52"/>
      <c r="BD189" s="52"/>
      <c r="BE189" s="52"/>
      <c r="BF189" s="54"/>
      <c r="BG189" s="54"/>
      <c r="BH189" s="54"/>
      <c r="BI189" s="54"/>
      <c r="BJ189" s="54"/>
      <c r="BK189" s="54"/>
      <c r="BL189" s="54"/>
      <c r="BM189" s="54"/>
      <c r="BN189" s="54"/>
      <c r="BO189" s="54"/>
      <c r="BP189" s="54"/>
      <c r="BQ189" s="54"/>
      <c r="BR189" s="54"/>
      <c r="BS189" s="54"/>
      <c r="BT189" s="54"/>
      <c r="BU189" s="54"/>
      <c r="BV189" s="54"/>
      <c r="BW189" s="54"/>
      <c r="BX189" s="54"/>
      <c r="BY189" s="54"/>
      <c r="BZ189" s="54"/>
      <c r="CA189" s="54"/>
      <c r="CB189" s="54"/>
    </row>
    <row r="190" spans="1:80" ht="16.5" customHeight="1">
      <c r="A190" s="54"/>
      <c r="B190" s="54"/>
      <c r="C190" s="54"/>
      <c r="D190" s="54"/>
      <c r="E190" s="54"/>
      <c r="F190" s="54"/>
      <c r="G190" s="54"/>
      <c r="H190" s="54"/>
      <c r="I190" s="54"/>
      <c r="J190" s="54"/>
      <c r="K190" s="54"/>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c r="AM190" s="52"/>
      <c r="AN190" s="52"/>
      <c r="AO190" s="52"/>
      <c r="AP190" s="52"/>
      <c r="AQ190" s="52"/>
      <c r="AR190" s="52"/>
      <c r="AS190" s="52"/>
      <c r="AT190" s="52"/>
      <c r="AU190" s="52"/>
      <c r="AV190" s="52"/>
      <c r="AW190" s="52"/>
      <c r="AX190" s="52"/>
      <c r="AY190" s="52"/>
      <c r="AZ190" s="52"/>
      <c r="BA190" s="52"/>
      <c r="BB190" s="52"/>
      <c r="BC190" s="52"/>
      <c r="BD190" s="52"/>
      <c r="BE190" s="52"/>
      <c r="BF190" s="54"/>
      <c r="BG190" s="54"/>
      <c r="BH190" s="54"/>
      <c r="BI190" s="54"/>
      <c r="BJ190" s="54"/>
      <c r="BK190" s="54"/>
      <c r="BL190" s="54"/>
      <c r="BM190" s="54"/>
      <c r="BN190" s="54"/>
      <c r="BO190" s="54"/>
      <c r="BP190" s="54"/>
      <c r="BQ190" s="54"/>
      <c r="BR190" s="54"/>
      <c r="BS190" s="54"/>
      <c r="BT190" s="54"/>
      <c r="BU190" s="54"/>
      <c r="BV190" s="54"/>
      <c r="BW190" s="54"/>
      <c r="BX190" s="54"/>
      <c r="BY190" s="54"/>
      <c r="BZ190" s="54"/>
      <c r="CA190" s="54"/>
      <c r="CB190" s="54"/>
    </row>
    <row r="191" spans="1:80" ht="16.5" customHeight="1">
      <c r="A191" s="54"/>
      <c r="B191" s="54"/>
      <c r="C191" s="54"/>
      <c r="D191" s="54"/>
      <c r="E191" s="54"/>
      <c r="F191" s="54"/>
      <c r="G191" s="54"/>
      <c r="H191" s="54"/>
      <c r="I191" s="54"/>
      <c r="J191" s="54"/>
      <c r="K191" s="54"/>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c r="AJ191" s="52"/>
      <c r="AK191" s="52"/>
      <c r="AL191" s="52"/>
      <c r="AM191" s="52"/>
      <c r="AN191" s="52"/>
      <c r="AO191" s="52"/>
      <c r="AP191" s="52"/>
      <c r="AQ191" s="52"/>
      <c r="AR191" s="52"/>
      <c r="AS191" s="52"/>
      <c r="AT191" s="52"/>
      <c r="AU191" s="52"/>
      <c r="AV191" s="52"/>
      <c r="AW191" s="52"/>
      <c r="AX191" s="52"/>
      <c r="AY191" s="52"/>
      <c r="AZ191" s="52"/>
      <c r="BA191" s="52"/>
      <c r="BB191" s="52"/>
      <c r="BC191" s="52"/>
      <c r="BD191" s="52"/>
      <c r="BE191" s="52"/>
      <c r="BF191" s="54"/>
      <c r="BG191" s="54"/>
      <c r="BH191" s="54"/>
      <c r="BI191" s="54"/>
      <c r="BJ191" s="54"/>
      <c r="BK191" s="54"/>
      <c r="BL191" s="54"/>
      <c r="BM191" s="54"/>
      <c r="BN191" s="54"/>
      <c r="BO191" s="54"/>
      <c r="BP191" s="54"/>
      <c r="BQ191" s="54"/>
      <c r="BR191" s="54"/>
      <c r="BS191" s="54"/>
      <c r="BT191" s="54"/>
      <c r="BU191" s="54"/>
      <c r="BV191" s="54"/>
      <c r="BW191" s="54"/>
      <c r="BX191" s="54"/>
      <c r="BY191" s="54"/>
      <c r="BZ191" s="54"/>
      <c r="CA191" s="54"/>
      <c r="CB191" s="54"/>
    </row>
    <row r="192" spans="1:80" ht="16.5" customHeight="1">
      <c r="A192" s="54"/>
      <c r="B192" s="54"/>
      <c r="C192" s="54"/>
      <c r="D192" s="54"/>
      <c r="E192" s="54"/>
      <c r="F192" s="54"/>
      <c r="G192" s="54"/>
      <c r="H192" s="54"/>
      <c r="I192" s="54"/>
      <c r="J192" s="54"/>
      <c r="K192" s="54"/>
      <c r="L192" s="52"/>
      <c r="M192" s="52"/>
      <c r="N192" s="52"/>
      <c r="O192" s="52"/>
      <c r="P192" s="52"/>
      <c r="Q192" s="52"/>
      <c r="R192" s="52"/>
      <c r="S192" s="52"/>
      <c r="T192" s="52"/>
      <c r="U192" s="52"/>
      <c r="V192" s="52"/>
      <c r="W192" s="52"/>
      <c r="X192" s="52"/>
      <c r="Y192" s="52"/>
      <c r="Z192" s="52"/>
      <c r="AA192" s="52"/>
      <c r="AB192" s="52"/>
      <c r="AC192" s="52"/>
      <c r="AD192" s="52"/>
      <c r="AE192" s="52"/>
      <c r="AF192" s="52"/>
      <c r="AG192" s="52"/>
      <c r="AH192" s="52"/>
      <c r="AI192" s="52"/>
      <c r="AJ192" s="52"/>
      <c r="AK192" s="52"/>
      <c r="AL192" s="52"/>
      <c r="AM192" s="52"/>
      <c r="AN192" s="52"/>
      <c r="AO192" s="52"/>
      <c r="AP192" s="52"/>
      <c r="AQ192" s="52"/>
      <c r="AR192" s="52"/>
      <c r="AS192" s="52"/>
      <c r="AT192" s="52"/>
      <c r="AU192" s="52"/>
      <c r="AV192" s="52"/>
      <c r="AW192" s="52"/>
      <c r="AX192" s="52"/>
      <c r="AY192" s="52"/>
      <c r="AZ192" s="52"/>
      <c r="BA192" s="52"/>
      <c r="BB192" s="52"/>
      <c r="BC192" s="52"/>
      <c r="BD192" s="52"/>
      <c r="BE192" s="52"/>
      <c r="BF192" s="54"/>
      <c r="BG192" s="54"/>
      <c r="BH192" s="54"/>
      <c r="BI192" s="54"/>
      <c r="BJ192" s="54"/>
      <c r="BK192" s="54"/>
      <c r="BL192" s="54"/>
      <c r="BM192" s="54"/>
      <c r="BN192" s="54"/>
      <c r="BO192" s="54"/>
      <c r="BP192" s="54"/>
      <c r="BQ192" s="54"/>
      <c r="BR192" s="54"/>
      <c r="BS192" s="54"/>
      <c r="BT192" s="54"/>
      <c r="BU192" s="54"/>
      <c r="BV192" s="54"/>
      <c r="BW192" s="54"/>
      <c r="BX192" s="54"/>
      <c r="BY192" s="54"/>
      <c r="BZ192" s="54"/>
      <c r="CA192" s="54"/>
      <c r="CB192" s="54"/>
    </row>
    <row r="193" spans="1:80" ht="16.5" customHeight="1">
      <c r="A193" s="54"/>
      <c r="B193" s="54"/>
      <c r="C193" s="54"/>
      <c r="D193" s="54"/>
      <c r="E193" s="54"/>
      <c r="F193" s="54"/>
      <c r="G193" s="54"/>
      <c r="H193" s="54"/>
      <c r="I193" s="54"/>
      <c r="J193" s="54"/>
      <c r="K193" s="54"/>
      <c r="L193" s="52"/>
      <c r="M193" s="52"/>
      <c r="N193" s="52"/>
      <c r="O193" s="52"/>
      <c r="P193" s="52"/>
      <c r="Q193" s="52"/>
      <c r="R193" s="52"/>
      <c r="S193" s="52"/>
      <c r="T193" s="52"/>
      <c r="U193" s="52"/>
      <c r="V193" s="52"/>
      <c r="W193" s="52"/>
      <c r="X193" s="52"/>
      <c r="Y193" s="52"/>
      <c r="Z193" s="52"/>
      <c r="AA193" s="52"/>
      <c r="AB193" s="52"/>
      <c r="AC193" s="52"/>
      <c r="AD193" s="52"/>
      <c r="AE193" s="52"/>
      <c r="AF193" s="52"/>
      <c r="AG193" s="52"/>
      <c r="AH193" s="52"/>
      <c r="AI193" s="52"/>
      <c r="AJ193" s="52"/>
      <c r="AK193" s="52"/>
      <c r="AL193" s="52"/>
      <c r="AM193" s="52"/>
      <c r="AN193" s="52"/>
      <c r="AO193" s="52"/>
      <c r="AP193" s="52"/>
      <c r="AQ193" s="52"/>
      <c r="AR193" s="52"/>
      <c r="AS193" s="52"/>
      <c r="AT193" s="52"/>
      <c r="AU193" s="52"/>
      <c r="AV193" s="52"/>
      <c r="AW193" s="52"/>
      <c r="AX193" s="52"/>
      <c r="AY193" s="52"/>
      <c r="AZ193" s="52"/>
      <c r="BA193" s="52"/>
      <c r="BB193" s="52"/>
      <c r="BC193" s="52"/>
      <c r="BD193" s="52"/>
      <c r="BE193" s="52"/>
      <c r="BF193" s="54"/>
      <c r="BG193" s="54"/>
      <c r="BH193" s="54"/>
      <c r="BI193" s="54"/>
      <c r="BJ193" s="54"/>
      <c r="BK193" s="54"/>
      <c r="BL193" s="54"/>
      <c r="BM193" s="54"/>
      <c r="BN193" s="54"/>
      <c r="BO193" s="54"/>
      <c r="BP193" s="54"/>
      <c r="BQ193" s="54"/>
      <c r="BR193" s="54"/>
      <c r="BS193" s="54"/>
      <c r="BT193" s="54"/>
      <c r="BU193" s="54"/>
      <c r="BV193" s="54"/>
      <c r="BW193" s="54"/>
      <c r="BX193" s="54"/>
      <c r="BY193" s="54"/>
      <c r="BZ193" s="54"/>
      <c r="CA193" s="54"/>
      <c r="CB193" s="54"/>
    </row>
    <row r="194" spans="1:80" ht="16.5" customHeight="1">
      <c r="A194" s="54"/>
      <c r="B194" s="54"/>
      <c r="C194" s="54"/>
      <c r="D194" s="54"/>
      <c r="E194" s="54"/>
      <c r="F194" s="54"/>
      <c r="G194" s="54"/>
      <c r="H194" s="54"/>
      <c r="I194" s="54"/>
      <c r="J194" s="54"/>
      <c r="K194" s="54"/>
      <c r="L194" s="52"/>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c r="AK194" s="52"/>
      <c r="AL194" s="52"/>
      <c r="AM194" s="52"/>
      <c r="AN194" s="52"/>
      <c r="AO194" s="52"/>
      <c r="AP194" s="52"/>
      <c r="AQ194" s="52"/>
      <c r="AR194" s="52"/>
      <c r="AS194" s="52"/>
      <c r="AT194" s="52"/>
      <c r="AU194" s="52"/>
      <c r="AV194" s="52"/>
      <c r="AW194" s="52"/>
      <c r="AX194" s="52"/>
      <c r="AY194" s="52"/>
      <c r="AZ194" s="52"/>
      <c r="BA194" s="52"/>
      <c r="BB194" s="52"/>
      <c r="BC194" s="52"/>
      <c r="BD194" s="52"/>
      <c r="BE194" s="52"/>
      <c r="BF194" s="54"/>
      <c r="BG194" s="54"/>
      <c r="BH194" s="54"/>
      <c r="BI194" s="54"/>
      <c r="BJ194" s="54"/>
      <c r="BK194" s="54"/>
      <c r="BL194" s="54"/>
      <c r="BM194" s="54"/>
      <c r="BN194" s="54"/>
      <c r="BO194" s="54"/>
      <c r="BP194" s="54"/>
      <c r="BQ194" s="54"/>
      <c r="BR194" s="54"/>
      <c r="BS194" s="54"/>
      <c r="BT194" s="54"/>
      <c r="BU194" s="54"/>
      <c r="BV194" s="54"/>
      <c r="BW194" s="54"/>
      <c r="BX194" s="54"/>
      <c r="BY194" s="54"/>
      <c r="BZ194" s="54"/>
      <c r="CA194" s="54"/>
      <c r="CB194" s="54"/>
    </row>
    <row r="195" spans="1:80" ht="16.5" customHeight="1">
      <c r="A195" s="54"/>
      <c r="B195" s="54"/>
      <c r="C195" s="54"/>
      <c r="D195" s="54"/>
      <c r="E195" s="54"/>
      <c r="F195" s="54"/>
      <c r="G195" s="54"/>
      <c r="H195" s="54"/>
      <c r="I195" s="54"/>
      <c r="J195" s="54"/>
      <c r="K195" s="54"/>
      <c r="L195" s="52"/>
      <c r="M195" s="52"/>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c r="AL195" s="52"/>
      <c r="AM195" s="52"/>
      <c r="AN195" s="52"/>
      <c r="AO195" s="52"/>
      <c r="AP195" s="52"/>
      <c r="AQ195" s="52"/>
      <c r="AR195" s="52"/>
      <c r="AS195" s="52"/>
      <c r="AT195" s="52"/>
      <c r="AU195" s="52"/>
      <c r="AV195" s="52"/>
      <c r="AW195" s="52"/>
      <c r="AX195" s="52"/>
      <c r="AY195" s="52"/>
      <c r="AZ195" s="52"/>
      <c r="BA195" s="52"/>
      <c r="BB195" s="52"/>
      <c r="BC195" s="52"/>
      <c r="BD195" s="52"/>
      <c r="BE195" s="52"/>
      <c r="BF195" s="54"/>
      <c r="BG195" s="54"/>
      <c r="BH195" s="54"/>
      <c r="BI195" s="54"/>
      <c r="BJ195" s="54"/>
      <c r="BK195" s="54"/>
      <c r="BL195" s="54"/>
      <c r="BM195" s="54"/>
      <c r="BN195" s="54"/>
      <c r="BO195" s="54"/>
      <c r="BP195" s="54"/>
      <c r="BQ195" s="54"/>
      <c r="BR195" s="54"/>
      <c r="BS195" s="54"/>
      <c r="BT195" s="54"/>
      <c r="BU195" s="54"/>
      <c r="BV195" s="54"/>
      <c r="BW195" s="54"/>
      <c r="BX195" s="54"/>
      <c r="BY195" s="54"/>
      <c r="BZ195" s="54"/>
      <c r="CA195" s="54"/>
      <c r="CB195" s="54"/>
    </row>
    <row r="196" spans="1:80" ht="16.5" customHeight="1">
      <c r="A196" s="54"/>
      <c r="B196" s="54"/>
      <c r="C196" s="54"/>
      <c r="D196" s="54"/>
      <c r="E196" s="54"/>
      <c r="F196" s="54"/>
      <c r="G196" s="54"/>
      <c r="H196" s="54"/>
      <c r="I196" s="54"/>
      <c r="J196" s="54"/>
      <c r="K196" s="54"/>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c r="AI196" s="52"/>
      <c r="AJ196" s="52"/>
      <c r="AK196" s="52"/>
      <c r="AL196" s="52"/>
      <c r="AM196" s="52"/>
      <c r="AN196" s="52"/>
      <c r="AO196" s="52"/>
      <c r="AP196" s="52"/>
      <c r="AQ196" s="52"/>
      <c r="AR196" s="52"/>
      <c r="AS196" s="52"/>
      <c r="AT196" s="52"/>
      <c r="AU196" s="52"/>
      <c r="AV196" s="52"/>
      <c r="AW196" s="52"/>
      <c r="AX196" s="52"/>
      <c r="AY196" s="52"/>
      <c r="AZ196" s="52"/>
      <c r="BA196" s="52"/>
      <c r="BB196" s="52"/>
      <c r="BC196" s="52"/>
      <c r="BD196" s="52"/>
      <c r="BE196" s="52"/>
      <c r="BF196" s="54"/>
      <c r="BG196" s="54"/>
      <c r="BH196" s="54"/>
      <c r="BI196" s="54"/>
      <c r="BJ196" s="54"/>
      <c r="BK196" s="54"/>
      <c r="BL196" s="54"/>
      <c r="BM196" s="54"/>
      <c r="BN196" s="54"/>
      <c r="BO196" s="54"/>
      <c r="BP196" s="54"/>
      <c r="BQ196" s="54"/>
      <c r="BR196" s="54"/>
      <c r="BS196" s="54"/>
      <c r="BT196" s="54"/>
      <c r="BU196" s="54"/>
      <c r="BV196" s="54"/>
      <c r="BW196" s="54"/>
      <c r="BX196" s="54"/>
      <c r="BY196" s="54"/>
      <c r="BZ196" s="54"/>
      <c r="CA196" s="54"/>
      <c r="CB196" s="54"/>
    </row>
    <row r="197" spans="1:80" ht="16.5" customHeight="1">
      <c r="A197" s="54"/>
      <c r="B197" s="54"/>
      <c r="C197" s="54"/>
      <c r="D197" s="54"/>
      <c r="E197" s="54"/>
      <c r="F197" s="54"/>
      <c r="G197" s="54"/>
      <c r="H197" s="54"/>
      <c r="I197" s="54"/>
      <c r="J197" s="54"/>
      <c r="K197" s="54"/>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c r="AI197" s="52"/>
      <c r="AJ197" s="52"/>
      <c r="AK197" s="52"/>
      <c r="AL197" s="52"/>
      <c r="AM197" s="52"/>
      <c r="AN197" s="52"/>
      <c r="AO197" s="52"/>
      <c r="AP197" s="52"/>
      <c r="AQ197" s="52"/>
      <c r="AR197" s="52"/>
      <c r="AS197" s="52"/>
      <c r="AT197" s="52"/>
      <c r="AU197" s="52"/>
      <c r="AV197" s="52"/>
      <c r="AW197" s="52"/>
      <c r="AX197" s="52"/>
      <c r="AY197" s="52"/>
      <c r="AZ197" s="52"/>
      <c r="BA197" s="52"/>
      <c r="BB197" s="52"/>
      <c r="BC197" s="52"/>
      <c r="BD197" s="52"/>
      <c r="BE197" s="52"/>
      <c r="BF197" s="54"/>
      <c r="BG197" s="54"/>
      <c r="BH197" s="54"/>
      <c r="BI197" s="54"/>
      <c r="BJ197" s="54"/>
      <c r="BK197" s="54"/>
      <c r="BL197" s="54"/>
      <c r="BM197" s="54"/>
      <c r="BN197" s="54"/>
      <c r="BO197" s="54"/>
      <c r="BP197" s="54"/>
      <c r="BQ197" s="54"/>
      <c r="BR197" s="54"/>
      <c r="BS197" s="54"/>
      <c r="BT197" s="54"/>
      <c r="BU197" s="54"/>
      <c r="BV197" s="54"/>
      <c r="BW197" s="54"/>
      <c r="BX197" s="54"/>
      <c r="BY197" s="54"/>
      <c r="BZ197" s="54"/>
      <c r="CA197" s="54"/>
      <c r="CB197" s="54"/>
    </row>
    <row r="198" spans="1:80" ht="16.5" customHeight="1">
      <c r="A198" s="54"/>
      <c r="B198" s="54"/>
      <c r="C198" s="54"/>
      <c r="D198" s="54"/>
      <c r="E198" s="54"/>
      <c r="F198" s="54"/>
      <c r="G198" s="54"/>
      <c r="H198" s="54"/>
      <c r="I198" s="54"/>
      <c r="J198" s="54"/>
      <c r="K198" s="54"/>
      <c r="L198" s="52"/>
      <c r="M198" s="52"/>
      <c r="N198" s="52"/>
      <c r="O198" s="52"/>
      <c r="P198" s="52"/>
      <c r="Q198" s="52"/>
      <c r="R198" s="52"/>
      <c r="S198" s="52"/>
      <c r="T198" s="52"/>
      <c r="U198" s="52"/>
      <c r="V198" s="52"/>
      <c r="W198" s="52"/>
      <c r="X198" s="52"/>
      <c r="Y198" s="52"/>
      <c r="Z198" s="52"/>
      <c r="AA198" s="52"/>
      <c r="AB198" s="52"/>
      <c r="AC198" s="52"/>
      <c r="AD198" s="52"/>
      <c r="AE198" s="52"/>
      <c r="AF198" s="52"/>
      <c r="AG198" s="52"/>
      <c r="AH198" s="52"/>
      <c r="AI198" s="52"/>
      <c r="AJ198" s="52"/>
      <c r="AK198" s="52"/>
      <c r="AL198" s="52"/>
      <c r="AM198" s="52"/>
      <c r="AN198" s="52"/>
      <c r="AO198" s="52"/>
      <c r="AP198" s="52"/>
      <c r="AQ198" s="52"/>
      <c r="AR198" s="52"/>
      <c r="AS198" s="52"/>
      <c r="AT198" s="52"/>
      <c r="AU198" s="52"/>
      <c r="AV198" s="52"/>
      <c r="AW198" s="52"/>
      <c r="AX198" s="52"/>
      <c r="AY198" s="52"/>
      <c r="AZ198" s="52"/>
      <c r="BA198" s="52"/>
      <c r="BB198" s="52"/>
      <c r="BC198" s="52"/>
      <c r="BD198" s="52"/>
      <c r="BE198" s="52"/>
      <c r="BF198" s="54"/>
      <c r="BG198" s="54"/>
      <c r="BH198" s="54"/>
      <c r="BI198" s="54"/>
      <c r="BJ198" s="54"/>
      <c r="BK198" s="54"/>
      <c r="BL198" s="54"/>
      <c r="BM198" s="54"/>
      <c r="BN198" s="54"/>
      <c r="BO198" s="54"/>
      <c r="BP198" s="54"/>
      <c r="BQ198" s="54"/>
      <c r="BR198" s="54"/>
      <c r="BS198" s="54"/>
      <c r="BT198" s="54"/>
      <c r="BU198" s="54"/>
      <c r="BV198" s="54"/>
      <c r="BW198" s="54"/>
      <c r="BX198" s="54"/>
      <c r="BY198" s="54"/>
      <c r="BZ198" s="54"/>
      <c r="CA198" s="54"/>
      <c r="CB198" s="54"/>
    </row>
    <row r="199" spans="1:80" ht="16.5" customHeight="1">
      <c r="A199" s="54"/>
      <c r="B199" s="54"/>
      <c r="C199" s="54"/>
      <c r="D199" s="54"/>
      <c r="E199" s="54"/>
      <c r="F199" s="54"/>
      <c r="G199" s="54"/>
      <c r="H199" s="54"/>
      <c r="I199" s="54"/>
      <c r="J199" s="54"/>
      <c r="K199" s="54"/>
      <c r="L199" s="52"/>
      <c r="M199" s="52"/>
      <c r="N199" s="52"/>
      <c r="O199" s="52"/>
      <c r="P199" s="52"/>
      <c r="Q199" s="52"/>
      <c r="R199" s="52"/>
      <c r="S199" s="52"/>
      <c r="T199" s="52"/>
      <c r="U199" s="52"/>
      <c r="V199" s="52"/>
      <c r="W199" s="52"/>
      <c r="X199" s="52"/>
      <c r="Y199" s="52"/>
      <c r="Z199" s="52"/>
      <c r="AA199" s="52"/>
      <c r="AB199" s="52"/>
      <c r="AC199" s="52"/>
      <c r="AD199" s="52"/>
      <c r="AE199" s="52"/>
      <c r="AF199" s="52"/>
      <c r="AG199" s="52"/>
      <c r="AH199" s="52"/>
      <c r="AI199" s="52"/>
      <c r="AJ199" s="52"/>
      <c r="AK199" s="52"/>
      <c r="AL199" s="52"/>
      <c r="AM199" s="52"/>
      <c r="AN199" s="52"/>
      <c r="AO199" s="52"/>
      <c r="AP199" s="52"/>
      <c r="AQ199" s="52"/>
      <c r="AR199" s="52"/>
      <c r="AS199" s="52"/>
      <c r="AT199" s="52"/>
      <c r="AU199" s="52"/>
      <c r="AV199" s="52"/>
      <c r="AW199" s="52"/>
      <c r="AX199" s="52"/>
      <c r="AY199" s="52"/>
      <c r="AZ199" s="52"/>
      <c r="BA199" s="52"/>
      <c r="BB199" s="52"/>
      <c r="BC199" s="52"/>
      <c r="BD199" s="52"/>
      <c r="BE199" s="52"/>
      <c r="BF199" s="54"/>
      <c r="BG199" s="54"/>
      <c r="BH199" s="54"/>
      <c r="BI199" s="54"/>
      <c r="BJ199" s="54"/>
      <c r="BK199" s="54"/>
      <c r="BL199" s="54"/>
      <c r="BM199" s="54"/>
      <c r="BN199" s="54"/>
      <c r="BO199" s="54"/>
      <c r="BP199" s="54"/>
      <c r="BQ199" s="54"/>
      <c r="BR199" s="54"/>
      <c r="BS199" s="54"/>
      <c r="BT199" s="54"/>
      <c r="BU199" s="54"/>
      <c r="BV199" s="54"/>
      <c r="BW199" s="54"/>
      <c r="BX199" s="54"/>
      <c r="BY199" s="54"/>
      <c r="BZ199" s="54"/>
      <c r="CA199" s="54"/>
      <c r="CB199" s="54"/>
    </row>
    <row r="200" spans="1:80" ht="16.5" customHeight="1">
      <c r="A200" s="54"/>
      <c r="B200" s="54"/>
      <c r="C200" s="54"/>
      <c r="D200" s="54"/>
      <c r="E200" s="54"/>
      <c r="F200" s="54"/>
      <c r="G200" s="54"/>
      <c r="H200" s="54"/>
      <c r="I200" s="54"/>
      <c r="J200" s="54"/>
      <c r="K200" s="54"/>
      <c r="L200" s="52"/>
      <c r="M200" s="52"/>
      <c r="N200" s="52"/>
      <c r="O200" s="52"/>
      <c r="P200" s="52"/>
      <c r="Q200" s="52"/>
      <c r="R200" s="52"/>
      <c r="S200" s="52"/>
      <c r="T200" s="52"/>
      <c r="U200" s="52"/>
      <c r="V200" s="52"/>
      <c r="W200" s="52"/>
      <c r="X200" s="52"/>
      <c r="Y200" s="52"/>
      <c r="Z200" s="52"/>
      <c r="AA200" s="52"/>
      <c r="AB200" s="52"/>
      <c r="AC200" s="52"/>
      <c r="AD200" s="52"/>
      <c r="AE200" s="52"/>
      <c r="AF200" s="52"/>
      <c r="AG200" s="52"/>
      <c r="AH200" s="52"/>
      <c r="AI200" s="52"/>
      <c r="AJ200" s="52"/>
      <c r="AK200" s="52"/>
      <c r="AL200" s="52"/>
      <c r="AM200" s="52"/>
      <c r="AN200" s="52"/>
      <c r="AO200" s="52"/>
      <c r="AP200" s="52"/>
      <c r="AQ200" s="52"/>
      <c r="AR200" s="52"/>
      <c r="AS200" s="52"/>
      <c r="AT200" s="52"/>
      <c r="AU200" s="52"/>
      <c r="AV200" s="52"/>
      <c r="AW200" s="52"/>
      <c r="AX200" s="52"/>
      <c r="AY200" s="52"/>
      <c r="AZ200" s="52"/>
      <c r="BA200" s="52"/>
      <c r="BB200" s="52"/>
      <c r="BC200" s="52"/>
      <c r="BD200" s="52"/>
      <c r="BE200" s="52"/>
      <c r="BF200" s="54"/>
      <c r="BG200" s="54"/>
      <c r="BH200" s="54"/>
      <c r="BI200" s="54"/>
      <c r="BJ200" s="54"/>
      <c r="BK200" s="54"/>
      <c r="BL200" s="54"/>
      <c r="BM200" s="54"/>
      <c r="BN200" s="54"/>
      <c r="BO200" s="54"/>
      <c r="BP200" s="54"/>
      <c r="BQ200" s="54"/>
      <c r="BR200" s="54"/>
      <c r="BS200" s="54"/>
      <c r="BT200" s="54"/>
      <c r="BU200" s="54"/>
      <c r="BV200" s="54"/>
      <c r="BW200" s="54"/>
      <c r="BX200" s="54"/>
      <c r="BY200" s="54"/>
      <c r="BZ200" s="54"/>
      <c r="CA200" s="54"/>
      <c r="CB200" s="54"/>
    </row>
    <row r="201" spans="1:80" ht="16.5" customHeight="1">
      <c r="A201" s="54"/>
      <c r="B201" s="54"/>
      <c r="C201" s="54"/>
      <c r="D201" s="54"/>
      <c r="E201" s="54"/>
      <c r="F201" s="54"/>
      <c r="G201" s="54"/>
      <c r="H201" s="54"/>
      <c r="I201" s="54"/>
      <c r="J201" s="54"/>
      <c r="K201" s="54"/>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c r="AI201" s="52"/>
      <c r="AJ201" s="52"/>
      <c r="AK201" s="52"/>
      <c r="AL201" s="52"/>
      <c r="AM201" s="52"/>
      <c r="AN201" s="52"/>
      <c r="AO201" s="52"/>
      <c r="AP201" s="52"/>
      <c r="AQ201" s="52"/>
      <c r="AR201" s="52"/>
      <c r="AS201" s="52"/>
      <c r="AT201" s="52"/>
      <c r="AU201" s="52"/>
      <c r="AV201" s="52"/>
      <c r="AW201" s="52"/>
      <c r="AX201" s="52"/>
      <c r="AY201" s="52"/>
      <c r="AZ201" s="52"/>
      <c r="BA201" s="52"/>
      <c r="BB201" s="52"/>
      <c r="BC201" s="52"/>
      <c r="BD201" s="52"/>
      <c r="BE201" s="52"/>
      <c r="BF201" s="54"/>
      <c r="BG201" s="54"/>
      <c r="BH201" s="54"/>
      <c r="BI201" s="54"/>
      <c r="BJ201" s="54"/>
      <c r="BK201" s="54"/>
      <c r="BL201" s="54"/>
      <c r="BM201" s="54"/>
      <c r="BN201" s="54"/>
      <c r="BO201" s="54"/>
      <c r="BP201" s="54"/>
      <c r="BQ201" s="54"/>
      <c r="BR201" s="54"/>
      <c r="BS201" s="54"/>
      <c r="BT201" s="54"/>
      <c r="BU201" s="54"/>
      <c r="BV201" s="54"/>
      <c r="BW201" s="54"/>
      <c r="BX201" s="54"/>
      <c r="BY201" s="54"/>
      <c r="BZ201" s="54"/>
      <c r="CA201" s="54"/>
      <c r="CB201" s="54"/>
    </row>
    <row r="202" spans="1:80" ht="16.5" customHeight="1">
      <c r="A202" s="54"/>
      <c r="B202" s="54"/>
      <c r="C202" s="54"/>
      <c r="D202" s="54"/>
      <c r="E202" s="54"/>
      <c r="F202" s="54"/>
      <c r="G202" s="54"/>
      <c r="H202" s="54"/>
      <c r="I202" s="54"/>
      <c r="J202" s="54"/>
      <c r="K202" s="54"/>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2"/>
      <c r="AK202" s="52"/>
      <c r="AL202" s="52"/>
      <c r="AM202" s="52"/>
      <c r="AN202" s="52"/>
      <c r="AO202" s="52"/>
      <c r="AP202" s="52"/>
      <c r="AQ202" s="52"/>
      <c r="AR202" s="52"/>
      <c r="AS202" s="52"/>
      <c r="AT202" s="52"/>
      <c r="AU202" s="52"/>
      <c r="AV202" s="52"/>
      <c r="AW202" s="52"/>
      <c r="AX202" s="52"/>
      <c r="AY202" s="52"/>
      <c r="AZ202" s="52"/>
      <c r="BA202" s="52"/>
      <c r="BB202" s="52"/>
      <c r="BC202" s="52"/>
      <c r="BD202" s="52"/>
      <c r="BE202" s="52"/>
      <c r="BF202" s="54"/>
      <c r="BG202" s="54"/>
      <c r="BH202" s="54"/>
      <c r="BI202" s="54"/>
      <c r="BJ202" s="54"/>
      <c r="BK202" s="54"/>
      <c r="BL202" s="54"/>
      <c r="BM202" s="54"/>
      <c r="BN202" s="54"/>
      <c r="BO202" s="54"/>
      <c r="BP202" s="54"/>
      <c r="BQ202" s="54"/>
      <c r="BR202" s="54"/>
      <c r="BS202" s="54"/>
      <c r="BT202" s="54"/>
      <c r="BU202" s="54"/>
      <c r="BV202" s="54"/>
      <c r="BW202" s="54"/>
      <c r="BX202" s="54"/>
      <c r="BY202" s="54"/>
      <c r="BZ202" s="54"/>
      <c r="CA202" s="54"/>
      <c r="CB202" s="54"/>
    </row>
    <row r="203" spans="1:80" ht="16.5" customHeight="1">
      <c r="A203" s="54"/>
      <c r="B203" s="54"/>
      <c r="C203" s="54"/>
      <c r="D203" s="54"/>
      <c r="E203" s="54"/>
      <c r="F203" s="54"/>
      <c r="G203" s="54"/>
      <c r="H203" s="54"/>
      <c r="I203" s="54"/>
      <c r="J203" s="54"/>
      <c r="K203" s="54"/>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c r="AI203" s="52"/>
      <c r="AJ203" s="52"/>
      <c r="AK203" s="52"/>
      <c r="AL203" s="52"/>
      <c r="AM203" s="52"/>
      <c r="AN203" s="52"/>
      <c r="AO203" s="52"/>
      <c r="AP203" s="52"/>
      <c r="AQ203" s="52"/>
      <c r="AR203" s="52"/>
      <c r="AS203" s="52"/>
      <c r="AT203" s="52"/>
      <c r="AU203" s="52"/>
      <c r="AV203" s="52"/>
      <c r="AW203" s="52"/>
      <c r="AX203" s="52"/>
      <c r="AY203" s="52"/>
      <c r="AZ203" s="52"/>
      <c r="BA203" s="52"/>
      <c r="BB203" s="52"/>
      <c r="BC203" s="52"/>
      <c r="BD203" s="52"/>
      <c r="BE203" s="52"/>
      <c r="BF203" s="54"/>
      <c r="BG203" s="54"/>
      <c r="BH203" s="54"/>
      <c r="BI203" s="54"/>
      <c r="BJ203" s="54"/>
      <c r="BK203" s="54"/>
      <c r="BL203" s="54"/>
      <c r="BM203" s="54"/>
      <c r="BN203" s="54"/>
      <c r="BO203" s="54"/>
      <c r="BP203" s="54"/>
      <c r="BQ203" s="54"/>
      <c r="BR203" s="54"/>
      <c r="BS203" s="54"/>
      <c r="BT203" s="54"/>
      <c r="BU203" s="54"/>
      <c r="BV203" s="54"/>
      <c r="BW203" s="54"/>
      <c r="BX203" s="54"/>
      <c r="BY203" s="54"/>
      <c r="BZ203" s="54"/>
      <c r="CA203" s="54"/>
      <c r="CB203" s="54"/>
    </row>
    <row r="204" spans="1:80" ht="16.5" customHeight="1">
      <c r="A204" s="54"/>
      <c r="B204" s="54"/>
      <c r="C204" s="54"/>
      <c r="D204" s="54"/>
      <c r="E204" s="54"/>
      <c r="F204" s="54"/>
      <c r="G204" s="54"/>
      <c r="H204" s="54"/>
      <c r="I204" s="54"/>
      <c r="J204" s="54"/>
      <c r="K204" s="54"/>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c r="AI204" s="52"/>
      <c r="AJ204" s="52"/>
      <c r="AK204" s="52"/>
      <c r="AL204" s="52"/>
      <c r="AM204" s="52"/>
      <c r="AN204" s="52"/>
      <c r="AO204" s="52"/>
      <c r="AP204" s="52"/>
      <c r="AQ204" s="52"/>
      <c r="AR204" s="52"/>
      <c r="AS204" s="52"/>
      <c r="AT204" s="52"/>
      <c r="AU204" s="52"/>
      <c r="AV204" s="52"/>
      <c r="AW204" s="52"/>
      <c r="AX204" s="52"/>
      <c r="AY204" s="52"/>
      <c r="AZ204" s="52"/>
      <c r="BA204" s="52"/>
      <c r="BB204" s="52"/>
      <c r="BC204" s="52"/>
      <c r="BD204" s="52"/>
      <c r="BE204" s="52"/>
      <c r="BF204" s="54"/>
      <c r="BG204" s="54"/>
      <c r="BH204" s="54"/>
      <c r="BI204" s="54"/>
      <c r="BJ204" s="54"/>
      <c r="BK204" s="54"/>
      <c r="BL204" s="54"/>
      <c r="BM204" s="54"/>
      <c r="BN204" s="54"/>
      <c r="BO204" s="54"/>
      <c r="BP204" s="54"/>
      <c r="BQ204" s="54"/>
      <c r="BR204" s="54"/>
      <c r="BS204" s="54"/>
      <c r="BT204" s="54"/>
      <c r="BU204" s="54"/>
      <c r="BV204" s="54"/>
      <c r="BW204" s="54"/>
      <c r="BX204" s="54"/>
      <c r="BY204" s="54"/>
      <c r="BZ204" s="54"/>
      <c r="CA204" s="54"/>
      <c r="CB204" s="54"/>
    </row>
    <row r="205" spans="1:80" ht="16.5" customHeight="1">
      <c r="A205" s="54"/>
      <c r="B205" s="54"/>
      <c r="C205" s="54"/>
      <c r="D205" s="54"/>
      <c r="E205" s="54"/>
      <c r="F205" s="54"/>
      <c r="G205" s="54"/>
      <c r="H205" s="54"/>
      <c r="I205" s="54"/>
      <c r="J205" s="54"/>
      <c r="K205" s="54"/>
      <c r="L205" s="52"/>
      <c r="M205" s="52"/>
      <c r="N205" s="52"/>
      <c r="O205" s="52"/>
      <c r="P205" s="52"/>
      <c r="Q205" s="52"/>
      <c r="R205" s="52"/>
      <c r="S205" s="52"/>
      <c r="T205" s="52"/>
      <c r="U205" s="52"/>
      <c r="V205" s="52"/>
      <c r="W205" s="52"/>
      <c r="X205" s="52"/>
      <c r="Y205" s="52"/>
      <c r="Z205" s="52"/>
      <c r="AA205" s="52"/>
      <c r="AB205" s="52"/>
      <c r="AC205" s="52"/>
      <c r="AD205" s="52"/>
      <c r="AE205" s="52"/>
      <c r="AF205" s="52"/>
      <c r="AG205" s="52"/>
      <c r="AH205" s="52"/>
      <c r="AI205" s="52"/>
      <c r="AJ205" s="52"/>
      <c r="AK205" s="52"/>
      <c r="AL205" s="52"/>
      <c r="AM205" s="52"/>
      <c r="AN205" s="52"/>
      <c r="AO205" s="52"/>
      <c r="AP205" s="52"/>
      <c r="AQ205" s="52"/>
      <c r="AR205" s="52"/>
      <c r="AS205" s="52"/>
      <c r="AT205" s="52"/>
      <c r="AU205" s="52"/>
      <c r="AV205" s="52"/>
      <c r="AW205" s="52"/>
      <c r="AX205" s="52"/>
      <c r="AY205" s="52"/>
      <c r="AZ205" s="52"/>
      <c r="BA205" s="52"/>
      <c r="BB205" s="52"/>
      <c r="BC205" s="52"/>
      <c r="BD205" s="52"/>
      <c r="BE205" s="52"/>
      <c r="BF205" s="54"/>
      <c r="BG205" s="54"/>
      <c r="BH205" s="54"/>
      <c r="BI205" s="54"/>
      <c r="BJ205" s="54"/>
      <c r="BK205" s="54"/>
      <c r="BL205" s="54"/>
      <c r="BM205" s="54"/>
      <c r="BN205" s="54"/>
      <c r="BO205" s="54"/>
      <c r="BP205" s="54"/>
      <c r="BQ205" s="54"/>
      <c r="BR205" s="54"/>
      <c r="BS205" s="54"/>
      <c r="BT205" s="54"/>
      <c r="BU205" s="54"/>
      <c r="BV205" s="54"/>
      <c r="BW205" s="54"/>
      <c r="BX205" s="54"/>
      <c r="BY205" s="54"/>
      <c r="BZ205" s="54"/>
      <c r="CA205" s="54"/>
      <c r="CB205" s="54"/>
    </row>
    <row r="206" spans="1:80" ht="16.5" customHeight="1">
      <c r="A206" s="54"/>
      <c r="B206" s="54"/>
      <c r="C206" s="54"/>
      <c r="D206" s="54"/>
      <c r="E206" s="54"/>
      <c r="F206" s="54"/>
      <c r="G206" s="54"/>
      <c r="H206" s="54"/>
      <c r="I206" s="54"/>
      <c r="J206" s="54"/>
      <c r="K206" s="54"/>
      <c r="L206" s="52"/>
      <c r="M206" s="52"/>
      <c r="N206" s="52"/>
      <c r="O206" s="52"/>
      <c r="P206" s="52"/>
      <c r="Q206" s="52"/>
      <c r="R206" s="52"/>
      <c r="S206" s="52"/>
      <c r="T206" s="52"/>
      <c r="U206" s="52"/>
      <c r="V206" s="52"/>
      <c r="W206" s="52"/>
      <c r="X206" s="52"/>
      <c r="Y206" s="52"/>
      <c r="Z206" s="52"/>
      <c r="AA206" s="52"/>
      <c r="AB206" s="52"/>
      <c r="AC206" s="52"/>
      <c r="AD206" s="52"/>
      <c r="AE206" s="52"/>
      <c r="AF206" s="52"/>
      <c r="AG206" s="52"/>
      <c r="AH206" s="52"/>
      <c r="AI206" s="52"/>
      <c r="AJ206" s="52"/>
      <c r="AK206" s="52"/>
      <c r="AL206" s="52"/>
      <c r="AM206" s="52"/>
      <c r="AN206" s="52"/>
      <c r="AO206" s="52"/>
      <c r="AP206" s="52"/>
      <c r="AQ206" s="52"/>
      <c r="AR206" s="52"/>
      <c r="AS206" s="52"/>
      <c r="AT206" s="52"/>
      <c r="AU206" s="52"/>
      <c r="AV206" s="52"/>
      <c r="AW206" s="52"/>
      <c r="AX206" s="52"/>
      <c r="AY206" s="52"/>
      <c r="AZ206" s="52"/>
      <c r="BA206" s="52"/>
      <c r="BB206" s="52"/>
      <c r="BC206" s="52"/>
      <c r="BD206" s="52"/>
      <c r="BE206" s="52"/>
      <c r="BF206" s="54"/>
      <c r="BG206" s="54"/>
      <c r="BH206" s="54"/>
      <c r="BI206" s="54"/>
      <c r="BJ206" s="54"/>
      <c r="BK206" s="54"/>
      <c r="BL206" s="54"/>
      <c r="BM206" s="54"/>
      <c r="BN206" s="54"/>
      <c r="BO206" s="54"/>
      <c r="BP206" s="54"/>
      <c r="BQ206" s="54"/>
      <c r="BR206" s="54"/>
      <c r="BS206" s="54"/>
      <c r="BT206" s="54"/>
      <c r="BU206" s="54"/>
      <c r="BV206" s="54"/>
      <c r="BW206" s="54"/>
      <c r="BX206" s="54"/>
      <c r="BY206" s="54"/>
      <c r="BZ206" s="54"/>
      <c r="CA206" s="54"/>
      <c r="CB206" s="54"/>
    </row>
    <row r="207" spans="1:80" ht="16.5" customHeight="1">
      <c r="A207" s="54"/>
      <c r="B207" s="54"/>
      <c r="C207" s="54"/>
      <c r="D207" s="54"/>
      <c r="E207" s="54"/>
      <c r="F207" s="54"/>
      <c r="G207" s="54"/>
      <c r="H207" s="54"/>
      <c r="I207" s="54"/>
      <c r="J207" s="54"/>
      <c r="K207" s="54"/>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2"/>
      <c r="AJ207" s="52"/>
      <c r="AK207" s="52"/>
      <c r="AL207" s="52"/>
      <c r="AM207" s="52"/>
      <c r="AN207" s="52"/>
      <c r="AO207" s="52"/>
      <c r="AP207" s="52"/>
      <c r="AQ207" s="52"/>
      <c r="AR207" s="52"/>
      <c r="AS207" s="52"/>
      <c r="AT207" s="52"/>
      <c r="AU207" s="52"/>
      <c r="AV207" s="52"/>
      <c r="AW207" s="52"/>
      <c r="AX207" s="52"/>
      <c r="AY207" s="52"/>
      <c r="AZ207" s="52"/>
      <c r="BA207" s="52"/>
      <c r="BB207" s="52"/>
      <c r="BC207" s="52"/>
      <c r="BD207" s="52"/>
      <c r="BE207" s="52"/>
      <c r="BF207" s="54"/>
      <c r="BG207" s="54"/>
      <c r="BH207" s="54"/>
      <c r="BI207" s="54"/>
      <c r="BJ207" s="54"/>
      <c r="BK207" s="54"/>
      <c r="BL207" s="54"/>
      <c r="BM207" s="54"/>
      <c r="BN207" s="54"/>
      <c r="BO207" s="54"/>
      <c r="BP207" s="54"/>
      <c r="BQ207" s="54"/>
      <c r="BR207" s="54"/>
      <c r="BS207" s="54"/>
      <c r="BT207" s="54"/>
      <c r="BU207" s="54"/>
      <c r="BV207" s="54"/>
      <c r="BW207" s="54"/>
      <c r="BX207" s="54"/>
      <c r="BY207" s="54"/>
      <c r="BZ207" s="54"/>
      <c r="CA207" s="54"/>
      <c r="CB207" s="54"/>
    </row>
    <row r="208" spans="1:80" ht="16.5" customHeight="1">
      <c r="A208" s="54"/>
      <c r="B208" s="54"/>
      <c r="C208" s="54"/>
      <c r="D208" s="54"/>
      <c r="E208" s="54"/>
      <c r="F208" s="54"/>
      <c r="G208" s="54"/>
      <c r="H208" s="54"/>
      <c r="I208" s="54"/>
      <c r="J208" s="54"/>
      <c r="K208" s="54"/>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52"/>
      <c r="AL208" s="52"/>
      <c r="AM208" s="52"/>
      <c r="AN208" s="52"/>
      <c r="AO208" s="52"/>
      <c r="AP208" s="52"/>
      <c r="AQ208" s="52"/>
      <c r="AR208" s="52"/>
      <c r="AS208" s="52"/>
      <c r="AT208" s="52"/>
      <c r="AU208" s="52"/>
      <c r="AV208" s="52"/>
      <c r="AW208" s="52"/>
      <c r="AX208" s="52"/>
      <c r="AY208" s="52"/>
      <c r="AZ208" s="52"/>
      <c r="BA208" s="52"/>
      <c r="BB208" s="52"/>
      <c r="BC208" s="52"/>
      <c r="BD208" s="52"/>
      <c r="BE208" s="52"/>
      <c r="BF208" s="54"/>
      <c r="BG208" s="54"/>
      <c r="BH208" s="54"/>
      <c r="BI208" s="54"/>
      <c r="BJ208" s="54"/>
      <c r="BK208" s="54"/>
      <c r="BL208" s="54"/>
      <c r="BM208" s="54"/>
      <c r="BN208" s="54"/>
      <c r="BO208" s="54"/>
      <c r="BP208" s="54"/>
      <c r="BQ208" s="54"/>
      <c r="BR208" s="54"/>
      <c r="BS208" s="54"/>
      <c r="BT208" s="54"/>
      <c r="BU208" s="54"/>
      <c r="BV208" s="54"/>
      <c r="BW208" s="54"/>
      <c r="BX208" s="54"/>
      <c r="BY208" s="54"/>
      <c r="BZ208" s="54"/>
      <c r="CA208" s="54"/>
      <c r="CB208" s="54"/>
    </row>
    <row r="209" spans="1:80" ht="16.5" customHeight="1">
      <c r="A209" s="54"/>
      <c r="B209" s="54"/>
      <c r="C209" s="54"/>
      <c r="D209" s="54"/>
      <c r="E209" s="54"/>
      <c r="F209" s="54"/>
      <c r="G209" s="54"/>
      <c r="H209" s="54"/>
      <c r="I209" s="54"/>
      <c r="J209" s="54"/>
      <c r="K209" s="54"/>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c r="AI209" s="52"/>
      <c r="AJ209" s="52"/>
      <c r="AK209" s="52"/>
      <c r="AL209" s="52"/>
      <c r="AM209" s="52"/>
      <c r="AN209" s="52"/>
      <c r="AO209" s="52"/>
      <c r="AP209" s="52"/>
      <c r="AQ209" s="52"/>
      <c r="AR209" s="52"/>
      <c r="AS209" s="52"/>
      <c r="AT209" s="52"/>
      <c r="AU209" s="52"/>
      <c r="AV209" s="52"/>
      <c r="AW209" s="52"/>
      <c r="AX209" s="52"/>
      <c r="AY209" s="52"/>
      <c r="AZ209" s="52"/>
      <c r="BA209" s="52"/>
      <c r="BB209" s="52"/>
      <c r="BC209" s="52"/>
      <c r="BD209" s="52"/>
      <c r="BE209" s="52"/>
      <c r="BF209" s="54"/>
      <c r="BG209" s="54"/>
      <c r="BH209" s="54"/>
      <c r="BI209" s="54"/>
      <c r="BJ209" s="54"/>
      <c r="BK209" s="54"/>
      <c r="BL209" s="54"/>
      <c r="BM209" s="54"/>
      <c r="BN209" s="54"/>
      <c r="BO209" s="54"/>
      <c r="BP209" s="54"/>
      <c r="BQ209" s="54"/>
      <c r="BR209" s="54"/>
      <c r="BS209" s="54"/>
      <c r="BT209" s="54"/>
      <c r="BU209" s="54"/>
      <c r="BV209" s="54"/>
      <c r="BW209" s="54"/>
      <c r="BX209" s="54"/>
      <c r="BY209" s="54"/>
      <c r="BZ209" s="54"/>
      <c r="CA209" s="54"/>
      <c r="CB209" s="54"/>
    </row>
    <row r="210" spans="1:80" ht="16.5" customHeight="1">
      <c r="A210" s="54"/>
      <c r="B210" s="54"/>
      <c r="C210" s="54"/>
      <c r="D210" s="54"/>
      <c r="E210" s="54"/>
      <c r="F210" s="54"/>
      <c r="G210" s="54"/>
      <c r="H210" s="54"/>
      <c r="I210" s="54"/>
      <c r="J210" s="54"/>
      <c r="K210" s="54"/>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52"/>
      <c r="AL210" s="52"/>
      <c r="AM210" s="52"/>
      <c r="AN210" s="52"/>
      <c r="AO210" s="52"/>
      <c r="AP210" s="52"/>
      <c r="AQ210" s="52"/>
      <c r="AR210" s="52"/>
      <c r="AS210" s="52"/>
      <c r="AT210" s="52"/>
      <c r="AU210" s="52"/>
      <c r="AV210" s="52"/>
      <c r="AW210" s="52"/>
      <c r="AX210" s="52"/>
      <c r="AY210" s="52"/>
      <c r="AZ210" s="52"/>
      <c r="BA210" s="52"/>
      <c r="BB210" s="52"/>
      <c r="BC210" s="52"/>
      <c r="BD210" s="52"/>
      <c r="BE210" s="52"/>
      <c r="BF210" s="54"/>
      <c r="BG210" s="54"/>
      <c r="BH210" s="54"/>
      <c r="BI210" s="54"/>
      <c r="BJ210" s="54"/>
      <c r="BK210" s="54"/>
      <c r="BL210" s="54"/>
      <c r="BM210" s="54"/>
      <c r="BN210" s="54"/>
      <c r="BO210" s="54"/>
      <c r="BP210" s="54"/>
      <c r="BQ210" s="54"/>
      <c r="BR210" s="54"/>
      <c r="BS210" s="54"/>
      <c r="BT210" s="54"/>
      <c r="BU210" s="54"/>
      <c r="BV210" s="54"/>
      <c r="BW210" s="54"/>
      <c r="BX210" s="54"/>
      <c r="BY210" s="54"/>
      <c r="BZ210" s="54"/>
      <c r="CA210" s="54"/>
      <c r="CB210" s="54"/>
    </row>
    <row r="211" spans="1:80" ht="16.5" customHeight="1">
      <c r="A211" s="54"/>
      <c r="B211" s="54"/>
      <c r="C211" s="54"/>
      <c r="D211" s="54"/>
      <c r="E211" s="54"/>
      <c r="F211" s="54"/>
      <c r="G211" s="54"/>
      <c r="H211" s="54"/>
      <c r="I211" s="54"/>
      <c r="J211" s="54"/>
      <c r="K211" s="54"/>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52"/>
      <c r="AN211" s="52"/>
      <c r="AO211" s="52"/>
      <c r="AP211" s="52"/>
      <c r="AQ211" s="52"/>
      <c r="AR211" s="52"/>
      <c r="AS211" s="52"/>
      <c r="AT211" s="52"/>
      <c r="AU211" s="52"/>
      <c r="AV211" s="52"/>
      <c r="AW211" s="52"/>
      <c r="AX211" s="52"/>
      <c r="AY211" s="52"/>
      <c r="AZ211" s="52"/>
      <c r="BA211" s="52"/>
      <c r="BB211" s="52"/>
      <c r="BC211" s="52"/>
      <c r="BD211" s="52"/>
      <c r="BE211" s="52"/>
      <c r="BF211" s="54"/>
      <c r="BG211" s="54"/>
      <c r="BH211" s="54"/>
      <c r="BI211" s="54"/>
      <c r="BJ211" s="54"/>
      <c r="BK211" s="54"/>
      <c r="BL211" s="54"/>
      <c r="BM211" s="54"/>
      <c r="BN211" s="54"/>
      <c r="BO211" s="54"/>
      <c r="BP211" s="54"/>
      <c r="BQ211" s="54"/>
      <c r="BR211" s="54"/>
      <c r="BS211" s="54"/>
      <c r="BT211" s="54"/>
      <c r="BU211" s="54"/>
      <c r="BV211" s="54"/>
      <c r="BW211" s="54"/>
      <c r="BX211" s="54"/>
      <c r="BY211" s="54"/>
      <c r="BZ211" s="54"/>
      <c r="CA211" s="54"/>
      <c r="CB211" s="54"/>
    </row>
    <row r="212" spans="1:80" ht="16.5" customHeight="1">
      <c r="A212" s="54"/>
      <c r="B212" s="54"/>
      <c r="C212" s="54"/>
      <c r="D212" s="54"/>
      <c r="E212" s="54"/>
      <c r="F212" s="54"/>
      <c r="G212" s="54"/>
      <c r="H212" s="54"/>
      <c r="I212" s="54"/>
      <c r="J212" s="54"/>
      <c r="K212" s="54"/>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52"/>
      <c r="AL212" s="52"/>
      <c r="AM212" s="52"/>
      <c r="AN212" s="52"/>
      <c r="AO212" s="52"/>
      <c r="AP212" s="52"/>
      <c r="AQ212" s="52"/>
      <c r="AR212" s="52"/>
      <c r="AS212" s="52"/>
      <c r="AT212" s="52"/>
      <c r="AU212" s="52"/>
      <c r="AV212" s="52"/>
      <c r="AW212" s="52"/>
      <c r="AX212" s="52"/>
      <c r="AY212" s="52"/>
      <c r="AZ212" s="52"/>
      <c r="BA212" s="52"/>
      <c r="BB212" s="52"/>
      <c r="BC212" s="52"/>
      <c r="BD212" s="52"/>
      <c r="BE212" s="52"/>
      <c r="BF212" s="54"/>
      <c r="BG212" s="54"/>
      <c r="BH212" s="54"/>
      <c r="BI212" s="54"/>
      <c r="BJ212" s="54"/>
      <c r="BK212" s="54"/>
      <c r="BL212" s="54"/>
      <c r="BM212" s="54"/>
      <c r="BN212" s="54"/>
      <c r="BO212" s="54"/>
      <c r="BP212" s="54"/>
      <c r="BQ212" s="54"/>
      <c r="BR212" s="54"/>
      <c r="BS212" s="54"/>
      <c r="BT212" s="54"/>
      <c r="BU212" s="54"/>
      <c r="BV212" s="54"/>
      <c r="BW212" s="54"/>
      <c r="BX212" s="54"/>
      <c r="BY212" s="54"/>
      <c r="BZ212" s="54"/>
      <c r="CA212" s="54"/>
      <c r="CB212" s="54"/>
    </row>
    <row r="213" spans="1:80" ht="16.5" customHeight="1">
      <c r="A213" s="54"/>
      <c r="B213" s="54"/>
      <c r="C213" s="54"/>
      <c r="D213" s="54"/>
      <c r="E213" s="54"/>
      <c r="F213" s="54"/>
      <c r="G213" s="54"/>
      <c r="H213" s="54"/>
      <c r="I213" s="54"/>
      <c r="J213" s="54"/>
      <c r="K213" s="54"/>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c r="AK213" s="52"/>
      <c r="AL213" s="52"/>
      <c r="AM213" s="52"/>
      <c r="AN213" s="52"/>
      <c r="AO213" s="52"/>
      <c r="AP213" s="52"/>
      <c r="AQ213" s="52"/>
      <c r="AR213" s="52"/>
      <c r="AS213" s="52"/>
      <c r="AT213" s="52"/>
      <c r="AU213" s="52"/>
      <c r="AV213" s="52"/>
      <c r="AW213" s="52"/>
      <c r="AX213" s="52"/>
      <c r="AY213" s="52"/>
      <c r="AZ213" s="52"/>
      <c r="BA213" s="52"/>
      <c r="BB213" s="52"/>
      <c r="BC213" s="52"/>
      <c r="BD213" s="52"/>
      <c r="BE213" s="52"/>
      <c r="BF213" s="54"/>
      <c r="BG213" s="54"/>
      <c r="BH213" s="54"/>
      <c r="BI213" s="54"/>
      <c r="BJ213" s="54"/>
      <c r="BK213" s="54"/>
      <c r="BL213" s="54"/>
      <c r="BM213" s="54"/>
      <c r="BN213" s="54"/>
      <c r="BO213" s="54"/>
      <c r="BP213" s="54"/>
      <c r="BQ213" s="54"/>
      <c r="BR213" s="54"/>
      <c r="BS213" s="54"/>
      <c r="BT213" s="54"/>
      <c r="BU213" s="54"/>
      <c r="BV213" s="54"/>
      <c r="BW213" s="54"/>
      <c r="BX213" s="54"/>
      <c r="BY213" s="54"/>
      <c r="BZ213" s="54"/>
      <c r="CA213" s="54"/>
      <c r="CB213" s="54"/>
    </row>
    <row r="214" spans="1:80" ht="16.5" customHeight="1">
      <c r="A214" s="54"/>
      <c r="B214" s="54"/>
      <c r="C214" s="54"/>
      <c r="D214" s="54"/>
      <c r="E214" s="54"/>
      <c r="F214" s="54"/>
      <c r="G214" s="54"/>
      <c r="H214" s="54"/>
      <c r="I214" s="54"/>
      <c r="J214" s="54"/>
      <c r="K214" s="54"/>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c r="AM214" s="52"/>
      <c r="AN214" s="52"/>
      <c r="AO214" s="52"/>
      <c r="AP214" s="52"/>
      <c r="AQ214" s="52"/>
      <c r="AR214" s="52"/>
      <c r="AS214" s="52"/>
      <c r="AT214" s="52"/>
      <c r="AU214" s="52"/>
      <c r="AV214" s="52"/>
      <c r="AW214" s="52"/>
      <c r="AX214" s="52"/>
      <c r="AY214" s="52"/>
      <c r="AZ214" s="52"/>
      <c r="BA214" s="52"/>
      <c r="BB214" s="52"/>
      <c r="BC214" s="52"/>
      <c r="BD214" s="52"/>
      <c r="BE214" s="52"/>
      <c r="BF214" s="54"/>
      <c r="BG214" s="54"/>
      <c r="BH214" s="54"/>
      <c r="BI214" s="54"/>
      <c r="BJ214" s="54"/>
      <c r="BK214" s="54"/>
      <c r="BL214" s="54"/>
      <c r="BM214" s="54"/>
      <c r="BN214" s="54"/>
      <c r="BO214" s="54"/>
      <c r="BP214" s="54"/>
      <c r="BQ214" s="54"/>
      <c r="BR214" s="54"/>
      <c r="BS214" s="54"/>
      <c r="BT214" s="54"/>
      <c r="BU214" s="54"/>
      <c r="BV214" s="54"/>
      <c r="BW214" s="54"/>
      <c r="BX214" s="54"/>
      <c r="BY214" s="54"/>
      <c r="BZ214" s="54"/>
      <c r="CA214" s="54"/>
      <c r="CB214" s="54"/>
    </row>
    <row r="215" spans="1:80" ht="16.5" customHeight="1">
      <c r="A215" s="54"/>
      <c r="B215" s="54"/>
      <c r="C215" s="54"/>
      <c r="D215" s="54"/>
      <c r="E215" s="54"/>
      <c r="F215" s="54"/>
      <c r="G215" s="54"/>
      <c r="H215" s="54"/>
      <c r="I215" s="54"/>
      <c r="J215" s="54"/>
      <c r="K215" s="54"/>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c r="AK215" s="52"/>
      <c r="AL215" s="52"/>
      <c r="AM215" s="52"/>
      <c r="AN215" s="52"/>
      <c r="AO215" s="52"/>
      <c r="AP215" s="52"/>
      <c r="AQ215" s="52"/>
      <c r="AR215" s="52"/>
      <c r="AS215" s="52"/>
      <c r="AT215" s="52"/>
      <c r="AU215" s="52"/>
      <c r="AV215" s="52"/>
      <c r="AW215" s="52"/>
      <c r="AX215" s="52"/>
      <c r="AY215" s="52"/>
      <c r="AZ215" s="52"/>
      <c r="BA215" s="52"/>
      <c r="BB215" s="52"/>
      <c r="BC215" s="52"/>
      <c r="BD215" s="52"/>
      <c r="BE215" s="52"/>
      <c r="BF215" s="54"/>
      <c r="BG215" s="54"/>
      <c r="BH215" s="54"/>
      <c r="BI215" s="54"/>
      <c r="BJ215" s="54"/>
      <c r="BK215" s="54"/>
      <c r="BL215" s="54"/>
      <c r="BM215" s="54"/>
      <c r="BN215" s="54"/>
      <c r="BO215" s="54"/>
      <c r="BP215" s="54"/>
      <c r="BQ215" s="54"/>
      <c r="BR215" s="54"/>
      <c r="BS215" s="54"/>
      <c r="BT215" s="54"/>
      <c r="BU215" s="54"/>
      <c r="BV215" s="54"/>
      <c r="BW215" s="54"/>
      <c r="BX215" s="54"/>
      <c r="BY215" s="54"/>
      <c r="BZ215" s="54"/>
      <c r="CA215" s="54"/>
      <c r="CB215" s="54"/>
    </row>
    <row r="216" spans="1:80" ht="16.5" customHeight="1">
      <c r="A216" s="54"/>
      <c r="B216" s="54"/>
      <c r="C216" s="54"/>
      <c r="D216" s="54"/>
      <c r="E216" s="54"/>
      <c r="F216" s="54"/>
      <c r="G216" s="54"/>
      <c r="H216" s="54"/>
      <c r="I216" s="54"/>
      <c r="J216" s="54"/>
      <c r="K216" s="54"/>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52"/>
      <c r="AL216" s="52"/>
      <c r="AM216" s="52"/>
      <c r="AN216" s="52"/>
      <c r="AO216" s="52"/>
      <c r="AP216" s="52"/>
      <c r="AQ216" s="52"/>
      <c r="AR216" s="52"/>
      <c r="AS216" s="52"/>
      <c r="AT216" s="52"/>
      <c r="AU216" s="52"/>
      <c r="AV216" s="52"/>
      <c r="AW216" s="52"/>
      <c r="AX216" s="52"/>
      <c r="AY216" s="52"/>
      <c r="AZ216" s="52"/>
      <c r="BA216" s="52"/>
      <c r="BB216" s="52"/>
      <c r="BC216" s="52"/>
      <c r="BD216" s="52"/>
      <c r="BE216" s="52"/>
      <c r="BF216" s="54"/>
      <c r="BG216" s="54"/>
      <c r="BH216" s="54"/>
      <c r="BI216" s="54"/>
      <c r="BJ216" s="54"/>
      <c r="BK216" s="54"/>
      <c r="BL216" s="54"/>
      <c r="BM216" s="54"/>
      <c r="BN216" s="54"/>
      <c r="BO216" s="54"/>
      <c r="BP216" s="54"/>
      <c r="BQ216" s="54"/>
      <c r="BR216" s="54"/>
      <c r="BS216" s="54"/>
      <c r="BT216" s="54"/>
      <c r="BU216" s="54"/>
      <c r="BV216" s="54"/>
      <c r="BW216" s="54"/>
      <c r="BX216" s="54"/>
      <c r="BY216" s="54"/>
      <c r="BZ216" s="54"/>
      <c r="CA216" s="54"/>
      <c r="CB216" s="54"/>
    </row>
    <row r="217" spans="1:80" ht="16.5" customHeight="1">
      <c r="A217" s="54"/>
      <c r="B217" s="54"/>
      <c r="C217" s="54"/>
      <c r="D217" s="54"/>
      <c r="E217" s="54"/>
      <c r="F217" s="54"/>
      <c r="G217" s="54"/>
      <c r="H217" s="54"/>
      <c r="I217" s="54"/>
      <c r="J217" s="54"/>
      <c r="K217" s="54"/>
      <c r="L217" s="52"/>
      <c r="M217" s="52"/>
      <c r="N217" s="52"/>
      <c r="O217" s="52"/>
      <c r="P217" s="52"/>
      <c r="Q217" s="52"/>
      <c r="R217" s="52"/>
      <c r="S217" s="52"/>
      <c r="T217" s="52"/>
      <c r="U217" s="52"/>
      <c r="V217" s="52"/>
      <c r="W217" s="52"/>
      <c r="X217" s="52"/>
      <c r="Y217" s="52"/>
      <c r="Z217" s="52"/>
      <c r="AA217" s="52"/>
      <c r="AB217" s="52"/>
      <c r="AC217" s="52"/>
      <c r="AD217" s="52"/>
      <c r="AE217" s="52"/>
      <c r="AF217" s="52"/>
      <c r="AG217" s="52"/>
      <c r="AH217" s="52"/>
      <c r="AI217" s="52"/>
      <c r="AJ217" s="52"/>
      <c r="AK217" s="52"/>
      <c r="AL217" s="52"/>
      <c r="AM217" s="52"/>
      <c r="AN217" s="52"/>
      <c r="AO217" s="52"/>
      <c r="AP217" s="52"/>
      <c r="AQ217" s="52"/>
      <c r="AR217" s="52"/>
      <c r="AS217" s="52"/>
      <c r="AT217" s="52"/>
      <c r="AU217" s="52"/>
      <c r="AV217" s="52"/>
      <c r="AW217" s="52"/>
      <c r="AX217" s="52"/>
      <c r="AY217" s="52"/>
      <c r="AZ217" s="52"/>
      <c r="BA217" s="52"/>
      <c r="BB217" s="52"/>
      <c r="BC217" s="52"/>
      <c r="BD217" s="52"/>
      <c r="BE217" s="52"/>
      <c r="BF217" s="54"/>
      <c r="BG217" s="54"/>
      <c r="BH217" s="54"/>
      <c r="BI217" s="54"/>
      <c r="BJ217" s="54"/>
      <c r="BK217" s="54"/>
      <c r="BL217" s="54"/>
      <c r="BM217" s="54"/>
      <c r="BN217" s="54"/>
      <c r="BO217" s="54"/>
      <c r="BP217" s="54"/>
      <c r="BQ217" s="54"/>
      <c r="BR217" s="54"/>
      <c r="BS217" s="54"/>
      <c r="BT217" s="54"/>
      <c r="BU217" s="54"/>
      <c r="BV217" s="54"/>
      <c r="BW217" s="54"/>
      <c r="BX217" s="54"/>
      <c r="BY217" s="54"/>
      <c r="BZ217" s="54"/>
      <c r="CA217" s="54"/>
      <c r="CB217" s="54"/>
    </row>
    <row r="218" spans="1:80" ht="16.5" customHeight="1">
      <c r="A218" s="54"/>
      <c r="B218" s="54"/>
      <c r="C218" s="54"/>
      <c r="D218" s="54"/>
      <c r="E218" s="54"/>
      <c r="F218" s="54"/>
      <c r="G218" s="54"/>
      <c r="H218" s="54"/>
      <c r="I218" s="54"/>
      <c r="J218" s="54"/>
      <c r="K218" s="54"/>
      <c r="L218" s="52"/>
      <c r="M218" s="52"/>
      <c r="N218" s="52"/>
      <c r="O218" s="52"/>
      <c r="P218" s="52"/>
      <c r="Q218" s="52"/>
      <c r="R218" s="52"/>
      <c r="S218" s="52"/>
      <c r="T218" s="52"/>
      <c r="U218" s="52"/>
      <c r="V218" s="52"/>
      <c r="W218" s="52"/>
      <c r="X218" s="52"/>
      <c r="Y218" s="52"/>
      <c r="Z218" s="52"/>
      <c r="AA218" s="52"/>
      <c r="AB218" s="52"/>
      <c r="AC218" s="52"/>
      <c r="AD218" s="52"/>
      <c r="AE218" s="52"/>
      <c r="AF218" s="52"/>
      <c r="AG218" s="52"/>
      <c r="AH218" s="52"/>
      <c r="AI218" s="52"/>
      <c r="AJ218" s="52"/>
      <c r="AK218" s="52"/>
      <c r="AL218" s="52"/>
      <c r="AM218" s="52"/>
      <c r="AN218" s="52"/>
      <c r="AO218" s="52"/>
      <c r="AP218" s="52"/>
      <c r="AQ218" s="52"/>
      <c r="AR218" s="52"/>
      <c r="AS218" s="52"/>
      <c r="AT218" s="52"/>
      <c r="AU218" s="52"/>
      <c r="AV218" s="52"/>
      <c r="AW218" s="52"/>
      <c r="AX218" s="52"/>
      <c r="AY218" s="52"/>
      <c r="AZ218" s="52"/>
      <c r="BA218" s="52"/>
      <c r="BB218" s="52"/>
      <c r="BC218" s="52"/>
      <c r="BD218" s="52"/>
      <c r="BE218" s="52"/>
      <c r="BF218" s="54"/>
      <c r="BG218" s="54"/>
      <c r="BH218" s="54"/>
      <c r="BI218" s="54"/>
      <c r="BJ218" s="54"/>
      <c r="BK218" s="54"/>
      <c r="BL218" s="54"/>
      <c r="BM218" s="54"/>
      <c r="BN218" s="54"/>
      <c r="BO218" s="54"/>
      <c r="BP218" s="54"/>
      <c r="BQ218" s="54"/>
      <c r="BR218" s="54"/>
      <c r="BS218" s="54"/>
      <c r="BT218" s="54"/>
      <c r="BU218" s="54"/>
      <c r="BV218" s="54"/>
      <c r="BW218" s="54"/>
      <c r="BX218" s="54"/>
      <c r="BY218" s="54"/>
      <c r="BZ218" s="54"/>
      <c r="CA218" s="54"/>
      <c r="CB218" s="54"/>
    </row>
    <row r="219" spans="1:80" ht="16.5" customHeight="1">
      <c r="A219" s="54"/>
      <c r="B219" s="54"/>
      <c r="C219" s="54"/>
      <c r="D219" s="54"/>
      <c r="E219" s="54"/>
      <c r="F219" s="54"/>
      <c r="G219" s="54"/>
      <c r="H219" s="54"/>
      <c r="I219" s="54"/>
      <c r="J219" s="54"/>
      <c r="K219" s="54"/>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52"/>
      <c r="AM219" s="52"/>
      <c r="AN219" s="52"/>
      <c r="AO219" s="52"/>
      <c r="AP219" s="52"/>
      <c r="AQ219" s="52"/>
      <c r="AR219" s="52"/>
      <c r="AS219" s="52"/>
      <c r="AT219" s="52"/>
      <c r="AU219" s="52"/>
      <c r="AV219" s="52"/>
      <c r="AW219" s="52"/>
      <c r="AX219" s="52"/>
      <c r="AY219" s="52"/>
      <c r="AZ219" s="52"/>
      <c r="BA219" s="52"/>
      <c r="BB219" s="52"/>
      <c r="BC219" s="52"/>
      <c r="BD219" s="52"/>
      <c r="BE219" s="52"/>
      <c r="BF219" s="54"/>
      <c r="BG219" s="54"/>
      <c r="BH219" s="54"/>
      <c r="BI219" s="54"/>
      <c r="BJ219" s="54"/>
      <c r="BK219" s="54"/>
      <c r="BL219" s="54"/>
      <c r="BM219" s="54"/>
      <c r="BN219" s="54"/>
      <c r="BO219" s="54"/>
      <c r="BP219" s="54"/>
      <c r="BQ219" s="54"/>
      <c r="BR219" s="54"/>
      <c r="BS219" s="54"/>
      <c r="BT219" s="54"/>
      <c r="BU219" s="54"/>
      <c r="BV219" s="54"/>
      <c r="BW219" s="54"/>
      <c r="BX219" s="54"/>
      <c r="BY219" s="54"/>
      <c r="BZ219" s="54"/>
      <c r="CA219" s="54"/>
      <c r="CB219" s="54"/>
    </row>
    <row r="220" spans="1:80" ht="16.5" customHeight="1">
      <c r="A220" s="54"/>
      <c r="B220" s="54"/>
      <c r="C220" s="54"/>
      <c r="D220" s="54"/>
      <c r="E220" s="54"/>
      <c r="F220" s="54"/>
      <c r="G220" s="54"/>
      <c r="H220" s="54"/>
      <c r="I220" s="54"/>
      <c r="J220" s="54"/>
      <c r="K220" s="54"/>
      <c r="L220" s="52"/>
      <c r="M220" s="52"/>
      <c r="N220" s="52"/>
      <c r="O220" s="52"/>
      <c r="P220" s="52"/>
      <c r="Q220" s="52"/>
      <c r="R220" s="52"/>
      <c r="S220" s="52"/>
      <c r="T220" s="52"/>
      <c r="U220" s="52"/>
      <c r="V220" s="52"/>
      <c r="W220" s="52"/>
      <c r="X220" s="52"/>
      <c r="Y220" s="52"/>
      <c r="Z220" s="52"/>
      <c r="AA220" s="52"/>
      <c r="AB220" s="52"/>
      <c r="AC220" s="52"/>
      <c r="AD220" s="52"/>
      <c r="AE220" s="52"/>
      <c r="AF220" s="52"/>
      <c r="AG220" s="52"/>
      <c r="AH220" s="52"/>
      <c r="AI220" s="52"/>
      <c r="AJ220" s="52"/>
      <c r="AK220" s="52"/>
      <c r="AL220" s="52"/>
      <c r="AM220" s="52"/>
      <c r="AN220" s="52"/>
      <c r="AO220" s="52"/>
      <c r="AP220" s="52"/>
      <c r="AQ220" s="52"/>
      <c r="AR220" s="52"/>
      <c r="AS220" s="52"/>
      <c r="AT220" s="52"/>
      <c r="AU220" s="52"/>
      <c r="AV220" s="52"/>
      <c r="AW220" s="52"/>
      <c r="AX220" s="52"/>
      <c r="AY220" s="52"/>
      <c r="AZ220" s="52"/>
      <c r="BA220" s="52"/>
      <c r="BB220" s="52"/>
      <c r="BC220" s="52"/>
      <c r="BD220" s="52"/>
      <c r="BE220" s="52"/>
      <c r="BF220" s="54"/>
      <c r="BG220" s="54"/>
      <c r="BH220" s="54"/>
      <c r="BI220" s="54"/>
      <c r="BJ220" s="54"/>
      <c r="BK220" s="54"/>
      <c r="BL220" s="54"/>
      <c r="BM220" s="54"/>
      <c r="BN220" s="54"/>
      <c r="BO220" s="54"/>
      <c r="BP220" s="54"/>
      <c r="BQ220" s="54"/>
      <c r="BR220" s="54"/>
      <c r="BS220" s="54"/>
      <c r="BT220" s="54"/>
      <c r="BU220" s="54"/>
      <c r="BV220" s="54"/>
      <c r="BW220" s="54"/>
      <c r="BX220" s="54"/>
      <c r="BY220" s="54"/>
      <c r="BZ220" s="54"/>
      <c r="CA220" s="54"/>
      <c r="CB220" s="54"/>
    </row>
    <row r="221" spans="1:80" ht="16.5" customHeight="1">
      <c r="A221" s="54"/>
      <c r="B221" s="54"/>
      <c r="C221" s="54"/>
      <c r="D221" s="54"/>
      <c r="E221" s="54"/>
      <c r="F221" s="54"/>
      <c r="G221" s="54"/>
      <c r="H221" s="54"/>
      <c r="I221" s="54"/>
      <c r="J221" s="54"/>
      <c r="K221" s="54"/>
      <c r="L221" s="52"/>
      <c r="M221" s="52"/>
      <c r="N221" s="52"/>
      <c r="O221" s="52"/>
      <c r="P221" s="52"/>
      <c r="Q221" s="52"/>
      <c r="R221" s="52"/>
      <c r="S221" s="52"/>
      <c r="T221" s="52"/>
      <c r="U221" s="52"/>
      <c r="V221" s="52"/>
      <c r="W221" s="52"/>
      <c r="X221" s="52"/>
      <c r="Y221" s="52"/>
      <c r="Z221" s="52"/>
      <c r="AA221" s="52"/>
      <c r="AB221" s="52"/>
      <c r="AC221" s="52"/>
      <c r="AD221" s="52"/>
      <c r="AE221" s="52"/>
      <c r="AF221" s="52"/>
      <c r="AG221" s="52"/>
      <c r="AH221" s="52"/>
      <c r="AI221" s="52"/>
      <c r="AJ221" s="52"/>
      <c r="AK221" s="52"/>
      <c r="AL221" s="52"/>
      <c r="AM221" s="52"/>
      <c r="AN221" s="52"/>
      <c r="AO221" s="52"/>
      <c r="AP221" s="52"/>
      <c r="AQ221" s="52"/>
      <c r="AR221" s="52"/>
      <c r="AS221" s="52"/>
      <c r="AT221" s="52"/>
      <c r="AU221" s="52"/>
      <c r="AV221" s="52"/>
      <c r="AW221" s="52"/>
      <c r="AX221" s="52"/>
      <c r="AY221" s="52"/>
      <c r="AZ221" s="52"/>
      <c r="BA221" s="52"/>
      <c r="BB221" s="52"/>
      <c r="BC221" s="52"/>
      <c r="BD221" s="52"/>
      <c r="BE221" s="52"/>
      <c r="BF221" s="54"/>
      <c r="BG221" s="54"/>
      <c r="BH221" s="54"/>
      <c r="BI221" s="54"/>
      <c r="BJ221" s="54"/>
      <c r="BK221" s="54"/>
      <c r="BL221" s="54"/>
      <c r="BM221" s="54"/>
      <c r="BN221" s="54"/>
      <c r="BO221" s="54"/>
      <c r="BP221" s="54"/>
      <c r="BQ221" s="54"/>
      <c r="BR221" s="54"/>
      <c r="BS221" s="54"/>
      <c r="BT221" s="54"/>
      <c r="BU221" s="54"/>
      <c r="BV221" s="54"/>
      <c r="BW221" s="54"/>
      <c r="BX221" s="54"/>
      <c r="BY221" s="54"/>
      <c r="BZ221" s="54"/>
      <c r="CA221" s="54"/>
      <c r="CB221" s="54"/>
    </row>
    <row r="222" spans="1:80" ht="16.5" customHeight="1">
      <c r="A222" s="54"/>
      <c r="B222" s="54"/>
      <c r="C222" s="54"/>
      <c r="D222" s="54"/>
      <c r="E222" s="54"/>
      <c r="F222" s="54"/>
      <c r="G222" s="54"/>
      <c r="H222" s="54"/>
      <c r="I222" s="54"/>
      <c r="J222" s="54"/>
      <c r="K222" s="54"/>
      <c r="L222" s="52"/>
      <c r="M222" s="52"/>
      <c r="N222" s="52"/>
      <c r="O222" s="52"/>
      <c r="P222" s="52"/>
      <c r="Q222" s="52"/>
      <c r="R222" s="52"/>
      <c r="S222" s="52"/>
      <c r="T222" s="52"/>
      <c r="U222" s="52"/>
      <c r="V222" s="52"/>
      <c r="W222" s="52"/>
      <c r="X222" s="52"/>
      <c r="Y222" s="52"/>
      <c r="Z222" s="52"/>
      <c r="AA222" s="52"/>
      <c r="AB222" s="52"/>
      <c r="AC222" s="52"/>
      <c r="AD222" s="52"/>
      <c r="AE222" s="52"/>
      <c r="AF222" s="52"/>
      <c r="AG222" s="52"/>
      <c r="AH222" s="52"/>
      <c r="AI222" s="52"/>
      <c r="AJ222" s="52"/>
      <c r="AK222" s="52"/>
      <c r="AL222" s="52"/>
      <c r="AM222" s="52"/>
      <c r="AN222" s="52"/>
      <c r="AO222" s="52"/>
      <c r="AP222" s="52"/>
      <c r="AQ222" s="52"/>
      <c r="AR222" s="52"/>
      <c r="AS222" s="52"/>
      <c r="AT222" s="52"/>
      <c r="AU222" s="52"/>
      <c r="AV222" s="52"/>
      <c r="AW222" s="52"/>
      <c r="AX222" s="52"/>
      <c r="AY222" s="52"/>
      <c r="AZ222" s="52"/>
      <c r="BA222" s="52"/>
      <c r="BB222" s="52"/>
      <c r="BC222" s="52"/>
      <c r="BD222" s="52"/>
      <c r="BE222" s="52"/>
      <c r="BF222" s="54"/>
      <c r="BG222" s="54"/>
      <c r="BH222" s="54"/>
      <c r="BI222" s="54"/>
      <c r="BJ222" s="54"/>
      <c r="BK222" s="54"/>
      <c r="BL222" s="54"/>
      <c r="BM222" s="54"/>
      <c r="BN222" s="54"/>
      <c r="BO222" s="54"/>
      <c r="BP222" s="54"/>
      <c r="BQ222" s="54"/>
      <c r="BR222" s="54"/>
      <c r="BS222" s="54"/>
      <c r="BT222" s="54"/>
      <c r="BU222" s="54"/>
      <c r="BV222" s="54"/>
      <c r="BW222" s="54"/>
      <c r="BX222" s="54"/>
      <c r="BY222" s="54"/>
      <c r="BZ222" s="54"/>
      <c r="CA222" s="54"/>
      <c r="CB222" s="54"/>
    </row>
    <row r="223" spans="1:80" ht="16.5" customHeight="1">
      <c r="A223" s="54"/>
      <c r="B223" s="54"/>
      <c r="C223" s="54"/>
      <c r="D223" s="54"/>
      <c r="E223" s="54"/>
      <c r="F223" s="54"/>
      <c r="G223" s="54"/>
      <c r="H223" s="54"/>
      <c r="I223" s="54"/>
      <c r="J223" s="54"/>
      <c r="K223" s="54"/>
      <c r="L223" s="52"/>
      <c r="M223" s="52"/>
      <c r="N223" s="52"/>
      <c r="O223" s="52"/>
      <c r="P223" s="52"/>
      <c r="Q223" s="52"/>
      <c r="R223" s="52"/>
      <c r="S223" s="52"/>
      <c r="T223" s="52"/>
      <c r="U223" s="52"/>
      <c r="V223" s="52"/>
      <c r="W223" s="52"/>
      <c r="X223" s="52"/>
      <c r="Y223" s="52"/>
      <c r="Z223" s="52"/>
      <c r="AA223" s="52"/>
      <c r="AB223" s="52"/>
      <c r="AC223" s="52"/>
      <c r="AD223" s="52"/>
      <c r="AE223" s="52"/>
      <c r="AF223" s="52"/>
      <c r="AG223" s="52"/>
      <c r="AH223" s="52"/>
      <c r="AI223" s="52"/>
      <c r="AJ223" s="52"/>
      <c r="AK223" s="52"/>
      <c r="AL223" s="52"/>
      <c r="AM223" s="52"/>
      <c r="AN223" s="52"/>
      <c r="AO223" s="52"/>
      <c r="AP223" s="52"/>
      <c r="AQ223" s="52"/>
      <c r="AR223" s="52"/>
      <c r="AS223" s="52"/>
      <c r="AT223" s="52"/>
      <c r="AU223" s="52"/>
      <c r="AV223" s="52"/>
      <c r="AW223" s="52"/>
      <c r="AX223" s="52"/>
      <c r="AY223" s="52"/>
      <c r="AZ223" s="52"/>
      <c r="BA223" s="52"/>
      <c r="BB223" s="52"/>
      <c r="BC223" s="52"/>
      <c r="BD223" s="52"/>
      <c r="BE223" s="52"/>
      <c r="BF223" s="54"/>
      <c r="BG223" s="54"/>
      <c r="BH223" s="54"/>
      <c r="BI223" s="54"/>
      <c r="BJ223" s="54"/>
      <c r="BK223" s="54"/>
      <c r="BL223" s="54"/>
      <c r="BM223" s="54"/>
      <c r="BN223" s="54"/>
      <c r="BO223" s="54"/>
      <c r="BP223" s="54"/>
      <c r="BQ223" s="54"/>
      <c r="BR223" s="54"/>
      <c r="BS223" s="54"/>
      <c r="BT223" s="54"/>
      <c r="BU223" s="54"/>
      <c r="BV223" s="54"/>
      <c r="BW223" s="54"/>
      <c r="BX223" s="54"/>
      <c r="BY223" s="54"/>
      <c r="BZ223" s="54"/>
      <c r="CA223" s="54"/>
      <c r="CB223" s="54"/>
    </row>
    <row r="224" spans="1:80" ht="16.5" customHeight="1">
      <c r="A224" s="54"/>
      <c r="B224" s="54"/>
      <c r="C224" s="54"/>
      <c r="D224" s="54"/>
      <c r="E224" s="54"/>
      <c r="F224" s="54"/>
      <c r="G224" s="54"/>
      <c r="H224" s="54"/>
      <c r="I224" s="54"/>
      <c r="J224" s="54"/>
      <c r="K224" s="54"/>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52"/>
      <c r="AM224" s="52"/>
      <c r="AN224" s="52"/>
      <c r="AO224" s="52"/>
      <c r="AP224" s="52"/>
      <c r="AQ224" s="52"/>
      <c r="AR224" s="52"/>
      <c r="AS224" s="52"/>
      <c r="AT224" s="52"/>
      <c r="AU224" s="52"/>
      <c r="AV224" s="52"/>
      <c r="AW224" s="52"/>
      <c r="AX224" s="52"/>
      <c r="AY224" s="52"/>
      <c r="AZ224" s="52"/>
      <c r="BA224" s="52"/>
      <c r="BB224" s="52"/>
      <c r="BC224" s="52"/>
      <c r="BD224" s="52"/>
      <c r="BE224" s="52"/>
      <c r="BF224" s="54"/>
      <c r="BG224" s="54"/>
      <c r="BH224" s="54"/>
      <c r="BI224" s="54"/>
      <c r="BJ224" s="54"/>
      <c r="BK224" s="54"/>
      <c r="BL224" s="54"/>
      <c r="BM224" s="54"/>
      <c r="BN224" s="54"/>
      <c r="BO224" s="54"/>
      <c r="BP224" s="54"/>
      <c r="BQ224" s="54"/>
      <c r="BR224" s="54"/>
      <c r="BS224" s="54"/>
      <c r="BT224" s="54"/>
      <c r="BU224" s="54"/>
      <c r="BV224" s="54"/>
      <c r="BW224" s="54"/>
      <c r="BX224" s="54"/>
      <c r="BY224" s="54"/>
      <c r="BZ224" s="54"/>
      <c r="CA224" s="54"/>
      <c r="CB224" s="54"/>
    </row>
    <row r="225" spans="1:80" ht="16.5" customHeight="1">
      <c r="A225" s="54"/>
      <c r="B225" s="54"/>
      <c r="C225" s="54"/>
      <c r="D225" s="54"/>
      <c r="E225" s="54"/>
      <c r="F225" s="54"/>
      <c r="G225" s="54"/>
      <c r="H225" s="54"/>
      <c r="I225" s="54"/>
      <c r="J225" s="54"/>
      <c r="K225" s="54"/>
      <c r="L225" s="52"/>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52"/>
      <c r="AM225" s="52"/>
      <c r="AN225" s="52"/>
      <c r="AO225" s="52"/>
      <c r="AP225" s="52"/>
      <c r="AQ225" s="52"/>
      <c r="AR225" s="52"/>
      <c r="AS225" s="52"/>
      <c r="AT225" s="52"/>
      <c r="AU225" s="52"/>
      <c r="AV225" s="52"/>
      <c r="AW225" s="52"/>
      <c r="AX225" s="52"/>
      <c r="AY225" s="52"/>
      <c r="AZ225" s="52"/>
      <c r="BA225" s="52"/>
      <c r="BB225" s="52"/>
      <c r="BC225" s="52"/>
      <c r="BD225" s="52"/>
      <c r="BE225" s="52"/>
      <c r="BF225" s="54"/>
      <c r="BG225" s="54"/>
      <c r="BH225" s="54"/>
      <c r="BI225" s="54"/>
      <c r="BJ225" s="54"/>
      <c r="BK225" s="54"/>
      <c r="BL225" s="54"/>
      <c r="BM225" s="54"/>
      <c r="BN225" s="54"/>
      <c r="BO225" s="54"/>
      <c r="BP225" s="54"/>
      <c r="BQ225" s="54"/>
      <c r="BR225" s="54"/>
      <c r="BS225" s="54"/>
      <c r="BT225" s="54"/>
      <c r="BU225" s="54"/>
      <c r="BV225" s="54"/>
      <c r="BW225" s="54"/>
      <c r="BX225" s="54"/>
      <c r="BY225" s="54"/>
      <c r="BZ225" s="54"/>
      <c r="CA225" s="54"/>
      <c r="CB225" s="54"/>
    </row>
    <row r="226" spans="1:80" ht="16.5" customHeight="1">
      <c r="A226" s="54"/>
      <c r="B226" s="54"/>
      <c r="C226" s="54"/>
      <c r="D226" s="54"/>
      <c r="E226" s="54"/>
      <c r="F226" s="54"/>
      <c r="G226" s="54"/>
      <c r="H226" s="54"/>
      <c r="I226" s="54"/>
      <c r="J226" s="54"/>
      <c r="K226" s="54"/>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52"/>
      <c r="AM226" s="52"/>
      <c r="AN226" s="52"/>
      <c r="AO226" s="52"/>
      <c r="AP226" s="52"/>
      <c r="AQ226" s="52"/>
      <c r="AR226" s="52"/>
      <c r="AS226" s="52"/>
      <c r="AT226" s="52"/>
      <c r="AU226" s="52"/>
      <c r="AV226" s="52"/>
      <c r="AW226" s="52"/>
      <c r="AX226" s="52"/>
      <c r="AY226" s="52"/>
      <c r="AZ226" s="52"/>
      <c r="BA226" s="52"/>
      <c r="BB226" s="52"/>
      <c r="BC226" s="52"/>
      <c r="BD226" s="52"/>
      <c r="BE226" s="52"/>
      <c r="BF226" s="54"/>
      <c r="BG226" s="54"/>
      <c r="BH226" s="54"/>
      <c r="BI226" s="54"/>
      <c r="BJ226" s="54"/>
      <c r="BK226" s="54"/>
      <c r="BL226" s="54"/>
      <c r="BM226" s="54"/>
      <c r="BN226" s="54"/>
      <c r="BO226" s="54"/>
      <c r="BP226" s="54"/>
      <c r="BQ226" s="54"/>
      <c r="BR226" s="54"/>
      <c r="BS226" s="54"/>
      <c r="BT226" s="54"/>
      <c r="BU226" s="54"/>
      <c r="BV226" s="54"/>
      <c r="BW226" s="54"/>
      <c r="BX226" s="54"/>
      <c r="BY226" s="54"/>
      <c r="BZ226" s="54"/>
      <c r="CA226" s="54"/>
      <c r="CB226" s="54"/>
    </row>
    <row r="227" spans="1:80" ht="16.5" customHeight="1">
      <c r="A227" s="54"/>
      <c r="B227" s="54"/>
      <c r="C227" s="54"/>
      <c r="D227" s="54"/>
      <c r="E227" s="54"/>
      <c r="F227" s="54"/>
      <c r="G227" s="54"/>
      <c r="H227" s="54"/>
      <c r="I227" s="54"/>
      <c r="J227" s="54"/>
      <c r="K227" s="54"/>
      <c r="L227" s="52"/>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52"/>
      <c r="AM227" s="52"/>
      <c r="AN227" s="52"/>
      <c r="AO227" s="52"/>
      <c r="AP227" s="52"/>
      <c r="AQ227" s="52"/>
      <c r="AR227" s="52"/>
      <c r="AS227" s="52"/>
      <c r="AT227" s="52"/>
      <c r="AU227" s="52"/>
      <c r="AV227" s="52"/>
      <c r="AW227" s="52"/>
      <c r="AX227" s="52"/>
      <c r="AY227" s="52"/>
      <c r="AZ227" s="52"/>
      <c r="BA227" s="52"/>
      <c r="BB227" s="52"/>
      <c r="BC227" s="52"/>
      <c r="BD227" s="52"/>
      <c r="BE227" s="52"/>
      <c r="BF227" s="54"/>
      <c r="BG227" s="54"/>
      <c r="BH227" s="54"/>
      <c r="BI227" s="54"/>
      <c r="BJ227" s="54"/>
      <c r="BK227" s="54"/>
      <c r="BL227" s="54"/>
      <c r="BM227" s="54"/>
      <c r="BN227" s="54"/>
      <c r="BO227" s="54"/>
      <c r="BP227" s="54"/>
      <c r="BQ227" s="54"/>
      <c r="BR227" s="54"/>
      <c r="BS227" s="54"/>
      <c r="BT227" s="54"/>
      <c r="BU227" s="54"/>
      <c r="BV227" s="54"/>
      <c r="BW227" s="54"/>
      <c r="BX227" s="54"/>
      <c r="BY227" s="54"/>
      <c r="BZ227" s="54"/>
      <c r="CA227" s="54"/>
      <c r="CB227" s="54"/>
    </row>
    <row r="228" spans="1:80" ht="16.5" customHeight="1">
      <c r="A228" s="54"/>
      <c r="B228" s="54"/>
      <c r="C228" s="54"/>
      <c r="D228" s="54"/>
      <c r="E228" s="54"/>
      <c r="F228" s="54"/>
      <c r="G228" s="54"/>
      <c r="H228" s="54"/>
      <c r="I228" s="54"/>
      <c r="J228" s="54"/>
      <c r="K228" s="54"/>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c r="AI228" s="52"/>
      <c r="AJ228" s="52"/>
      <c r="AK228" s="52"/>
      <c r="AL228" s="52"/>
      <c r="AM228" s="52"/>
      <c r="AN228" s="52"/>
      <c r="AO228" s="52"/>
      <c r="AP228" s="52"/>
      <c r="AQ228" s="52"/>
      <c r="AR228" s="52"/>
      <c r="AS228" s="52"/>
      <c r="AT228" s="52"/>
      <c r="AU228" s="52"/>
      <c r="AV228" s="52"/>
      <c r="AW228" s="52"/>
      <c r="AX228" s="52"/>
      <c r="AY228" s="52"/>
      <c r="AZ228" s="52"/>
      <c r="BA228" s="52"/>
      <c r="BB228" s="52"/>
      <c r="BC228" s="52"/>
      <c r="BD228" s="52"/>
      <c r="BE228" s="52"/>
      <c r="BF228" s="54"/>
      <c r="BG228" s="54"/>
      <c r="BH228" s="54"/>
      <c r="BI228" s="54"/>
      <c r="BJ228" s="54"/>
      <c r="BK228" s="54"/>
      <c r="BL228" s="54"/>
      <c r="BM228" s="54"/>
      <c r="BN228" s="54"/>
      <c r="BO228" s="54"/>
      <c r="BP228" s="54"/>
      <c r="BQ228" s="54"/>
      <c r="BR228" s="54"/>
      <c r="BS228" s="54"/>
      <c r="BT228" s="54"/>
      <c r="BU228" s="54"/>
      <c r="BV228" s="54"/>
      <c r="BW228" s="54"/>
      <c r="BX228" s="54"/>
      <c r="BY228" s="54"/>
      <c r="BZ228" s="54"/>
      <c r="CA228" s="54"/>
      <c r="CB228" s="54"/>
    </row>
    <row r="229" spans="1:80" ht="16.5" customHeight="1">
      <c r="A229" s="54"/>
      <c r="B229" s="54"/>
      <c r="C229" s="54"/>
      <c r="D229" s="54"/>
      <c r="E229" s="54"/>
      <c r="F229" s="54"/>
      <c r="G229" s="54"/>
      <c r="H229" s="54"/>
      <c r="I229" s="54"/>
      <c r="J229" s="54"/>
      <c r="K229" s="54"/>
      <c r="L229" s="52"/>
      <c r="M229" s="52"/>
      <c r="N229" s="52"/>
      <c r="O229" s="52"/>
      <c r="P229" s="52"/>
      <c r="Q229" s="52"/>
      <c r="R229" s="52"/>
      <c r="S229" s="52"/>
      <c r="T229" s="52"/>
      <c r="U229" s="52"/>
      <c r="V229" s="52"/>
      <c r="W229" s="52"/>
      <c r="X229" s="52"/>
      <c r="Y229" s="52"/>
      <c r="Z229" s="52"/>
      <c r="AA229" s="52"/>
      <c r="AB229" s="52"/>
      <c r="AC229" s="52"/>
      <c r="AD229" s="52"/>
      <c r="AE229" s="52"/>
      <c r="AF229" s="52"/>
      <c r="AG229" s="52"/>
      <c r="AH229" s="52"/>
      <c r="AI229" s="52"/>
      <c r="AJ229" s="52"/>
      <c r="AK229" s="52"/>
      <c r="AL229" s="52"/>
      <c r="AM229" s="52"/>
      <c r="AN229" s="52"/>
      <c r="AO229" s="52"/>
      <c r="AP229" s="52"/>
      <c r="AQ229" s="52"/>
      <c r="AR229" s="52"/>
      <c r="AS229" s="52"/>
      <c r="AT229" s="52"/>
      <c r="AU229" s="52"/>
      <c r="AV229" s="52"/>
      <c r="AW229" s="52"/>
      <c r="AX229" s="52"/>
      <c r="AY229" s="52"/>
      <c r="AZ229" s="52"/>
      <c r="BA229" s="52"/>
      <c r="BB229" s="52"/>
      <c r="BC229" s="52"/>
      <c r="BD229" s="52"/>
      <c r="BE229" s="52"/>
      <c r="BF229" s="54"/>
      <c r="BG229" s="54"/>
      <c r="BH229" s="54"/>
      <c r="BI229" s="54"/>
      <c r="BJ229" s="54"/>
      <c r="BK229" s="54"/>
      <c r="BL229" s="54"/>
      <c r="BM229" s="54"/>
      <c r="BN229" s="54"/>
      <c r="BO229" s="54"/>
      <c r="BP229" s="54"/>
      <c r="BQ229" s="54"/>
      <c r="BR229" s="54"/>
      <c r="BS229" s="54"/>
      <c r="BT229" s="54"/>
      <c r="BU229" s="54"/>
      <c r="BV229" s="54"/>
      <c r="BW229" s="54"/>
      <c r="BX229" s="54"/>
      <c r="BY229" s="54"/>
      <c r="BZ229" s="54"/>
      <c r="CA229" s="54"/>
      <c r="CB229" s="54"/>
    </row>
    <row r="230" spans="1:80" ht="16.5" customHeight="1">
      <c r="A230" s="54"/>
      <c r="B230" s="54"/>
      <c r="C230" s="54"/>
      <c r="D230" s="54"/>
      <c r="E230" s="54"/>
      <c r="F230" s="54"/>
      <c r="G230" s="54"/>
      <c r="H230" s="54"/>
      <c r="I230" s="54"/>
      <c r="J230" s="54"/>
      <c r="K230" s="54"/>
      <c r="L230" s="52"/>
      <c r="M230" s="52"/>
      <c r="N230" s="52"/>
      <c r="O230" s="52"/>
      <c r="P230" s="52"/>
      <c r="Q230" s="52"/>
      <c r="R230" s="52"/>
      <c r="S230" s="52"/>
      <c r="T230" s="52"/>
      <c r="U230" s="52"/>
      <c r="V230" s="52"/>
      <c r="W230" s="52"/>
      <c r="X230" s="52"/>
      <c r="Y230" s="52"/>
      <c r="Z230" s="52"/>
      <c r="AA230" s="52"/>
      <c r="AB230" s="52"/>
      <c r="AC230" s="52"/>
      <c r="AD230" s="52"/>
      <c r="AE230" s="52"/>
      <c r="AF230" s="52"/>
      <c r="AG230" s="52"/>
      <c r="AH230" s="52"/>
      <c r="AI230" s="52"/>
      <c r="AJ230" s="52"/>
      <c r="AK230" s="52"/>
      <c r="AL230" s="52"/>
      <c r="AM230" s="52"/>
      <c r="AN230" s="52"/>
      <c r="AO230" s="52"/>
      <c r="AP230" s="52"/>
      <c r="AQ230" s="52"/>
      <c r="AR230" s="52"/>
      <c r="AS230" s="52"/>
      <c r="AT230" s="52"/>
      <c r="AU230" s="52"/>
      <c r="AV230" s="52"/>
      <c r="AW230" s="52"/>
      <c r="AX230" s="52"/>
      <c r="AY230" s="52"/>
      <c r="AZ230" s="52"/>
      <c r="BA230" s="52"/>
      <c r="BB230" s="52"/>
      <c r="BC230" s="52"/>
      <c r="BD230" s="52"/>
      <c r="BE230" s="52"/>
      <c r="BF230" s="54"/>
      <c r="BG230" s="54"/>
      <c r="BH230" s="54"/>
      <c r="BI230" s="54"/>
      <c r="BJ230" s="54"/>
      <c r="BK230" s="54"/>
      <c r="BL230" s="54"/>
      <c r="BM230" s="54"/>
      <c r="BN230" s="54"/>
      <c r="BO230" s="54"/>
      <c r="BP230" s="54"/>
      <c r="BQ230" s="54"/>
      <c r="BR230" s="54"/>
      <c r="BS230" s="54"/>
      <c r="BT230" s="54"/>
      <c r="BU230" s="54"/>
      <c r="BV230" s="54"/>
      <c r="BW230" s="54"/>
      <c r="BX230" s="54"/>
      <c r="BY230" s="54"/>
      <c r="BZ230" s="54"/>
      <c r="CA230" s="54"/>
      <c r="CB230" s="54"/>
    </row>
    <row r="231" spans="1:80" ht="16.5" customHeight="1">
      <c r="A231" s="54"/>
      <c r="B231" s="54"/>
      <c r="C231" s="54"/>
      <c r="D231" s="54"/>
      <c r="E231" s="54"/>
      <c r="F231" s="54"/>
      <c r="G231" s="54"/>
      <c r="H231" s="54"/>
      <c r="I231" s="54"/>
      <c r="J231" s="54"/>
      <c r="K231" s="54"/>
      <c r="L231" s="52"/>
      <c r="M231" s="52"/>
      <c r="N231" s="52"/>
      <c r="O231" s="52"/>
      <c r="P231" s="52"/>
      <c r="Q231" s="52"/>
      <c r="R231" s="52"/>
      <c r="S231" s="52"/>
      <c r="T231" s="52"/>
      <c r="U231" s="52"/>
      <c r="V231" s="52"/>
      <c r="W231" s="52"/>
      <c r="X231" s="52"/>
      <c r="Y231" s="52"/>
      <c r="Z231" s="52"/>
      <c r="AA231" s="52"/>
      <c r="AB231" s="52"/>
      <c r="AC231" s="52"/>
      <c r="AD231" s="52"/>
      <c r="AE231" s="52"/>
      <c r="AF231" s="52"/>
      <c r="AG231" s="52"/>
      <c r="AH231" s="52"/>
      <c r="AI231" s="52"/>
      <c r="AJ231" s="52"/>
      <c r="AK231" s="52"/>
      <c r="AL231" s="52"/>
      <c r="AM231" s="52"/>
      <c r="AN231" s="52"/>
      <c r="AO231" s="52"/>
      <c r="AP231" s="52"/>
      <c r="AQ231" s="52"/>
      <c r="AR231" s="52"/>
      <c r="AS231" s="52"/>
      <c r="AT231" s="52"/>
      <c r="AU231" s="52"/>
      <c r="AV231" s="52"/>
      <c r="AW231" s="52"/>
      <c r="AX231" s="52"/>
      <c r="AY231" s="52"/>
      <c r="AZ231" s="52"/>
      <c r="BA231" s="52"/>
      <c r="BB231" s="52"/>
      <c r="BC231" s="52"/>
      <c r="BD231" s="52"/>
      <c r="BE231" s="52"/>
      <c r="BF231" s="54"/>
      <c r="BG231" s="54"/>
      <c r="BH231" s="54"/>
      <c r="BI231" s="54"/>
      <c r="BJ231" s="54"/>
      <c r="BK231" s="54"/>
      <c r="BL231" s="54"/>
      <c r="BM231" s="54"/>
      <c r="BN231" s="54"/>
      <c r="BO231" s="54"/>
      <c r="BP231" s="54"/>
      <c r="BQ231" s="54"/>
      <c r="BR231" s="54"/>
      <c r="BS231" s="54"/>
      <c r="BT231" s="54"/>
      <c r="BU231" s="54"/>
      <c r="BV231" s="54"/>
      <c r="BW231" s="54"/>
      <c r="BX231" s="54"/>
      <c r="BY231" s="54"/>
      <c r="BZ231" s="54"/>
      <c r="CA231" s="54"/>
      <c r="CB231" s="54"/>
    </row>
    <row r="232" spans="1:80" ht="16.5" customHeight="1">
      <c r="A232" s="54"/>
      <c r="B232" s="54"/>
      <c r="C232" s="54"/>
      <c r="D232" s="54"/>
      <c r="E232" s="54"/>
      <c r="F232" s="54"/>
      <c r="G232" s="54"/>
      <c r="H232" s="54"/>
      <c r="I232" s="54"/>
      <c r="J232" s="54"/>
      <c r="K232" s="54"/>
      <c r="L232" s="52"/>
      <c r="M232" s="52"/>
      <c r="N232" s="52"/>
      <c r="O232" s="52"/>
      <c r="P232" s="52"/>
      <c r="Q232" s="52"/>
      <c r="R232" s="52"/>
      <c r="S232" s="52"/>
      <c r="T232" s="52"/>
      <c r="U232" s="52"/>
      <c r="V232" s="52"/>
      <c r="W232" s="52"/>
      <c r="X232" s="52"/>
      <c r="Y232" s="52"/>
      <c r="Z232" s="52"/>
      <c r="AA232" s="52"/>
      <c r="AB232" s="52"/>
      <c r="AC232" s="52"/>
      <c r="AD232" s="52"/>
      <c r="AE232" s="52"/>
      <c r="AF232" s="52"/>
      <c r="AG232" s="52"/>
      <c r="AH232" s="52"/>
      <c r="AI232" s="52"/>
      <c r="AJ232" s="52"/>
      <c r="AK232" s="52"/>
      <c r="AL232" s="52"/>
      <c r="AM232" s="52"/>
      <c r="AN232" s="52"/>
      <c r="AO232" s="52"/>
      <c r="AP232" s="52"/>
      <c r="AQ232" s="52"/>
      <c r="AR232" s="52"/>
      <c r="AS232" s="52"/>
      <c r="AT232" s="52"/>
      <c r="AU232" s="52"/>
      <c r="AV232" s="52"/>
      <c r="AW232" s="52"/>
      <c r="AX232" s="52"/>
      <c r="AY232" s="52"/>
      <c r="AZ232" s="52"/>
      <c r="BA232" s="52"/>
      <c r="BB232" s="52"/>
      <c r="BC232" s="52"/>
      <c r="BD232" s="52"/>
      <c r="BE232" s="52"/>
      <c r="BF232" s="54"/>
      <c r="BG232" s="54"/>
      <c r="BH232" s="54"/>
      <c r="BI232" s="54"/>
      <c r="BJ232" s="54"/>
      <c r="BK232" s="54"/>
      <c r="BL232" s="54"/>
      <c r="BM232" s="54"/>
      <c r="BN232" s="54"/>
      <c r="BO232" s="54"/>
      <c r="BP232" s="54"/>
      <c r="BQ232" s="54"/>
      <c r="BR232" s="54"/>
      <c r="BS232" s="54"/>
      <c r="BT232" s="54"/>
      <c r="BU232" s="54"/>
      <c r="BV232" s="54"/>
      <c r="BW232" s="54"/>
      <c r="BX232" s="54"/>
      <c r="BY232" s="54"/>
      <c r="BZ232" s="54"/>
      <c r="CA232" s="54"/>
      <c r="CB232" s="54"/>
    </row>
    <row r="233" spans="1:80" ht="16.5" customHeight="1">
      <c r="A233" s="54"/>
      <c r="B233" s="54"/>
      <c r="C233" s="54"/>
      <c r="D233" s="54"/>
      <c r="E233" s="54"/>
      <c r="F233" s="54"/>
      <c r="G233" s="54"/>
      <c r="H233" s="54"/>
      <c r="I233" s="54"/>
      <c r="J233" s="54"/>
      <c r="K233" s="54"/>
      <c r="L233" s="52"/>
      <c r="M233" s="52"/>
      <c r="N233" s="52"/>
      <c r="O233" s="52"/>
      <c r="P233" s="52"/>
      <c r="Q233" s="52"/>
      <c r="R233" s="52"/>
      <c r="S233" s="52"/>
      <c r="T233" s="52"/>
      <c r="U233" s="52"/>
      <c r="V233" s="52"/>
      <c r="W233" s="52"/>
      <c r="X233" s="52"/>
      <c r="Y233" s="52"/>
      <c r="Z233" s="52"/>
      <c r="AA233" s="52"/>
      <c r="AB233" s="52"/>
      <c r="AC233" s="52"/>
      <c r="AD233" s="52"/>
      <c r="AE233" s="52"/>
      <c r="AF233" s="52"/>
      <c r="AG233" s="52"/>
      <c r="AH233" s="52"/>
      <c r="AI233" s="52"/>
      <c r="AJ233" s="52"/>
      <c r="AK233" s="52"/>
      <c r="AL233" s="52"/>
      <c r="AM233" s="52"/>
      <c r="AN233" s="52"/>
      <c r="AO233" s="52"/>
      <c r="AP233" s="52"/>
      <c r="AQ233" s="52"/>
      <c r="AR233" s="52"/>
      <c r="AS233" s="52"/>
      <c r="AT233" s="52"/>
      <c r="AU233" s="52"/>
      <c r="AV233" s="52"/>
      <c r="AW233" s="52"/>
      <c r="AX233" s="52"/>
      <c r="AY233" s="52"/>
      <c r="AZ233" s="52"/>
      <c r="BA233" s="52"/>
      <c r="BB233" s="52"/>
      <c r="BC233" s="52"/>
      <c r="BD233" s="52"/>
      <c r="BE233" s="52"/>
      <c r="BF233" s="54"/>
      <c r="BG233" s="54"/>
      <c r="BH233" s="54"/>
      <c r="BI233" s="54"/>
      <c r="BJ233" s="54"/>
      <c r="BK233" s="54"/>
      <c r="BL233" s="54"/>
      <c r="BM233" s="54"/>
      <c r="BN233" s="54"/>
      <c r="BO233" s="54"/>
      <c r="BP233" s="54"/>
      <c r="BQ233" s="54"/>
      <c r="BR233" s="54"/>
      <c r="BS233" s="54"/>
      <c r="BT233" s="54"/>
      <c r="BU233" s="54"/>
      <c r="BV233" s="54"/>
      <c r="BW233" s="54"/>
      <c r="BX233" s="54"/>
      <c r="BY233" s="54"/>
      <c r="BZ233" s="54"/>
      <c r="CA233" s="54"/>
      <c r="CB233" s="54"/>
    </row>
    <row r="234" spans="1:80" ht="16.5" customHeight="1">
      <c r="A234" s="54"/>
      <c r="B234" s="54"/>
      <c r="C234" s="54"/>
      <c r="D234" s="54"/>
      <c r="E234" s="54"/>
      <c r="F234" s="54"/>
      <c r="G234" s="54"/>
      <c r="H234" s="54"/>
      <c r="I234" s="54"/>
      <c r="J234" s="54"/>
      <c r="K234" s="54"/>
      <c r="L234" s="52"/>
      <c r="M234" s="52"/>
      <c r="N234" s="52"/>
      <c r="O234" s="52"/>
      <c r="P234" s="52"/>
      <c r="Q234" s="52"/>
      <c r="R234" s="52"/>
      <c r="S234" s="52"/>
      <c r="T234" s="52"/>
      <c r="U234" s="52"/>
      <c r="V234" s="52"/>
      <c r="W234" s="52"/>
      <c r="X234" s="52"/>
      <c r="Y234" s="52"/>
      <c r="Z234" s="52"/>
      <c r="AA234" s="52"/>
      <c r="AB234" s="52"/>
      <c r="AC234" s="52"/>
      <c r="AD234" s="52"/>
      <c r="AE234" s="52"/>
      <c r="AF234" s="52"/>
      <c r="AG234" s="52"/>
      <c r="AH234" s="52"/>
      <c r="AI234" s="52"/>
      <c r="AJ234" s="52"/>
      <c r="AK234" s="52"/>
      <c r="AL234" s="52"/>
      <c r="AM234" s="52"/>
      <c r="AN234" s="52"/>
      <c r="AO234" s="52"/>
      <c r="AP234" s="52"/>
      <c r="AQ234" s="52"/>
      <c r="AR234" s="52"/>
      <c r="AS234" s="52"/>
      <c r="AT234" s="52"/>
      <c r="AU234" s="52"/>
      <c r="AV234" s="52"/>
      <c r="AW234" s="52"/>
      <c r="AX234" s="52"/>
      <c r="AY234" s="52"/>
      <c r="AZ234" s="52"/>
      <c r="BA234" s="52"/>
      <c r="BB234" s="52"/>
      <c r="BC234" s="52"/>
      <c r="BD234" s="52"/>
      <c r="BE234" s="52"/>
      <c r="BF234" s="54"/>
      <c r="BG234" s="54"/>
      <c r="BH234" s="54"/>
      <c r="BI234" s="54"/>
      <c r="BJ234" s="54"/>
      <c r="BK234" s="54"/>
      <c r="BL234" s="54"/>
      <c r="BM234" s="54"/>
      <c r="BN234" s="54"/>
      <c r="BO234" s="54"/>
      <c r="BP234" s="54"/>
      <c r="BQ234" s="54"/>
      <c r="BR234" s="54"/>
      <c r="BS234" s="54"/>
      <c r="BT234" s="54"/>
      <c r="BU234" s="54"/>
      <c r="BV234" s="54"/>
      <c r="BW234" s="54"/>
      <c r="BX234" s="54"/>
      <c r="BY234" s="54"/>
      <c r="BZ234" s="54"/>
      <c r="CA234" s="54"/>
      <c r="CB234" s="54"/>
    </row>
    <row r="235" spans="1:80" ht="16.5" customHeight="1">
      <c r="A235" s="54"/>
      <c r="B235" s="54"/>
      <c r="C235" s="54"/>
      <c r="D235" s="54"/>
      <c r="E235" s="54"/>
      <c r="F235" s="54"/>
      <c r="G235" s="54"/>
      <c r="H235" s="54"/>
      <c r="I235" s="54"/>
      <c r="J235" s="54"/>
      <c r="K235" s="54"/>
      <c r="L235" s="52"/>
      <c r="M235" s="52"/>
      <c r="N235" s="52"/>
      <c r="O235" s="52"/>
      <c r="P235" s="52"/>
      <c r="Q235" s="52"/>
      <c r="R235" s="52"/>
      <c r="S235" s="52"/>
      <c r="T235" s="52"/>
      <c r="U235" s="52"/>
      <c r="V235" s="52"/>
      <c r="W235" s="52"/>
      <c r="X235" s="52"/>
      <c r="Y235" s="52"/>
      <c r="Z235" s="52"/>
      <c r="AA235" s="52"/>
      <c r="AB235" s="52"/>
      <c r="AC235" s="52"/>
      <c r="AD235" s="52"/>
      <c r="AE235" s="52"/>
      <c r="AF235" s="52"/>
      <c r="AG235" s="52"/>
      <c r="AH235" s="52"/>
      <c r="AI235" s="52"/>
      <c r="AJ235" s="52"/>
      <c r="AK235" s="52"/>
      <c r="AL235" s="52"/>
      <c r="AM235" s="52"/>
      <c r="AN235" s="52"/>
      <c r="AO235" s="52"/>
      <c r="AP235" s="52"/>
      <c r="AQ235" s="52"/>
      <c r="AR235" s="52"/>
      <c r="AS235" s="52"/>
      <c r="AT235" s="52"/>
      <c r="AU235" s="52"/>
      <c r="AV235" s="52"/>
      <c r="AW235" s="52"/>
      <c r="AX235" s="52"/>
      <c r="AY235" s="52"/>
      <c r="AZ235" s="52"/>
      <c r="BA235" s="52"/>
      <c r="BB235" s="52"/>
      <c r="BC235" s="52"/>
      <c r="BD235" s="52"/>
      <c r="BE235" s="52"/>
      <c r="BF235" s="54"/>
      <c r="BG235" s="54"/>
      <c r="BH235" s="54"/>
      <c r="BI235" s="54"/>
      <c r="BJ235" s="54"/>
      <c r="BK235" s="54"/>
      <c r="BL235" s="54"/>
      <c r="BM235" s="54"/>
      <c r="BN235" s="54"/>
      <c r="BO235" s="54"/>
      <c r="BP235" s="54"/>
      <c r="BQ235" s="54"/>
      <c r="BR235" s="54"/>
      <c r="BS235" s="54"/>
      <c r="BT235" s="54"/>
      <c r="BU235" s="54"/>
      <c r="BV235" s="54"/>
      <c r="BW235" s="54"/>
      <c r="BX235" s="54"/>
      <c r="BY235" s="54"/>
      <c r="BZ235" s="54"/>
      <c r="CA235" s="54"/>
      <c r="CB235" s="54"/>
    </row>
    <row r="236" spans="1:80" ht="16.5" customHeight="1">
      <c r="A236" s="54"/>
      <c r="B236" s="54"/>
      <c r="C236" s="54"/>
      <c r="D236" s="54"/>
      <c r="E236" s="54"/>
      <c r="F236" s="54"/>
      <c r="G236" s="54"/>
      <c r="H236" s="54"/>
      <c r="I236" s="54"/>
      <c r="J236" s="54"/>
      <c r="K236" s="54"/>
      <c r="L236" s="52"/>
      <c r="M236" s="52"/>
      <c r="N236" s="52"/>
      <c r="O236" s="52"/>
      <c r="P236" s="52"/>
      <c r="Q236" s="52"/>
      <c r="R236" s="52"/>
      <c r="S236" s="52"/>
      <c r="T236" s="52"/>
      <c r="U236" s="52"/>
      <c r="V236" s="52"/>
      <c r="W236" s="52"/>
      <c r="X236" s="52"/>
      <c r="Y236" s="52"/>
      <c r="Z236" s="52"/>
      <c r="AA236" s="52"/>
      <c r="AB236" s="52"/>
      <c r="AC236" s="52"/>
      <c r="AD236" s="52"/>
      <c r="AE236" s="52"/>
      <c r="AF236" s="52"/>
      <c r="AG236" s="52"/>
      <c r="AH236" s="52"/>
      <c r="AI236" s="52"/>
      <c r="AJ236" s="52"/>
      <c r="AK236" s="52"/>
      <c r="AL236" s="52"/>
      <c r="AM236" s="52"/>
      <c r="AN236" s="52"/>
      <c r="AO236" s="52"/>
      <c r="AP236" s="52"/>
      <c r="AQ236" s="52"/>
      <c r="AR236" s="52"/>
      <c r="AS236" s="52"/>
      <c r="AT236" s="52"/>
      <c r="AU236" s="52"/>
      <c r="AV236" s="52"/>
      <c r="AW236" s="52"/>
      <c r="AX236" s="52"/>
      <c r="AY236" s="52"/>
      <c r="AZ236" s="52"/>
      <c r="BA236" s="52"/>
      <c r="BB236" s="52"/>
      <c r="BC236" s="52"/>
      <c r="BD236" s="52"/>
      <c r="BE236" s="52"/>
      <c r="BF236" s="54"/>
      <c r="BG236" s="54"/>
      <c r="BH236" s="54"/>
      <c r="BI236" s="54"/>
      <c r="BJ236" s="54"/>
      <c r="BK236" s="54"/>
      <c r="BL236" s="54"/>
      <c r="BM236" s="54"/>
      <c r="BN236" s="54"/>
      <c r="BO236" s="54"/>
      <c r="BP236" s="54"/>
      <c r="BQ236" s="54"/>
      <c r="BR236" s="54"/>
      <c r="BS236" s="54"/>
      <c r="BT236" s="54"/>
      <c r="BU236" s="54"/>
      <c r="BV236" s="54"/>
      <c r="BW236" s="54"/>
      <c r="BX236" s="54"/>
      <c r="BY236" s="54"/>
      <c r="BZ236" s="54"/>
      <c r="CA236" s="54"/>
      <c r="CB236" s="54"/>
    </row>
    <row r="237" spans="1:80" ht="16.5" customHeight="1">
      <c r="A237" s="54"/>
      <c r="B237" s="54"/>
      <c r="C237" s="54"/>
      <c r="D237" s="54"/>
      <c r="E237" s="54"/>
      <c r="F237" s="54"/>
      <c r="G237" s="54"/>
      <c r="H237" s="54"/>
      <c r="I237" s="54"/>
      <c r="J237" s="54"/>
      <c r="K237" s="54"/>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52"/>
      <c r="AI237" s="52"/>
      <c r="AJ237" s="52"/>
      <c r="AK237" s="52"/>
      <c r="AL237" s="52"/>
      <c r="AM237" s="52"/>
      <c r="AN237" s="52"/>
      <c r="AO237" s="52"/>
      <c r="AP237" s="52"/>
      <c r="AQ237" s="52"/>
      <c r="AR237" s="52"/>
      <c r="AS237" s="52"/>
      <c r="AT237" s="52"/>
      <c r="AU237" s="52"/>
      <c r="AV237" s="52"/>
      <c r="AW237" s="52"/>
      <c r="AX237" s="52"/>
      <c r="AY237" s="52"/>
      <c r="AZ237" s="52"/>
      <c r="BA237" s="52"/>
      <c r="BB237" s="52"/>
      <c r="BC237" s="52"/>
      <c r="BD237" s="52"/>
      <c r="BE237" s="52"/>
      <c r="BF237" s="54"/>
      <c r="BG237" s="54"/>
      <c r="BH237" s="54"/>
      <c r="BI237" s="54"/>
      <c r="BJ237" s="54"/>
      <c r="BK237" s="54"/>
      <c r="BL237" s="54"/>
      <c r="BM237" s="54"/>
      <c r="BN237" s="54"/>
      <c r="BO237" s="54"/>
      <c r="BP237" s="54"/>
      <c r="BQ237" s="54"/>
      <c r="BR237" s="54"/>
      <c r="BS237" s="54"/>
      <c r="BT237" s="54"/>
      <c r="BU237" s="54"/>
      <c r="BV237" s="54"/>
      <c r="BW237" s="54"/>
      <c r="BX237" s="54"/>
      <c r="BY237" s="54"/>
      <c r="BZ237" s="54"/>
      <c r="CA237" s="54"/>
      <c r="CB237" s="54"/>
    </row>
    <row r="238" spans="1:80" ht="16.5" customHeight="1">
      <c r="A238" s="54"/>
      <c r="B238" s="54"/>
      <c r="C238" s="54"/>
      <c r="D238" s="54"/>
      <c r="E238" s="54"/>
      <c r="F238" s="54"/>
      <c r="G238" s="54"/>
      <c r="H238" s="54"/>
      <c r="I238" s="54"/>
      <c r="J238" s="54"/>
      <c r="K238" s="54"/>
      <c r="L238" s="52"/>
      <c r="M238" s="52"/>
      <c r="N238" s="52"/>
      <c r="O238" s="52"/>
      <c r="P238" s="52"/>
      <c r="Q238" s="52"/>
      <c r="R238" s="52"/>
      <c r="S238" s="52"/>
      <c r="T238" s="52"/>
      <c r="U238" s="52"/>
      <c r="V238" s="52"/>
      <c r="W238" s="52"/>
      <c r="X238" s="52"/>
      <c r="Y238" s="52"/>
      <c r="Z238" s="52"/>
      <c r="AA238" s="52"/>
      <c r="AB238" s="52"/>
      <c r="AC238" s="52"/>
      <c r="AD238" s="52"/>
      <c r="AE238" s="52"/>
      <c r="AF238" s="52"/>
      <c r="AG238" s="52"/>
      <c r="AH238" s="52"/>
      <c r="AI238" s="52"/>
      <c r="AJ238" s="52"/>
      <c r="AK238" s="52"/>
      <c r="AL238" s="52"/>
      <c r="AM238" s="52"/>
      <c r="AN238" s="52"/>
      <c r="AO238" s="52"/>
      <c r="AP238" s="52"/>
      <c r="AQ238" s="52"/>
      <c r="AR238" s="52"/>
      <c r="AS238" s="52"/>
      <c r="AT238" s="52"/>
      <c r="AU238" s="52"/>
      <c r="AV238" s="52"/>
      <c r="AW238" s="52"/>
      <c r="AX238" s="52"/>
      <c r="AY238" s="52"/>
      <c r="AZ238" s="52"/>
      <c r="BA238" s="52"/>
      <c r="BB238" s="52"/>
      <c r="BC238" s="52"/>
      <c r="BD238" s="52"/>
      <c r="BE238" s="52"/>
      <c r="BF238" s="54"/>
      <c r="BG238" s="54"/>
      <c r="BH238" s="54"/>
      <c r="BI238" s="54"/>
      <c r="BJ238" s="54"/>
      <c r="BK238" s="54"/>
      <c r="BL238" s="54"/>
      <c r="BM238" s="54"/>
      <c r="BN238" s="54"/>
      <c r="BO238" s="54"/>
      <c r="BP238" s="54"/>
      <c r="BQ238" s="54"/>
      <c r="BR238" s="54"/>
      <c r="BS238" s="54"/>
      <c r="BT238" s="54"/>
      <c r="BU238" s="54"/>
      <c r="BV238" s="54"/>
      <c r="BW238" s="54"/>
      <c r="BX238" s="54"/>
      <c r="BY238" s="54"/>
      <c r="BZ238" s="54"/>
      <c r="CA238" s="54"/>
      <c r="CB238" s="54"/>
    </row>
    <row r="239" spans="1:80" ht="16.5" customHeight="1">
      <c r="A239" s="54"/>
      <c r="B239" s="54"/>
      <c r="C239" s="54"/>
      <c r="D239" s="54"/>
      <c r="E239" s="54"/>
      <c r="F239" s="54"/>
      <c r="G239" s="54"/>
      <c r="H239" s="54"/>
      <c r="I239" s="54"/>
      <c r="J239" s="54"/>
      <c r="K239" s="54"/>
      <c r="L239" s="52"/>
      <c r="M239" s="52"/>
      <c r="N239" s="52"/>
      <c r="O239" s="52"/>
      <c r="P239" s="52"/>
      <c r="Q239" s="52"/>
      <c r="R239" s="52"/>
      <c r="S239" s="52"/>
      <c r="T239" s="52"/>
      <c r="U239" s="52"/>
      <c r="V239" s="52"/>
      <c r="W239" s="52"/>
      <c r="X239" s="52"/>
      <c r="Y239" s="52"/>
      <c r="Z239" s="52"/>
      <c r="AA239" s="52"/>
      <c r="AB239" s="52"/>
      <c r="AC239" s="52"/>
      <c r="AD239" s="52"/>
      <c r="AE239" s="52"/>
      <c r="AF239" s="52"/>
      <c r="AG239" s="52"/>
      <c r="AH239" s="52"/>
      <c r="AI239" s="52"/>
      <c r="AJ239" s="52"/>
      <c r="AK239" s="52"/>
      <c r="AL239" s="52"/>
      <c r="AM239" s="52"/>
      <c r="AN239" s="52"/>
      <c r="AO239" s="52"/>
      <c r="AP239" s="52"/>
      <c r="AQ239" s="52"/>
      <c r="AR239" s="52"/>
      <c r="AS239" s="52"/>
      <c r="AT239" s="52"/>
      <c r="AU239" s="52"/>
      <c r="AV239" s="52"/>
      <c r="AW239" s="52"/>
      <c r="AX239" s="52"/>
      <c r="AY239" s="52"/>
      <c r="AZ239" s="52"/>
      <c r="BA239" s="52"/>
      <c r="BB239" s="52"/>
      <c r="BC239" s="52"/>
      <c r="BD239" s="52"/>
      <c r="BE239" s="52"/>
      <c r="BF239" s="54"/>
      <c r="BG239" s="54"/>
      <c r="BH239" s="54"/>
      <c r="BI239" s="54"/>
      <c r="BJ239" s="54"/>
      <c r="BK239" s="54"/>
      <c r="BL239" s="54"/>
      <c r="BM239" s="54"/>
      <c r="BN239" s="54"/>
      <c r="BO239" s="54"/>
      <c r="BP239" s="54"/>
      <c r="BQ239" s="54"/>
      <c r="BR239" s="54"/>
      <c r="BS239" s="54"/>
      <c r="BT239" s="54"/>
      <c r="BU239" s="54"/>
      <c r="BV239" s="54"/>
      <c r="BW239" s="54"/>
      <c r="BX239" s="54"/>
      <c r="BY239" s="54"/>
      <c r="BZ239" s="54"/>
      <c r="CA239" s="54"/>
      <c r="CB239" s="54"/>
    </row>
    <row r="240" spans="1:80" ht="16.5" customHeight="1">
      <c r="A240" s="54"/>
      <c r="B240" s="54"/>
      <c r="C240" s="54"/>
      <c r="D240" s="54"/>
      <c r="E240" s="54"/>
      <c r="F240" s="54"/>
      <c r="G240" s="54"/>
      <c r="H240" s="54"/>
      <c r="I240" s="54"/>
      <c r="J240" s="54"/>
      <c r="K240" s="54"/>
      <c r="L240" s="52"/>
      <c r="M240" s="52"/>
      <c r="N240" s="52"/>
      <c r="O240" s="52"/>
      <c r="P240" s="52"/>
      <c r="Q240" s="52"/>
      <c r="R240" s="52"/>
      <c r="S240" s="52"/>
      <c r="T240" s="52"/>
      <c r="U240" s="52"/>
      <c r="V240" s="52"/>
      <c r="W240" s="52"/>
      <c r="X240" s="52"/>
      <c r="Y240" s="52"/>
      <c r="Z240" s="52"/>
      <c r="AA240" s="52"/>
      <c r="AB240" s="52"/>
      <c r="AC240" s="52"/>
      <c r="AD240" s="52"/>
      <c r="AE240" s="52"/>
      <c r="AF240" s="52"/>
      <c r="AG240" s="52"/>
      <c r="AH240" s="52"/>
      <c r="AI240" s="52"/>
      <c r="AJ240" s="52"/>
      <c r="AK240" s="52"/>
      <c r="AL240" s="52"/>
      <c r="AM240" s="52"/>
      <c r="AN240" s="52"/>
      <c r="AO240" s="52"/>
      <c r="AP240" s="52"/>
      <c r="AQ240" s="52"/>
      <c r="AR240" s="52"/>
      <c r="AS240" s="52"/>
      <c r="AT240" s="52"/>
      <c r="AU240" s="52"/>
      <c r="AV240" s="52"/>
      <c r="AW240" s="52"/>
      <c r="AX240" s="52"/>
      <c r="AY240" s="52"/>
      <c r="AZ240" s="52"/>
      <c r="BA240" s="52"/>
      <c r="BB240" s="52"/>
      <c r="BC240" s="52"/>
      <c r="BD240" s="52"/>
      <c r="BE240" s="52"/>
      <c r="BF240" s="54"/>
      <c r="BG240" s="54"/>
      <c r="BH240" s="54"/>
      <c r="BI240" s="54"/>
      <c r="BJ240" s="54"/>
      <c r="BK240" s="54"/>
      <c r="BL240" s="54"/>
      <c r="BM240" s="54"/>
      <c r="BN240" s="54"/>
      <c r="BO240" s="54"/>
      <c r="BP240" s="54"/>
      <c r="BQ240" s="54"/>
      <c r="BR240" s="54"/>
      <c r="BS240" s="54"/>
      <c r="BT240" s="54"/>
      <c r="BU240" s="54"/>
      <c r="BV240" s="54"/>
      <c r="BW240" s="54"/>
      <c r="BX240" s="54"/>
      <c r="BY240" s="54"/>
      <c r="BZ240" s="54"/>
      <c r="CA240" s="54"/>
      <c r="CB240" s="54"/>
    </row>
    <row r="241" spans="1:80" ht="16.5" customHeight="1">
      <c r="A241" s="54"/>
      <c r="B241" s="54"/>
      <c r="C241" s="54"/>
      <c r="D241" s="54"/>
      <c r="E241" s="54"/>
      <c r="F241" s="54"/>
      <c r="G241" s="54"/>
      <c r="H241" s="54"/>
      <c r="I241" s="54"/>
      <c r="J241" s="54"/>
      <c r="K241" s="54"/>
      <c r="L241" s="52"/>
      <c r="M241" s="52"/>
      <c r="N241" s="52"/>
      <c r="O241" s="52"/>
      <c r="P241" s="52"/>
      <c r="Q241" s="52"/>
      <c r="R241" s="52"/>
      <c r="S241" s="52"/>
      <c r="T241" s="52"/>
      <c r="U241" s="52"/>
      <c r="V241" s="52"/>
      <c r="W241" s="52"/>
      <c r="X241" s="52"/>
      <c r="Y241" s="52"/>
      <c r="Z241" s="52"/>
      <c r="AA241" s="52"/>
      <c r="AB241" s="52"/>
      <c r="AC241" s="52"/>
      <c r="AD241" s="52"/>
      <c r="AE241" s="52"/>
      <c r="AF241" s="52"/>
      <c r="AG241" s="52"/>
      <c r="AH241" s="52"/>
      <c r="AI241" s="52"/>
      <c r="AJ241" s="52"/>
      <c r="AK241" s="52"/>
      <c r="AL241" s="52"/>
      <c r="AM241" s="52"/>
      <c r="AN241" s="52"/>
      <c r="AO241" s="52"/>
      <c r="AP241" s="52"/>
      <c r="AQ241" s="52"/>
      <c r="AR241" s="52"/>
      <c r="AS241" s="52"/>
      <c r="AT241" s="52"/>
      <c r="AU241" s="52"/>
      <c r="AV241" s="52"/>
      <c r="AW241" s="52"/>
      <c r="AX241" s="52"/>
      <c r="AY241" s="52"/>
      <c r="AZ241" s="52"/>
      <c r="BA241" s="52"/>
      <c r="BB241" s="52"/>
      <c r="BC241" s="52"/>
      <c r="BD241" s="52"/>
      <c r="BE241" s="52"/>
      <c r="BF241" s="54"/>
      <c r="BG241" s="54"/>
      <c r="BH241" s="54"/>
      <c r="BI241" s="54"/>
      <c r="BJ241" s="54"/>
      <c r="BK241" s="54"/>
      <c r="BL241" s="54"/>
      <c r="BM241" s="54"/>
      <c r="BN241" s="54"/>
      <c r="BO241" s="54"/>
      <c r="BP241" s="54"/>
      <c r="BQ241" s="54"/>
      <c r="BR241" s="54"/>
      <c r="BS241" s="54"/>
      <c r="BT241" s="54"/>
      <c r="BU241" s="54"/>
      <c r="BV241" s="54"/>
      <c r="BW241" s="54"/>
      <c r="BX241" s="54"/>
      <c r="BY241" s="54"/>
      <c r="BZ241" s="54"/>
      <c r="CA241" s="54"/>
      <c r="CB241" s="54"/>
    </row>
    <row r="242" spans="1:80" ht="16.5" customHeight="1">
      <c r="A242" s="54"/>
      <c r="B242" s="54"/>
      <c r="C242" s="54"/>
      <c r="D242" s="54"/>
      <c r="E242" s="54"/>
      <c r="F242" s="54"/>
      <c r="G242" s="54"/>
      <c r="H242" s="54"/>
      <c r="I242" s="54"/>
      <c r="J242" s="54"/>
      <c r="K242" s="54"/>
      <c r="L242" s="52"/>
      <c r="M242" s="52"/>
      <c r="N242" s="52"/>
      <c r="O242" s="52"/>
      <c r="P242" s="52"/>
      <c r="Q242" s="52"/>
      <c r="R242" s="52"/>
      <c r="S242" s="52"/>
      <c r="T242" s="52"/>
      <c r="U242" s="52"/>
      <c r="V242" s="52"/>
      <c r="W242" s="52"/>
      <c r="X242" s="52"/>
      <c r="Y242" s="52"/>
      <c r="Z242" s="52"/>
      <c r="AA242" s="52"/>
      <c r="AB242" s="52"/>
      <c r="AC242" s="52"/>
      <c r="AD242" s="52"/>
      <c r="AE242" s="52"/>
      <c r="AF242" s="52"/>
      <c r="AG242" s="52"/>
      <c r="AH242" s="52"/>
      <c r="AI242" s="52"/>
      <c r="AJ242" s="52"/>
      <c r="AK242" s="52"/>
      <c r="AL242" s="52"/>
      <c r="AM242" s="52"/>
      <c r="AN242" s="52"/>
      <c r="AO242" s="52"/>
      <c r="AP242" s="52"/>
      <c r="AQ242" s="52"/>
      <c r="AR242" s="52"/>
      <c r="AS242" s="52"/>
      <c r="AT242" s="52"/>
      <c r="AU242" s="52"/>
      <c r="AV242" s="52"/>
      <c r="AW242" s="52"/>
      <c r="AX242" s="52"/>
      <c r="AY242" s="52"/>
      <c r="AZ242" s="52"/>
      <c r="BA242" s="52"/>
      <c r="BB242" s="52"/>
      <c r="BC242" s="52"/>
      <c r="BD242" s="52"/>
      <c r="BE242" s="52"/>
      <c r="BF242" s="54"/>
      <c r="BG242" s="54"/>
      <c r="BH242" s="54"/>
      <c r="BI242" s="54"/>
      <c r="BJ242" s="54"/>
      <c r="BK242" s="54"/>
      <c r="BL242" s="54"/>
      <c r="BM242" s="54"/>
      <c r="BN242" s="54"/>
      <c r="BO242" s="54"/>
      <c r="BP242" s="54"/>
      <c r="BQ242" s="54"/>
      <c r="BR242" s="54"/>
      <c r="BS242" s="54"/>
      <c r="BT242" s="54"/>
      <c r="BU242" s="54"/>
      <c r="BV242" s="54"/>
      <c r="BW242" s="54"/>
      <c r="BX242" s="54"/>
      <c r="BY242" s="54"/>
      <c r="BZ242" s="54"/>
      <c r="CA242" s="54"/>
      <c r="CB242" s="54"/>
    </row>
    <row r="243" spans="1:80" ht="16.5" customHeight="1">
      <c r="A243" s="54"/>
      <c r="B243" s="54"/>
      <c r="C243" s="54"/>
      <c r="D243" s="54"/>
      <c r="E243" s="54"/>
      <c r="F243" s="54"/>
      <c r="G243" s="54"/>
      <c r="H243" s="54"/>
      <c r="I243" s="54"/>
      <c r="J243" s="54"/>
      <c r="K243" s="54"/>
      <c r="L243" s="52"/>
      <c r="M243" s="52"/>
      <c r="N243" s="52"/>
      <c r="O243" s="52"/>
      <c r="P243" s="52"/>
      <c r="Q243" s="52"/>
      <c r="R243" s="52"/>
      <c r="S243" s="52"/>
      <c r="T243" s="52"/>
      <c r="U243" s="52"/>
      <c r="V243" s="52"/>
      <c r="W243" s="52"/>
      <c r="X243" s="52"/>
      <c r="Y243" s="52"/>
      <c r="Z243" s="52"/>
      <c r="AA243" s="52"/>
      <c r="AB243" s="52"/>
      <c r="AC243" s="52"/>
      <c r="AD243" s="52"/>
      <c r="AE243" s="52"/>
      <c r="AF243" s="52"/>
      <c r="AG243" s="52"/>
      <c r="AH243" s="52"/>
      <c r="AI243" s="52"/>
      <c r="AJ243" s="52"/>
      <c r="AK243" s="52"/>
      <c r="AL243" s="52"/>
      <c r="AM243" s="52"/>
      <c r="AN243" s="52"/>
      <c r="AO243" s="52"/>
      <c r="AP243" s="52"/>
      <c r="AQ243" s="52"/>
      <c r="AR243" s="52"/>
      <c r="AS243" s="52"/>
      <c r="AT243" s="52"/>
      <c r="AU243" s="52"/>
      <c r="AV243" s="52"/>
      <c r="AW243" s="52"/>
      <c r="AX243" s="52"/>
      <c r="AY243" s="52"/>
      <c r="AZ243" s="52"/>
      <c r="BA243" s="52"/>
      <c r="BB243" s="52"/>
      <c r="BC243" s="52"/>
      <c r="BD243" s="52"/>
      <c r="BE243" s="52"/>
      <c r="BF243" s="54"/>
      <c r="BG243" s="54"/>
      <c r="BH243" s="54"/>
      <c r="BI243" s="54"/>
      <c r="BJ243" s="54"/>
      <c r="BK243" s="54"/>
      <c r="BL243" s="54"/>
      <c r="BM243" s="54"/>
      <c r="BN243" s="54"/>
      <c r="BO243" s="54"/>
      <c r="BP243" s="54"/>
      <c r="BQ243" s="54"/>
      <c r="BR243" s="54"/>
      <c r="BS243" s="54"/>
      <c r="BT243" s="54"/>
      <c r="BU243" s="54"/>
      <c r="BV243" s="54"/>
      <c r="BW243" s="54"/>
      <c r="BX243" s="54"/>
      <c r="BY243" s="54"/>
      <c r="BZ243" s="54"/>
      <c r="CA243" s="54"/>
      <c r="CB243" s="54"/>
    </row>
    <row r="244" spans="1:80" ht="16.5" customHeight="1">
      <c r="A244" s="54"/>
      <c r="B244" s="54"/>
      <c r="C244" s="54"/>
      <c r="D244" s="54"/>
      <c r="E244" s="54"/>
      <c r="F244" s="54"/>
      <c r="G244" s="54"/>
      <c r="H244" s="54"/>
      <c r="I244" s="54"/>
      <c r="J244" s="54"/>
      <c r="K244" s="54"/>
      <c r="L244" s="52"/>
      <c r="M244" s="52"/>
      <c r="N244" s="52"/>
      <c r="O244" s="52"/>
      <c r="P244" s="52"/>
      <c r="Q244" s="52"/>
      <c r="R244" s="52"/>
      <c r="S244" s="52"/>
      <c r="T244" s="52"/>
      <c r="U244" s="52"/>
      <c r="V244" s="52"/>
      <c r="W244" s="52"/>
      <c r="X244" s="52"/>
      <c r="Y244" s="52"/>
      <c r="Z244" s="52"/>
      <c r="AA244" s="52"/>
      <c r="AB244" s="52"/>
      <c r="AC244" s="52"/>
      <c r="AD244" s="52"/>
      <c r="AE244" s="52"/>
      <c r="AF244" s="52"/>
      <c r="AG244" s="52"/>
      <c r="AH244" s="52"/>
      <c r="AI244" s="52"/>
      <c r="AJ244" s="52"/>
      <c r="AK244" s="52"/>
      <c r="AL244" s="52"/>
      <c r="AM244" s="52"/>
      <c r="AN244" s="52"/>
      <c r="AO244" s="52"/>
      <c r="AP244" s="52"/>
      <c r="AQ244" s="52"/>
      <c r="AR244" s="52"/>
      <c r="AS244" s="52"/>
      <c r="AT244" s="52"/>
      <c r="AU244" s="52"/>
      <c r="AV244" s="52"/>
      <c r="AW244" s="52"/>
      <c r="AX244" s="52"/>
      <c r="AY244" s="52"/>
      <c r="AZ244" s="52"/>
      <c r="BA244" s="52"/>
      <c r="BB244" s="52"/>
      <c r="BC244" s="52"/>
      <c r="BD244" s="52"/>
      <c r="BE244" s="52"/>
      <c r="BF244" s="54"/>
      <c r="BG244" s="54"/>
      <c r="BH244" s="54"/>
      <c r="BI244" s="54"/>
      <c r="BJ244" s="54"/>
      <c r="BK244" s="54"/>
      <c r="BL244" s="54"/>
      <c r="BM244" s="54"/>
      <c r="BN244" s="54"/>
      <c r="BO244" s="54"/>
      <c r="BP244" s="54"/>
      <c r="BQ244" s="54"/>
      <c r="BR244" s="54"/>
      <c r="BS244" s="54"/>
      <c r="BT244" s="54"/>
      <c r="BU244" s="54"/>
      <c r="BV244" s="54"/>
      <c r="BW244" s="54"/>
      <c r="BX244" s="54"/>
      <c r="BY244" s="54"/>
      <c r="BZ244" s="54"/>
      <c r="CA244" s="54"/>
      <c r="CB244" s="54"/>
    </row>
    <row r="245" spans="1:80" ht="16.5" customHeight="1">
      <c r="A245" s="54"/>
      <c r="B245" s="54"/>
      <c r="C245" s="54"/>
      <c r="D245" s="54"/>
      <c r="E245" s="54"/>
      <c r="F245" s="54"/>
      <c r="G245" s="54"/>
      <c r="H245" s="54"/>
      <c r="I245" s="54"/>
      <c r="J245" s="54"/>
      <c r="K245" s="54"/>
      <c r="L245" s="52"/>
      <c r="M245" s="52"/>
      <c r="N245" s="52"/>
      <c r="O245" s="52"/>
      <c r="P245" s="52"/>
      <c r="Q245" s="52"/>
      <c r="R245" s="52"/>
      <c r="S245" s="52"/>
      <c r="T245" s="52"/>
      <c r="U245" s="52"/>
      <c r="V245" s="52"/>
      <c r="W245" s="52"/>
      <c r="X245" s="52"/>
      <c r="Y245" s="52"/>
      <c r="Z245" s="52"/>
      <c r="AA245" s="52"/>
      <c r="AB245" s="52"/>
      <c r="AC245" s="52"/>
      <c r="AD245" s="52"/>
      <c r="AE245" s="52"/>
      <c r="AF245" s="52"/>
      <c r="AG245" s="52"/>
      <c r="AH245" s="52"/>
      <c r="AI245" s="52"/>
      <c r="AJ245" s="52"/>
      <c r="AK245" s="52"/>
      <c r="AL245" s="52"/>
      <c r="AM245" s="52"/>
      <c r="AN245" s="52"/>
      <c r="AO245" s="52"/>
      <c r="AP245" s="52"/>
      <c r="AQ245" s="52"/>
      <c r="AR245" s="52"/>
      <c r="AS245" s="52"/>
      <c r="AT245" s="52"/>
      <c r="AU245" s="52"/>
      <c r="AV245" s="52"/>
      <c r="AW245" s="52"/>
      <c r="AX245" s="52"/>
      <c r="AY245" s="52"/>
      <c r="AZ245" s="52"/>
      <c r="BA245" s="52"/>
      <c r="BB245" s="52"/>
      <c r="BC245" s="52"/>
      <c r="BD245" s="52"/>
      <c r="BE245" s="52"/>
      <c r="BF245" s="54"/>
      <c r="BG245" s="54"/>
      <c r="BH245" s="54"/>
      <c r="BI245" s="54"/>
      <c r="BJ245" s="54"/>
      <c r="BK245" s="54"/>
      <c r="BL245" s="54"/>
      <c r="BM245" s="54"/>
      <c r="BN245" s="54"/>
      <c r="BO245" s="54"/>
      <c r="BP245" s="54"/>
      <c r="BQ245" s="54"/>
      <c r="BR245" s="54"/>
      <c r="BS245" s="54"/>
      <c r="BT245" s="54"/>
      <c r="BU245" s="54"/>
      <c r="BV245" s="54"/>
      <c r="BW245" s="54"/>
      <c r="BX245" s="54"/>
      <c r="BY245" s="54"/>
      <c r="BZ245" s="54"/>
      <c r="CA245" s="54"/>
      <c r="CB245" s="54"/>
    </row>
    <row r="246" spans="1:80" ht="16.5" customHeight="1">
      <c r="A246" s="54"/>
      <c r="B246" s="54"/>
      <c r="C246" s="54"/>
      <c r="D246" s="54"/>
      <c r="E246" s="54"/>
      <c r="F246" s="54"/>
      <c r="G246" s="54"/>
      <c r="H246" s="54"/>
      <c r="I246" s="54"/>
      <c r="J246" s="54"/>
      <c r="K246" s="54"/>
      <c r="L246" s="52"/>
      <c r="M246" s="52"/>
      <c r="N246" s="52"/>
      <c r="O246" s="52"/>
      <c r="P246" s="52"/>
      <c r="Q246" s="52"/>
      <c r="R246" s="52"/>
      <c r="S246" s="52"/>
      <c r="T246" s="52"/>
      <c r="U246" s="52"/>
      <c r="V246" s="52"/>
      <c r="W246" s="52"/>
      <c r="X246" s="52"/>
      <c r="Y246" s="52"/>
      <c r="Z246" s="52"/>
      <c r="AA246" s="52"/>
      <c r="AB246" s="52"/>
      <c r="AC246" s="52"/>
      <c r="AD246" s="52"/>
      <c r="AE246" s="52"/>
      <c r="AF246" s="52"/>
      <c r="AG246" s="52"/>
      <c r="AH246" s="52"/>
      <c r="AI246" s="52"/>
      <c r="AJ246" s="52"/>
      <c r="AK246" s="52"/>
      <c r="AL246" s="52"/>
      <c r="AM246" s="52"/>
      <c r="AN246" s="52"/>
      <c r="AO246" s="52"/>
      <c r="AP246" s="52"/>
      <c r="AQ246" s="52"/>
      <c r="AR246" s="52"/>
      <c r="AS246" s="52"/>
      <c r="AT246" s="52"/>
      <c r="AU246" s="52"/>
      <c r="AV246" s="52"/>
      <c r="AW246" s="52"/>
      <c r="AX246" s="52"/>
      <c r="AY246" s="52"/>
      <c r="AZ246" s="52"/>
      <c r="BA246" s="52"/>
      <c r="BB246" s="52"/>
      <c r="BC246" s="52"/>
      <c r="BD246" s="52"/>
      <c r="BE246" s="52"/>
      <c r="BF246" s="54"/>
      <c r="BG246" s="54"/>
      <c r="BH246" s="54"/>
      <c r="BI246" s="54"/>
      <c r="BJ246" s="54"/>
      <c r="BK246" s="54"/>
      <c r="BL246" s="54"/>
      <c r="BM246" s="54"/>
      <c r="BN246" s="54"/>
      <c r="BO246" s="54"/>
      <c r="BP246" s="54"/>
      <c r="BQ246" s="54"/>
      <c r="BR246" s="54"/>
      <c r="BS246" s="54"/>
      <c r="BT246" s="54"/>
      <c r="BU246" s="54"/>
      <c r="BV246" s="54"/>
      <c r="BW246" s="54"/>
      <c r="BX246" s="54"/>
      <c r="BY246" s="54"/>
      <c r="BZ246" s="54"/>
      <c r="CA246" s="54"/>
      <c r="CB246" s="54"/>
    </row>
    <row r="247" spans="1:80" ht="16.5" customHeight="1">
      <c r="A247" s="54"/>
      <c r="B247" s="54"/>
      <c r="C247" s="54"/>
      <c r="D247" s="54"/>
      <c r="E247" s="54"/>
      <c r="F247" s="54"/>
      <c r="G247" s="54"/>
      <c r="H247" s="54"/>
      <c r="I247" s="54"/>
      <c r="J247" s="54"/>
      <c r="K247" s="54"/>
      <c r="L247" s="52"/>
      <c r="M247" s="52"/>
      <c r="N247" s="52"/>
      <c r="O247" s="52"/>
      <c r="P247" s="52"/>
      <c r="Q247" s="52"/>
      <c r="R247" s="52"/>
      <c r="S247" s="52"/>
      <c r="T247" s="52"/>
      <c r="U247" s="52"/>
      <c r="V247" s="52"/>
      <c r="W247" s="52"/>
      <c r="X247" s="52"/>
      <c r="Y247" s="52"/>
      <c r="Z247" s="52"/>
      <c r="AA247" s="52"/>
      <c r="AB247" s="52"/>
      <c r="AC247" s="52"/>
      <c r="AD247" s="52"/>
      <c r="AE247" s="52"/>
      <c r="AF247" s="52"/>
      <c r="AG247" s="52"/>
      <c r="AH247" s="52"/>
      <c r="AI247" s="52"/>
      <c r="AJ247" s="52"/>
      <c r="AK247" s="52"/>
      <c r="AL247" s="52"/>
      <c r="AM247" s="52"/>
      <c r="AN247" s="52"/>
      <c r="AO247" s="52"/>
      <c r="AP247" s="52"/>
      <c r="AQ247" s="52"/>
      <c r="AR247" s="52"/>
      <c r="AS247" s="52"/>
      <c r="AT247" s="52"/>
      <c r="AU247" s="52"/>
      <c r="AV247" s="52"/>
      <c r="AW247" s="52"/>
      <c r="AX247" s="52"/>
      <c r="AY247" s="52"/>
      <c r="AZ247" s="52"/>
      <c r="BA247" s="52"/>
      <c r="BB247" s="52"/>
      <c r="BC247" s="52"/>
      <c r="BD247" s="52"/>
      <c r="BE247" s="52"/>
      <c r="BF247" s="54"/>
      <c r="BG247" s="54"/>
      <c r="BH247" s="54"/>
      <c r="BI247" s="54"/>
      <c r="BJ247" s="54"/>
      <c r="BK247" s="54"/>
      <c r="BL247" s="54"/>
      <c r="BM247" s="54"/>
      <c r="BN247" s="54"/>
      <c r="BO247" s="54"/>
      <c r="BP247" s="54"/>
      <c r="BQ247" s="54"/>
      <c r="BR247" s="54"/>
      <c r="BS247" s="54"/>
      <c r="BT247" s="54"/>
      <c r="BU247" s="54"/>
      <c r="BV247" s="54"/>
      <c r="BW247" s="54"/>
      <c r="BX247" s="54"/>
      <c r="BY247" s="54"/>
      <c r="BZ247" s="54"/>
      <c r="CA247" s="54"/>
      <c r="CB247" s="54"/>
    </row>
    <row r="248" spans="1:80" ht="16.5" customHeight="1">
      <c r="A248" s="54"/>
      <c r="B248" s="54"/>
      <c r="C248" s="54"/>
      <c r="D248" s="54"/>
      <c r="E248" s="54"/>
      <c r="F248" s="54"/>
      <c r="G248" s="54"/>
      <c r="H248" s="54"/>
      <c r="I248" s="54"/>
      <c r="J248" s="54"/>
      <c r="K248" s="54"/>
      <c r="L248" s="52"/>
      <c r="M248" s="52"/>
      <c r="N248" s="52"/>
      <c r="O248" s="52"/>
      <c r="P248" s="52"/>
      <c r="Q248" s="52"/>
      <c r="R248" s="52"/>
      <c r="S248" s="52"/>
      <c r="T248" s="52"/>
      <c r="U248" s="52"/>
      <c r="V248" s="52"/>
      <c r="W248" s="52"/>
      <c r="X248" s="52"/>
      <c r="Y248" s="52"/>
      <c r="Z248" s="52"/>
      <c r="AA248" s="52"/>
      <c r="AB248" s="52"/>
      <c r="AC248" s="52"/>
      <c r="AD248" s="52"/>
      <c r="AE248" s="52"/>
      <c r="AF248" s="52"/>
      <c r="AG248" s="52"/>
      <c r="AH248" s="52"/>
      <c r="AI248" s="52"/>
      <c r="AJ248" s="52"/>
      <c r="AK248" s="52"/>
      <c r="AL248" s="52"/>
      <c r="AM248" s="52"/>
      <c r="AN248" s="52"/>
      <c r="AO248" s="52"/>
      <c r="AP248" s="52"/>
      <c r="AQ248" s="52"/>
      <c r="AR248" s="52"/>
      <c r="AS248" s="52"/>
      <c r="AT248" s="52"/>
      <c r="AU248" s="52"/>
      <c r="AV248" s="52"/>
      <c r="AW248" s="52"/>
      <c r="AX248" s="52"/>
      <c r="AY248" s="52"/>
      <c r="AZ248" s="52"/>
      <c r="BA248" s="52"/>
      <c r="BB248" s="52"/>
      <c r="BC248" s="52"/>
      <c r="BD248" s="52"/>
      <c r="BE248" s="52"/>
      <c r="BF248" s="54"/>
      <c r="BG248" s="54"/>
      <c r="BH248" s="54"/>
      <c r="BI248" s="54"/>
      <c r="BJ248" s="54"/>
      <c r="BK248" s="54"/>
      <c r="BL248" s="54"/>
      <c r="BM248" s="54"/>
      <c r="BN248" s="54"/>
      <c r="BO248" s="54"/>
      <c r="BP248" s="54"/>
      <c r="BQ248" s="54"/>
      <c r="BR248" s="54"/>
      <c r="BS248" s="54"/>
      <c r="BT248" s="54"/>
      <c r="BU248" s="54"/>
      <c r="BV248" s="54"/>
      <c r="BW248" s="54"/>
      <c r="BX248" s="54"/>
      <c r="BY248" s="54"/>
      <c r="BZ248" s="54"/>
      <c r="CA248" s="54"/>
      <c r="CB248" s="54"/>
    </row>
    <row r="249" spans="1:80" ht="16.5" customHeight="1">
      <c r="A249" s="54"/>
      <c r="B249" s="54"/>
      <c r="C249" s="54"/>
      <c r="D249" s="54"/>
      <c r="E249" s="54"/>
      <c r="F249" s="54"/>
      <c r="G249" s="54"/>
      <c r="H249" s="54"/>
      <c r="I249" s="54"/>
      <c r="J249" s="54"/>
      <c r="K249" s="54"/>
      <c r="L249" s="52"/>
      <c r="M249" s="52"/>
      <c r="N249" s="52"/>
      <c r="O249" s="52"/>
      <c r="P249" s="52"/>
      <c r="Q249" s="52"/>
      <c r="R249" s="52"/>
      <c r="S249" s="52"/>
      <c r="T249" s="52"/>
      <c r="U249" s="52"/>
      <c r="V249" s="52"/>
      <c r="W249" s="52"/>
      <c r="X249" s="52"/>
      <c r="Y249" s="52"/>
      <c r="Z249" s="52"/>
      <c r="AA249" s="52"/>
      <c r="AB249" s="52"/>
      <c r="AC249" s="52"/>
      <c r="AD249" s="52"/>
      <c r="AE249" s="52"/>
      <c r="AF249" s="52"/>
      <c r="AG249" s="52"/>
      <c r="AH249" s="52"/>
      <c r="AI249" s="52"/>
      <c r="AJ249" s="52"/>
      <c r="AK249" s="52"/>
      <c r="AL249" s="52"/>
      <c r="AM249" s="52"/>
      <c r="AN249" s="52"/>
      <c r="AO249" s="52"/>
      <c r="AP249" s="52"/>
      <c r="AQ249" s="52"/>
      <c r="AR249" s="52"/>
      <c r="AS249" s="52"/>
      <c r="AT249" s="52"/>
      <c r="AU249" s="52"/>
      <c r="AV249" s="52"/>
      <c r="AW249" s="52"/>
      <c r="AX249" s="52"/>
      <c r="AY249" s="52"/>
      <c r="AZ249" s="52"/>
      <c r="BA249" s="52"/>
      <c r="BB249" s="52"/>
      <c r="BC249" s="52"/>
      <c r="BD249" s="52"/>
      <c r="BE249" s="52"/>
      <c r="BF249" s="54"/>
      <c r="BG249" s="54"/>
      <c r="BH249" s="54"/>
      <c r="BI249" s="54"/>
      <c r="BJ249" s="54"/>
      <c r="BK249" s="54"/>
      <c r="BL249" s="54"/>
      <c r="BM249" s="54"/>
      <c r="BN249" s="54"/>
      <c r="BO249" s="54"/>
      <c r="BP249" s="54"/>
      <c r="BQ249" s="54"/>
      <c r="BR249" s="54"/>
      <c r="BS249" s="54"/>
      <c r="BT249" s="54"/>
      <c r="BU249" s="54"/>
      <c r="BV249" s="54"/>
      <c r="BW249" s="54"/>
      <c r="BX249" s="54"/>
      <c r="BY249" s="54"/>
      <c r="BZ249" s="54"/>
      <c r="CA249" s="54"/>
      <c r="CB249" s="54"/>
    </row>
    <row r="250" spans="1:80" ht="16.5" customHeight="1">
      <c r="A250" s="54"/>
      <c r="B250" s="54"/>
      <c r="C250" s="54"/>
      <c r="D250" s="54"/>
      <c r="E250" s="54"/>
      <c r="F250" s="54"/>
      <c r="G250" s="54"/>
      <c r="H250" s="54"/>
      <c r="I250" s="54"/>
      <c r="J250" s="54"/>
      <c r="K250" s="54"/>
      <c r="L250" s="52"/>
      <c r="M250" s="52"/>
      <c r="N250" s="52"/>
      <c r="O250" s="52"/>
      <c r="P250" s="52"/>
      <c r="Q250" s="52"/>
      <c r="R250" s="52"/>
      <c r="S250" s="52"/>
      <c r="T250" s="52"/>
      <c r="U250" s="52"/>
      <c r="V250" s="52"/>
      <c r="W250" s="52"/>
      <c r="X250" s="52"/>
      <c r="Y250" s="52"/>
      <c r="Z250" s="52"/>
      <c r="AA250" s="52"/>
      <c r="AB250" s="52"/>
      <c r="AC250" s="52"/>
      <c r="AD250" s="52"/>
      <c r="AE250" s="52"/>
      <c r="AF250" s="52"/>
      <c r="AG250" s="52"/>
      <c r="AH250" s="52"/>
      <c r="AI250" s="52"/>
      <c r="AJ250" s="52"/>
      <c r="AK250" s="52"/>
      <c r="AL250" s="52"/>
      <c r="AM250" s="52"/>
      <c r="AN250" s="52"/>
      <c r="AO250" s="52"/>
      <c r="AP250" s="52"/>
      <c r="AQ250" s="52"/>
      <c r="AR250" s="52"/>
      <c r="AS250" s="52"/>
      <c r="AT250" s="52"/>
      <c r="AU250" s="52"/>
      <c r="AV250" s="52"/>
      <c r="AW250" s="52"/>
      <c r="AX250" s="52"/>
      <c r="AY250" s="52"/>
      <c r="AZ250" s="52"/>
      <c r="BA250" s="52"/>
      <c r="BB250" s="52"/>
      <c r="BC250" s="52"/>
      <c r="BD250" s="52"/>
      <c r="BE250" s="52"/>
      <c r="BF250" s="54"/>
      <c r="BG250" s="54"/>
      <c r="BH250" s="54"/>
      <c r="BI250" s="54"/>
      <c r="BJ250" s="54"/>
      <c r="BK250" s="54"/>
      <c r="BL250" s="54"/>
      <c r="BM250" s="54"/>
      <c r="BN250" s="54"/>
      <c r="BO250" s="54"/>
      <c r="BP250" s="54"/>
      <c r="BQ250" s="54"/>
      <c r="BR250" s="54"/>
      <c r="BS250" s="54"/>
      <c r="BT250" s="54"/>
      <c r="BU250" s="54"/>
      <c r="BV250" s="54"/>
      <c r="BW250" s="54"/>
      <c r="BX250" s="54"/>
      <c r="BY250" s="54"/>
      <c r="BZ250" s="54"/>
      <c r="CA250" s="54"/>
      <c r="CB250" s="54"/>
    </row>
    <row r="251" spans="1:80" ht="16.5" customHeight="1">
      <c r="A251" s="54"/>
      <c r="B251" s="54"/>
      <c r="C251" s="54"/>
      <c r="D251" s="54"/>
      <c r="E251" s="54"/>
      <c r="F251" s="54"/>
      <c r="G251" s="54"/>
      <c r="H251" s="54"/>
      <c r="I251" s="54"/>
      <c r="J251" s="54"/>
      <c r="K251" s="54"/>
      <c r="L251" s="52"/>
      <c r="M251" s="52"/>
      <c r="N251" s="52"/>
      <c r="O251" s="52"/>
      <c r="P251" s="52"/>
      <c r="Q251" s="52"/>
      <c r="R251" s="52"/>
      <c r="S251" s="52"/>
      <c r="T251" s="52"/>
      <c r="U251" s="52"/>
      <c r="V251" s="52"/>
      <c r="W251" s="52"/>
      <c r="X251" s="52"/>
      <c r="Y251" s="52"/>
      <c r="Z251" s="52"/>
      <c r="AA251" s="52"/>
      <c r="AB251" s="52"/>
      <c r="AC251" s="52"/>
      <c r="AD251" s="52"/>
      <c r="AE251" s="52"/>
      <c r="AF251" s="52"/>
      <c r="AG251" s="52"/>
      <c r="AH251" s="52"/>
      <c r="AI251" s="52"/>
      <c r="AJ251" s="52"/>
      <c r="AK251" s="52"/>
      <c r="AL251" s="52"/>
      <c r="AM251" s="52"/>
      <c r="AN251" s="52"/>
      <c r="AO251" s="52"/>
      <c r="AP251" s="52"/>
      <c r="AQ251" s="52"/>
      <c r="AR251" s="52"/>
      <c r="AS251" s="52"/>
      <c r="AT251" s="52"/>
      <c r="AU251" s="52"/>
      <c r="AV251" s="52"/>
      <c r="AW251" s="52"/>
      <c r="AX251" s="52"/>
      <c r="AY251" s="52"/>
      <c r="AZ251" s="52"/>
      <c r="BA251" s="52"/>
      <c r="BB251" s="52"/>
      <c r="BC251" s="52"/>
      <c r="BD251" s="52"/>
      <c r="BE251" s="52"/>
      <c r="BF251" s="54"/>
      <c r="BG251" s="54"/>
      <c r="BH251" s="54"/>
      <c r="BI251" s="54"/>
      <c r="BJ251" s="54"/>
      <c r="BK251" s="54"/>
      <c r="BL251" s="54"/>
      <c r="BM251" s="54"/>
      <c r="BN251" s="54"/>
      <c r="BO251" s="54"/>
      <c r="BP251" s="54"/>
      <c r="BQ251" s="54"/>
      <c r="BR251" s="54"/>
      <c r="BS251" s="54"/>
      <c r="BT251" s="54"/>
      <c r="BU251" s="54"/>
      <c r="BV251" s="54"/>
      <c r="BW251" s="54"/>
      <c r="BX251" s="54"/>
      <c r="BY251" s="54"/>
      <c r="BZ251" s="54"/>
      <c r="CA251" s="54"/>
      <c r="CB251" s="54"/>
    </row>
    <row r="252" spans="1:80" ht="16.5" customHeight="1">
      <c r="A252" s="54"/>
      <c r="B252" s="54"/>
      <c r="C252" s="54"/>
      <c r="D252" s="54"/>
      <c r="E252" s="54"/>
      <c r="F252" s="54"/>
      <c r="G252" s="54"/>
      <c r="H252" s="54"/>
      <c r="I252" s="54"/>
      <c r="J252" s="54"/>
      <c r="K252" s="54"/>
      <c r="L252" s="52"/>
      <c r="M252" s="52"/>
      <c r="N252" s="52"/>
      <c r="O252" s="52"/>
      <c r="P252" s="52"/>
      <c r="Q252" s="52"/>
      <c r="R252" s="52"/>
      <c r="S252" s="52"/>
      <c r="T252" s="52"/>
      <c r="U252" s="52"/>
      <c r="V252" s="52"/>
      <c r="W252" s="52"/>
      <c r="X252" s="52"/>
      <c r="Y252" s="52"/>
      <c r="Z252" s="52"/>
      <c r="AA252" s="52"/>
      <c r="AB252" s="52"/>
      <c r="AC252" s="52"/>
      <c r="AD252" s="52"/>
      <c r="AE252" s="52"/>
      <c r="AF252" s="52"/>
      <c r="AG252" s="52"/>
      <c r="AH252" s="52"/>
      <c r="AI252" s="52"/>
      <c r="AJ252" s="52"/>
      <c r="AK252" s="52"/>
      <c r="AL252" s="52"/>
      <c r="AM252" s="52"/>
      <c r="AN252" s="52"/>
      <c r="AO252" s="52"/>
      <c r="AP252" s="52"/>
      <c r="AQ252" s="52"/>
      <c r="AR252" s="52"/>
      <c r="AS252" s="52"/>
      <c r="AT252" s="52"/>
      <c r="AU252" s="52"/>
      <c r="AV252" s="52"/>
      <c r="AW252" s="52"/>
      <c r="AX252" s="52"/>
      <c r="AY252" s="52"/>
      <c r="AZ252" s="52"/>
      <c r="BA252" s="52"/>
      <c r="BB252" s="52"/>
      <c r="BC252" s="52"/>
      <c r="BD252" s="52"/>
      <c r="BE252" s="52"/>
      <c r="BF252" s="54"/>
      <c r="BG252" s="54"/>
      <c r="BH252" s="54"/>
      <c r="BI252" s="54"/>
      <c r="BJ252" s="54"/>
      <c r="BK252" s="54"/>
      <c r="BL252" s="54"/>
      <c r="BM252" s="54"/>
      <c r="BN252" s="54"/>
      <c r="BO252" s="54"/>
      <c r="BP252" s="54"/>
      <c r="BQ252" s="54"/>
      <c r="BR252" s="54"/>
      <c r="BS252" s="54"/>
      <c r="BT252" s="54"/>
      <c r="BU252" s="54"/>
      <c r="BV252" s="54"/>
      <c r="BW252" s="54"/>
      <c r="BX252" s="54"/>
      <c r="BY252" s="54"/>
      <c r="BZ252" s="54"/>
      <c r="CA252" s="54"/>
      <c r="CB252" s="54"/>
    </row>
    <row r="253" spans="1:80" ht="16.5" customHeight="1">
      <c r="A253" s="54"/>
      <c r="B253" s="54"/>
      <c r="C253" s="54"/>
      <c r="D253" s="54"/>
      <c r="E253" s="54"/>
      <c r="F253" s="54"/>
      <c r="G253" s="54"/>
      <c r="H253" s="54"/>
      <c r="I253" s="54"/>
      <c r="J253" s="54"/>
      <c r="K253" s="54"/>
      <c r="L253" s="52"/>
      <c r="M253" s="52"/>
      <c r="N253" s="52"/>
      <c r="O253" s="52"/>
      <c r="P253" s="52"/>
      <c r="Q253" s="52"/>
      <c r="R253" s="52"/>
      <c r="S253" s="52"/>
      <c r="T253" s="52"/>
      <c r="U253" s="52"/>
      <c r="V253" s="52"/>
      <c r="W253" s="52"/>
      <c r="X253" s="52"/>
      <c r="Y253" s="52"/>
      <c r="Z253" s="52"/>
      <c r="AA253" s="52"/>
      <c r="AB253" s="52"/>
      <c r="AC253" s="52"/>
      <c r="AD253" s="52"/>
      <c r="AE253" s="52"/>
      <c r="AF253" s="52"/>
      <c r="AG253" s="52"/>
      <c r="AH253" s="52"/>
      <c r="AI253" s="52"/>
      <c r="AJ253" s="52"/>
      <c r="AK253" s="52"/>
      <c r="AL253" s="52"/>
      <c r="AM253" s="52"/>
      <c r="AN253" s="52"/>
      <c r="AO253" s="52"/>
      <c r="AP253" s="52"/>
      <c r="AQ253" s="52"/>
      <c r="AR253" s="52"/>
      <c r="AS253" s="52"/>
      <c r="AT253" s="52"/>
      <c r="AU253" s="52"/>
      <c r="AV253" s="52"/>
      <c r="AW253" s="52"/>
      <c r="AX253" s="52"/>
      <c r="AY253" s="52"/>
      <c r="AZ253" s="52"/>
      <c r="BA253" s="52"/>
      <c r="BB253" s="52"/>
      <c r="BC253" s="52"/>
      <c r="BD253" s="52"/>
      <c r="BE253" s="52"/>
      <c r="BF253" s="54"/>
      <c r="BG253" s="54"/>
      <c r="BH253" s="54"/>
      <c r="BI253" s="54"/>
      <c r="BJ253" s="54"/>
      <c r="BK253" s="54"/>
      <c r="BL253" s="54"/>
      <c r="BM253" s="54"/>
      <c r="BN253" s="54"/>
      <c r="BO253" s="54"/>
      <c r="BP253" s="54"/>
      <c r="BQ253" s="54"/>
      <c r="BR253" s="54"/>
      <c r="BS253" s="54"/>
      <c r="BT253" s="54"/>
      <c r="BU253" s="54"/>
      <c r="BV253" s="54"/>
      <c r="BW253" s="54"/>
      <c r="BX253" s="54"/>
      <c r="BY253" s="54"/>
      <c r="BZ253" s="54"/>
      <c r="CA253" s="54"/>
      <c r="CB253" s="54"/>
    </row>
    <row r="254" spans="1:80" ht="16.5" customHeight="1">
      <c r="A254" s="54"/>
      <c r="B254" s="54"/>
      <c r="C254" s="54"/>
      <c r="D254" s="54"/>
      <c r="E254" s="54"/>
      <c r="F254" s="54"/>
      <c r="G254" s="54"/>
      <c r="H254" s="54"/>
      <c r="I254" s="54"/>
      <c r="J254" s="54"/>
      <c r="K254" s="54"/>
      <c r="L254" s="52"/>
      <c r="M254" s="52"/>
      <c r="N254" s="52"/>
      <c r="O254" s="52"/>
      <c r="P254" s="52"/>
      <c r="Q254" s="52"/>
      <c r="R254" s="52"/>
      <c r="S254" s="52"/>
      <c r="T254" s="52"/>
      <c r="U254" s="52"/>
      <c r="V254" s="52"/>
      <c r="W254" s="52"/>
      <c r="X254" s="52"/>
      <c r="Y254" s="52"/>
      <c r="Z254" s="52"/>
      <c r="AA254" s="52"/>
      <c r="AB254" s="52"/>
      <c r="AC254" s="52"/>
      <c r="AD254" s="52"/>
      <c r="AE254" s="52"/>
      <c r="AF254" s="52"/>
      <c r="AG254" s="52"/>
      <c r="AH254" s="52"/>
      <c r="AI254" s="52"/>
      <c r="AJ254" s="52"/>
      <c r="AK254" s="52"/>
      <c r="AL254" s="52"/>
      <c r="AM254" s="52"/>
      <c r="AN254" s="52"/>
      <c r="AO254" s="52"/>
      <c r="AP254" s="52"/>
      <c r="AQ254" s="52"/>
      <c r="AR254" s="52"/>
      <c r="AS254" s="52"/>
      <c r="AT254" s="52"/>
      <c r="AU254" s="52"/>
      <c r="AV254" s="52"/>
      <c r="AW254" s="52"/>
      <c r="AX254" s="52"/>
      <c r="AY254" s="52"/>
      <c r="AZ254" s="52"/>
      <c r="BA254" s="52"/>
      <c r="BB254" s="52"/>
      <c r="BC254" s="52"/>
      <c r="BD254" s="52"/>
      <c r="BE254" s="52"/>
      <c r="BF254" s="54"/>
      <c r="BG254" s="54"/>
      <c r="BH254" s="54"/>
      <c r="BI254" s="54"/>
      <c r="BJ254" s="54"/>
      <c r="BK254" s="54"/>
      <c r="BL254" s="54"/>
      <c r="BM254" s="54"/>
      <c r="BN254" s="54"/>
      <c r="BO254" s="54"/>
      <c r="BP254" s="54"/>
      <c r="BQ254" s="54"/>
      <c r="BR254" s="54"/>
      <c r="BS254" s="54"/>
      <c r="BT254" s="54"/>
      <c r="BU254" s="54"/>
      <c r="BV254" s="54"/>
      <c r="BW254" s="54"/>
      <c r="BX254" s="54"/>
      <c r="BY254" s="54"/>
      <c r="BZ254" s="54"/>
      <c r="CA254" s="54"/>
      <c r="CB254" s="54"/>
    </row>
    <row r="255" spans="1:80" ht="16.5" customHeight="1">
      <c r="A255" s="54"/>
      <c r="B255" s="54"/>
      <c r="C255" s="54"/>
      <c r="D255" s="54"/>
      <c r="E255" s="54"/>
      <c r="F255" s="54"/>
      <c r="G255" s="54"/>
      <c r="H255" s="54"/>
      <c r="I255" s="54"/>
      <c r="J255" s="54"/>
      <c r="K255" s="54"/>
      <c r="L255" s="52"/>
      <c r="M255" s="52"/>
      <c r="N255" s="52"/>
      <c r="O255" s="52"/>
      <c r="P255" s="52"/>
      <c r="Q255" s="52"/>
      <c r="R255" s="52"/>
      <c r="S255" s="52"/>
      <c r="T255" s="52"/>
      <c r="U255" s="52"/>
      <c r="V255" s="52"/>
      <c r="W255" s="52"/>
      <c r="X255" s="52"/>
      <c r="Y255" s="52"/>
      <c r="Z255" s="52"/>
      <c r="AA255" s="52"/>
      <c r="AB255" s="52"/>
      <c r="AC255" s="52"/>
      <c r="AD255" s="52"/>
      <c r="AE255" s="52"/>
      <c r="AF255" s="52"/>
      <c r="AG255" s="52"/>
      <c r="AH255" s="52"/>
      <c r="AI255" s="52"/>
      <c r="AJ255" s="52"/>
      <c r="AK255" s="52"/>
      <c r="AL255" s="52"/>
      <c r="AM255" s="52"/>
      <c r="AN255" s="52"/>
      <c r="AO255" s="52"/>
      <c r="AP255" s="52"/>
      <c r="AQ255" s="52"/>
      <c r="AR255" s="52"/>
      <c r="AS255" s="52"/>
      <c r="AT255" s="52"/>
      <c r="AU255" s="52"/>
      <c r="AV255" s="52"/>
      <c r="AW255" s="52"/>
      <c r="AX255" s="52"/>
      <c r="AY255" s="52"/>
      <c r="AZ255" s="52"/>
      <c r="BA255" s="52"/>
      <c r="BB255" s="52"/>
      <c r="BC255" s="52"/>
      <c r="BD255" s="52"/>
      <c r="BE255" s="52"/>
      <c r="BF255" s="54"/>
      <c r="BG255" s="54"/>
      <c r="BH255" s="54"/>
      <c r="BI255" s="54"/>
      <c r="BJ255" s="54"/>
      <c r="BK255" s="54"/>
      <c r="BL255" s="54"/>
      <c r="BM255" s="54"/>
      <c r="BN255" s="54"/>
      <c r="BO255" s="54"/>
      <c r="BP255" s="54"/>
      <c r="BQ255" s="54"/>
      <c r="BR255" s="54"/>
      <c r="BS255" s="54"/>
      <c r="BT255" s="54"/>
      <c r="BU255" s="54"/>
      <c r="BV255" s="54"/>
      <c r="BW255" s="54"/>
      <c r="BX255" s="54"/>
      <c r="BY255" s="54"/>
      <c r="BZ255" s="54"/>
      <c r="CA255" s="54"/>
      <c r="CB255" s="54"/>
    </row>
    <row r="256" spans="1:80" ht="16.5" customHeight="1">
      <c r="A256" s="54"/>
      <c r="B256" s="54"/>
      <c r="C256" s="54"/>
      <c r="D256" s="54"/>
      <c r="E256" s="54"/>
      <c r="F256" s="54"/>
      <c r="G256" s="54"/>
      <c r="H256" s="54"/>
      <c r="I256" s="54"/>
      <c r="J256" s="54"/>
      <c r="K256" s="54"/>
      <c r="L256" s="52"/>
      <c r="M256" s="52"/>
      <c r="N256" s="52"/>
      <c r="O256" s="52"/>
      <c r="P256" s="52"/>
      <c r="Q256" s="52"/>
      <c r="R256" s="52"/>
      <c r="S256" s="52"/>
      <c r="T256" s="52"/>
      <c r="U256" s="52"/>
      <c r="V256" s="52"/>
      <c r="W256" s="52"/>
      <c r="X256" s="52"/>
      <c r="Y256" s="52"/>
      <c r="Z256" s="52"/>
      <c r="AA256" s="52"/>
      <c r="AB256" s="52"/>
      <c r="AC256" s="52"/>
      <c r="AD256" s="52"/>
      <c r="AE256" s="52"/>
      <c r="AF256" s="52"/>
      <c r="AG256" s="52"/>
      <c r="AH256" s="52"/>
      <c r="AI256" s="52"/>
      <c r="AJ256" s="52"/>
      <c r="AK256" s="52"/>
      <c r="AL256" s="52"/>
      <c r="AM256" s="52"/>
      <c r="AN256" s="52"/>
      <c r="AO256" s="52"/>
      <c r="AP256" s="52"/>
      <c r="AQ256" s="52"/>
      <c r="AR256" s="52"/>
      <c r="AS256" s="52"/>
      <c r="AT256" s="52"/>
      <c r="AU256" s="52"/>
      <c r="AV256" s="52"/>
      <c r="AW256" s="52"/>
      <c r="AX256" s="52"/>
      <c r="AY256" s="52"/>
      <c r="AZ256" s="52"/>
      <c r="BA256" s="52"/>
      <c r="BB256" s="52"/>
      <c r="BC256" s="52"/>
      <c r="BD256" s="52"/>
      <c r="BE256" s="52"/>
      <c r="BF256" s="54"/>
      <c r="BG256" s="54"/>
      <c r="BH256" s="54"/>
      <c r="BI256" s="54"/>
      <c r="BJ256" s="54"/>
      <c r="BK256" s="54"/>
      <c r="BL256" s="54"/>
      <c r="BM256" s="54"/>
      <c r="BN256" s="54"/>
      <c r="BO256" s="54"/>
      <c r="BP256" s="54"/>
      <c r="BQ256" s="54"/>
      <c r="BR256" s="54"/>
      <c r="BS256" s="54"/>
      <c r="BT256" s="54"/>
      <c r="BU256" s="54"/>
      <c r="BV256" s="54"/>
      <c r="BW256" s="54"/>
      <c r="BX256" s="54"/>
      <c r="BY256" s="54"/>
      <c r="BZ256" s="54"/>
      <c r="CA256" s="54"/>
      <c r="CB256" s="54"/>
    </row>
    <row r="257" spans="1:80" ht="16.5" customHeight="1">
      <c r="A257" s="54"/>
      <c r="B257" s="54"/>
      <c r="C257" s="54"/>
      <c r="D257" s="54"/>
      <c r="E257" s="54"/>
      <c r="F257" s="54"/>
      <c r="G257" s="54"/>
      <c r="H257" s="54"/>
      <c r="I257" s="54"/>
      <c r="J257" s="54"/>
      <c r="K257" s="54"/>
      <c r="L257" s="52"/>
      <c r="M257" s="52"/>
      <c r="N257" s="52"/>
      <c r="O257" s="52"/>
      <c r="P257" s="52"/>
      <c r="Q257" s="52"/>
      <c r="R257" s="52"/>
      <c r="S257" s="52"/>
      <c r="T257" s="52"/>
      <c r="U257" s="52"/>
      <c r="V257" s="52"/>
      <c r="W257" s="52"/>
      <c r="X257" s="52"/>
      <c r="Y257" s="52"/>
      <c r="Z257" s="52"/>
      <c r="AA257" s="52"/>
      <c r="AB257" s="52"/>
      <c r="AC257" s="52"/>
      <c r="AD257" s="52"/>
      <c r="AE257" s="52"/>
      <c r="AF257" s="52"/>
      <c r="AG257" s="52"/>
      <c r="AH257" s="52"/>
      <c r="AI257" s="52"/>
      <c r="AJ257" s="52"/>
      <c r="AK257" s="52"/>
      <c r="AL257" s="52"/>
      <c r="AM257" s="52"/>
      <c r="AN257" s="52"/>
      <c r="AO257" s="52"/>
      <c r="AP257" s="52"/>
      <c r="AQ257" s="52"/>
      <c r="AR257" s="52"/>
      <c r="AS257" s="52"/>
      <c r="AT257" s="52"/>
      <c r="AU257" s="52"/>
      <c r="AV257" s="52"/>
      <c r="AW257" s="52"/>
      <c r="AX257" s="52"/>
      <c r="AY257" s="52"/>
      <c r="AZ257" s="52"/>
      <c r="BA257" s="52"/>
      <c r="BB257" s="52"/>
      <c r="BC257" s="52"/>
      <c r="BD257" s="52"/>
      <c r="BE257" s="52"/>
      <c r="BF257" s="54"/>
      <c r="BG257" s="54"/>
      <c r="BH257" s="54"/>
      <c r="BI257" s="54"/>
      <c r="BJ257" s="54"/>
      <c r="BK257" s="54"/>
      <c r="BL257" s="54"/>
      <c r="BM257" s="54"/>
      <c r="BN257" s="54"/>
      <c r="BO257" s="54"/>
      <c r="BP257" s="54"/>
      <c r="BQ257" s="54"/>
      <c r="BR257" s="54"/>
      <c r="BS257" s="54"/>
      <c r="BT257" s="54"/>
      <c r="BU257" s="54"/>
      <c r="BV257" s="54"/>
      <c r="BW257" s="54"/>
      <c r="BX257" s="54"/>
      <c r="BY257" s="54"/>
      <c r="BZ257" s="54"/>
      <c r="CA257" s="54"/>
      <c r="CB257" s="54"/>
    </row>
    <row r="258" spans="1:80" ht="16.5" customHeight="1">
      <c r="A258" s="54"/>
      <c r="B258" s="54"/>
      <c r="C258" s="54"/>
      <c r="D258" s="54"/>
      <c r="E258" s="54"/>
      <c r="F258" s="54"/>
      <c r="G258" s="54"/>
      <c r="H258" s="54"/>
      <c r="I258" s="54"/>
      <c r="J258" s="54"/>
      <c r="K258" s="54"/>
      <c r="L258" s="52"/>
      <c r="M258" s="52"/>
      <c r="N258" s="52"/>
      <c r="O258" s="52"/>
      <c r="P258" s="52"/>
      <c r="Q258" s="52"/>
      <c r="R258" s="52"/>
      <c r="S258" s="52"/>
      <c r="T258" s="52"/>
      <c r="U258" s="52"/>
      <c r="V258" s="52"/>
      <c r="W258" s="52"/>
      <c r="X258" s="52"/>
      <c r="Y258" s="52"/>
      <c r="Z258" s="52"/>
      <c r="AA258" s="52"/>
      <c r="AB258" s="52"/>
      <c r="AC258" s="52"/>
      <c r="AD258" s="52"/>
      <c r="AE258" s="52"/>
      <c r="AF258" s="52"/>
      <c r="AG258" s="52"/>
      <c r="AH258" s="52"/>
      <c r="AI258" s="52"/>
      <c r="AJ258" s="52"/>
      <c r="AK258" s="52"/>
      <c r="AL258" s="52"/>
      <c r="AM258" s="52"/>
      <c r="AN258" s="52"/>
      <c r="AO258" s="52"/>
      <c r="AP258" s="52"/>
      <c r="AQ258" s="52"/>
      <c r="AR258" s="52"/>
      <c r="AS258" s="52"/>
      <c r="AT258" s="52"/>
      <c r="AU258" s="52"/>
      <c r="AV258" s="52"/>
      <c r="AW258" s="52"/>
      <c r="AX258" s="52"/>
      <c r="AY258" s="52"/>
      <c r="AZ258" s="52"/>
      <c r="BA258" s="52"/>
      <c r="BB258" s="52"/>
      <c r="BC258" s="52"/>
      <c r="BD258" s="52"/>
      <c r="BE258" s="52"/>
      <c r="BF258" s="54"/>
      <c r="BG258" s="54"/>
      <c r="BH258" s="54"/>
      <c r="BI258" s="54"/>
      <c r="BJ258" s="54"/>
      <c r="BK258" s="54"/>
      <c r="BL258" s="54"/>
      <c r="BM258" s="54"/>
      <c r="BN258" s="54"/>
      <c r="BO258" s="54"/>
      <c r="BP258" s="54"/>
      <c r="BQ258" s="54"/>
      <c r="BR258" s="54"/>
      <c r="BS258" s="54"/>
      <c r="BT258" s="54"/>
      <c r="BU258" s="54"/>
      <c r="BV258" s="54"/>
      <c r="BW258" s="54"/>
      <c r="BX258" s="54"/>
      <c r="BY258" s="54"/>
      <c r="BZ258" s="54"/>
      <c r="CA258" s="54"/>
      <c r="CB258" s="54"/>
    </row>
    <row r="259" spans="1:80" ht="16.5" customHeight="1">
      <c r="A259" s="54"/>
      <c r="B259" s="54"/>
      <c r="C259" s="54"/>
      <c r="D259" s="54"/>
      <c r="E259" s="54"/>
      <c r="F259" s="54"/>
      <c r="G259" s="54"/>
      <c r="H259" s="54"/>
      <c r="I259" s="54"/>
      <c r="J259" s="54"/>
      <c r="K259" s="54"/>
      <c r="L259" s="52"/>
      <c r="M259" s="52"/>
      <c r="N259" s="52"/>
      <c r="O259" s="52"/>
      <c r="P259" s="52"/>
      <c r="Q259" s="52"/>
      <c r="R259" s="52"/>
      <c r="S259" s="52"/>
      <c r="T259" s="52"/>
      <c r="U259" s="52"/>
      <c r="V259" s="52"/>
      <c r="W259" s="52"/>
      <c r="X259" s="52"/>
      <c r="Y259" s="52"/>
      <c r="Z259" s="52"/>
      <c r="AA259" s="52"/>
      <c r="AB259" s="52"/>
      <c r="AC259" s="52"/>
      <c r="AD259" s="52"/>
      <c r="AE259" s="52"/>
      <c r="AF259" s="52"/>
      <c r="AG259" s="52"/>
      <c r="AH259" s="52"/>
      <c r="AI259" s="52"/>
      <c r="AJ259" s="52"/>
      <c r="AK259" s="52"/>
      <c r="AL259" s="52"/>
      <c r="AM259" s="52"/>
      <c r="AN259" s="52"/>
      <c r="AO259" s="52"/>
      <c r="AP259" s="52"/>
      <c r="AQ259" s="52"/>
      <c r="AR259" s="52"/>
      <c r="AS259" s="52"/>
      <c r="AT259" s="52"/>
      <c r="AU259" s="52"/>
      <c r="AV259" s="52"/>
      <c r="AW259" s="52"/>
      <c r="AX259" s="52"/>
      <c r="AY259" s="52"/>
      <c r="AZ259" s="52"/>
      <c r="BA259" s="52"/>
      <c r="BB259" s="52"/>
      <c r="BC259" s="52"/>
      <c r="BD259" s="52"/>
      <c r="BE259" s="52"/>
      <c r="BF259" s="54"/>
      <c r="BG259" s="54"/>
      <c r="BH259" s="54"/>
      <c r="BI259" s="54"/>
      <c r="BJ259" s="54"/>
      <c r="BK259" s="54"/>
      <c r="BL259" s="54"/>
      <c r="BM259" s="54"/>
      <c r="BN259" s="54"/>
      <c r="BO259" s="54"/>
      <c r="BP259" s="54"/>
      <c r="BQ259" s="54"/>
      <c r="BR259" s="54"/>
      <c r="BS259" s="54"/>
      <c r="BT259" s="54"/>
      <c r="BU259" s="54"/>
      <c r="BV259" s="54"/>
      <c r="BW259" s="54"/>
      <c r="BX259" s="54"/>
      <c r="BY259" s="54"/>
      <c r="BZ259" s="54"/>
      <c r="CA259" s="54"/>
      <c r="CB259" s="54"/>
    </row>
    <row r="260" spans="1:80" ht="16.5" customHeight="1">
      <c r="A260" s="54"/>
      <c r="B260" s="54"/>
      <c r="C260" s="54"/>
      <c r="D260" s="54"/>
      <c r="E260" s="54"/>
      <c r="F260" s="54"/>
      <c r="G260" s="54"/>
      <c r="H260" s="54"/>
      <c r="I260" s="54"/>
      <c r="J260" s="54"/>
      <c r="K260" s="54"/>
      <c r="L260" s="52"/>
      <c r="M260" s="52"/>
      <c r="N260" s="52"/>
      <c r="O260" s="52"/>
      <c r="P260" s="52"/>
      <c r="Q260" s="52"/>
      <c r="R260" s="52"/>
      <c r="S260" s="52"/>
      <c r="T260" s="52"/>
      <c r="U260" s="52"/>
      <c r="V260" s="52"/>
      <c r="W260" s="52"/>
      <c r="X260" s="52"/>
      <c r="Y260" s="52"/>
      <c r="Z260" s="52"/>
      <c r="AA260" s="52"/>
      <c r="AB260" s="52"/>
      <c r="AC260" s="52"/>
      <c r="AD260" s="52"/>
      <c r="AE260" s="52"/>
      <c r="AF260" s="52"/>
      <c r="AG260" s="52"/>
      <c r="AH260" s="52"/>
      <c r="AI260" s="52"/>
      <c r="AJ260" s="52"/>
      <c r="AK260" s="52"/>
      <c r="AL260" s="52"/>
      <c r="AM260" s="52"/>
      <c r="AN260" s="52"/>
      <c r="AO260" s="52"/>
      <c r="AP260" s="52"/>
      <c r="AQ260" s="52"/>
      <c r="AR260" s="52"/>
      <c r="AS260" s="52"/>
      <c r="AT260" s="52"/>
      <c r="AU260" s="52"/>
      <c r="AV260" s="52"/>
      <c r="AW260" s="52"/>
      <c r="AX260" s="52"/>
      <c r="AY260" s="52"/>
      <c r="AZ260" s="52"/>
      <c r="BA260" s="52"/>
      <c r="BB260" s="52"/>
      <c r="BC260" s="52"/>
      <c r="BD260" s="52"/>
      <c r="BE260" s="52"/>
      <c r="BF260" s="54"/>
      <c r="BG260" s="54"/>
      <c r="BH260" s="54"/>
      <c r="BI260" s="54"/>
      <c r="BJ260" s="54"/>
      <c r="BK260" s="54"/>
      <c r="BL260" s="54"/>
      <c r="BM260" s="54"/>
      <c r="BN260" s="54"/>
      <c r="BO260" s="54"/>
      <c r="BP260" s="54"/>
      <c r="BQ260" s="54"/>
      <c r="BR260" s="54"/>
      <c r="BS260" s="54"/>
      <c r="BT260" s="54"/>
      <c r="BU260" s="54"/>
      <c r="BV260" s="54"/>
      <c r="BW260" s="54"/>
      <c r="BX260" s="54"/>
      <c r="BY260" s="54"/>
      <c r="BZ260" s="54"/>
      <c r="CA260" s="54"/>
      <c r="CB260" s="54"/>
    </row>
    <row r="261" spans="1:80" ht="16.5" customHeight="1">
      <c r="A261" s="54"/>
      <c r="B261" s="54"/>
      <c r="C261" s="54"/>
      <c r="D261" s="54"/>
      <c r="E261" s="54"/>
      <c r="F261" s="54"/>
      <c r="G261" s="54"/>
      <c r="H261" s="54"/>
      <c r="I261" s="54"/>
      <c r="J261" s="54"/>
      <c r="K261" s="54"/>
      <c r="L261" s="52"/>
      <c r="M261" s="52"/>
      <c r="N261" s="52"/>
      <c r="O261" s="52"/>
      <c r="P261" s="52"/>
      <c r="Q261" s="52"/>
      <c r="R261" s="52"/>
      <c r="S261" s="52"/>
      <c r="T261" s="52"/>
      <c r="U261" s="52"/>
      <c r="V261" s="52"/>
      <c r="W261" s="52"/>
      <c r="X261" s="52"/>
      <c r="Y261" s="52"/>
      <c r="Z261" s="52"/>
      <c r="AA261" s="52"/>
      <c r="AB261" s="52"/>
      <c r="AC261" s="52"/>
      <c r="AD261" s="52"/>
      <c r="AE261" s="52"/>
      <c r="AF261" s="52"/>
      <c r="AG261" s="52"/>
      <c r="AH261" s="52"/>
      <c r="AI261" s="52"/>
      <c r="AJ261" s="52"/>
      <c r="AK261" s="52"/>
      <c r="AL261" s="52"/>
      <c r="AM261" s="52"/>
      <c r="AN261" s="52"/>
      <c r="AO261" s="52"/>
      <c r="AP261" s="52"/>
      <c r="AQ261" s="52"/>
      <c r="AR261" s="52"/>
      <c r="AS261" s="52"/>
      <c r="AT261" s="52"/>
      <c r="AU261" s="52"/>
      <c r="AV261" s="52"/>
      <c r="AW261" s="52"/>
      <c r="AX261" s="52"/>
      <c r="AY261" s="52"/>
      <c r="AZ261" s="52"/>
      <c r="BA261" s="52"/>
      <c r="BB261" s="52"/>
      <c r="BC261" s="52"/>
      <c r="BD261" s="52"/>
      <c r="BE261" s="52"/>
      <c r="BF261" s="54"/>
      <c r="BG261" s="54"/>
      <c r="BH261" s="54"/>
      <c r="BI261" s="54"/>
      <c r="BJ261" s="54"/>
      <c r="BK261" s="54"/>
      <c r="BL261" s="54"/>
      <c r="BM261" s="54"/>
      <c r="BN261" s="54"/>
      <c r="BO261" s="54"/>
      <c r="BP261" s="54"/>
      <c r="BQ261" s="54"/>
      <c r="BR261" s="54"/>
      <c r="BS261" s="54"/>
      <c r="BT261" s="54"/>
      <c r="BU261" s="54"/>
      <c r="BV261" s="54"/>
      <c r="BW261" s="54"/>
      <c r="BX261" s="54"/>
      <c r="BY261" s="54"/>
      <c r="BZ261" s="54"/>
      <c r="CA261" s="54"/>
      <c r="CB261" s="54"/>
    </row>
    <row r="262" spans="1:80" ht="16.5" customHeight="1">
      <c r="A262" s="54"/>
      <c r="B262" s="54"/>
      <c r="C262" s="54"/>
      <c r="D262" s="54"/>
      <c r="E262" s="54"/>
      <c r="F262" s="54"/>
      <c r="G262" s="54"/>
      <c r="H262" s="54"/>
      <c r="I262" s="54"/>
      <c r="J262" s="54"/>
      <c r="K262" s="54"/>
      <c r="L262" s="52"/>
      <c r="M262" s="52"/>
      <c r="N262" s="52"/>
      <c r="O262" s="52"/>
      <c r="P262" s="52"/>
      <c r="Q262" s="52"/>
      <c r="R262" s="52"/>
      <c r="S262" s="52"/>
      <c r="T262" s="52"/>
      <c r="U262" s="52"/>
      <c r="V262" s="52"/>
      <c r="W262" s="52"/>
      <c r="X262" s="52"/>
      <c r="Y262" s="52"/>
      <c r="Z262" s="52"/>
      <c r="AA262" s="52"/>
      <c r="AB262" s="52"/>
      <c r="AC262" s="52"/>
      <c r="AD262" s="52"/>
      <c r="AE262" s="52"/>
      <c r="AF262" s="52"/>
      <c r="AG262" s="52"/>
      <c r="AH262" s="52"/>
      <c r="AI262" s="52"/>
      <c r="AJ262" s="52"/>
      <c r="AK262" s="52"/>
      <c r="AL262" s="52"/>
      <c r="AM262" s="52"/>
      <c r="AN262" s="52"/>
      <c r="AO262" s="52"/>
      <c r="AP262" s="52"/>
      <c r="AQ262" s="52"/>
      <c r="AR262" s="52"/>
      <c r="AS262" s="52"/>
      <c r="AT262" s="52"/>
      <c r="AU262" s="52"/>
      <c r="AV262" s="52"/>
      <c r="AW262" s="52"/>
      <c r="AX262" s="52"/>
      <c r="AY262" s="52"/>
      <c r="AZ262" s="52"/>
      <c r="BA262" s="52"/>
      <c r="BB262" s="52"/>
      <c r="BC262" s="52"/>
      <c r="BD262" s="52"/>
      <c r="BE262" s="52"/>
      <c r="BF262" s="54"/>
      <c r="BG262" s="54"/>
      <c r="BH262" s="54"/>
      <c r="BI262" s="54"/>
      <c r="BJ262" s="54"/>
      <c r="BK262" s="54"/>
      <c r="BL262" s="54"/>
      <c r="BM262" s="54"/>
      <c r="BN262" s="54"/>
      <c r="BO262" s="54"/>
      <c r="BP262" s="54"/>
      <c r="BQ262" s="54"/>
      <c r="BR262" s="54"/>
      <c r="BS262" s="54"/>
      <c r="BT262" s="54"/>
      <c r="BU262" s="54"/>
      <c r="BV262" s="54"/>
      <c r="BW262" s="54"/>
      <c r="BX262" s="54"/>
      <c r="BY262" s="54"/>
      <c r="BZ262" s="54"/>
      <c r="CA262" s="54"/>
      <c r="CB262" s="54"/>
    </row>
    <row r="263" spans="1:80" ht="16.5" customHeight="1">
      <c r="A263" s="54"/>
      <c r="B263" s="54"/>
      <c r="C263" s="54"/>
      <c r="D263" s="54"/>
      <c r="E263" s="54"/>
      <c r="F263" s="54"/>
      <c r="G263" s="54"/>
      <c r="H263" s="54"/>
      <c r="I263" s="54"/>
      <c r="J263" s="54"/>
      <c r="K263" s="54"/>
      <c r="L263" s="52"/>
      <c r="M263" s="52"/>
      <c r="N263" s="52"/>
      <c r="O263" s="52"/>
      <c r="P263" s="52"/>
      <c r="Q263" s="52"/>
      <c r="R263" s="52"/>
      <c r="S263" s="52"/>
      <c r="T263" s="52"/>
      <c r="U263" s="52"/>
      <c r="V263" s="52"/>
      <c r="W263" s="52"/>
      <c r="X263" s="52"/>
      <c r="Y263" s="52"/>
      <c r="Z263" s="52"/>
      <c r="AA263" s="52"/>
      <c r="AB263" s="52"/>
      <c r="AC263" s="52"/>
      <c r="AD263" s="52"/>
      <c r="AE263" s="52"/>
      <c r="AF263" s="52"/>
      <c r="AG263" s="52"/>
      <c r="AH263" s="52"/>
      <c r="AI263" s="52"/>
      <c r="AJ263" s="52"/>
      <c r="AK263" s="52"/>
      <c r="AL263" s="52"/>
      <c r="AM263" s="52"/>
      <c r="AN263" s="52"/>
      <c r="AO263" s="52"/>
      <c r="AP263" s="52"/>
      <c r="AQ263" s="52"/>
      <c r="AR263" s="52"/>
      <c r="AS263" s="52"/>
      <c r="AT263" s="52"/>
      <c r="AU263" s="52"/>
      <c r="AV263" s="52"/>
      <c r="AW263" s="52"/>
      <c r="AX263" s="52"/>
      <c r="AY263" s="52"/>
      <c r="AZ263" s="52"/>
      <c r="BA263" s="52"/>
      <c r="BB263" s="52"/>
      <c r="BC263" s="52"/>
      <c r="BD263" s="52"/>
      <c r="BE263" s="52"/>
      <c r="BF263" s="54"/>
      <c r="BG263" s="54"/>
      <c r="BH263" s="54"/>
      <c r="BI263" s="54"/>
      <c r="BJ263" s="54"/>
      <c r="BK263" s="54"/>
      <c r="BL263" s="54"/>
      <c r="BM263" s="54"/>
      <c r="BN263" s="54"/>
      <c r="BO263" s="54"/>
      <c r="BP263" s="54"/>
      <c r="BQ263" s="54"/>
      <c r="BR263" s="54"/>
      <c r="BS263" s="54"/>
      <c r="BT263" s="54"/>
      <c r="BU263" s="54"/>
      <c r="BV263" s="54"/>
      <c r="BW263" s="54"/>
      <c r="BX263" s="54"/>
      <c r="BY263" s="54"/>
      <c r="BZ263" s="54"/>
      <c r="CA263" s="54"/>
      <c r="CB263" s="54"/>
    </row>
    <row r="264" spans="1:80" ht="16.5" customHeight="1">
      <c r="A264" s="54"/>
      <c r="B264" s="54"/>
      <c r="C264" s="54"/>
      <c r="D264" s="54"/>
      <c r="E264" s="54"/>
      <c r="F264" s="54"/>
      <c r="G264" s="54"/>
      <c r="H264" s="54"/>
      <c r="I264" s="54"/>
      <c r="J264" s="54"/>
      <c r="K264" s="54"/>
      <c r="L264" s="52"/>
      <c r="M264" s="52"/>
      <c r="N264" s="52"/>
      <c r="O264" s="52"/>
      <c r="P264" s="52"/>
      <c r="Q264" s="52"/>
      <c r="R264" s="52"/>
      <c r="S264" s="52"/>
      <c r="T264" s="52"/>
      <c r="U264" s="52"/>
      <c r="V264" s="52"/>
      <c r="W264" s="52"/>
      <c r="X264" s="52"/>
      <c r="Y264" s="52"/>
      <c r="Z264" s="52"/>
      <c r="AA264" s="52"/>
      <c r="AB264" s="52"/>
      <c r="AC264" s="52"/>
      <c r="AD264" s="52"/>
      <c r="AE264" s="52"/>
      <c r="AF264" s="52"/>
      <c r="AG264" s="52"/>
      <c r="AH264" s="52"/>
      <c r="AI264" s="52"/>
      <c r="AJ264" s="52"/>
      <c r="AK264" s="52"/>
      <c r="AL264" s="52"/>
      <c r="AM264" s="52"/>
      <c r="AN264" s="52"/>
      <c r="AO264" s="52"/>
      <c r="AP264" s="52"/>
      <c r="AQ264" s="52"/>
      <c r="AR264" s="52"/>
      <c r="AS264" s="52"/>
      <c r="AT264" s="52"/>
      <c r="AU264" s="52"/>
      <c r="AV264" s="52"/>
      <c r="AW264" s="52"/>
      <c r="AX264" s="52"/>
      <c r="AY264" s="52"/>
      <c r="AZ264" s="52"/>
      <c r="BA264" s="52"/>
      <c r="BB264" s="52"/>
      <c r="BC264" s="52"/>
      <c r="BD264" s="52"/>
      <c r="BE264" s="52"/>
      <c r="BF264" s="54"/>
      <c r="BG264" s="54"/>
      <c r="BH264" s="54"/>
      <c r="BI264" s="54"/>
      <c r="BJ264" s="54"/>
      <c r="BK264" s="54"/>
      <c r="BL264" s="54"/>
      <c r="BM264" s="54"/>
      <c r="BN264" s="54"/>
      <c r="BO264" s="54"/>
      <c r="BP264" s="54"/>
      <c r="BQ264" s="54"/>
      <c r="BR264" s="54"/>
      <c r="BS264" s="54"/>
      <c r="BT264" s="54"/>
      <c r="BU264" s="54"/>
      <c r="BV264" s="54"/>
      <c r="BW264" s="54"/>
      <c r="BX264" s="54"/>
      <c r="BY264" s="54"/>
      <c r="BZ264" s="54"/>
      <c r="CA264" s="54"/>
      <c r="CB264" s="54"/>
    </row>
    <row r="265" spans="1:80" ht="16.5" customHeight="1">
      <c r="A265" s="54"/>
      <c r="B265" s="54"/>
      <c r="C265" s="54"/>
      <c r="D265" s="54"/>
      <c r="E265" s="54"/>
      <c r="F265" s="54"/>
      <c r="G265" s="54"/>
      <c r="H265" s="54"/>
      <c r="I265" s="54"/>
      <c r="J265" s="54"/>
      <c r="K265" s="54"/>
      <c r="L265" s="52"/>
      <c r="M265" s="52"/>
      <c r="N265" s="52"/>
      <c r="O265" s="52"/>
      <c r="P265" s="52"/>
      <c r="Q265" s="52"/>
      <c r="R265" s="52"/>
      <c r="S265" s="52"/>
      <c r="T265" s="52"/>
      <c r="U265" s="52"/>
      <c r="V265" s="52"/>
      <c r="W265" s="52"/>
      <c r="X265" s="52"/>
      <c r="Y265" s="52"/>
      <c r="Z265" s="52"/>
      <c r="AA265" s="52"/>
      <c r="AB265" s="52"/>
      <c r="AC265" s="52"/>
      <c r="AD265" s="52"/>
      <c r="AE265" s="52"/>
      <c r="AF265" s="52"/>
      <c r="AG265" s="52"/>
      <c r="AH265" s="52"/>
      <c r="AI265" s="52"/>
      <c r="AJ265" s="52"/>
      <c r="AK265" s="52"/>
      <c r="AL265" s="52"/>
      <c r="AM265" s="52"/>
      <c r="AN265" s="52"/>
      <c r="AO265" s="52"/>
      <c r="AP265" s="52"/>
      <c r="AQ265" s="52"/>
      <c r="AR265" s="52"/>
      <c r="AS265" s="52"/>
      <c r="AT265" s="52"/>
      <c r="AU265" s="52"/>
      <c r="AV265" s="52"/>
      <c r="AW265" s="52"/>
      <c r="AX265" s="52"/>
      <c r="AY265" s="52"/>
      <c r="AZ265" s="52"/>
      <c r="BA265" s="52"/>
      <c r="BB265" s="52"/>
      <c r="BC265" s="52"/>
      <c r="BD265" s="52"/>
      <c r="BE265" s="52"/>
      <c r="BF265" s="54"/>
      <c r="BG265" s="54"/>
      <c r="BH265" s="54"/>
      <c r="BI265" s="54"/>
      <c r="BJ265" s="54"/>
      <c r="BK265" s="54"/>
      <c r="BL265" s="54"/>
      <c r="BM265" s="54"/>
      <c r="BN265" s="54"/>
      <c r="BO265" s="54"/>
      <c r="BP265" s="54"/>
      <c r="BQ265" s="54"/>
      <c r="BR265" s="54"/>
      <c r="BS265" s="54"/>
      <c r="BT265" s="54"/>
      <c r="BU265" s="54"/>
      <c r="BV265" s="54"/>
      <c r="BW265" s="54"/>
      <c r="BX265" s="54"/>
      <c r="BY265" s="54"/>
      <c r="BZ265" s="54"/>
      <c r="CA265" s="54"/>
      <c r="CB265" s="54"/>
    </row>
    <row r="266" spans="1:80" ht="16.5" customHeight="1">
      <c r="A266" s="54"/>
      <c r="B266" s="54"/>
      <c r="C266" s="54"/>
      <c r="D266" s="54"/>
      <c r="E266" s="54"/>
      <c r="F266" s="54"/>
      <c r="G266" s="54"/>
      <c r="H266" s="54"/>
      <c r="I266" s="54"/>
      <c r="J266" s="54"/>
      <c r="K266" s="54"/>
      <c r="L266" s="52"/>
      <c r="M266" s="52"/>
      <c r="N266" s="52"/>
      <c r="O266" s="52"/>
      <c r="P266" s="52"/>
      <c r="Q266" s="52"/>
      <c r="R266" s="52"/>
      <c r="S266" s="52"/>
      <c r="T266" s="52"/>
      <c r="U266" s="52"/>
      <c r="V266" s="52"/>
      <c r="W266" s="52"/>
      <c r="X266" s="52"/>
      <c r="Y266" s="52"/>
      <c r="Z266" s="52"/>
      <c r="AA266" s="52"/>
      <c r="AB266" s="52"/>
      <c r="AC266" s="52"/>
      <c r="AD266" s="52"/>
      <c r="AE266" s="52"/>
      <c r="AF266" s="52"/>
      <c r="AG266" s="52"/>
      <c r="AH266" s="52"/>
      <c r="AI266" s="52"/>
      <c r="AJ266" s="52"/>
      <c r="AK266" s="52"/>
      <c r="AL266" s="52"/>
      <c r="AM266" s="52"/>
      <c r="AN266" s="52"/>
      <c r="AO266" s="52"/>
      <c r="AP266" s="52"/>
      <c r="AQ266" s="52"/>
      <c r="AR266" s="52"/>
      <c r="AS266" s="52"/>
      <c r="AT266" s="52"/>
      <c r="AU266" s="52"/>
      <c r="AV266" s="52"/>
      <c r="AW266" s="52"/>
      <c r="AX266" s="52"/>
      <c r="AY266" s="52"/>
      <c r="AZ266" s="52"/>
      <c r="BA266" s="52"/>
      <c r="BB266" s="52"/>
      <c r="BC266" s="52"/>
      <c r="BD266" s="52"/>
      <c r="BE266" s="52"/>
      <c r="BF266" s="54"/>
      <c r="BG266" s="54"/>
      <c r="BH266" s="54"/>
      <c r="BI266" s="54"/>
      <c r="BJ266" s="54"/>
      <c r="BK266" s="54"/>
      <c r="BL266" s="54"/>
      <c r="BM266" s="54"/>
      <c r="BN266" s="54"/>
      <c r="BO266" s="54"/>
      <c r="BP266" s="54"/>
      <c r="BQ266" s="54"/>
      <c r="BR266" s="54"/>
      <c r="BS266" s="54"/>
      <c r="BT266" s="54"/>
      <c r="BU266" s="54"/>
      <c r="BV266" s="54"/>
      <c r="BW266" s="54"/>
      <c r="BX266" s="54"/>
      <c r="BY266" s="54"/>
      <c r="BZ266" s="54"/>
      <c r="CA266" s="54"/>
      <c r="CB266" s="54"/>
    </row>
    <row r="267" spans="1:80" ht="16.5" customHeight="1">
      <c r="A267" s="54"/>
      <c r="B267" s="54"/>
      <c r="C267" s="54"/>
      <c r="D267" s="54"/>
      <c r="E267" s="54"/>
      <c r="F267" s="54"/>
      <c r="G267" s="54"/>
      <c r="H267" s="54"/>
      <c r="I267" s="54"/>
      <c r="J267" s="54"/>
      <c r="K267" s="54"/>
      <c r="L267" s="52"/>
      <c r="M267" s="52"/>
      <c r="N267" s="52"/>
      <c r="O267" s="52"/>
      <c r="P267" s="52"/>
      <c r="Q267" s="52"/>
      <c r="R267" s="52"/>
      <c r="S267" s="52"/>
      <c r="T267" s="52"/>
      <c r="U267" s="52"/>
      <c r="V267" s="52"/>
      <c r="W267" s="52"/>
      <c r="X267" s="52"/>
      <c r="Y267" s="52"/>
      <c r="Z267" s="52"/>
      <c r="AA267" s="52"/>
      <c r="AB267" s="52"/>
      <c r="AC267" s="52"/>
      <c r="AD267" s="52"/>
      <c r="AE267" s="52"/>
      <c r="AF267" s="52"/>
      <c r="AG267" s="52"/>
      <c r="AH267" s="52"/>
      <c r="AI267" s="52"/>
      <c r="AJ267" s="52"/>
      <c r="AK267" s="52"/>
      <c r="AL267" s="52"/>
      <c r="AM267" s="52"/>
      <c r="AN267" s="52"/>
      <c r="AO267" s="52"/>
      <c r="AP267" s="52"/>
      <c r="AQ267" s="52"/>
      <c r="AR267" s="52"/>
      <c r="AS267" s="52"/>
      <c r="AT267" s="52"/>
      <c r="AU267" s="52"/>
      <c r="AV267" s="52"/>
      <c r="AW267" s="52"/>
      <c r="AX267" s="52"/>
      <c r="AY267" s="52"/>
      <c r="AZ267" s="52"/>
      <c r="BA267" s="52"/>
      <c r="BB267" s="52"/>
      <c r="BC267" s="52"/>
      <c r="BD267" s="52"/>
      <c r="BE267" s="52"/>
      <c r="BF267" s="54"/>
      <c r="BG267" s="54"/>
      <c r="BH267" s="54"/>
      <c r="BI267" s="54"/>
      <c r="BJ267" s="54"/>
      <c r="BK267" s="54"/>
      <c r="BL267" s="54"/>
      <c r="BM267" s="54"/>
      <c r="BN267" s="54"/>
      <c r="BO267" s="54"/>
      <c r="BP267" s="54"/>
      <c r="BQ267" s="54"/>
      <c r="BR267" s="54"/>
      <c r="BS267" s="54"/>
      <c r="BT267" s="54"/>
      <c r="BU267" s="54"/>
      <c r="BV267" s="54"/>
      <c r="BW267" s="54"/>
      <c r="BX267" s="54"/>
      <c r="BY267" s="54"/>
      <c r="BZ267" s="54"/>
      <c r="CA267" s="54"/>
      <c r="CB267" s="54"/>
    </row>
    <row r="268" spans="1:80" ht="16.5" customHeight="1">
      <c r="A268" s="54"/>
      <c r="B268" s="54"/>
      <c r="C268" s="54"/>
      <c r="D268" s="54"/>
      <c r="E268" s="54"/>
      <c r="F268" s="54"/>
      <c r="G268" s="54"/>
      <c r="H268" s="54"/>
      <c r="I268" s="54"/>
      <c r="J268" s="54"/>
      <c r="K268" s="54"/>
      <c r="L268" s="52"/>
      <c r="M268" s="52"/>
      <c r="N268" s="52"/>
      <c r="O268" s="52"/>
      <c r="P268" s="52"/>
      <c r="Q268" s="52"/>
      <c r="R268" s="52"/>
      <c r="S268" s="52"/>
      <c r="T268" s="52"/>
      <c r="U268" s="52"/>
      <c r="V268" s="52"/>
      <c r="W268" s="52"/>
      <c r="X268" s="52"/>
      <c r="Y268" s="52"/>
      <c r="Z268" s="52"/>
      <c r="AA268" s="52"/>
      <c r="AB268" s="52"/>
      <c r="AC268" s="52"/>
      <c r="AD268" s="52"/>
      <c r="AE268" s="52"/>
      <c r="AF268" s="52"/>
      <c r="AG268" s="52"/>
      <c r="AH268" s="52"/>
      <c r="AI268" s="52"/>
      <c r="AJ268" s="52"/>
      <c r="AK268" s="52"/>
      <c r="AL268" s="52"/>
      <c r="AM268" s="52"/>
      <c r="AN268" s="52"/>
      <c r="AO268" s="52"/>
      <c r="AP268" s="52"/>
      <c r="AQ268" s="52"/>
      <c r="AR268" s="52"/>
      <c r="AS268" s="52"/>
      <c r="AT268" s="52"/>
      <c r="AU268" s="52"/>
      <c r="AV268" s="52"/>
      <c r="AW268" s="52"/>
      <c r="AX268" s="52"/>
      <c r="AY268" s="52"/>
      <c r="AZ268" s="52"/>
      <c r="BA268" s="52"/>
      <c r="BB268" s="52"/>
      <c r="BC268" s="52"/>
      <c r="BD268" s="52"/>
      <c r="BE268" s="52"/>
      <c r="BF268" s="54"/>
      <c r="BG268" s="54"/>
      <c r="BH268" s="54"/>
      <c r="BI268" s="54"/>
      <c r="BJ268" s="54"/>
      <c r="BK268" s="54"/>
      <c r="BL268" s="54"/>
      <c r="BM268" s="54"/>
      <c r="BN268" s="54"/>
      <c r="BO268" s="54"/>
      <c r="BP268" s="54"/>
      <c r="BQ268" s="54"/>
      <c r="BR268" s="54"/>
      <c r="BS268" s="54"/>
      <c r="BT268" s="54"/>
      <c r="BU268" s="54"/>
      <c r="BV268" s="54"/>
      <c r="BW268" s="54"/>
      <c r="BX268" s="54"/>
      <c r="BY268" s="54"/>
      <c r="BZ268" s="54"/>
      <c r="CA268" s="54"/>
      <c r="CB268" s="54"/>
    </row>
    <row r="269" spans="1:80" ht="16.5" customHeight="1">
      <c r="A269" s="54"/>
      <c r="B269" s="54"/>
      <c r="C269" s="54"/>
      <c r="D269" s="54"/>
      <c r="E269" s="54"/>
      <c r="F269" s="54"/>
      <c r="G269" s="54"/>
      <c r="H269" s="54"/>
      <c r="I269" s="54"/>
      <c r="J269" s="54"/>
      <c r="K269" s="54"/>
      <c r="L269" s="52"/>
      <c r="M269" s="52"/>
      <c r="N269" s="52"/>
      <c r="O269" s="52"/>
      <c r="P269" s="52"/>
      <c r="Q269" s="52"/>
      <c r="R269" s="52"/>
      <c r="S269" s="52"/>
      <c r="T269" s="52"/>
      <c r="U269" s="52"/>
      <c r="V269" s="52"/>
      <c r="W269" s="52"/>
      <c r="X269" s="52"/>
      <c r="Y269" s="52"/>
      <c r="Z269" s="52"/>
      <c r="AA269" s="52"/>
      <c r="AB269" s="52"/>
      <c r="AC269" s="52"/>
      <c r="AD269" s="52"/>
      <c r="AE269" s="52"/>
      <c r="AF269" s="52"/>
      <c r="AG269" s="52"/>
      <c r="AH269" s="52"/>
      <c r="AI269" s="52"/>
      <c r="AJ269" s="52"/>
      <c r="AK269" s="52"/>
      <c r="AL269" s="52"/>
      <c r="AM269" s="52"/>
      <c r="AN269" s="52"/>
      <c r="AO269" s="52"/>
      <c r="AP269" s="52"/>
      <c r="AQ269" s="52"/>
      <c r="AR269" s="52"/>
      <c r="AS269" s="52"/>
      <c r="AT269" s="52"/>
      <c r="AU269" s="52"/>
      <c r="AV269" s="52"/>
      <c r="AW269" s="52"/>
      <c r="AX269" s="52"/>
      <c r="AY269" s="52"/>
      <c r="AZ269" s="52"/>
      <c r="BA269" s="52"/>
      <c r="BB269" s="52"/>
      <c r="BC269" s="52"/>
      <c r="BD269" s="52"/>
      <c r="BE269" s="52"/>
      <c r="BF269" s="54"/>
      <c r="BG269" s="54"/>
      <c r="BH269" s="54"/>
      <c r="BI269" s="54"/>
      <c r="BJ269" s="54"/>
      <c r="BK269" s="54"/>
      <c r="BL269" s="54"/>
      <c r="BM269" s="54"/>
      <c r="BN269" s="54"/>
      <c r="BO269" s="54"/>
      <c r="BP269" s="54"/>
      <c r="BQ269" s="54"/>
      <c r="BR269" s="54"/>
      <c r="BS269" s="54"/>
      <c r="BT269" s="54"/>
      <c r="BU269" s="54"/>
      <c r="BV269" s="54"/>
      <c r="BW269" s="54"/>
      <c r="BX269" s="54"/>
      <c r="BY269" s="54"/>
      <c r="BZ269" s="54"/>
      <c r="CA269" s="54"/>
      <c r="CB269" s="54"/>
    </row>
    <row r="270" spans="1:80" ht="16.5" customHeight="1">
      <c r="A270" s="54"/>
      <c r="B270" s="54"/>
      <c r="C270" s="54"/>
      <c r="D270" s="54"/>
      <c r="E270" s="54"/>
      <c r="F270" s="54"/>
      <c r="G270" s="54"/>
      <c r="H270" s="54"/>
      <c r="I270" s="54"/>
      <c r="J270" s="54"/>
      <c r="K270" s="54"/>
      <c r="L270" s="52"/>
      <c r="M270" s="52"/>
      <c r="N270" s="52"/>
      <c r="O270" s="52"/>
      <c r="P270" s="52"/>
      <c r="Q270" s="52"/>
      <c r="R270" s="52"/>
      <c r="S270" s="52"/>
      <c r="T270" s="52"/>
      <c r="U270" s="52"/>
      <c r="V270" s="52"/>
      <c r="W270" s="52"/>
      <c r="X270" s="52"/>
      <c r="Y270" s="52"/>
      <c r="Z270" s="52"/>
      <c r="AA270" s="52"/>
      <c r="AB270" s="52"/>
      <c r="AC270" s="52"/>
      <c r="AD270" s="52"/>
      <c r="AE270" s="52"/>
      <c r="AF270" s="52"/>
      <c r="AG270" s="52"/>
      <c r="AH270" s="52"/>
      <c r="AI270" s="52"/>
      <c r="AJ270" s="52"/>
      <c r="AK270" s="52"/>
      <c r="AL270" s="52"/>
      <c r="AM270" s="52"/>
      <c r="AN270" s="52"/>
      <c r="AO270" s="52"/>
      <c r="AP270" s="52"/>
      <c r="AQ270" s="52"/>
      <c r="AR270" s="52"/>
      <c r="AS270" s="52"/>
      <c r="AT270" s="52"/>
      <c r="AU270" s="52"/>
      <c r="AV270" s="52"/>
      <c r="AW270" s="52"/>
      <c r="AX270" s="52"/>
      <c r="AY270" s="52"/>
      <c r="AZ270" s="52"/>
      <c r="BA270" s="52"/>
      <c r="BB270" s="52"/>
      <c r="BC270" s="52"/>
      <c r="BD270" s="52"/>
      <c r="BE270" s="52"/>
      <c r="BF270" s="54"/>
      <c r="BG270" s="54"/>
      <c r="BH270" s="54"/>
      <c r="BI270" s="54"/>
      <c r="BJ270" s="54"/>
      <c r="BK270" s="54"/>
      <c r="BL270" s="54"/>
      <c r="BM270" s="54"/>
      <c r="BN270" s="54"/>
      <c r="BO270" s="54"/>
      <c r="BP270" s="54"/>
      <c r="BQ270" s="54"/>
      <c r="BR270" s="54"/>
      <c r="BS270" s="54"/>
      <c r="BT270" s="54"/>
      <c r="BU270" s="54"/>
      <c r="BV270" s="54"/>
      <c r="BW270" s="54"/>
      <c r="BX270" s="54"/>
      <c r="BY270" s="54"/>
      <c r="BZ270" s="54"/>
      <c r="CA270" s="54"/>
      <c r="CB270" s="54"/>
    </row>
    <row r="271" spans="1:80" ht="16.5" customHeight="1">
      <c r="A271" s="54"/>
      <c r="B271" s="54"/>
      <c r="C271" s="54"/>
      <c r="D271" s="54"/>
      <c r="E271" s="54"/>
      <c r="F271" s="54"/>
      <c r="G271" s="54"/>
      <c r="H271" s="54"/>
      <c r="I271" s="54"/>
      <c r="J271" s="54"/>
      <c r="K271" s="54"/>
      <c r="L271" s="52"/>
      <c r="M271" s="52"/>
      <c r="N271" s="52"/>
      <c r="O271" s="52"/>
      <c r="P271" s="52"/>
      <c r="Q271" s="52"/>
      <c r="R271" s="52"/>
      <c r="S271" s="52"/>
      <c r="T271" s="52"/>
      <c r="U271" s="52"/>
      <c r="V271" s="52"/>
      <c r="W271" s="52"/>
      <c r="X271" s="52"/>
      <c r="Y271" s="52"/>
      <c r="Z271" s="52"/>
      <c r="AA271" s="52"/>
      <c r="AB271" s="52"/>
      <c r="AC271" s="52"/>
      <c r="AD271" s="52"/>
      <c r="AE271" s="52"/>
      <c r="AF271" s="52"/>
      <c r="AG271" s="52"/>
      <c r="AH271" s="52"/>
      <c r="AI271" s="52"/>
      <c r="AJ271" s="52"/>
      <c r="AK271" s="52"/>
      <c r="AL271" s="52"/>
      <c r="AM271" s="52"/>
      <c r="AN271" s="52"/>
      <c r="AO271" s="52"/>
      <c r="AP271" s="52"/>
      <c r="AQ271" s="52"/>
      <c r="AR271" s="52"/>
      <c r="AS271" s="52"/>
      <c r="AT271" s="52"/>
      <c r="AU271" s="52"/>
      <c r="AV271" s="52"/>
      <c r="AW271" s="52"/>
      <c r="AX271" s="52"/>
      <c r="AY271" s="52"/>
      <c r="AZ271" s="52"/>
      <c r="BA271" s="52"/>
      <c r="BB271" s="52"/>
      <c r="BC271" s="52"/>
      <c r="BD271" s="52"/>
      <c r="BE271" s="52"/>
      <c r="BF271" s="54"/>
      <c r="BG271" s="54"/>
      <c r="BH271" s="54"/>
      <c r="BI271" s="54"/>
      <c r="BJ271" s="54"/>
      <c r="BK271" s="54"/>
      <c r="BL271" s="54"/>
      <c r="BM271" s="54"/>
      <c r="BN271" s="54"/>
      <c r="BO271" s="54"/>
      <c r="BP271" s="54"/>
      <c r="BQ271" s="54"/>
      <c r="BR271" s="54"/>
      <c r="BS271" s="54"/>
      <c r="BT271" s="54"/>
      <c r="BU271" s="54"/>
      <c r="BV271" s="54"/>
      <c r="BW271" s="54"/>
      <c r="BX271" s="54"/>
      <c r="BY271" s="54"/>
      <c r="BZ271" s="54"/>
      <c r="CA271" s="54"/>
      <c r="CB271" s="54"/>
    </row>
    <row r="272" spans="1:80" ht="16.5" customHeight="1">
      <c r="A272" s="54"/>
      <c r="B272" s="54"/>
      <c r="C272" s="54"/>
      <c r="D272" s="54"/>
      <c r="E272" s="54"/>
      <c r="F272" s="54"/>
      <c r="G272" s="54"/>
      <c r="H272" s="54"/>
      <c r="I272" s="54"/>
      <c r="J272" s="54"/>
      <c r="K272" s="54"/>
      <c r="L272" s="52"/>
      <c r="M272" s="52"/>
      <c r="N272" s="52"/>
      <c r="O272" s="52"/>
      <c r="P272" s="52"/>
      <c r="Q272" s="52"/>
      <c r="R272" s="52"/>
      <c r="S272" s="52"/>
      <c r="T272" s="52"/>
      <c r="U272" s="52"/>
      <c r="V272" s="52"/>
      <c r="W272" s="52"/>
      <c r="X272" s="52"/>
      <c r="Y272" s="52"/>
      <c r="Z272" s="52"/>
      <c r="AA272" s="52"/>
      <c r="AB272" s="52"/>
      <c r="AC272" s="52"/>
      <c r="AD272" s="52"/>
      <c r="AE272" s="52"/>
      <c r="AF272" s="52"/>
      <c r="AG272" s="52"/>
      <c r="AH272" s="52"/>
      <c r="AI272" s="52"/>
      <c r="AJ272" s="52"/>
      <c r="AK272" s="52"/>
      <c r="AL272" s="52"/>
      <c r="AM272" s="52"/>
      <c r="AN272" s="52"/>
      <c r="AO272" s="52"/>
      <c r="AP272" s="52"/>
      <c r="AQ272" s="52"/>
      <c r="AR272" s="52"/>
      <c r="AS272" s="52"/>
      <c r="AT272" s="52"/>
      <c r="AU272" s="52"/>
      <c r="AV272" s="52"/>
      <c r="AW272" s="52"/>
      <c r="AX272" s="52"/>
      <c r="AY272" s="52"/>
      <c r="AZ272" s="52"/>
      <c r="BA272" s="52"/>
      <c r="BB272" s="52"/>
      <c r="BC272" s="52"/>
      <c r="BD272" s="52"/>
      <c r="BE272" s="52"/>
      <c r="BF272" s="54"/>
      <c r="BG272" s="54"/>
      <c r="BH272" s="54"/>
      <c r="BI272" s="54"/>
      <c r="BJ272" s="54"/>
      <c r="BK272" s="54"/>
      <c r="BL272" s="54"/>
      <c r="BM272" s="54"/>
      <c r="BN272" s="54"/>
      <c r="BO272" s="54"/>
      <c r="BP272" s="54"/>
      <c r="BQ272" s="54"/>
      <c r="BR272" s="54"/>
      <c r="BS272" s="54"/>
      <c r="BT272" s="54"/>
      <c r="BU272" s="54"/>
      <c r="BV272" s="54"/>
      <c r="BW272" s="54"/>
      <c r="BX272" s="54"/>
      <c r="BY272" s="54"/>
      <c r="BZ272" s="54"/>
      <c r="CA272" s="54"/>
      <c r="CB272" s="54"/>
    </row>
    <row r="273" spans="1:80" ht="16.5" customHeight="1">
      <c r="A273" s="54"/>
      <c r="B273" s="54"/>
      <c r="C273" s="54"/>
      <c r="D273" s="54"/>
      <c r="E273" s="54"/>
      <c r="F273" s="54"/>
      <c r="G273" s="54"/>
      <c r="H273" s="54"/>
      <c r="I273" s="54"/>
      <c r="J273" s="54"/>
      <c r="K273" s="54"/>
      <c r="L273" s="52"/>
      <c r="M273" s="52"/>
      <c r="N273" s="52"/>
      <c r="O273" s="52"/>
      <c r="P273" s="52"/>
      <c r="Q273" s="52"/>
      <c r="R273" s="52"/>
      <c r="S273" s="52"/>
      <c r="T273" s="52"/>
      <c r="U273" s="52"/>
      <c r="V273" s="52"/>
      <c r="W273" s="52"/>
      <c r="X273" s="52"/>
      <c r="Y273" s="52"/>
      <c r="Z273" s="52"/>
      <c r="AA273" s="52"/>
      <c r="AB273" s="52"/>
      <c r="AC273" s="52"/>
      <c r="AD273" s="52"/>
      <c r="AE273" s="52"/>
      <c r="AF273" s="52"/>
      <c r="AG273" s="52"/>
      <c r="AH273" s="52"/>
      <c r="AI273" s="52"/>
      <c r="AJ273" s="52"/>
      <c r="AK273" s="52"/>
      <c r="AL273" s="52"/>
      <c r="AM273" s="52"/>
      <c r="AN273" s="52"/>
      <c r="AO273" s="52"/>
      <c r="AP273" s="52"/>
      <c r="AQ273" s="52"/>
      <c r="AR273" s="52"/>
      <c r="AS273" s="52"/>
      <c r="AT273" s="52"/>
      <c r="AU273" s="52"/>
      <c r="AV273" s="52"/>
      <c r="AW273" s="52"/>
      <c r="AX273" s="52"/>
      <c r="AY273" s="52"/>
      <c r="AZ273" s="52"/>
      <c r="BA273" s="52"/>
      <c r="BB273" s="52"/>
      <c r="BC273" s="52"/>
      <c r="BD273" s="52"/>
      <c r="BE273" s="52"/>
      <c r="BF273" s="54"/>
      <c r="BG273" s="54"/>
      <c r="BH273" s="54"/>
      <c r="BI273" s="54"/>
      <c r="BJ273" s="54"/>
      <c r="BK273" s="54"/>
      <c r="BL273" s="54"/>
      <c r="BM273" s="54"/>
      <c r="BN273" s="54"/>
      <c r="BO273" s="54"/>
      <c r="BP273" s="54"/>
      <c r="BQ273" s="54"/>
      <c r="BR273" s="54"/>
      <c r="BS273" s="54"/>
      <c r="BT273" s="54"/>
      <c r="BU273" s="54"/>
      <c r="BV273" s="54"/>
      <c r="BW273" s="54"/>
      <c r="BX273" s="54"/>
      <c r="BY273" s="54"/>
      <c r="BZ273" s="54"/>
      <c r="CA273" s="54"/>
      <c r="CB273" s="54"/>
    </row>
    <row r="274" spans="1:80" ht="16.5" customHeight="1">
      <c r="A274" s="54"/>
      <c r="B274" s="54"/>
      <c r="C274" s="54"/>
      <c r="D274" s="54"/>
      <c r="E274" s="54"/>
      <c r="F274" s="54"/>
      <c r="G274" s="54"/>
      <c r="H274" s="54"/>
      <c r="I274" s="54"/>
      <c r="J274" s="54"/>
      <c r="K274" s="54"/>
      <c r="L274" s="52"/>
      <c r="M274" s="52"/>
      <c r="N274" s="52"/>
      <c r="O274" s="52"/>
      <c r="P274" s="52"/>
      <c r="Q274" s="52"/>
      <c r="R274" s="52"/>
      <c r="S274" s="52"/>
      <c r="T274" s="52"/>
      <c r="U274" s="52"/>
      <c r="V274" s="52"/>
      <c r="W274" s="52"/>
      <c r="X274" s="52"/>
      <c r="Y274" s="52"/>
      <c r="Z274" s="52"/>
      <c r="AA274" s="52"/>
      <c r="AB274" s="52"/>
      <c r="AC274" s="52"/>
      <c r="AD274" s="52"/>
      <c r="AE274" s="52"/>
      <c r="AF274" s="52"/>
      <c r="AG274" s="52"/>
      <c r="AH274" s="52"/>
      <c r="AI274" s="52"/>
      <c r="AJ274" s="52"/>
      <c r="AK274" s="52"/>
      <c r="AL274" s="52"/>
      <c r="AM274" s="52"/>
      <c r="AN274" s="52"/>
      <c r="AO274" s="52"/>
      <c r="AP274" s="52"/>
      <c r="AQ274" s="52"/>
      <c r="AR274" s="52"/>
      <c r="AS274" s="52"/>
      <c r="AT274" s="52"/>
      <c r="AU274" s="52"/>
      <c r="AV274" s="52"/>
      <c r="AW274" s="52"/>
      <c r="AX274" s="52"/>
      <c r="AY274" s="52"/>
      <c r="AZ274" s="52"/>
      <c r="BA274" s="52"/>
      <c r="BB274" s="52"/>
      <c r="BC274" s="52"/>
      <c r="BD274" s="52"/>
      <c r="BE274" s="52"/>
      <c r="BF274" s="54"/>
      <c r="BG274" s="54"/>
      <c r="BH274" s="54"/>
      <c r="BI274" s="54"/>
      <c r="BJ274" s="54"/>
      <c r="BK274" s="54"/>
      <c r="BL274" s="54"/>
      <c r="BM274" s="54"/>
      <c r="BN274" s="54"/>
      <c r="BO274" s="54"/>
      <c r="BP274" s="54"/>
      <c r="BQ274" s="54"/>
      <c r="BR274" s="54"/>
      <c r="BS274" s="54"/>
      <c r="BT274" s="54"/>
      <c r="BU274" s="54"/>
      <c r="BV274" s="54"/>
      <c r="BW274" s="54"/>
      <c r="BX274" s="54"/>
      <c r="BY274" s="54"/>
      <c r="BZ274" s="54"/>
      <c r="CA274" s="54"/>
      <c r="CB274" s="54"/>
    </row>
    <row r="275" spans="1:80" ht="16.5" customHeight="1">
      <c r="A275" s="54"/>
      <c r="B275" s="54"/>
      <c r="C275" s="54"/>
      <c r="D275" s="54"/>
      <c r="E275" s="54"/>
      <c r="F275" s="54"/>
      <c r="G275" s="54"/>
      <c r="H275" s="54"/>
      <c r="I275" s="54"/>
      <c r="J275" s="54"/>
      <c r="K275" s="54"/>
      <c r="L275" s="52"/>
      <c r="M275" s="52"/>
      <c r="N275" s="52"/>
      <c r="O275" s="52"/>
      <c r="P275" s="52"/>
      <c r="Q275" s="52"/>
      <c r="R275" s="52"/>
      <c r="S275" s="52"/>
      <c r="T275" s="52"/>
      <c r="U275" s="52"/>
      <c r="V275" s="52"/>
      <c r="W275" s="52"/>
      <c r="X275" s="52"/>
      <c r="Y275" s="52"/>
      <c r="Z275" s="52"/>
      <c r="AA275" s="52"/>
      <c r="AB275" s="52"/>
      <c r="AC275" s="52"/>
      <c r="AD275" s="52"/>
      <c r="AE275" s="52"/>
      <c r="AF275" s="52"/>
      <c r="AG275" s="52"/>
      <c r="AH275" s="52"/>
      <c r="AI275" s="52"/>
      <c r="AJ275" s="52"/>
      <c r="AK275" s="52"/>
      <c r="AL275" s="52"/>
      <c r="AM275" s="52"/>
      <c r="AN275" s="52"/>
      <c r="AO275" s="52"/>
      <c r="AP275" s="52"/>
      <c r="AQ275" s="52"/>
      <c r="AR275" s="52"/>
      <c r="AS275" s="52"/>
      <c r="AT275" s="52"/>
      <c r="AU275" s="52"/>
      <c r="AV275" s="52"/>
      <c r="AW275" s="52"/>
      <c r="AX275" s="52"/>
      <c r="AY275" s="52"/>
      <c r="AZ275" s="52"/>
      <c r="BA275" s="52"/>
      <c r="BB275" s="52"/>
      <c r="BC275" s="52"/>
      <c r="BD275" s="52"/>
      <c r="BE275" s="52"/>
      <c r="BF275" s="54"/>
      <c r="BG275" s="54"/>
      <c r="BH275" s="54"/>
      <c r="BI275" s="54"/>
      <c r="BJ275" s="54"/>
      <c r="BK275" s="54"/>
      <c r="BL275" s="54"/>
      <c r="BM275" s="54"/>
      <c r="BN275" s="54"/>
      <c r="BO275" s="54"/>
      <c r="BP275" s="54"/>
      <c r="BQ275" s="54"/>
      <c r="BR275" s="54"/>
      <c r="BS275" s="54"/>
      <c r="BT275" s="54"/>
      <c r="BU275" s="54"/>
      <c r="BV275" s="54"/>
      <c r="BW275" s="54"/>
      <c r="BX275" s="54"/>
      <c r="BY275" s="54"/>
      <c r="BZ275" s="54"/>
      <c r="CA275" s="54"/>
      <c r="CB275" s="54"/>
    </row>
    <row r="276" spans="1:80" ht="16.5" customHeight="1">
      <c r="A276" s="54"/>
      <c r="B276" s="54"/>
      <c r="C276" s="54"/>
      <c r="D276" s="54"/>
      <c r="E276" s="54"/>
      <c r="F276" s="54"/>
      <c r="G276" s="54"/>
      <c r="H276" s="54"/>
      <c r="I276" s="54"/>
      <c r="J276" s="54"/>
      <c r="K276" s="54"/>
      <c r="L276" s="52"/>
      <c r="M276" s="52"/>
      <c r="N276" s="52"/>
      <c r="O276" s="52"/>
      <c r="P276" s="52"/>
      <c r="Q276" s="52"/>
      <c r="R276" s="52"/>
      <c r="S276" s="52"/>
      <c r="T276" s="52"/>
      <c r="U276" s="52"/>
      <c r="V276" s="52"/>
      <c r="W276" s="52"/>
      <c r="X276" s="52"/>
      <c r="Y276" s="52"/>
      <c r="Z276" s="52"/>
      <c r="AA276" s="52"/>
      <c r="AB276" s="52"/>
      <c r="AC276" s="52"/>
      <c r="AD276" s="52"/>
      <c r="AE276" s="52"/>
      <c r="AF276" s="52"/>
      <c r="AG276" s="52"/>
      <c r="AH276" s="52"/>
      <c r="AI276" s="52"/>
      <c r="AJ276" s="52"/>
      <c r="AK276" s="52"/>
      <c r="AL276" s="52"/>
      <c r="AM276" s="52"/>
      <c r="AN276" s="52"/>
      <c r="AO276" s="52"/>
      <c r="AP276" s="52"/>
      <c r="AQ276" s="52"/>
      <c r="AR276" s="52"/>
      <c r="AS276" s="52"/>
      <c r="AT276" s="52"/>
      <c r="AU276" s="52"/>
      <c r="AV276" s="52"/>
      <c r="AW276" s="52"/>
      <c r="AX276" s="52"/>
      <c r="AY276" s="52"/>
      <c r="AZ276" s="52"/>
      <c r="BA276" s="52"/>
      <c r="BB276" s="52"/>
      <c r="BC276" s="52"/>
      <c r="BD276" s="52"/>
      <c r="BE276" s="52"/>
      <c r="BF276" s="54"/>
      <c r="BG276" s="54"/>
      <c r="BH276" s="54"/>
      <c r="BI276" s="54"/>
      <c r="BJ276" s="54"/>
      <c r="BK276" s="54"/>
      <c r="BL276" s="54"/>
      <c r="BM276" s="54"/>
      <c r="BN276" s="54"/>
      <c r="BO276" s="54"/>
      <c r="BP276" s="54"/>
      <c r="BQ276" s="54"/>
      <c r="BR276" s="54"/>
      <c r="BS276" s="54"/>
      <c r="BT276" s="54"/>
      <c r="BU276" s="54"/>
      <c r="BV276" s="54"/>
      <c r="BW276" s="54"/>
      <c r="BX276" s="54"/>
      <c r="BY276" s="54"/>
      <c r="BZ276" s="54"/>
      <c r="CA276" s="54"/>
      <c r="CB276" s="54"/>
    </row>
    <row r="277" spans="1:80" ht="16.5" customHeight="1">
      <c r="A277" s="54"/>
      <c r="B277" s="54"/>
      <c r="C277" s="54"/>
      <c r="D277" s="54"/>
      <c r="E277" s="54"/>
      <c r="F277" s="54"/>
      <c r="G277" s="54"/>
      <c r="H277" s="54"/>
      <c r="I277" s="54"/>
      <c r="J277" s="54"/>
      <c r="K277" s="54"/>
      <c r="L277" s="52"/>
      <c r="M277" s="52"/>
      <c r="N277" s="52"/>
      <c r="O277" s="52"/>
      <c r="P277" s="52"/>
      <c r="Q277" s="52"/>
      <c r="R277" s="52"/>
      <c r="S277" s="52"/>
      <c r="T277" s="52"/>
      <c r="U277" s="52"/>
      <c r="V277" s="52"/>
      <c r="W277" s="52"/>
      <c r="X277" s="52"/>
      <c r="Y277" s="52"/>
      <c r="Z277" s="52"/>
      <c r="AA277" s="52"/>
      <c r="AB277" s="52"/>
      <c r="AC277" s="52"/>
      <c r="AD277" s="52"/>
      <c r="AE277" s="52"/>
      <c r="AF277" s="52"/>
      <c r="AG277" s="52"/>
      <c r="AH277" s="52"/>
      <c r="AI277" s="52"/>
      <c r="AJ277" s="52"/>
      <c r="AK277" s="52"/>
      <c r="AL277" s="52"/>
      <c r="AM277" s="52"/>
      <c r="AN277" s="52"/>
      <c r="AO277" s="52"/>
      <c r="AP277" s="52"/>
      <c r="AQ277" s="52"/>
      <c r="AR277" s="52"/>
      <c r="AS277" s="52"/>
      <c r="AT277" s="52"/>
      <c r="AU277" s="52"/>
      <c r="AV277" s="52"/>
      <c r="AW277" s="52"/>
      <c r="AX277" s="52"/>
      <c r="AY277" s="52"/>
      <c r="AZ277" s="52"/>
      <c r="BA277" s="52"/>
      <c r="BB277" s="52"/>
      <c r="BC277" s="52"/>
      <c r="BD277" s="52"/>
      <c r="BE277" s="52"/>
      <c r="BF277" s="54"/>
      <c r="BG277" s="54"/>
      <c r="BH277" s="54"/>
      <c r="BI277" s="54"/>
      <c r="BJ277" s="54"/>
      <c r="BK277" s="54"/>
      <c r="BL277" s="54"/>
      <c r="BM277" s="54"/>
      <c r="BN277" s="54"/>
      <c r="BO277" s="54"/>
      <c r="BP277" s="54"/>
      <c r="BQ277" s="54"/>
      <c r="BR277" s="54"/>
      <c r="BS277" s="54"/>
      <c r="BT277" s="54"/>
      <c r="BU277" s="54"/>
      <c r="BV277" s="54"/>
      <c r="BW277" s="54"/>
      <c r="BX277" s="54"/>
      <c r="BY277" s="54"/>
      <c r="BZ277" s="54"/>
      <c r="CA277" s="54"/>
      <c r="CB277" s="54"/>
    </row>
    <row r="278" spans="1:80" ht="16.5" customHeight="1">
      <c r="A278" s="54"/>
      <c r="B278" s="54"/>
      <c r="C278" s="54"/>
      <c r="D278" s="54"/>
      <c r="E278" s="54"/>
      <c r="F278" s="54"/>
      <c r="G278" s="54"/>
      <c r="H278" s="54"/>
      <c r="I278" s="54"/>
      <c r="J278" s="54"/>
      <c r="K278" s="54"/>
      <c r="L278" s="52"/>
      <c r="M278" s="52"/>
      <c r="N278" s="52"/>
      <c r="O278" s="52"/>
      <c r="P278" s="52"/>
      <c r="Q278" s="52"/>
      <c r="R278" s="52"/>
      <c r="S278" s="52"/>
      <c r="T278" s="52"/>
      <c r="U278" s="52"/>
      <c r="V278" s="52"/>
      <c r="W278" s="52"/>
      <c r="X278" s="52"/>
      <c r="Y278" s="52"/>
      <c r="Z278" s="52"/>
      <c r="AA278" s="52"/>
      <c r="AB278" s="52"/>
      <c r="AC278" s="52"/>
      <c r="AD278" s="52"/>
      <c r="AE278" s="52"/>
      <c r="AF278" s="52"/>
      <c r="AG278" s="52"/>
      <c r="AH278" s="52"/>
      <c r="AI278" s="52"/>
      <c r="AJ278" s="52"/>
      <c r="AK278" s="52"/>
      <c r="AL278" s="52"/>
      <c r="AM278" s="52"/>
      <c r="AN278" s="52"/>
      <c r="AO278" s="52"/>
      <c r="AP278" s="52"/>
      <c r="AQ278" s="52"/>
      <c r="AR278" s="52"/>
      <c r="AS278" s="52"/>
      <c r="AT278" s="52"/>
      <c r="AU278" s="52"/>
      <c r="AV278" s="52"/>
      <c r="AW278" s="52"/>
      <c r="AX278" s="52"/>
      <c r="AY278" s="52"/>
      <c r="AZ278" s="52"/>
      <c r="BA278" s="52"/>
      <c r="BB278" s="52"/>
      <c r="BC278" s="52"/>
      <c r="BD278" s="52"/>
      <c r="BE278" s="52"/>
      <c r="BF278" s="54"/>
      <c r="BG278" s="54"/>
      <c r="BH278" s="54"/>
      <c r="BI278" s="54"/>
      <c r="BJ278" s="54"/>
      <c r="BK278" s="54"/>
      <c r="BL278" s="54"/>
      <c r="BM278" s="54"/>
      <c r="BN278" s="54"/>
      <c r="BO278" s="54"/>
      <c r="BP278" s="54"/>
      <c r="BQ278" s="54"/>
      <c r="BR278" s="54"/>
      <c r="BS278" s="54"/>
      <c r="BT278" s="54"/>
      <c r="BU278" s="54"/>
      <c r="BV278" s="54"/>
      <c r="BW278" s="54"/>
      <c r="BX278" s="54"/>
      <c r="BY278" s="54"/>
      <c r="BZ278" s="54"/>
      <c r="CA278" s="54"/>
      <c r="CB278" s="54"/>
    </row>
    <row r="279" spans="1:80" ht="16.5" customHeight="1">
      <c r="A279" s="54"/>
      <c r="B279" s="54"/>
      <c r="C279" s="54"/>
      <c r="D279" s="54"/>
      <c r="E279" s="54"/>
      <c r="F279" s="54"/>
      <c r="G279" s="54"/>
      <c r="H279" s="54"/>
      <c r="I279" s="54"/>
      <c r="J279" s="54"/>
      <c r="K279" s="54"/>
      <c r="L279" s="52"/>
      <c r="M279" s="52"/>
      <c r="N279" s="52"/>
      <c r="O279" s="52"/>
      <c r="P279" s="52"/>
      <c r="Q279" s="52"/>
      <c r="R279" s="52"/>
      <c r="S279" s="52"/>
      <c r="T279" s="52"/>
      <c r="U279" s="52"/>
      <c r="V279" s="52"/>
      <c r="W279" s="52"/>
      <c r="X279" s="52"/>
      <c r="Y279" s="52"/>
      <c r="Z279" s="52"/>
      <c r="AA279" s="52"/>
      <c r="AB279" s="52"/>
      <c r="AC279" s="52"/>
      <c r="AD279" s="52"/>
      <c r="AE279" s="52"/>
      <c r="AF279" s="52"/>
      <c r="AG279" s="52"/>
      <c r="AH279" s="52"/>
      <c r="AI279" s="52"/>
      <c r="AJ279" s="52"/>
      <c r="AK279" s="52"/>
      <c r="AL279" s="52"/>
      <c r="AM279" s="52"/>
      <c r="AN279" s="52"/>
      <c r="AO279" s="52"/>
      <c r="AP279" s="52"/>
      <c r="AQ279" s="52"/>
      <c r="AR279" s="52"/>
      <c r="AS279" s="52"/>
      <c r="AT279" s="52"/>
      <c r="AU279" s="52"/>
      <c r="AV279" s="52"/>
      <c r="AW279" s="52"/>
      <c r="AX279" s="52"/>
      <c r="AY279" s="52"/>
      <c r="AZ279" s="52"/>
      <c r="BA279" s="52"/>
      <c r="BB279" s="52"/>
      <c r="BC279" s="52"/>
      <c r="BD279" s="52"/>
      <c r="BE279" s="52"/>
      <c r="BF279" s="54"/>
      <c r="BG279" s="54"/>
      <c r="BH279" s="54"/>
      <c r="BI279" s="54"/>
      <c r="BJ279" s="54"/>
      <c r="BK279" s="54"/>
      <c r="BL279" s="54"/>
      <c r="BM279" s="54"/>
      <c r="BN279" s="54"/>
      <c r="BO279" s="54"/>
      <c r="BP279" s="54"/>
      <c r="BQ279" s="54"/>
      <c r="BR279" s="54"/>
      <c r="BS279" s="54"/>
      <c r="BT279" s="54"/>
      <c r="BU279" s="54"/>
      <c r="BV279" s="54"/>
      <c r="BW279" s="54"/>
      <c r="BX279" s="54"/>
      <c r="BY279" s="54"/>
      <c r="BZ279" s="54"/>
      <c r="CA279" s="54"/>
      <c r="CB279" s="54"/>
    </row>
    <row r="280" spans="1:80" ht="16.5" customHeight="1">
      <c r="A280" s="54"/>
      <c r="B280" s="54"/>
      <c r="C280" s="54"/>
      <c r="D280" s="54"/>
      <c r="E280" s="54"/>
      <c r="F280" s="54"/>
      <c r="G280" s="54"/>
      <c r="H280" s="54"/>
      <c r="I280" s="54"/>
      <c r="J280" s="54"/>
      <c r="K280" s="54"/>
      <c r="L280" s="52"/>
      <c r="M280" s="52"/>
      <c r="N280" s="52"/>
      <c r="O280" s="52"/>
      <c r="P280" s="52"/>
      <c r="Q280" s="52"/>
      <c r="R280" s="52"/>
      <c r="S280" s="52"/>
      <c r="T280" s="52"/>
      <c r="U280" s="52"/>
      <c r="V280" s="52"/>
      <c r="W280" s="52"/>
      <c r="X280" s="52"/>
      <c r="Y280" s="52"/>
      <c r="Z280" s="52"/>
      <c r="AA280" s="52"/>
      <c r="AB280" s="52"/>
      <c r="AC280" s="52"/>
      <c r="AD280" s="52"/>
      <c r="AE280" s="52"/>
      <c r="AF280" s="52"/>
      <c r="AG280" s="52"/>
      <c r="AH280" s="52"/>
      <c r="AI280" s="52"/>
      <c r="AJ280" s="52"/>
      <c r="AK280" s="52"/>
      <c r="AL280" s="52"/>
      <c r="AM280" s="52"/>
      <c r="AN280" s="52"/>
      <c r="AO280" s="52"/>
      <c r="AP280" s="52"/>
      <c r="AQ280" s="52"/>
      <c r="AR280" s="52"/>
      <c r="AS280" s="52"/>
      <c r="AT280" s="52"/>
      <c r="AU280" s="52"/>
      <c r="AV280" s="52"/>
      <c r="AW280" s="52"/>
      <c r="AX280" s="52"/>
      <c r="AY280" s="52"/>
      <c r="AZ280" s="52"/>
      <c r="BA280" s="52"/>
      <c r="BB280" s="52"/>
      <c r="BC280" s="52"/>
      <c r="BD280" s="52"/>
      <c r="BE280" s="52"/>
      <c r="BF280" s="54"/>
      <c r="BG280" s="54"/>
      <c r="BH280" s="54"/>
      <c r="BI280" s="54"/>
      <c r="BJ280" s="54"/>
      <c r="BK280" s="54"/>
      <c r="BL280" s="54"/>
      <c r="BM280" s="54"/>
      <c r="BN280" s="54"/>
      <c r="BO280" s="54"/>
      <c r="BP280" s="54"/>
      <c r="BQ280" s="54"/>
      <c r="BR280" s="54"/>
      <c r="BS280" s="54"/>
      <c r="BT280" s="54"/>
      <c r="BU280" s="54"/>
      <c r="BV280" s="54"/>
      <c r="BW280" s="54"/>
      <c r="BX280" s="54"/>
      <c r="BY280" s="54"/>
      <c r="BZ280" s="54"/>
      <c r="CA280" s="54"/>
      <c r="CB280" s="54"/>
    </row>
    <row r="281" spans="1:80" ht="16.5" customHeight="1">
      <c r="A281" s="54"/>
      <c r="B281" s="54"/>
      <c r="C281" s="54"/>
      <c r="D281" s="54"/>
      <c r="E281" s="54"/>
      <c r="F281" s="54"/>
      <c r="G281" s="54"/>
      <c r="H281" s="54"/>
      <c r="I281" s="54"/>
      <c r="J281" s="54"/>
      <c r="K281" s="54"/>
      <c r="L281" s="52"/>
      <c r="M281" s="52"/>
      <c r="N281" s="52"/>
      <c r="O281" s="52"/>
      <c r="P281" s="52"/>
      <c r="Q281" s="52"/>
      <c r="R281" s="52"/>
      <c r="S281" s="52"/>
      <c r="T281" s="52"/>
      <c r="U281" s="52"/>
      <c r="V281" s="52"/>
      <c r="W281" s="52"/>
      <c r="X281" s="52"/>
      <c r="Y281" s="52"/>
      <c r="Z281" s="52"/>
      <c r="AA281" s="52"/>
      <c r="AB281" s="52"/>
      <c r="AC281" s="52"/>
      <c r="AD281" s="52"/>
      <c r="AE281" s="52"/>
      <c r="AF281" s="52"/>
      <c r="AG281" s="52"/>
      <c r="AH281" s="52"/>
      <c r="AI281" s="52"/>
      <c r="AJ281" s="52"/>
      <c r="AK281" s="52"/>
      <c r="AL281" s="52"/>
      <c r="AM281" s="52"/>
      <c r="AN281" s="52"/>
      <c r="AO281" s="52"/>
      <c r="AP281" s="52"/>
      <c r="AQ281" s="52"/>
      <c r="AR281" s="52"/>
      <c r="AS281" s="52"/>
      <c r="AT281" s="52"/>
      <c r="AU281" s="52"/>
      <c r="AV281" s="52"/>
      <c r="AW281" s="52"/>
      <c r="AX281" s="52"/>
      <c r="AY281" s="52"/>
      <c r="AZ281" s="52"/>
      <c r="BA281" s="52"/>
      <c r="BB281" s="52"/>
      <c r="BC281" s="52"/>
      <c r="BD281" s="52"/>
      <c r="BE281" s="52"/>
      <c r="BF281" s="54"/>
      <c r="BG281" s="54"/>
      <c r="BH281" s="54"/>
      <c r="BI281" s="54"/>
      <c r="BJ281" s="54"/>
      <c r="BK281" s="54"/>
      <c r="BL281" s="54"/>
      <c r="BM281" s="54"/>
      <c r="BN281" s="54"/>
      <c r="BO281" s="54"/>
      <c r="BP281" s="54"/>
      <c r="BQ281" s="54"/>
      <c r="BR281" s="54"/>
      <c r="BS281" s="54"/>
      <c r="BT281" s="54"/>
      <c r="BU281" s="54"/>
      <c r="BV281" s="54"/>
      <c r="BW281" s="54"/>
      <c r="BX281" s="54"/>
      <c r="BY281" s="54"/>
      <c r="BZ281" s="54"/>
      <c r="CA281" s="54"/>
      <c r="CB281" s="54"/>
    </row>
    <row r="282" spans="1:80" ht="16.5" customHeight="1">
      <c r="A282" s="54"/>
      <c r="B282" s="54"/>
      <c r="C282" s="54"/>
      <c r="D282" s="54"/>
      <c r="E282" s="54"/>
      <c r="F282" s="54"/>
      <c r="G282" s="54"/>
      <c r="H282" s="54"/>
      <c r="I282" s="54"/>
      <c r="J282" s="54"/>
      <c r="K282" s="54"/>
      <c r="L282" s="52"/>
      <c r="M282" s="52"/>
      <c r="N282" s="52"/>
      <c r="O282" s="52"/>
      <c r="P282" s="52"/>
      <c r="Q282" s="52"/>
      <c r="R282" s="52"/>
      <c r="S282" s="52"/>
      <c r="T282" s="52"/>
      <c r="U282" s="52"/>
      <c r="V282" s="52"/>
      <c r="W282" s="52"/>
      <c r="X282" s="52"/>
      <c r="Y282" s="52"/>
      <c r="Z282" s="52"/>
      <c r="AA282" s="52"/>
      <c r="AB282" s="52"/>
      <c r="AC282" s="52"/>
      <c r="AD282" s="52"/>
      <c r="AE282" s="52"/>
      <c r="AF282" s="52"/>
      <c r="AG282" s="52"/>
      <c r="AH282" s="52"/>
      <c r="AI282" s="52"/>
      <c r="AJ282" s="52"/>
      <c r="AK282" s="52"/>
      <c r="AL282" s="52"/>
      <c r="AM282" s="52"/>
      <c r="AN282" s="52"/>
      <c r="AO282" s="52"/>
      <c r="AP282" s="52"/>
      <c r="AQ282" s="52"/>
      <c r="AR282" s="52"/>
      <c r="AS282" s="52"/>
      <c r="AT282" s="52"/>
      <c r="AU282" s="52"/>
      <c r="AV282" s="52"/>
      <c r="AW282" s="52"/>
      <c r="AX282" s="52"/>
      <c r="AY282" s="52"/>
      <c r="AZ282" s="52"/>
      <c r="BA282" s="52"/>
      <c r="BB282" s="52"/>
      <c r="BC282" s="52"/>
      <c r="BD282" s="52"/>
      <c r="BE282" s="52"/>
      <c r="BF282" s="54"/>
      <c r="BG282" s="54"/>
      <c r="BH282" s="54"/>
      <c r="BI282" s="54"/>
      <c r="BJ282" s="54"/>
      <c r="BK282" s="54"/>
      <c r="BL282" s="54"/>
      <c r="BM282" s="54"/>
      <c r="BN282" s="54"/>
      <c r="BO282" s="54"/>
      <c r="BP282" s="54"/>
      <c r="BQ282" s="54"/>
      <c r="BR282" s="54"/>
      <c r="BS282" s="54"/>
      <c r="BT282" s="54"/>
      <c r="BU282" s="54"/>
      <c r="BV282" s="54"/>
      <c r="BW282" s="54"/>
      <c r="BX282" s="54"/>
      <c r="BY282" s="54"/>
      <c r="BZ282" s="54"/>
      <c r="CA282" s="54"/>
      <c r="CB282" s="54"/>
    </row>
    <row r="283" spans="1:80" ht="16.5" customHeight="1">
      <c r="A283" s="54"/>
      <c r="B283" s="54"/>
      <c r="C283" s="54"/>
      <c r="D283" s="54"/>
      <c r="E283" s="54"/>
      <c r="F283" s="54"/>
      <c r="G283" s="54"/>
      <c r="H283" s="54"/>
      <c r="I283" s="54"/>
      <c r="J283" s="54"/>
      <c r="K283" s="54"/>
      <c r="L283" s="52"/>
      <c r="M283" s="52"/>
      <c r="N283" s="52"/>
      <c r="O283" s="52"/>
      <c r="P283" s="52"/>
      <c r="Q283" s="52"/>
      <c r="R283" s="52"/>
      <c r="S283" s="52"/>
      <c r="T283" s="52"/>
      <c r="U283" s="52"/>
      <c r="V283" s="52"/>
      <c r="W283" s="52"/>
      <c r="X283" s="52"/>
      <c r="Y283" s="52"/>
      <c r="Z283" s="52"/>
      <c r="AA283" s="52"/>
      <c r="AB283" s="52"/>
      <c r="AC283" s="52"/>
      <c r="AD283" s="52"/>
      <c r="AE283" s="52"/>
      <c r="AF283" s="52"/>
      <c r="AG283" s="52"/>
      <c r="AH283" s="52"/>
      <c r="AI283" s="52"/>
      <c r="AJ283" s="52"/>
      <c r="AK283" s="52"/>
      <c r="AL283" s="52"/>
      <c r="AM283" s="52"/>
      <c r="AN283" s="52"/>
      <c r="AO283" s="52"/>
      <c r="AP283" s="52"/>
      <c r="AQ283" s="52"/>
      <c r="AR283" s="52"/>
      <c r="AS283" s="52"/>
      <c r="AT283" s="52"/>
      <c r="AU283" s="52"/>
      <c r="AV283" s="52"/>
      <c r="AW283" s="52"/>
      <c r="AX283" s="52"/>
      <c r="AY283" s="52"/>
      <c r="AZ283" s="52"/>
      <c r="BA283" s="52"/>
      <c r="BB283" s="52"/>
      <c r="BC283" s="52"/>
      <c r="BD283" s="52"/>
      <c r="BE283" s="52"/>
      <c r="BF283" s="54"/>
      <c r="BG283" s="54"/>
      <c r="BH283" s="54"/>
      <c r="BI283" s="54"/>
      <c r="BJ283" s="54"/>
      <c r="BK283" s="54"/>
      <c r="BL283" s="54"/>
      <c r="BM283" s="54"/>
      <c r="BN283" s="54"/>
      <c r="BO283" s="54"/>
      <c r="BP283" s="54"/>
      <c r="BQ283" s="54"/>
      <c r="BR283" s="54"/>
      <c r="BS283" s="54"/>
      <c r="BT283" s="54"/>
      <c r="BU283" s="54"/>
      <c r="BV283" s="54"/>
      <c r="BW283" s="54"/>
      <c r="BX283" s="54"/>
      <c r="BY283" s="54"/>
      <c r="BZ283" s="54"/>
      <c r="CA283" s="54"/>
      <c r="CB283" s="54"/>
    </row>
    <row r="284" spans="1:80" ht="16.5" customHeight="1">
      <c r="A284" s="54"/>
      <c r="B284" s="54"/>
      <c r="C284" s="54"/>
      <c r="D284" s="54"/>
      <c r="E284" s="54"/>
      <c r="F284" s="54"/>
      <c r="G284" s="54"/>
      <c r="H284" s="54"/>
      <c r="I284" s="54"/>
      <c r="J284" s="54"/>
      <c r="K284" s="54"/>
      <c r="L284" s="52"/>
      <c r="M284" s="52"/>
      <c r="N284" s="52"/>
      <c r="O284" s="52"/>
      <c r="P284" s="52"/>
      <c r="Q284" s="52"/>
      <c r="R284" s="52"/>
      <c r="S284" s="52"/>
      <c r="T284" s="52"/>
      <c r="U284" s="52"/>
      <c r="V284" s="52"/>
      <c r="W284" s="52"/>
      <c r="X284" s="52"/>
      <c r="Y284" s="52"/>
      <c r="Z284" s="52"/>
      <c r="AA284" s="52"/>
      <c r="AB284" s="52"/>
      <c r="AC284" s="52"/>
      <c r="AD284" s="52"/>
      <c r="AE284" s="52"/>
      <c r="AF284" s="52"/>
      <c r="AG284" s="52"/>
      <c r="AH284" s="52"/>
      <c r="AI284" s="52"/>
      <c r="AJ284" s="52"/>
      <c r="AK284" s="52"/>
      <c r="AL284" s="52"/>
      <c r="AM284" s="52"/>
      <c r="AN284" s="52"/>
      <c r="AO284" s="52"/>
      <c r="AP284" s="52"/>
      <c r="AQ284" s="52"/>
      <c r="AR284" s="52"/>
      <c r="AS284" s="52"/>
      <c r="AT284" s="52"/>
      <c r="AU284" s="52"/>
      <c r="AV284" s="52"/>
      <c r="AW284" s="52"/>
      <c r="AX284" s="52"/>
      <c r="AY284" s="52"/>
      <c r="AZ284" s="52"/>
      <c r="BA284" s="52"/>
      <c r="BB284" s="52"/>
      <c r="BC284" s="52"/>
      <c r="BD284" s="52"/>
      <c r="BE284" s="52"/>
      <c r="BF284" s="54"/>
      <c r="BG284" s="54"/>
      <c r="BH284" s="54"/>
      <c r="BI284" s="54"/>
      <c r="BJ284" s="54"/>
      <c r="BK284" s="54"/>
      <c r="BL284" s="54"/>
      <c r="BM284" s="54"/>
      <c r="BN284" s="54"/>
      <c r="BO284" s="54"/>
      <c r="BP284" s="54"/>
      <c r="BQ284" s="54"/>
      <c r="BR284" s="54"/>
      <c r="BS284" s="54"/>
      <c r="BT284" s="54"/>
      <c r="BU284" s="54"/>
      <c r="BV284" s="54"/>
      <c r="BW284" s="54"/>
      <c r="BX284" s="54"/>
      <c r="BY284" s="54"/>
      <c r="BZ284" s="54"/>
      <c r="CA284" s="54"/>
      <c r="CB284" s="54"/>
    </row>
    <row r="285" spans="1:80" ht="16.5" customHeight="1">
      <c r="A285" s="54"/>
      <c r="B285" s="54"/>
      <c r="C285" s="54"/>
      <c r="D285" s="54"/>
      <c r="E285" s="54"/>
      <c r="F285" s="54"/>
      <c r="G285" s="54"/>
      <c r="H285" s="54"/>
      <c r="I285" s="54"/>
      <c r="J285" s="54"/>
      <c r="K285" s="54"/>
      <c r="L285" s="52"/>
      <c r="M285" s="52"/>
      <c r="N285" s="52"/>
      <c r="O285" s="52"/>
      <c r="P285" s="52"/>
      <c r="Q285" s="52"/>
      <c r="R285" s="52"/>
      <c r="S285" s="52"/>
      <c r="T285" s="52"/>
      <c r="U285" s="52"/>
      <c r="V285" s="52"/>
      <c r="W285" s="52"/>
      <c r="X285" s="52"/>
      <c r="Y285" s="52"/>
      <c r="Z285" s="52"/>
      <c r="AA285" s="52"/>
      <c r="AB285" s="52"/>
      <c r="AC285" s="52"/>
      <c r="AD285" s="52"/>
      <c r="AE285" s="52"/>
      <c r="AF285" s="52"/>
      <c r="AG285" s="52"/>
      <c r="AH285" s="52"/>
      <c r="AI285" s="52"/>
      <c r="AJ285" s="52"/>
      <c r="AK285" s="52"/>
      <c r="AL285" s="52"/>
      <c r="AM285" s="52"/>
      <c r="AN285" s="52"/>
      <c r="AO285" s="52"/>
      <c r="AP285" s="52"/>
      <c r="AQ285" s="52"/>
      <c r="AR285" s="52"/>
      <c r="AS285" s="52"/>
      <c r="AT285" s="52"/>
      <c r="AU285" s="52"/>
      <c r="AV285" s="52"/>
      <c r="AW285" s="52"/>
      <c r="AX285" s="52"/>
      <c r="AY285" s="52"/>
      <c r="AZ285" s="52"/>
      <c r="BA285" s="52"/>
      <c r="BB285" s="52"/>
      <c r="BC285" s="52"/>
      <c r="BD285" s="52"/>
      <c r="BE285" s="52"/>
      <c r="BF285" s="54"/>
      <c r="BG285" s="54"/>
      <c r="BH285" s="54"/>
      <c r="BI285" s="54"/>
      <c r="BJ285" s="54"/>
      <c r="BK285" s="54"/>
      <c r="BL285" s="54"/>
      <c r="BM285" s="54"/>
      <c r="BN285" s="54"/>
      <c r="BO285" s="54"/>
      <c r="BP285" s="54"/>
      <c r="BQ285" s="54"/>
      <c r="BR285" s="54"/>
      <c r="BS285" s="54"/>
      <c r="BT285" s="54"/>
      <c r="BU285" s="54"/>
      <c r="BV285" s="54"/>
      <c r="BW285" s="54"/>
      <c r="BX285" s="54"/>
      <c r="BY285" s="54"/>
      <c r="BZ285" s="54"/>
      <c r="CA285" s="54"/>
      <c r="CB285" s="54"/>
    </row>
    <row r="286" spans="1:80" ht="16.5" customHeight="1">
      <c r="A286" s="54"/>
      <c r="B286" s="54"/>
      <c r="C286" s="54"/>
      <c r="D286" s="54"/>
      <c r="E286" s="54"/>
      <c r="F286" s="54"/>
      <c r="G286" s="54"/>
      <c r="H286" s="54"/>
      <c r="I286" s="54"/>
      <c r="J286" s="54"/>
      <c r="K286" s="54"/>
      <c r="L286" s="52"/>
      <c r="M286" s="52"/>
      <c r="N286" s="52"/>
      <c r="O286" s="52"/>
      <c r="P286" s="52"/>
      <c r="Q286" s="52"/>
      <c r="R286" s="52"/>
      <c r="S286" s="52"/>
      <c r="T286" s="52"/>
      <c r="U286" s="52"/>
      <c r="V286" s="52"/>
      <c r="W286" s="52"/>
      <c r="X286" s="52"/>
      <c r="Y286" s="52"/>
      <c r="Z286" s="52"/>
      <c r="AA286" s="52"/>
      <c r="AB286" s="52"/>
      <c r="AC286" s="52"/>
      <c r="AD286" s="52"/>
      <c r="AE286" s="52"/>
      <c r="AF286" s="52"/>
      <c r="AG286" s="52"/>
      <c r="AH286" s="52"/>
      <c r="AI286" s="52"/>
      <c r="AJ286" s="52"/>
      <c r="AK286" s="52"/>
      <c r="AL286" s="52"/>
      <c r="AM286" s="52"/>
      <c r="AN286" s="52"/>
      <c r="AO286" s="52"/>
      <c r="AP286" s="52"/>
      <c r="AQ286" s="52"/>
      <c r="AR286" s="52"/>
      <c r="AS286" s="52"/>
      <c r="AT286" s="52"/>
      <c r="AU286" s="52"/>
      <c r="AV286" s="52"/>
      <c r="AW286" s="52"/>
      <c r="AX286" s="52"/>
      <c r="AY286" s="52"/>
      <c r="AZ286" s="52"/>
      <c r="BA286" s="52"/>
      <c r="BB286" s="52"/>
      <c r="BC286" s="52"/>
      <c r="BD286" s="52"/>
      <c r="BE286" s="52"/>
      <c r="BF286" s="54"/>
      <c r="BG286" s="54"/>
      <c r="BH286" s="54"/>
      <c r="BI286" s="54"/>
      <c r="BJ286" s="54"/>
      <c r="BK286" s="54"/>
      <c r="BL286" s="54"/>
      <c r="BM286" s="54"/>
      <c r="BN286" s="54"/>
      <c r="BO286" s="54"/>
      <c r="BP286" s="54"/>
      <c r="BQ286" s="54"/>
      <c r="BR286" s="54"/>
      <c r="BS286" s="54"/>
      <c r="BT286" s="54"/>
      <c r="BU286" s="54"/>
      <c r="BV286" s="54"/>
      <c r="BW286" s="54"/>
      <c r="BX286" s="54"/>
      <c r="BY286" s="54"/>
      <c r="BZ286" s="54"/>
      <c r="CA286" s="54"/>
      <c r="CB286" s="54"/>
    </row>
    <row r="287" spans="1:80" ht="16.5" customHeight="1">
      <c r="A287" s="54"/>
      <c r="B287" s="54"/>
      <c r="C287" s="54"/>
      <c r="D287" s="54"/>
      <c r="E287" s="54"/>
      <c r="F287" s="54"/>
      <c r="G287" s="54"/>
      <c r="H287" s="54"/>
      <c r="I287" s="54"/>
      <c r="J287" s="54"/>
      <c r="K287" s="54"/>
      <c r="L287" s="52"/>
      <c r="M287" s="52"/>
      <c r="N287" s="52"/>
      <c r="O287" s="52"/>
      <c r="P287" s="52"/>
      <c r="Q287" s="52"/>
      <c r="R287" s="52"/>
      <c r="S287" s="52"/>
      <c r="T287" s="52"/>
      <c r="U287" s="52"/>
      <c r="V287" s="52"/>
      <c r="W287" s="52"/>
      <c r="X287" s="52"/>
      <c r="Y287" s="52"/>
      <c r="Z287" s="52"/>
      <c r="AA287" s="52"/>
      <c r="AB287" s="52"/>
      <c r="AC287" s="52"/>
      <c r="AD287" s="52"/>
      <c r="AE287" s="52"/>
      <c r="AF287" s="52"/>
      <c r="AG287" s="52"/>
      <c r="AH287" s="52"/>
      <c r="AI287" s="52"/>
      <c r="AJ287" s="52"/>
      <c r="AK287" s="52"/>
      <c r="AL287" s="52"/>
      <c r="AM287" s="52"/>
      <c r="AN287" s="52"/>
      <c r="AO287" s="52"/>
      <c r="AP287" s="52"/>
      <c r="AQ287" s="52"/>
      <c r="AR287" s="52"/>
      <c r="AS287" s="52"/>
      <c r="AT287" s="52"/>
      <c r="AU287" s="52"/>
      <c r="AV287" s="52"/>
      <c r="AW287" s="52"/>
      <c r="AX287" s="52"/>
      <c r="AY287" s="52"/>
      <c r="AZ287" s="52"/>
      <c r="BA287" s="52"/>
      <c r="BB287" s="52"/>
      <c r="BC287" s="52"/>
      <c r="BD287" s="52"/>
      <c r="BE287" s="52"/>
      <c r="BF287" s="54"/>
      <c r="BG287" s="54"/>
      <c r="BH287" s="54"/>
      <c r="BI287" s="54"/>
      <c r="BJ287" s="54"/>
      <c r="BK287" s="54"/>
      <c r="BL287" s="54"/>
      <c r="BM287" s="54"/>
      <c r="BN287" s="54"/>
      <c r="BO287" s="54"/>
      <c r="BP287" s="54"/>
      <c r="BQ287" s="54"/>
      <c r="BR287" s="54"/>
      <c r="BS287" s="54"/>
      <c r="BT287" s="54"/>
      <c r="BU287" s="54"/>
      <c r="BV287" s="54"/>
      <c r="BW287" s="54"/>
      <c r="BX287" s="54"/>
      <c r="BY287" s="54"/>
      <c r="BZ287" s="54"/>
      <c r="CA287" s="54"/>
      <c r="CB287" s="54"/>
    </row>
    <row r="288" spans="1:80" ht="16.5" customHeight="1">
      <c r="A288" s="54"/>
      <c r="B288" s="54"/>
      <c r="C288" s="54"/>
      <c r="D288" s="54"/>
      <c r="E288" s="54"/>
      <c r="F288" s="54"/>
      <c r="G288" s="54"/>
      <c r="H288" s="54"/>
      <c r="I288" s="54"/>
      <c r="J288" s="54"/>
      <c r="K288" s="54"/>
      <c r="L288" s="52"/>
      <c r="M288" s="52"/>
      <c r="N288" s="52"/>
      <c r="O288" s="52"/>
      <c r="P288" s="52"/>
      <c r="Q288" s="52"/>
      <c r="R288" s="52"/>
      <c r="S288" s="52"/>
      <c r="T288" s="52"/>
      <c r="U288" s="52"/>
      <c r="V288" s="52"/>
      <c r="W288" s="52"/>
      <c r="X288" s="52"/>
      <c r="Y288" s="52"/>
      <c r="Z288" s="52"/>
      <c r="AA288" s="52"/>
      <c r="AB288" s="52"/>
      <c r="AC288" s="52"/>
      <c r="AD288" s="52"/>
      <c r="AE288" s="52"/>
      <c r="AF288" s="52"/>
      <c r="AG288" s="52"/>
      <c r="AH288" s="52"/>
      <c r="AI288" s="52"/>
      <c r="AJ288" s="52"/>
      <c r="AK288" s="52"/>
      <c r="AL288" s="52"/>
      <c r="AM288" s="52"/>
      <c r="AN288" s="52"/>
      <c r="AO288" s="52"/>
      <c r="AP288" s="52"/>
      <c r="AQ288" s="52"/>
      <c r="AR288" s="52"/>
      <c r="AS288" s="52"/>
      <c r="AT288" s="52"/>
      <c r="AU288" s="52"/>
      <c r="AV288" s="52"/>
      <c r="AW288" s="52"/>
      <c r="AX288" s="52"/>
      <c r="AY288" s="52"/>
      <c r="AZ288" s="52"/>
      <c r="BA288" s="52"/>
      <c r="BB288" s="52"/>
      <c r="BC288" s="52"/>
      <c r="BD288" s="52"/>
      <c r="BE288" s="52"/>
      <c r="BF288" s="54"/>
      <c r="BG288" s="54"/>
      <c r="BH288" s="54"/>
      <c r="BI288" s="54"/>
      <c r="BJ288" s="54"/>
      <c r="BK288" s="54"/>
      <c r="BL288" s="54"/>
      <c r="BM288" s="54"/>
      <c r="BN288" s="54"/>
      <c r="BO288" s="54"/>
      <c r="BP288" s="54"/>
      <c r="BQ288" s="54"/>
      <c r="BR288" s="54"/>
      <c r="BS288" s="54"/>
      <c r="BT288" s="54"/>
      <c r="BU288" s="54"/>
      <c r="BV288" s="54"/>
      <c r="BW288" s="54"/>
      <c r="BX288" s="54"/>
      <c r="BY288" s="54"/>
      <c r="BZ288" s="54"/>
      <c r="CA288" s="54"/>
      <c r="CB288" s="54"/>
    </row>
    <row r="289" spans="1:80" ht="16.5" customHeight="1">
      <c r="A289" s="54"/>
      <c r="B289" s="54"/>
      <c r="C289" s="54"/>
      <c r="D289" s="54"/>
      <c r="E289" s="54"/>
      <c r="F289" s="54"/>
      <c r="G289" s="54"/>
      <c r="H289" s="54"/>
      <c r="I289" s="54"/>
      <c r="J289" s="54"/>
      <c r="K289" s="54"/>
      <c r="L289" s="52"/>
      <c r="M289" s="52"/>
      <c r="N289" s="52"/>
      <c r="O289" s="52"/>
      <c r="P289" s="52"/>
      <c r="Q289" s="52"/>
      <c r="R289" s="52"/>
      <c r="S289" s="52"/>
      <c r="T289" s="52"/>
      <c r="U289" s="52"/>
      <c r="V289" s="52"/>
      <c r="W289" s="52"/>
      <c r="X289" s="52"/>
      <c r="Y289" s="52"/>
      <c r="Z289" s="52"/>
      <c r="AA289" s="52"/>
      <c r="AB289" s="52"/>
      <c r="AC289" s="52"/>
      <c r="AD289" s="52"/>
      <c r="AE289" s="52"/>
      <c r="AF289" s="52"/>
      <c r="AG289" s="52"/>
      <c r="AH289" s="52"/>
      <c r="AI289" s="52"/>
      <c r="AJ289" s="52"/>
      <c r="AK289" s="52"/>
      <c r="AL289" s="52"/>
      <c r="AM289" s="52"/>
      <c r="AN289" s="52"/>
      <c r="AO289" s="52"/>
      <c r="AP289" s="52"/>
      <c r="AQ289" s="52"/>
      <c r="AR289" s="52"/>
      <c r="AS289" s="52"/>
      <c r="AT289" s="52"/>
      <c r="AU289" s="52"/>
      <c r="AV289" s="52"/>
      <c r="AW289" s="52"/>
      <c r="AX289" s="52"/>
      <c r="AY289" s="52"/>
      <c r="AZ289" s="52"/>
      <c r="BA289" s="52"/>
      <c r="BB289" s="52"/>
      <c r="BC289" s="52"/>
      <c r="BD289" s="52"/>
      <c r="BE289" s="52"/>
      <c r="BF289" s="54"/>
      <c r="BG289" s="54"/>
      <c r="BH289" s="54"/>
      <c r="BI289" s="54"/>
      <c r="BJ289" s="54"/>
      <c r="BK289" s="54"/>
      <c r="BL289" s="54"/>
      <c r="BM289" s="54"/>
      <c r="BN289" s="54"/>
      <c r="BO289" s="54"/>
      <c r="BP289" s="54"/>
      <c r="BQ289" s="54"/>
      <c r="BR289" s="54"/>
      <c r="BS289" s="54"/>
      <c r="BT289" s="54"/>
      <c r="BU289" s="54"/>
      <c r="BV289" s="54"/>
      <c r="BW289" s="54"/>
      <c r="BX289" s="54"/>
      <c r="BY289" s="54"/>
      <c r="BZ289" s="54"/>
      <c r="CA289" s="54"/>
      <c r="CB289" s="54"/>
    </row>
    <row r="290" spans="1:80" ht="16.5" customHeight="1">
      <c r="A290" s="54"/>
      <c r="B290" s="54"/>
      <c r="C290" s="54"/>
      <c r="D290" s="54"/>
      <c r="E290" s="54"/>
      <c r="F290" s="54"/>
      <c r="G290" s="54"/>
      <c r="H290" s="54"/>
      <c r="I290" s="54"/>
      <c r="J290" s="54"/>
      <c r="K290" s="54"/>
      <c r="L290" s="52"/>
      <c r="M290" s="52"/>
      <c r="N290" s="52"/>
      <c r="O290" s="52"/>
      <c r="P290" s="52"/>
      <c r="Q290" s="52"/>
      <c r="R290" s="52"/>
      <c r="S290" s="52"/>
      <c r="T290" s="52"/>
      <c r="U290" s="52"/>
      <c r="V290" s="52"/>
      <c r="W290" s="52"/>
      <c r="X290" s="52"/>
      <c r="Y290" s="52"/>
      <c r="Z290" s="52"/>
      <c r="AA290" s="52"/>
      <c r="AB290" s="52"/>
      <c r="AC290" s="52"/>
      <c r="AD290" s="52"/>
      <c r="AE290" s="52"/>
      <c r="AF290" s="52"/>
      <c r="AG290" s="52"/>
      <c r="AH290" s="52"/>
      <c r="AI290" s="52"/>
      <c r="AJ290" s="52"/>
      <c r="AK290" s="52"/>
      <c r="AL290" s="52"/>
      <c r="AM290" s="52"/>
      <c r="AN290" s="52"/>
      <c r="AO290" s="52"/>
      <c r="AP290" s="52"/>
      <c r="AQ290" s="52"/>
      <c r="AR290" s="52"/>
      <c r="AS290" s="52"/>
      <c r="AT290" s="52"/>
      <c r="AU290" s="52"/>
      <c r="AV290" s="52"/>
      <c r="AW290" s="52"/>
      <c r="AX290" s="52"/>
      <c r="AY290" s="52"/>
      <c r="AZ290" s="52"/>
      <c r="BA290" s="52"/>
      <c r="BB290" s="52"/>
      <c r="BC290" s="52"/>
      <c r="BD290" s="52"/>
      <c r="BE290" s="52"/>
      <c r="BF290" s="54"/>
      <c r="BG290" s="54"/>
      <c r="BH290" s="54"/>
      <c r="BI290" s="54"/>
      <c r="BJ290" s="54"/>
      <c r="BK290" s="54"/>
      <c r="BL290" s="54"/>
      <c r="BM290" s="54"/>
      <c r="BN290" s="54"/>
      <c r="BO290" s="54"/>
      <c r="BP290" s="54"/>
      <c r="BQ290" s="54"/>
      <c r="BR290" s="54"/>
      <c r="BS290" s="54"/>
      <c r="BT290" s="54"/>
      <c r="BU290" s="54"/>
      <c r="BV290" s="54"/>
      <c r="BW290" s="54"/>
      <c r="BX290" s="54"/>
      <c r="BY290" s="54"/>
      <c r="BZ290" s="54"/>
      <c r="CA290" s="54"/>
      <c r="CB290" s="54"/>
    </row>
    <row r="291" spans="1:80" ht="16.5" customHeight="1">
      <c r="A291" s="54"/>
      <c r="B291" s="54"/>
      <c r="C291" s="54"/>
      <c r="D291" s="54"/>
      <c r="E291" s="54"/>
      <c r="F291" s="54"/>
      <c r="G291" s="54"/>
      <c r="H291" s="54"/>
      <c r="I291" s="54"/>
      <c r="J291" s="54"/>
      <c r="K291" s="54"/>
      <c r="L291" s="52"/>
      <c r="M291" s="52"/>
      <c r="N291" s="52"/>
      <c r="O291" s="52"/>
      <c r="P291" s="52"/>
      <c r="Q291" s="52"/>
      <c r="R291" s="52"/>
      <c r="S291" s="52"/>
      <c r="T291" s="52"/>
      <c r="U291" s="52"/>
      <c r="V291" s="52"/>
      <c r="W291" s="52"/>
      <c r="X291" s="52"/>
      <c r="Y291" s="52"/>
      <c r="Z291" s="52"/>
      <c r="AA291" s="52"/>
      <c r="AB291" s="52"/>
      <c r="AC291" s="52"/>
      <c r="AD291" s="52"/>
      <c r="AE291" s="52"/>
      <c r="AF291" s="52"/>
      <c r="AG291" s="52"/>
      <c r="AH291" s="52"/>
      <c r="AI291" s="52"/>
      <c r="AJ291" s="52"/>
      <c r="AK291" s="52"/>
      <c r="AL291" s="52"/>
      <c r="AM291" s="52"/>
      <c r="AN291" s="52"/>
      <c r="AO291" s="52"/>
      <c r="AP291" s="52"/>
      <c r="AQ291" s="52"/>
      <c r="AR291" s="52"/>
      <c r="AS291" s="52"/>
      <c r="AT291" s="52"/>
      <c r="AU291" s="52"/>
      <c r="AV291" s="52"/>
      <c r="AW291" s="52"/>
      <c r="AX291" s="52"/>
      <c r="AY291" s="52"/>
      <c r="AZ291" s="52"/>
      <c r="BA291" s="52"/>
      <c r="BB291" s="52"/>
      <c r="BC291" s="52"/>
      <c r="BD291" s="52"/>
      <c r="BE291" s="52"/>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row>
    <row r="292" spans="1:80" ht="16.5" customHeight="1">
      <c r="A292" s="54"/>
      <c r="B292" s="54"/>
      <c r="C292" s="54"/>
      <c r="D292" s="54"/>
      <c r="E292" s="54"/>
      <c r="F292" s="54"/>
      <c r="G292" s="54"/>
      <c r="H292" s="54"/>
      <c r="I292" s="54"/>
      <c r="J292" s="54"/>
      <c r="K292" s="54"/>
      <c r="L292" s="52"/>
      <c r="M292" s="52"/>
      <c r="N292" s="52"/>
      <c r="O292" s="52"/>
      <c r="P292" s="52"/>
      <c r="Q292" s="52"/>
      <c r="R292" s="52"/>
      <c r="S292" s="52"/>
      <c r="T292" s="52"/>
      <c r="U292" s="52"/>
      <c r="V292" s="52"/>
      <c r="W292" s="52"/>
      <c r="X292" s="52"/>
      <c r="Y292" s="52"/>
      <c r="Z292" s="52"/>
      <c r="AA292" s="52"/>
      <c r="AB292" s="52"/>
      <c r="AC292" s="52"/>
      <c r="AD292" s="52"/>
      <c r="AE292" s="52"/>
      <c r="AF292" s="52"/>
      <c r="AG292" s="52"/>
      <c r="AH292" s="52"/>
      <c r="AI292" s="52"/>
      <c r="AJ292" s="52"/>
      <c r="AK292" s="52"/>
      <c r="AL292" s="52"/>
      <c r="AM292" s="52"/>
      <c r="AN292" s="52"/>
      <c r="AO292" s="52"/>
      <c r="AP292" s="52"/>
      <c r="AQ292" s="52"/>
      <c r="AR292" s="52"/>
      <c r="AS292" s="52"/>
      <c r="AT292" s="52"/>
      <c r="AU292" s="52"/>
      <c r="AV292" s="52"/>
      <c r="AW292" s="52"/>
      <c r="AX292" s="52"/>
      <c r="AY292" s="52"/>
      <c r="AZ292" s="52"/>
      <c r="BA292" s="52"/>
      <c r="BB292" s="52"/>
      <c r="BC292" s="52"/>
      <c r="BD292" s="52"/>
      <c r="BE292" s="52"/>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row>
    <row r="293" spans="1:80" ht="16.5" customHeight="1">
      <c r="A293" s="54"/>
      <c r="B293" s="54"/>
      <c r="C293" s="54"/>
      <c r="D293" s="54"/>
      <c r="E293" s="54"/>
      <c r="F293" s="54"/>
      <c r="G293" s="54"/>
      <c r="H293" s="54"/>
      <c r="I293" s="54"/>
      <c r="J293" s="54"/>
      <c r="K293" s="54"/>
      <c r="L293" s="52"/>
      <c r="M293" s="52"/>
      <c r="N293" s="52"/>
      <c r="O293" s="52"/>
      <c r="P293" s="52"/>
      <c r="Q293" s="52"/>
      <c r="R293" s="52"/>
      <c r="S293" s="52"/>
      <c r="T293" s="52"/>
      <c r="U293" s="52"/>
      <c r="V293" s="52"/>
      <c r="W293" s="52"/>
      <c r="X293" s="52"/>
      <c r="Y293" s="52"/>
      <c r="Z293" s="52"/>
      <c r="AA293" s="52"/>
      <c r="AB293" s="52"/>
      <c r="AC293" s="52"/>
      <c r="AD293" s="52"/>
      <c r="AE293" s="52"/>
      <c r="AF293" s="52"/>
      <c r="AG293" s="52"/>
      <c r="AH293" s="52"/>
      <c r="AI293" s="52"/>
      <c r="AJ293" s="52"/>
      <c r="AK293" s="52"/>
      <c r="AL293" s="52"/>
      <c r="AM293" s="52"/>
      <c r="AN293" s="52"/>
      <c r="AO293" s="52"/>
      <c r="AP293" s="52"/>
      <c r="AQ293" s="52"/>
      <c r="AR293" s="52"/>
      <c r="AS293" s="52"/>
      <c r="AT293" s="52"/>
      <c r="AU293" s="52"/>
      <c r="AV293" s="52"/>
      <c r="AW293" s="52"/>
      <c r="AX293" s="52"/>
      <c r="AY293" s="52"/>
      <c r="AZ293" s="52"/>
      <c r="BA293" s="52"/>
      <c r="BB293" s="52"/>
      <c r="BC293" s="52"/>
      <c r="BD293" s="52"/>
      <c r="BE293" s="52"/>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row>
    <row r="294" spans="1:80" ht="16.5" customHeight="1">
      <c r="A294" s="54"/>
      <c r="B294" s="54"/>
      <c r="C294" s="54"/>
      <c r="D294" s="54"/>
      <c r="E294" s="54"/>
      <c r="F294" s="54"/>
      <c r="G294" s="54"/>
      <c r="H294" s="54"/>
      <c r="I294" s="54"/>
      <c r="J294" s="54"/>
      <c r="K294" s="54"/>
      <c r="L294" s="52"/>
      <c r="M294" s="52"/>
      <c r="N294" s="52"/>
      <c r="O294" s="52"/>
      <c r="P294" s="52"/>
      <c r="Q294" s="52"/>
      <c r="R294" s="52"/>
      <c r="S294" s="52"/>
      <c r="T294" s="52"/>
      <c r="U294" s="52"/>
      <c r="V294" s="52"/>
      <c r="W294" s="52"/>
      <c r="X294" s="52"/>
      <c r="Y294" s="52"/>
      <c r="Z294" s="52"/>
      <c r="AA294" s="52"/>
      <c r="AB294" s="52"/>
      <c r="AC294" s="52"/>
      <c r="AD294" s="52"/>
      <c r="AE294" s="52"/>
      <c r="AF294" s="52"/>
      <c r="AG294" s="52"/>
      <c r="AH294" s="52"/>
      <c r="AI294" s="52"/>
      <c r="AJ294" s="52"/>
      <c r="AK294" s="52"/>
      <c r="AL294" s="52"/>
      <c r="AM294" s="52"/>
      <c r="AN294" s="52"/>
      <c r="AO294" s="52"/>
      <c r="AP294" s="52"/>
      <c r="AQ294" s="52"/>
      <c r="AR294" s="52"/>
      <c r="AS294" s="52"/>
      <c r="AT294" s="52"/>
      <c r="AU294" s="52"/>
      <c r="AV294" s="52"/>
      <c r="AW294" s="52"/>
      <c r="AX294" s="52"/>
      <c r="AY294" s="52"/>
      <c r="AZ294" s="52"/>
      <c r="BA294" s="52"/>
      <c r="BB294" s="52"/>
      <c r="BC294" s="52"/>
      <c r="BD294" s="52"/>
      <c r="BE294" s="52"/>
      <c r="BF294" s="54"/>
      <c r="BG294" s="54"/>
      <c r="BH294" s="54"/>
      <c r="BI294" s="54"/>
      <c r="BJ294" s="54"/>
      <c r="BK294" s="54"/>
      <c r="BL294" s="54"/>
      <c r="BM294" s="54"/>
      <c r="BN294" s="54"/>
      <c r="BO294" s="54"/>
      <c r="BP294" s="54"/>
      <c r="BQ294" s="54"/>
      <c r="BR294" s="54"/>
      <c r="BS294" s="54"/>
      <c r="BT294" s="54"/>
      <c r="BU294" s="54"/>
      <c r="BV294" s="54"/>
      <c r="BW294" s="54"/>
      <c r="BX294" s="54"/>
      <c r="BY294" s="54"/>
      <c r="BZ294" s="54"/>
      <c r="CA294" s="54"/>
      <c r="CB294" s="54"/>
    </row>
    <row r="295" spans="1:80" ht="16.5" customHeight="1">
      <c r="A295" s="54"/>
      <c r="B295" s="54"/>
      <c r="C295" s="54"/>
      <c r="D295" s="54"/>
      <c r="E295" s="54"/>
      <c r="F295" s="54"/>
      <c r="G295" s="54"/>
      <c r="H295" s="54"/>
      <c r="I295" s="54"/>
      <c r="J295" s="54"/>
      <c r="K295" s="54"/>
      <c r="L295" s="52"/>
      <c r="M295" s="52"/>
      <c r="N295" s="52"/>
      <c r="O295" s="52"/>
      <c r="P295" s="52"/>
      <c r="Q295" s="52"/>
      <c r="R295" s="52"/>
      <c r="S295" s="52"/>
      <c r="T295" s="52"/>
      <c r="U295" s="52"/>
      <c r="V295" s="52"/>
      <c r="W295" s="52"/>
      <c r="X295" s="52"/>
      <c r="Y295" s="52"/>
      <c r="Z295" s="52"/>
      <c r="AA295" s="52"/>
      <c r="AB295" s="52"/>
      <c r="AC295" s="52"/>
      <c r="AD295" s="52"/>
      <c r="AE295" s="52"/>
      <c r="AF295" s="52"/>
      <c r="AG295" s="52"/>
      <c r="AH295" s="52"/>
      <c r="AI295" s="52"/>
      <c r="AJ295" s="52"/>
      <c r="AK295" s="52"/>
      <c r="AL295" s="52"/>
      <c r="AM295" s="52"/>
      <c r="AN295" s="52"/>
      <c r="AO295" s="52"/>
      <c r="AP295" s="52"/>
      <c r="AQ295" s="52"/>
      <c r="AR295" s="52"/>
      <c r="AS295" s="52"/>
      <c r="AT295" s="52"/>
      <c r="AU295" s="52"/>
      <c r="AV295" s="52"/>
      <c r="AW295" s="52"/>
      <c r="AX295" s="52"/>
      <c r="AY295" s="52"/>
      <c r="AZ295" s="52"/>
      <c r="BA295" s="52"/>
      <c r="BB295" s="52"/>
      <c r="BC295" s="52"/>
      <c r="BD295" s="52"/>
      <c r="BE295" s="52"/>
      <c r="BF295" s="54"/>
      <c r="BG295" s="54"/>
      <c r="BH295" s="54"/>
      <c r="BI295" s="54"/>
      <c r="BJ295" s="54"/>
      <c r="BK295" s="54"/>
      <c r="BL295" s="54"/>
      <c r="BM295" s="54"/>
      <c r="BN295" s="54"/>
      <c r="BO295" s="54"/>
      <c r="BP295" s="54"/>
      <c r="BQ295" s="54"/>
      <c r="BR295" s="54"/>
      <c r="BS295" s="54"/>
      <c r="BT295" s="54"/>
      <c r="BU295" s="54"/>
      <c r="BV295" s="54"/>
      <c r="BW295" s="54"/>
      <c r="BX295" s="54"/>
      <c r="BY295" s="54"/>
      <c r="BZ295" s="54"/>
      <c r="CA295" s="54"/>
      <c r="CB295" s="54"/>
    </row>
    <row r="296" spans="1:80" ht="16.5" customHeight="1"/>
    <row r="297" spans="1:80" ht="16.5" customHeight="1"/>
    <row r="298" spans="1:80" ht="16.5" customHeight="1"/>
    <row r="299" spans="1:80" ht="16.5" customHeight="1"/>
    <row r="300" spans="1:80" ht="16.5" customHeight="1"/>
    <row r="301" spans="1:80" ht="16.5" customHeight="1"/>
    <row r="302" spans="1:80" ht="16.5" customHeight="1"/>
    <row r="303" spans="1:80" ht="16.5" customHeight="1"/>
    <row r="304" spans="1:80"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sheetData>
  <mergeCells count="6">
    <mergeCell ref="A14:B14"/>
    <mergeCell ref="A11:A13"/>
    <mergeCell ref="A8:A9"/>
    <mergeCell ref="A2:K2"/>
    <mergeCell ref="A4:B4"/>
    <mergeCell ref="A5:A6"/>
  </mergeCells>
  <pageMargins left="0.7" right="0.7" top="0.75" bottom="0.75" header="0.3" footer="0.3"/>
  <pageSetup orientation="portrait" horizontalDpi="360" verticalDpi="36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tabColor theme="8"/>
  </sheetPr>
  <dimension ref="A1:AZ999"/>
  <sheetViews>
    <sheetView workbookViewId="0">
      <selection activeCell="A4" sqref="A4"/>
    </sheetView>
  </sheetViews>
  <sheetFormatPr defaultColWidth="11.125" defaultRowHeight="15" customHeight="1" outlineLevelRow="2"/>
  <cols>
    <col min="1" max="1" width="14.625" style="1" customWidth="1"/>
    <col min="2" max="2" width="9" style="1" customWidth="1"/>
    <col min="3" max="3" width="90.125" style="1" customWidth="1"/>
    <col min="4" max="4" width="11.25" style="1" customWidth="1"/>
    <col min="5" max="13" width="11.75" style="1" customWidth="1"/>
    <col min="14" max="14" width="11.75" style="65" customWidth="1"/>
    <col min="15" max="15" width="24" style="1" customWidth="1"/>
    <col min="16" max="16" width="9.25" style="65" customWidth="1"/>
    <col min="17" max="17" width="24.5" style="1" customWidth="1"/>
    <col min="18" max="18" width="110.125" style="1" customWidth="1"/>
    <col min="19" max="26" width="10.625" style="1" customWidth="1"/>
    <col min="27" max="16384" width="11.125" style="1"/>
  </cols>
  <sheetData>
    <row r="1" spans="1:52" s="95" customFormat="1" ht="24" customHeight="1">
      <c r="A1" s="210" t="s">
        <v>32</v>
      </c>
      <c r="B1" s="210"/>
      <c r="C1" s="210"/>
      <c r="D1" s="210"/>
      <c r="E1" s="210"/>
      <c r="F1" s="210"/>
      <c r="G1" s="210"/>
      <c r="H1" s="210"/>
      <c r="I1" s="210"/>
      <c r="J1" s="210"/>
      <c r="K1" s="210"/>
      <c r="L1" s="210"/>
      <c r="M1" s="210"/>
      <c r="N1" s="210"/>
      <c r="O1" s="210"/>
      <c r="P1" s="210"/>
      <c r="Q1" s="210"/>
      <c r="R1" s="210"/>
      <c r="S1" s="110"/>
      <c r="T1" s="110"/>
      <c r="U1" s="110"/>
      <c r="V1" s="110"/>
      <c r="W1" s="110"/>
      <c r="X1" s="110"/>
      <c r="Y1" s="110"/>
      <c r="Z1" s="110"/>
      <c r="AA1" s="110"/>
      <c r="AB1" s="110"/>
      <c r="AC1" s="110"/>
      <c r="AD1" s="110"/>
      <c r="AE1" s="110"/>
      <c r="AF1" s="110"/>
      <c r="AG1" s="110"/>
      <c r="AH1" s="110"/>
      <c r="AI1" s="110"/>
      <c r="AJ1" s="110"/>
      <c r="AK1" s="110"/>
      <c r="AL1" s="110"/>
      <c r="AM1" s="110"/>
      <c r="AN1" s="110"/>
      <c r="AO1" s="110"/>
      <c r="AP1" s="110"/>
      <c r="AQ1" s="110"/>
      <c r="AR1" s="110"/>
      <c r="AS1" s="110"/>
      <c r="AT1" s="110"/>
      <c r="AU1" s="110"/>
      <c r="AV1" s="110"/>
      <c r="AW1" s="110"/>
      <c r="AX1" s="110"/>
      <c r="AY1" s="110"/>
      <c r="AZ1" s="110"/>
    </row>
    <row r="2" spans="1:52" ht="14.25" customHeight="1">
      <c r="A2" s="1281" t="s">
        <v>224</v>
      </c>
      <c r="B2" s="1288"/>
      <c r="C2" s="1288"/>
      <c r="D2" s="1288"/>
      <c r="E2" s="1301" t="s">
        <v>77</v>
      </c>
      <c r="F2" s="1302"/>
      <c r="G2" s="1303"/>
      <c r="H2" s="54"/>
      <c r="I2" s="54"/>
      <c r="J2" s="54"/>
      <c r="K2" s="54"/>
      <c r="L2" s="54"/>
      <c r="M2" s="54"/>
      <c r="N2" s="61"/>
      <c r="O2" s="54"/>
      <c r="P2" s="61"/>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row>
    <row r="3" spans="1:52" ht="14.25" customHeight="1">
      <c r="A3" s="24"/>
      <c r="B3" s="23"/>
      <c r="C3" s="25"/>
      <c r="D3" s="84"/>
      <c r="E3" s="155" t="s">
        <v>80</v>
      </c>
      <c r="F3" s="1299" t="s">
        <v>82</v>
      </c>
      <c r="G3" s="1300"/>
      <c r="H3" s="54"/>
      <c r="I3" s="1289" t="s">
        <v>245</v>
      </c>
      <c r="J3" s="1289"/>
      <c r="K3" s="1289"/>
      <c r="L3" s="54"/>
      <c r="M3" s="54"/>
      <c r="N3" s="61"/>
      <c r="O3" s="54"/>
      <c r="P3" s="61"/>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row>
    <row r="4" spans="1:52" ht="14.25" customHeight="1">
      <c r="A4" s="69"/>
      <c r="B4" s="69"/>
      <c r="C4" s="71"/>
      <c r="D4" s="69"/>
      <c r="E4" s="155" t="s">
        <v>86</v>
      </c>
      <c r="F4" s="1299" t="s">
        <v>87</v>
      </c>
      <c r="G4" s="1300"/>
      <c r="H4" s="54"/>
      <c r="I4" s="1296" t="s">
        <v>242</v>
      </c>
      <c r="J4" s="1297"/>
      <c r="K4" s="1298"/>
      <c r="L4" s="54"/>
      <c r="M4" s="54"/>
      <c r="N4" s="61"/>
      <c r="O4" s="54"/>
      <c r="P4" s="61"/>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row>
    <row r="5" spans="1:52" ht="14.25" customHeight="1">
      <c r="A5" s="949"/>
      <c r="B5" s="949"/>
      <c r="C5" s="949"/>
      <c r="E5" s="155" t="s">
        <v>84</v>
      </c>
      <c r="F5" s="1299" t="s">
        <v>85</v>
      </c>
      <c r="G5" s="1300"/>
      <c r="H5" s="54"/>
      <c r="I5" s="1293" t="s">
        <v>246</v>
      </c>
      <c r="J5" s="1294"/>
      <c r="K5" s="1295"/>
      <c r="L5" s="54"/>
      <c r="M5" s="54"/>
      <c r="N5" s="61"/>
      <c r="O5" s="54"/>
      <c r="P5" s="61"/>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row>
    <row r="6" spans="1:52" ht="14.25" customHeight="1">
      <c r="A6" s="26"/>
      <c r="B6" s="26"/>
      <c r="C6" s="26"/>
      <c r="D6" s="26"/>
      <c r="E6" s="697" t="s">
        <v>88</v>
      </c>
      <c r="F6" s="1299" t="s">
        <v>89</v>
      </c>
      <c r="G6" s="1300"/>
      <c r="H6" s="54"/>
      <c r="I6" s="1290" t="s">
        <v>247</v>
      </c>
      <c r="J6" s="1291"/>
      <c r="K6" s="1292"/>
      <c r="L6" s="54"/>
      <c r="M6" s="54"/>
      <c r="N6" s="61"/>
      <c r="O6" s="54"/>
      <c r="P6" s="61"/>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row>
    <row r="7" spans="1:52" ht="14.25" customHeight="1">
      <c r="A7" s="517" t="s">
        <v>248</v>
      </c>
      <c r="B7" s="577"/>
      <c r="C7" s="532"/>
      <c r="D7" s="577"/>
      <c r="E7" s="532"/>
      <c r="F7" s="532"/>
      <c r="G7" s="532"/>
      <c r="H7" s="532"/>
      <c r="I7" s="532"/>
      <c r="J7" s="532"/>
      <c r="K7" s="532"/>
      <c r="L7" s="532"/>
      <c r="M7" s="532"/>
      <c r="N7" s="577"/>
      <c r="O7" s="532"/>
      <c r="P7" s="577"/>
      <c r="Q7" s="532"/>
      <c r="R7" s="533"/>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row>
    <row r="8" spans="1:52" s="112" customFormat="1" ht="42.75" outlineLevel="1">
      <c r="A8" s="678" t="s">
        <v>217</v>
      </c>
      <c r="B8" s="676" t="s">
        <v>60</v>
      </c>
      <c r="C8" s="676" t="s">
        <v>249</v>
      </c>
      <c r="D8" s="676" t="s">
        <v>250</v>
      </c>
      <c r="E8" s="676" t="s">
        <v>1133</v>
      </c>
      <c r="F8" s="676" t="s">
        <v>1134</v>
      </c>
      <c r="G8" s="676" t="s">
        <v>1135</v>
      </c>
      <c r="H8" s="676" t="s">
        <v>251</v>
      </c>
      <c r="I8" s="676" t="s">
        <v>252</v>
      </c>
      <c r="J8" s="676" t="s">
        <v>1136</v>
      </c>
      <c r="K8" s="676" t="s">
        <v>1137</v>
      </c>
      <c r="L8" s="676" t="s">
        <v>1138</v>
      </c>
      <c r="M8" s="676" t="s">
        <v>1139</v>
      </c>
      <c r="N8" s="676" t="s">
        <v>253</v>
      </c>
      <c r="O8" s="676" t="s">
        <v>254</v>
      </c>
      <c r="P8" s="676" t="s">
        <v>255</v>
      </c>
      <c r="Q8" s="676" t="s">
        <v>256</v>
      </c>
      <c r="R8" s="677" t="s">
        <v>257</v>
      </c>
      <c r="S8" s="111"/>
      <c r="T8" s="111"/>
      <c r="U8" s="111"/>
      <c r="V8" s="111"/>
      <c r="W8" s="111"/>
      <c r="X8" s="111"/>
      <c r="Y8" s="111"/>
      <c r="Z8" s="111"/>
      <c r="AA8" s="111"/>
      <c r="AB8" s="111"/>
      <c r="AC8" s="111"/>
      <c r="AD8" s="111"/>
      <c r="AE8" s="111"/>
      <c r="AF8" s="111"/>
      <c r="AG8" s="111"/>
      <c r="AH8" s="111"/>
      <c r="AI8" s="111"/>
      <c r="AJ8" s="111"/>
      <c r="AK8" s="111"/>
      <c r="AL8" s="111"/>
      <c r="AM8" s="111"/>
      <c r="AN8" s="111"/>
      <c r="AO8" s="111"/>
      <c r="AP8" s="111"/>
      <c r="AQ8" s="111"/>
      <c r="AR8" s="111"/>
      <c r="AS8" s="111"/>
      <c r="AT8" s="111"/>
      <c r="AU8" s="111"/>
      <c r="AV8" s="111"/>
      <c r="AW8" s="111"/>
      <c r="AX8" s="111"/>
      <c r="AY8" s="111"/>
      <c r="AZ8" s="111"/>
    </row>
    <row r="9" spans="1:52" s="112" customFormat="1" ht="14.25" customHeight="1" outlineLevel="1">
      <c r="A9" s="698" t="s">
        <v>258</v>
      </c>
      <c r="B9" s="699"/>
      <c r="C9" s="700" t="s">
        <v>259</v>
      </c>
      <c r="D9" s="699"/>
      <c r="E9" s="700"/>
      <c r="F9" s="700"/>
      <c r="G9" s="700"/>
      <c r="H9" s="700"/>
      <c r="I9" s="700"/>
      <c r="J9" s="700"/>
      <c r="K9" s="700"/>
      <c r="L9" s="700"/>
      <c r="M9" s="700"/>
      <c r="N9" s="699"/>
      <c r="O9" s="700"/>
      <c r="P9" s="699"/>
      <c r="Q9" s="700"/>
      <c r="R9" s="701"/>
      <c r="S9" s="111"/>
      <c r="T9" s="111"/>
      <c r="U9" s="111"/>
      <c r="V9" s="111"/>
      <c r="W9" s="111"/>
      <c r="X9" s="111"/>
      <c r="Y9" s="111"/>
      <c r="Z9" s="111"/>
      <c r="AA9" s="111"/>
      <c r="AB9" s="111"/>
      <c r="AC9" s="111"/>
      <c r="AD9" s="111"/>
      <c r="AE9" s="111"/>
      <c r="AF9" s="111"/>
      <c r="AG9" s="111"/>
      <c r="AH9" s="111"/>
      <c r="AI9" s="111"/>
      <c r="AJ9" s="111"/>
      <c r="AK9" s="111"/>
      <c r="AL9" s="111"/>
      <c r="AM9" s="111"/>
      <c r="AN9" s="111"/>
      <c r="AO9" s="111"/>
      <c r="AP9" s="111"/>
      <c r="AQ9" s="111"/>
      <c r="AR9" s="111"/>
      <c r="AS9" s="111"/>
      <c r="AT9" s="111"/>
      <c r="AU9" s="111"/>
      <c r="AV9" s="111"/>
      <c r="AW9" s="111"/>
      <c r="AX9" s="111"/>
      <c r="AY9" s="111"/>
      <c r="AZ9" s="111"/>
    </row>
    <row r="10" spans="1:52" ht="14.25" customHeight="1" outlineLevel="2">
      <c r="A10" s="115" t="s">
        <v>260</v>
      </c>
      <c r="B10" s="116"/>
      <c r="C10" s="117" t="s">
        <v>261</v>
      </c>
      <c r="D10" s="116"/>
      <c r="E10" s="28"/>
      <c r="F10" s="28"/>
      <c r="G10" s="28"/>
      <c r="H10" s="28"/>
      <c r="I10" s="28"/>
      <c r="J10" s="28"/>
      <c r="K10" s="28"/>
      <c r="L10" s="28"/>
      <c r="M10" s="28"/>
      <c r="N10" s="116"/>
      <c r="O10" s="115"/>
      <c r="P10" s="116"/>
      <c r="Q10" s="115"/>
      <c r="R10" s="118"/>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row>
    <row r="11" spans="1:52" ht="12.75" outlineLevel="2">
      <c r="A11" s="119" t="s">
        <v>262</v>
      </c>
      <c r="B11" s="120">
        <v>1</v>
      </c>
      <c r="C11" s="121" t="s">
        <v>263</v>
      </c>
      <c r="D11" s="122"/>
      <c r="E11" s="702">
        <f>'Stationary Energy Data'!C52+'Stationary Energy Data'!E57+'Stationary Energy Data'!C53</f>
        <v>1020718.0532499149</v>
      </c>
      <c r="F11" s="702">
        <f>'Stationary Energy Data'!D52+'Stationary Energy Data'!F57+'Stationary Energy Data'!D53</f>
        <v>96.258208350000004</v>
      </c>
      <c r="G11" s="702">
        <f>'Stationary Energy Data'!E52+'Stationary Energy Data'!G57+'Stationary Energy Data'!E53</f>
        <v>1.9252278349999998</v>
      </c>
      <c r="H11" s="703"/>
      <c r="I11" s="703"/>
      <c r="J11" s="703"/>
      <c r="K11" s="703"/>
      <c r="L11" s="702">
        <f>'Stationary Energy Data'!F52+'Stationary Energy Data'!H57+'Stationary Energy Data'!F53</f>
        <v>1023923.4684599899</v>
      </c>
      <c r="M11" s="30"/>
      <c r="N11" s="123" t="s">
        <v>612</v>
      </c>
      <c r="O11" s="150" t="s">
        <v>613</v>
      </c>
      <c r="P11" s="122" t="s">
        <v>612</v>
      </c>
      <c r="Q11" s="128" t="s">
        <v>586</v>
      </c>
      <c r="R11" s="125"/>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row>
    <row r="12" spans="1:52" ht="14.25" customHeight="1" outlineLevel="2">
      <c r="A12" s="126" t="s">
        <v>264</v>
      </c>
      <c r="B12" s="127">
        <v>2</v>
      </c>
      <c r="C12" s="121" t="s">
        <v>265</v>
      </c>
      <c r="D12" s="122"/>
      <c r="E12" s="702">
        <f>'Stationary Energy Data'!D46+'Stationary Energy Data'!D46</f>
        <v>951381.04437600006</v>
      </c>
      <c r="F12" s="702">
        <f>'Stationary Energy Data'!E46+'Stationary Energy Data'!E46</f>
        <v>103.26728131469369</v>
      </c>
      <c r="G12" s="702">
        <f>'Stationary Energy Data'!F46+'Stationary Energy Data'!F46</f>
        <v>15.112285070442978</v>
      </c>
      <c r="H12" s="703"/>
      <c r="I12" s="703"/>
      <c r="J12" s="703"/>
      <c r="K12" s="703"/>
      <c r="L12" s="702">
        <f>'Stationary Energy Data'!G46+'Stationary Energy Data'!G47</f>
        <v>1014519.4551111993</v>
      </c>
      <c r="M12" s="30"/>
      <c r="N12" s="123" t="s">
        <v>612</v>
      </c>
      <c r="O12" s="150" t="s">
        <v>473</v>
      </c>
      <c r="P12" s="122" t="s">
        <v>612</v>
      </c>
      <c r="Q12" s="128" t="s">
        <v>614</v>
      </c>
      <c r="R12" s="125"/>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row>
    <row r="13" spans="1:52" ht="14.25" customHeight="1" outlineLevel="2">
      <c r="A13" s="129" t="s">
        <v>266</v>
      </c>
      <c r="B13" s="130">
        <v>3</v>
      </c>
      <c r="C13" s="131" t="s">
        <v>267</v>
      </c>
      <c r="D13" s="31"/>
      <c r="E13" s="704"/>
      <c r="F13" s="704"/>
      <c r="G13" s="704"/>
      <c r="H13" s="704"/>
      <c r="I13" s="704"/>
      <c r="J13" s="704"/>
      <c r="K13" s="704"/>
      <c r="L13" s="704"/>
      <c r="M13" s="31"/>
      <c r="N13" s="31"/>
      <c r="O13" s="109"/>
      <c r="P13" s="31"/>
      <c r="Q13" s="31"/>
      <c r="R13" s="132"/>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row>
    <row r="14" spans="1:52" ht="14.25" customHeight="1" outlineLevel="2">
      <c r="A14" s="118" t="s">
        <v>268</v>
      </c>
      <c r="B14" s="133"/>
      <c r="C14" s="133" t="s">
        <v>269</v>
      </c>
      <c r="D14" s="32"/>
      <c r="E14" s="705"/>
      <c r="F14" s="705"/>
      <c r="G14" s="705"/>
      <c r="H14" s="705"/>
      <c r="I14" s="705"/>
      <c r="J14" s="705"/>
      <c r="K14" s="705"/>
      <c r="L14" s="705"/>
      <c r="M14" s="134"/>
      <c r="N14" s="135"/>
      <c r="O14" s="136"/>
      <c r="P14" s="116"/>
      <c r="Q14" s="118"/>
      <c r="R14" s="132"/>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row>
    <row r="15" spans="1:52" ht="12.75" outlineLevel="2">
      <c r="A15" s="119" t="s">
        <v>270</v>
      </c>
      <c r="B15" s="120">
        <v>1</v>
      </c>
      <c r="C15" s="121" t="s">
        <v>263</v>
      </c>
      <c r="D15" s="122"/>
      <c r="E15" s="702">
        <f>'Stationary Energy Data'!C50+'Stationary Energy Data'!E56+'Stationary Energy Data'!C60</f>
        <v>562452.62005250214</v>
      </c>
      <c r="F15" s="702">
        <f>'Stationary Energy Data'!D50+'Stationary Energy Data'!F56+'Stationary Energy Data'!D60</f>
        <v>52.543678659999991</v>
      </c>
      <c r="G15" s="702">
        <f>'Stationary Energy Data'!E50+'Stationary Energy Data'!G56+'Stationary Energy Data'!E60</f>
        <v>1.2332022060000001</v>
      </c>
      <c r="H15" s="706"/>
      <c r="I15" s="706"/>
      <c r="J15" s="706"/>
      <c r="K15" s="706"/>
      <c r="L15" s="702">
        <f>SUM('Stationary Energy Data'!F50,'Stationary Energy Data'!H56,'Stationary Energy Data'!F60)</f>
        <v>564250.64163957222</v>
      </c>
      <c r="M15" s="30"/>
      <c r="N15" s="123" t="s">
        <v>612</v>
      </c>
      <c r="O15" s="150" t="s">
        <v>473</v>
      </c>
      <c r="P15" s="122" t="s">
        <v>612</v>
      </c>
      <c r="Q15" s="128" t="s">
        <v>586</v>
      </c>
      <c r="R15" s="132"/>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row>
    <row r="16" spans="1:52" ht="14.25" customHeight="1" outlineLevel="2">
      <c r="A16" s="119" t="s">
        <v>271</v>
      </c>
      <c r="B16" s="120">
        <v>2</v>
      </c>
      <c r="C16" s="121" t="s">
        <v>265</v>
      </c>
      <c r="D16" s="122"/>
      <c r="E16" s="702">
        <f>'Stationary Energy Data'!D44</f>
        <v>2010539.9652031185</v>
      </c>
      <c r="F16" s="702">
        <f>'Stationary Energy Data'!E44</f>
        <v>218.2332698432545</v>
      </c>
      <c r="G16" s="702">
        <f>'Stationary Energy Data'!F44</f>
        <v>31.936576074622607</v>
      </c>
      <c r="H16" s="706"/>
      <c r="I16" s="706"/>
      <c r="J16" s="706"/>
      <c r="K16" s="706"/>
      <c r="L16" s="702">
        <f>'Stationary Energy Data'!G44</f>
        <v>2025113.6894185047</v>
      </c>
      <c r="M16" s="30"/>
      <c r="N16" s="123" t="s">
        <v>612</v>
      </c>
      <c r="O16" s="150" t="s">
        <v>473</v>
      </c>
      <c r="P16" s="122" t="s">
        <v>612</v>
      </c>
      <c r="Q16" s="128" t="s">
        <v>614</v>
      </c>
      <c r="R16" s="125"/>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row>
    <row r="17" spans="1:52" ht="14.25" customHeight="1" outlineLevel="2">
      <c r="A17" s="129" t="s">
        <v>272</v>
      </c>
      <c r="B17" s="130">
        <v>3</v>
      </c>
      <c r="C17" s="131" t="s">
        <v>267</v>
      </c>
      <c r="D17" s="31"/>
      <c r="E17" s="31"/>
      <c r="F17" s="31"/>
      <c r="G17" s="31"/>
      <c r="H17" s="31"/>
      <c r="I17" s="31"/>
      <c r="J17" s="31"/>
      <c r="K17" s="31"/>
      <c r="L17" s="31"/>
      <c r="M17" s="31"/>
      <c r="N17" s="31"/>
      <c r="O17" s="31"/>
      <c r="P17" s="31"/>
      <c r="Q17" s="31"/>
      <c r="R17" s="132"/>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row>
    <row r="18" spans="1:52" ht="14.25" customHeight="1" outlineLevel="2">
      <c r="A18" s="115" t="s">
        <v>273</v>
      </c>
      <c r="B18" s="116"/>
      <c r="C18" s="117" t="s">
        <v>274</v>
      </c>
      <c r="D18" s="32"/>
      <c r="E18" s="32"/>
      <c r="F18" s="32"/>
      <c r="G18" s="32"/>
      <c r="H18" s="32"/>
      <c r="I18" s="32"/>
      <c r="J18" s="32"/>
      <c r="K18" s="32"/>
      <c r="L18" s="32"/>
      <c r="M18" s="32"/>
      <c r="N18" s="135"/>
      <c r="O18" s="115"/>
      <c r="P18" s="116"/>
      <c r="Q18" s="115"/>
      <c r="R18" s="132"/>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row>
    <row r="19" spans="1:52" ht="14.25" customHeight="1" outlineLevel="2">
      <c r="A19" s="119" t="s">
        <v>275</v>
      </c>
      <c r="B19" s="120">
        <v>1</v>
      </c>
      <c r="C19" s="121" t="s">
        <v>263</v>
      </c>
      <c r="D19" s="122"/>
      <c r="E19" s="702">
        <f>'Stationary Energy Data'!C51</f>
        <v>340678.45651400002</v>
      </c>
      <c r="F19" s="702">
        <f>'Stationary Energy Data'!D51</f>
        <v>32.127353499999998</v>
      </c>
      <c r="G19" s="702">
        <f>'Stationary Energy Data'!E51</f>
        <v>0.64254707</v>
      </c>
      <c r="H19" s="706"/>
      <c r="I19" s="706"/>
      <c r="J19" s="706"/>
      <c r="K19" s="706"/>
      <c r="L19" s="702">
        <f>'Stationary Energy Data'!F51</f>
        <v>341748.29738554999</v>
      </c>
      <c r="M19" s="30"/>
      <c r="N19" s="123" t="s">
        <v>612</v>
      </c>
      <c r="O19" s="150" t="s">
        <v>1233</v>
      </c>
      <c r="P19" s="122" t="s">
        <v>612</v>
      </c>
      <c r="Q19" s="128" t="s">
        <v>586</v>
      </c>
      <c r="R19" s="132"/>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row>
    <row r="20" spans="1:52" ht="14.25" customHeight="1" outlineLevel="2">
      <c r="A20" s="119" t="s">
        <v>276</v>
      </c>
      <c r="B20" s="120">
        <v>2</v>
      </c>
      <c r="C20" s="121" t="s">
        <v>265</v>
      </c>
      <c r="D20" s="122"/>
      <c r="E20" s="702">
        <f>+'Stationary Energy Data'!D45</f>
        <v>378144.02366800001</v>
      </c>
      <c r="F20" s="702">
        <f>+'Stationary Energy Data'!E45</f>
        <v>41.045494337346121</v>
      </c>
      <c r="G20" s="702">
        <f>+'Stationary Energy Data'!F45</f>
        <v>6.0066577079043091</v>
      </c>
      <c r="H20" s="706"/>
      <c r="I20" s="706"/>
      <c r="J20" s="706"/>
      <c r="K20" s="706"/>
      <c r="L20" s="702">
        <f>'Stationary Energy Data'!G45</f>
        <v>380885.06180204032</v>
      </c>
      <c r="M20" s="30"/>
      <c r="N20" s="123" t="s">
        <v>612</v>
      </c>
      <c r="O20" s="150" t="s">
        <v>473</v>
      </c>
      <c r="P20" s="122" t="s">
        <v>612</v>
      </c>
      <c r="Q20" s="128" t="s">
        <v>614</v>
      </c>
      <c r="R20" s="132"/>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row>
    <row r="21" spans="1:52" ht="14.25" customHeight="1" outlineLevel="2">
      <c r="A21" s="129" t="s">
        <v>277</v>
      </c>
      <c r="B21" s="130">
        <v>3</v>
      </c>
      <c r="C21" s="131" t="s">
        <v>267</v>
      </c>
      <c r="D21" s="31"/>
      <c r="E21" s="31"/>
      <c r="F21" s="31"/>
      <c r="G21" s="31"/>
      <c r="H21" s="31"/>
      <c r="I21" s="31"/>
      <c r="J21" s="31"/>
      <c r="K21" s="31"/>
      <c r="L21" s="31"/>
      <c r="M21" s="31"/>
      <c r="N21" s="138"/>
      <c r="O21" s="131"/>
      <c r="P21" s="130"/>
      <c r="Q21" s="131"/>
      <c r="R21" s="139"/>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row>
    <row r="22" spans="1:52" ht="14.25" customHeight="1" outlineLevel="2">
      <c r="A22" s="115" t="s">
        <v>278</v>
      </c>
      <c r="B22" s="116"/>
      <c r="C22" s="117" t="s">
        <v>279</v>
      </c>
      <c r="D22" s="32"/>
      <c r="E22" s="32"/>
      <c r="F22" s="32"/>
      <c r="G22" s="32"/>
      <c r="H22" s="32"/>
      <c r="I22" s="32"/>
      <c r="J22" s="32"/>
      <c r="K22" s="32"/>
      <c r="L22" s="32"/>
      <c r="M22" s="32"/>
      <c r="N22" s="135"/>
      <c r="O22" s="115"/>
      <c r="P22" s="116"/>
      <c r="Q22" s="115"/>
      <c r="R22" s="132"/>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row>
    <row r="23" spans="1:52" ht="14.25" customHeight="1" outlineLevel="2">
      <c r="A23" s="119" t="s">
        <v>280</v>
      </c>
      <c r="B23" s="120">
        <v>1</v>
      </c>
      <c r="C23" s="121" t="s">
        <v>281</v>
      </c>
      <c r="D23" s="122" t="s">
        <v>80</v>
      </c>
      <c r="E23" s="30"/>
      <c r="F23" s="30"/>
      <c r="G23" s="30"/>
      <c r="H23" s="30"/>
      <c r="I23" s="30"/>
      <c r="J23" s="30"/>
      <c r="K23" s="30"/>
      <c r="L23" s="30"/>
      <c r="M23" s="30"/>
      <c r="N23" s="137"/>
      <c r="O23" s="120"/>
      <c r="P23" s="120"/>
      <c r="Q23" s="120"/>
      <c r="R23" s="132" t="s">
        <v>616</v>
      </c>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row>
    <row r="24" spans="1:52" ht="14.25" customHeight="1" outlineLevel="2">
      <c r="A24" s="119" t="s">
        <v>282</v>
      </c>
      <c r="B24" s="120">
        <v>2</v>
      </c>
      <c r="C24" s="121" t="s">
        <v>283</v>
      </c>
      <c r="D24" s="122" t="s">
        <v>80</v>
      </c>
      <c r="E24" s="30"/>
      <c r="F24" s="30"/>
      <c r="G24" s="30"/>
      <c r="H24" s="30"/>
      <c r="I24" s="30"/>
      <c r="J24" s="30"/>
      <c r="K24" s="30"/>
      <c r="L24" s="30"/>
      <c r="M24" s="30"/>
      <c r="N24" s="137"/>
      <c r="O24" s="120"/>
      <c r="P24" s="120"/>
      <c r="Q24" s="120"/>
      <c r="R24" s="132" t="s">
        <v>616</v>
      </c>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row>
    <row r="25" spans="1:52" ht="14.25" customHeight="1" outlineLevel="2">
      <c r="A25" s="129" t="s">
        <v>284</v>
      </c>
      <c r="B25" s="130">
        <v>3</v>
      </c>
      <c r="C25" s="131" t="s">
        <v>285</v>
      </c>
      <c r="D25" s="31"/>
      <c r="E25" s="31"/>
      <c r="F25" s="31"/>
      <c r="G25" s="31"/>
      <c r="H25" s="31"/>
      <c r="I25" s="31"/>
      <c r="J25" s="31"/>
      <c r="K25" s="31"/>
      <c r="L25" s="31"/>
      <c r="M25" s="31"/>
      <c r="N25" s="138"/>
      <c r="O25" s="131"/>
      <c r="P25" s="130"/>
      <c r="Q25" s="131"/>
      <c r="R25" s="139"/>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row>
    <row r="26" spans="1:52" ht="14.25" customHeight="1" outlineLevel="2">
      <c r="A26" s="140" t="s">
        <v>286</v>
      </c>
      <c r="B26" s="141">
        <v>1</v>
      </c>
      <c r="C26" s="142" t="s">
        <v>287</v>
      </c>
      <c r="D26" s="33"/>
      <c r="E26" s="33"/>
      <c r="F26" s="33"/>
      <c r="G26" s="33"/>
      <c r="H26" s="33"/>
      <c r="I26" s="33"/>
      <c r="J26" s="33"/>
      <c r="K26" s="33"/>
      <c r="L26" s="33"/>
      <c r="M26" s="33"/>
      <c r="N26" s="143"/>
      <c r="O26" s="141"/>
      <c r="P26" s="141"/>
      <c r="Q26" s="141"/>
      <c r="R26" s="14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row>
    <row r="27" spans="1:52" ht="14.25" customHeight="1" outlineLevel="2">
      <c r="A27" s="115" t="s">
        <v>288</v>
      </c>
      <c r="B27" s="116"/>
      <c r="C27" s="117" t="s">
        <v>289</v>
      </c>
      <c r="D27" s="32"/>
      <c r="E27" s="32"/>
      <c r="F27" s="32"/>
      <c r="G27" s="32"/>
      <c r="H27" s="32"/>
      <c r="I27" s="32"/>
      <c r="J27" s="32"/>
      <c r="K27" s="32"/>
      <c r="L27" s="32"/>
      <c r="M27" s="32"/>
      <c r="N27" s="135"/>
      <c r="O27" s="115"/>
      <c r="P27" s="116"/>
      <c r="Q27" s="115"/>
      <c r="R27" s="132"/>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row>
    <row r="28" spans="1:52" ht="14.25" customHeight="1" outlineLevel="2">
      <c r="A28" s="119" t="s">
        <v>290</v>
      </c>
      <c r="B28" s="120">
        <v>1</v>
      </c>
      <c r="C28" s="121" t="s">
        <v>263</v>
      </c>
      <c r="D28" s="122" t="s">
        <v>80</v>
      </c>
      <c r="E28" s="30"/>
      <c r="F28" s="30"/>
      <c r="G28" s="30"/>
      <c r="H28" s="30"/>
      <c r="I28" s="30"/>
      <c r="J28" s="30"/>
      <c r="K28" s="30"/>
      <c r="L28" s="30"/>
      <c r="M28" s="30"/>
      <c r="N28" s="137"/>
      <c r="O28" s="120"/>
      <c r="P28" s="120"/>
      <c r="Q28" s="120"/>
      <c r="R28" s="132" t="s">
        <v>615</v>
      </c>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row>
    <row r="29" spans="1:52" ht="14.25" customHeight="1" outlineLevel="2">
      <c r="A29" s="119" t="s">
        <v>291</v>
      </c>
      <c r="B29" s="120">
        <v>2</v>
      </c>
      <c r="C29" s="121" t="s">
        <v>265</v>
      </c>
      <c r="D29" s="122" t="s">
        <v>80</v>
      </c>
      <c r="E29" s="30"/>
      <c r="F29" s="30"/>
      <c r="G29" s="30"/>
      <c r="H29" s="30"/>
      <c r="I29" s="30"/>
      <c r="J29" s="30"/>
      <c r="K29" s="30"/>
      <c r="L29" s="30"/>
      <c r="M29" s="30"/>
      <c r="N29" s="137"/>
      <c r="O29" s="120"/>
      <c r="P29" s="120"/>
      <c r="Q29" s="120"/>
      <c r="R29" s="132" t="s">
        <v>615</v>
      </c>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row>
    <row r="30" spans="1:52" ht="14.25" customHeight="1" outlineLevel="2">
      <c r="A30" s="129" t="s">
        <v>292</v>
      </c>
      <c r="B30" s="130">
        <v>3</v>
      </c>
      <c r="C30" s="131" t="s">
        <v>267</v>
      </c>
      <c r="D30" s="31"/>
      <c r="E30" s="31"/>
      <c r="F30" s="31"/>
      <c r="G30" s="31"/>
      <c r="H30" s="31"/>
      <c r="I30" s="31"/>
      <c r="J30" s="31"/>
      <c r="K30" s="31"/>
      <c r="L30" s="31"/>
      <c r="M30" s="31"/>
      <c r="N30" s="138"/>
      <c r="O30" s="131"/>
      <c r="P30" s="130"/>
      <c r="Q30" s="131"/>
      <c r="R30" s="132"/>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row>
    <row r="31" spans="1:52" ht="14.25" customHeight="1" outlineLevel="2">
      <c r="A31" s="115" t="s">
        <v>293</v>
      </c>
      <c r="B31" s="116"/>
      <c r="C31" s="117" t="s">
        <v>294</v>
      </c>
      <c r="D31" s="32"/>
      <c r="E31" s="32"/>
      <c r="F31" s="32"/>
      <c r="G31" s="32"/>
      <c r="H31" s="32"/>
      <c r="I31" s="32"/>
      <c r="J31" s="32"/>
      <c r="K31" s="32"/>
      <c r="L31" s="32"/>
      <c r="M31" s="32"/>
      <c r="N31" s="135"/>
      <c r="O31" s="115"/>
      <c r="P31" s="116"/>
      <c r="Q31" s="115"/>
      <c r="R31" s="132"/>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row>
    <row r="32" spans="1:52" ht="14.25" customHeight="1" outlineLevel="2">
      <c r="A32" s="119" t="s">
        <v>295</v>
      </c>
      <c r="B32" s="120">
        <v>1</v>
      </c>
      <c r="C32" s="121" t="s">
        <v>263</v>
      </c>
      <c r="D32" s="122" t="s">
        <v>84</v>
      </c>
      <c r="E32" s="30"/>
      <c r="F32" s="30"/>
      <c r="G32" s="30"/>
      <c r="H32" s="30"/>
      <c r="I32" s="30"/>
      <c r="J32" s="30"/>
      <c r="K32" s="30"/>
      <c r="L32" s="30"/>
      <c r="M32" s="30"/>
      <c r="N32" s="137"/>
      <c r="O32" s="120"/>
      <c r="P32" s="120"/>
      <c r="Q32" s="120"/>
      <c r="R32" s="132" t="s">
        <v>616</v>
      </c>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row>
    <row r="33" spans="1:52" ht="14.25" customHeight="1" outlineLevel="2">
      <c r="A33" s="119" t="s">
        <v>296</v>
      </c>
      <c r="B33" s="120">
        <v>2</v>
      </c>
      <c r="C33" s="121" t="s">
        <v>265</v>
      </c>
      <c r="D33" s="122" t="s">
        <v>84</v>
      </c>
      <c r="E33" s="30"/>
      <c r="F33" s="30"/>
      <c r="G33" s="30"/>
      <c r="H33" s="30"/>
      <c r="I33" s="30"/>
      <c r="J33" s="30"/>
      <c r="K33" s="30"/>
      <c r="L33" s="30"/>
      <c r="M33" s="30"/>
      <c r="N33" s="137"/>
      <c r="O33" s="120"/>
      <c r="P33" s="120"/>
      <c r="Q33" s="120"/>
      <c r="R33" s="132" t="s">
        <v>616</v>
      </c>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row>
    <row r="34" spans="1:52" ht="14.25" customHeight="1" outlineLevel="2">
      <c r="A34" s="129" t="s">
        <v>297</v>
      </c>
      <c r="B34" s="130">
        <v>3</v>
      </c>
      <c r="C34" s="131" t="s">
        <v>267</v>
      </c>
      <c r="D34" s="31"/>
      <c r="E34" s="31"/>
      <c r="F34" s="31"/>
      <c r="G34" s="31"/>
      <c r="H34" s="31"/>
      <c r="I34" s="31"/>
      <c r="J34" s="31"/>
      <c r="K34" s="31"/>
      <c r="L34" s="31"/>
      <c r="M34" s="31"/>
      <c r="N34" s="138"/>
      <c r="O34" s="131"/>
      <c r="P34" s="130"/>
      <c r="Q34" s="131"/>
      <c r="R34" s="132"/>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row>
    <row r="35" spans="1:52" ht="14.25" customHeight="1" outlineLevel="2">
      <c r="A35" s="115" t="s">
        <v>298</v>
      </c>
      <c r="B35" s="116"/>
      <c r="C35" s="117" t="s">
        <v>299</v>
      </c>
      <c r="D35" s="32"/>
      <c r="E35" s="32"/>
      <c r="F35" s="32"/>
      <c r="G35" s="32"/>
      <c r="H35" s="32"/>
      <c r="I35" s="32"/>
      <c r="J35" s="32"/>
      <c r="K35" s="32"/>
      <c r="L35" s="32"/>
      <c r="M35" s="32"/>
      <c r="N35" s="135"/>
      <c r="O35" s="115"/>
      <c r="P35" s="116"/>
      <c r="Q35" s="115"/>
      <c r="R35" s="132"/>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row>
    <row r="36" spans="1:52" ht="14.25" customHeight="1" outlineLevel="2">
      <c r="A36" s="119" t="s">
        <v>300</v>
      </c>
      <c r="B36" s="120">
        <v>1</v>
      </c>
      <c r="C36" s="121" t="s">
        <v>301</v>
      </c>
      <c r="D36" s="122" t="s">
        <v>84</v>
      </c>
      <c r="E36" s="30"/>
      <c r="F36" s="30"/>
      <c r="G36" s="30"/>
      <c r="H36" s="30"/>
      <c r="I36" s="30"/>
      <c r="J36" s="30"/>
      <c r="K36" s="30"/>
      <c r="L36" s="30"/>
      <c r="M36" s="30"/>
      <c r="N36" s="137"/>
      <c r="O36" s="120"/>
      <c r="P36" s="120"/>
      <c r="Q36" s="120"/>
      <c r="R36" s="132" t="s">
        <v>616</v>
      </c>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row>
    <row r="37" spans="1:52" ht="14.25" customHeight="1" outlineLevel="2">
      <c r="A37" s="115" t="s">
        <v>302</v>
      </c>
      <c r="B37" s="116"/>
      <c r="C37" s="164" t="s">
        <v>449</v>
      </c>
      <c r="D37" s="32"/>
      <c r="E37" s="32"/>
      <c r="F37" s="32"/>
      <c r="G37" s="32"/>
      <c r="H37" s="32"/>
      <c r="I37" s="32"/>
      <c r="J37" s="32"/>
      <c r="K37" s="32"/>
      <c r="L37" s="32"/>
      <c r="M37" s="32"/>
      <c r="N37" s="135"/>
      <c r="O37" s="115"/>
      <c r="P37" s="116"/>
      <c r="Q37" s="115"/>
      <c r="R37" s="132"/>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row>
    <row r="38" spans="1:52" ht="14.25" customHeight="1" outlineLevel="2">
      <c r="A38" s="119" t="s">
        <v>303</v>
      </c>
      <c r="B38" s="120">
        <v>1</v>
      </c>
      <c r="C38" s="121" t="s">
        <v>165</v>
      </c>
      <c r="D38" s="122"/>
      <c r="E38" s="29">
        <f>'Fugitive Emissions Data'!C45</f>
        <v>23.835710119432235</v>
      </c>
      <c r="F38" s="29">
        <f>'Fugitive Emissions Data'!D45+'Fugitive Emissions Data'!B64+'Fugitive Emissions Data'!B71</f>
        <v>3190.4553251549705</v>
      </c>
      <c r="G38" s="137"/>
      <c r="H38" s="30"/>
      <c r="I38" s="30"/>
      <c r="J38" s="30"/>
      <c r="K38" s="30"/>
      <c r="L38" s="29">
        <f>'Fugitive Emissions Data'!B6</f>
        <v>89356.584814458605</v>
      </c>
      <c r="M38" s="30"/>
      <c r="N38" s="123" t="s">
        <v>617</v>
      </c>
      <c r="O38" s="123" t="s">
        <v>1234</v>
      </c>
      <c r="P38" s="123" t="s">
        <v>612</v>
      </c>
      <c r="Q38" s="128" t="s">
        <v>1235</v>
      </c>
      <c r="R38" s="132"/>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row>
    <row r="39" spans="1:52" s="112" customFormat="1" ht="14.25" customHeight="1" outlineLevel="1">
      <c r="A39" s="113" t="s">
        <v>304</v>
      </c>
      <c r="B39" s="114"/>
      <c r="C39" s="113" t="s">
        <v>305</v>
      </c>
      <c r="D39" s="34"/>
      <c r="E39" s="34"/>
      <c r="F39" s="34"/>
      <c r="G39" s="34"/>
      <c r="H39" s="34"/>
      <c r="I39" s="34"/>
      <c r="J39" s="34"/>
      <c r="K39" s="34"/>
      <c r="L39" s="34"/>
      <c r="M39" s="34"/>
      <c r="N39" s="34"/>
      <c r="O39" s="113"/>
      <c r="P39" s="114"/>
      <c r="Q39" s="113"/>
      <c r="R39" s="132"/>
      <c r="S39" s="111"/>
      <c r="T39" s="111"/>
      <c r="U39" s="111"/>
      <c r="V39" s="111"/>
      <c r="W39" s="111"/>
      <c r="X39" s="111"/>
      <c r="Y39" s="111"/>
      <c r="Z39" s="111"/>
      <c r="AA39" s="111"/>
      <c r="AB39" s="111"/>
      <c r="AC39" s="111"/>
      <c r="AD39" s="111"/>
      <c r="AE39" s="111"/>
      <c r="AF39" s="111"/>
      <c r="AG39" s="111"/>
      <c r="AH39" s="111"/>
      <c r="AI39" s="111"/>
      <c r="AJ39" s="111"/>
      <c r="AK39" s="111"/>
      <c r="AL39" s="111"/>
      <c r="AM39" s="111"/>
      <c r="AN39" s="111"/>
      <c r="AO39" s="111"/>
      <c r="AP39" s="111"/>
      <c r="AQ39" s="111"/>
      <c r="AR39" s="111"/>
      <c r="AS39" s="111"/>
      <c r="AT39" s="111"/>
      <c r="AU39" s="111"/>
      <c r="AV39" s="111"/>
      <c r="AW39" s="111"/>
      <c r="AX39" s="111"/>
      <c r="AY39" s="111"/>
      <c r="AZ39" s="111"/>
    </row>
    <row r="40" spans="1:52" ht="14.25" customHeight="1" outlineLevel="2">
      <c r="A40" s="115" t="s">
        <v>306</v>
      </c>
      <c r="B40" s="116"/>
      <c r="C40" s="117" t="s">
        <v>307</v>
      </c>
      <c r="D40" s="32"/>
      <c r="E40" s="28"/>
      <c r="F40" s="28"/>
      <c r="G40" s="28"/>
      <c r="H40" s="28"/>
      <c r="I40" s="28"/>
      <c r="J40" s="28"/>
      <c r="K40" s="28"/>
      <c r="L40" s="28"/>
      <c r="M40" s="28"/>
      <c r="N40" s="135"/>
      <c r="O40" s="115"/>
      <c r="P40" s="116"/>
      <c r="Q40" s="115"/>
      <c r="R40" s="132"/>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row>
    <row r="41" spans="1:52" ht="14.25" customHeight="1" outlineLevel="2">
      <c r="A41" s="119" t="s">
        <v>308</v>
      </c>
      <c r="B41" s="120">
        <v>1</v>
      </c>
      <c r="C41" s="121" t="s">
        <v>168</v>
      </c>
      <c r="D41" s="122"/>
      <c r="E41" s="702">
        <f>'On-Road Data'!P52</f>
        <v>2680176.8617989724</v>
      </c>
      <c r="F41" s="702">
        <f>'On-Road Data'!Q52</f>
        <v>117.7939243153958</v>
      </c>
      <c r="G41" s="702">
        <f>'On-Road Data'!R52</f>
        <v>67.704058034961577</v>
      </c>
      <c r="H41" s="1048"/>
      <c r="I41" s="1048"/>
      <c r="J41" s="1048"/>
      <c r="K41" s="1048"/>
      <c r="L41" s="702">
        <f>'On-Road Data'!$S$52</f>
        <v>2701416.6670590681</v>
      </c>
      <c r="M41" s="702">
        <f>'On-Road Data'!O54</f>
        <v>0</v>
      </c>
      <c r="N41" s="123" t="s">
        <v>617</v>
      </c>
      <c r="O41" s="128" t="s">
        <v>618</v>
      </c>
      <c r="P41" s="123" t="s">
        <v>612</v>
      </c>
      <c r="Q41" s="128" t="s">
        <v>586</v>
      </c>
      <c r="R41" s="132"/>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row>
    <row r="42" spans="1:52" ht="12.75" outlineLevel="2">
      <c r="A42" s="119" t="s">
        <v>309</v>
      </c>
      <c r="B42" s="120">
        <v>2</v>
      </c>
      <c r="C42" s="121" t="s">
        <v>169</v>
      </c>
      <c r="D42" s="122"/>
      <c r="E42" s="702">
        <f>'On-Road Data'!B88</f>
        <v>4862.6970000000001</v>
      </c>
      <c r="F42" s="702">
        <f>'On-Road Data'!C88</f>
        <v>0.52781953352505195</v>
      </c>
      <c r="G42" s="702">
        <f>'On-Road Data'!D88</f>
        <v>7.7241882954885641E-2</v>
      </c>
      <c r="H42" s="703"/>
      <c r="I42" s="703"/>
      <c r="J42" s="703"/>
      <c r="K42" s="703"/>
      <c r="L42" s="702">
        <f>'On-Road Data'!E88</f>
        <v>4897.9450459217469</v>
      </c>
      <c r="M42" s="707"/>
      <c r="N42" s="123" t="s">
        <v>617</v>
      </c>
      <c r="O42" s="128" t="s">
        <v>1236</v>
      </c>
      <c r="P42" s="123" t="s">
        <v>612</v>
      </c>
      <c r="Q42" s="124" t="s">
        <v>614</v>
      </c>
      <c r="R42" s="125"/>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row>
    <row r="43" spans="1:52" ht="14.25" customHeight="1" outlineLevel="2">
      <c r="A43" s="129" t="s">
        <v>310</v>
      </c>
      <c r="B43" s="130">
        <v>3</v>
      </c>
      <c r="C43" s="708" t="s">
        <v>170</v>
      </c>
      <c r="D43" s="31"/>
      <c r="E43" s="31"/>
      <c r="F43" s="31"/>
      <c r="G43" s="31"/>
      <c r="H43" s="31"/>
      <c r="I43" s="31"/>
      <c r="J43" s="31"/>
      <c r="K43" s="31"/>
      <c r="L43" s="31"/>
      <c r="M43" s="31"/>
      <c r="N43" s="138"/>
      <c r="O43" s="131"/>
      <c r="P43" s="130"/>
      <c r="Q43" s="131"/>
      <c r="R43" s="132" t="s">
        <v>1237</v>
      </c>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row>
    <row r="44" spans="1:52" ht="14.25" customHeight="1" outlineLevel="2">
      <c r="A44" s="115" t="s">
        <v>311</v>
      </c>
      <c r="B44" s="116"/>
      <c r="C44" s="117" t="s">
        <v>124</v>
      </c>
      <c r="D44" s="32"/>
      <c r="E44" s="32"/>
      <c r="F44" s="32"/>
      <c r="G44" s="32"/>
      <c r="H44" s="32"/>
      <c r="I44" s="32"/>
      <c r="J44" s="32"/>
      <c r="K44" s="32"/>
      <c r="L44" s="32"/>
      <c r="M44" s="32"/>
      <c r="N44" s="135"/>
      <c r="O44" s="115"/>
      <c r="P44" s="116"/>
      <c r="Q44" s="115"/>
      <c r="R44" s="132"/>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row>
    <row r="45" spans="1:52" ht="14.25" customHeight="1" outlineLevel="2">
      <c r="A45" s="119" t="s">
        <v>312</v>
      </c>
      <c r="B45" s="120">
        <v>1</v>
      </c>
      <c r="C45" s="121" t="s">
        <v>173</v>
      </c>
      <c r="D45" s="122"/>
      <c r="E45" s="702">
        <f>'Railways Data'!B28</f>
        <v>42596.416089999999</v>
      </c>
      <c r="F45" s="702">
        <f>'Railways Data'!C28</f>
        <v>3.3292791419999999</v>
      </c>
      <c r="G45" s="702">
        <f>'Railways Data'!D28</f>
        <v>1.0638673949999999</v>
      </c>
      <c r="H45" s="703"/>
      <c r="I45" s="703"/>
      <c r="J45" s="703"/>
      <c r="K45" s="703"/>
      <c r="L45" s="702">
        <f>'Railways Data'!E28</f>
        <v>42971.560765650996</v>
      </c>
      <c r="M45" s="137"/>
      <c r="N45" s="123" t="s">
        <v>617</v>
      </c>
      <c r="O45" s="128" t="s">
        <v>1146</v>
      </c>
      <c r="P45" s="123" t="s">
        <v>612</v>
      </c>
      <c r="Q45" s="128" t="s">
        <v>1238</v>
      </c>
      <c r="R45" s="132"/>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row>
    <row r="46" spans="1:52" ht="14.25" customHeight="1" outlineLevel="2">
      <c r="A46" s="119"/>
      <c r="B46" s="120">
        <v>2</v>
      </c>
      <c r="C46" s="121" t="s">
        <v>174</v>
      </c>
      <c r="D46" s="122"/>
      <c r="E46" s="702">
        <f>'Railways Data'!B41</f>
        <v>30975.776936881502</v>
      </c>
      <c r="F46" s="702">
        <f>'Railways Data'!C41</f>
        <v>3.362253525852188</v>
      </c>
      <c r="G46" s="702">
        <f>'Railways Data'!D41</f>
        <v>0.49203710134422257</v>
      </c>
      <c r="H46" s="703"/>
      <c r="I46" s="703"/>
      <c r="J46" s="703"/>
      <c r="K46" s="703"/>
      <c r="L46" s="702">
        <f>'Railways Data'!E41</f>
        <v>31200.309867461583</v>
      </c>
      <c r="M46" s="30"/>
      <c r="N46" s="123" t="s">
        <v>617</v>
      </c>
      <c r="O46" s="123" t="s">
        <v>680</v>
      </c>
      <c r="P46" s="123" t="s">
        <v>612</v>
      </c>
      <c r="Q46" s="128" t="s">
        <v>614</v>
      </c>
      <c r="R46" s="132"/>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row>
    <row r="47" spans="1:52" ht="14.25" customHeight="1" outlineLevel="2">
      <c r="A47" s="129" t="s">
        <v>313</v>
      </c>
      <c r="B47" s="130">
        <v>3</v>
      </c>
      <c r="C47" s="708" t="s">
        <v>170</v>
      </c>
      <c r="D47" s="31"/>
      <c r="E47" s="31"/>
      <c r="F47" s="31"/>
      <c r="G47" s="31"/>
      <c r="H47" s="31"/>
      <c r="I47" s="31"/>
      <c r="J47" s="31"/>
      <c r="K47" s="31"/>
      <c r="L47" s="31"/>
      <c r="M47" s="31"/>
      <c r="N47" s="138"/>
      <c r="O47" s="131"/>
      <c r="P47" s="130"/>
      <c r="Q47" s="131"/>
      <c r="R47" s="125"/>
      <c r="S47" s="54"/>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row>
    <row r="48" spans="1:52" ht="14.25" customHeight="1" outlineLevel="2">
      <c r="A48" s="115" t="s">
        <v>314</v>
      </c>
      <c r="B48" s="116"/>
      <c r="C48" s="117" t="s">
        <v>126</v>
      </c>
      <c r="D48" s="32"/>
      <c r="E48" s="32"/>
      <c r="F48" s="32"/>
      <c r="G48" s="32"/>
      <c r="H48" s="32"/>
      <c r="I48" s="32"/>
      <c r="J48" s="32"/>
      <c r="K48" s="32"/>
      <c r="L48" s="32"/>
      <c r="M48" s="32"/>
      <c r="N48" s="135"/>
      <c r="O48" s="115"/>
      <c r="P48" s="116"/>
      <c r="Q48" s="115"/>
      <c r="R48" s="132"/>
      <c r="S48" s="54"/>
      <c r="T48" s="54"/>
      <c r="U48" s="54"/>
      <c r="V48" s="54"/>
      <c r="W48" s="54"/>
      <c r="X48" s="54"/>
      <c r="Y48" s="54"/>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row>
    <row r="49" spans="1:52" ht="14.25" customHeight="1" outlineLevel="2">
      <c r="A49" s="119" t="s">
        <v>315</v>
      </c>
      <c r="B49" s="120">
        <v>1</v>
      </c>
      <c r="C49" s="121" t="s">
        <v>316</v>
      </c>
      <c r="D49" s="122" t="s">
        <v>84</v>
      </c>
      <c r="E49" s="30"/>
      <c r="F49" s="30"/>
      <c r="G49" s="30"/>
      <c r="H49" s="30"/>
      <c r="I49" s="30"/>
      <c r="J49" s="30"/>
      <c r="K49" s="30"/>
      <c r="L49" s="30"/>
      <c r="M49" s="30"/>
      <c r="N49" s="137"/>
      <c r="O49" s="120"/>
      <c r="P49" s="120"/>
      <c r="Q49" s="120"/>
      <c r="R49" s="132" t="s">
        <v>616</v>
      </c>
      <c r="S49" s="54"/>
      <c r="T49" s="54"/>
      <c r="U49" s="54"/>
      <c r="V49" s="54"/>
      <c r="W49" s="54"/>
      <c r="X49" s="54"/>
      <c r="Y49" s="54"/>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row>
    <row r="50" spans="1:52" ht="14.25" customHeight="1" outlineLevel="2">
      <c r="A50" s="119" t="s">
        <v>317</v>
      </c>
      <c r="B50" s="120">
        <v>2</v>
      </c>
      <c r="C50" s="121" t="s">
        <v>318</v>
      </c>
      <c r="D50" s="122" t="s">
        <v>84</v>
      </c>
      <c r="E50" s="30"/>
      <c r="F50" s="30"/>
      <c r="G50" s="30"/>
      <c r="H50" s="30"/>
      <c r="I50" s="30"/>
      <c r="J50" s="30"/>
      <c r="K50" s="30"/>
      <c r="L50" s="30"/>
      <c r="M50" s="30"/>
      <c r="N50" s="137"/>
      <c r="O50" s="120"/>
      <c r="P50" s="120"/>
      <c r="Q50" s="120"/>
      <c r="R50" s="132" t="s">
        <v>616</v>
      </c>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row>
    <row r="51" spans="1:52" ht="14.25" customHeight="1" outlineLevel="2">
      <c r="A51" s="129" t="s">
        <v>319</v>
      </c>
      <c r="B51" s="130">
        <v>3</v>
      </c>
      <c r="C51" s="708" t="s">
        <v>170</v>
      </c>
      <c r="D51" s="31"/>
      <c r="E51" s="31"/>
      <c r="F51" s="31"/>
      <c r="G51" s="31"/>
      <c r="H51" s="31"/>
      <c r="I51" s="31"/>
      <c r="J51" s="31"/>
      <c r="K51" s="31"/>
      <c r="L51" s="31"/>
      <c r="M51" s="31"/>
      <c r="N51" s="138"/>
      <c r="O51" s="131"/>
      <c r="P51" s="130"/>
      <c r="Q51" s="131"/>
      <c r="R51" s="132"/>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row>
    <row r="52" spans="1:52" ht="14.25" customHeight="1" outlineLevel="2">
      <c r="A52" s="115" t="s">
        <v>320</v>
      </c>
      <c r="B52" s="116"/>
      <c r="C52" s="117" t="s">
        <v>25</v>
      </c>
      <c r="D52" s="32"/>
      <c r="E52" s="32"/>
      <c r="F52" s="32"/>
      <c r="G52" s="32"/>
      <c r="H52" s="32"/>
      <c r="I52" s="32"/>
      <c r="J52" s="32"/>
      <c r="K52" s="32"/>
      <c r="L52" s="32"/>
      <c r="M52" s="32"/>
      <c r="N52" s="135"/>
      <c r="O52" s="115"/>
      <c r="P52" s="116"/>
      <c r="Q52" s="115"/>
      <c r="R52" s="132"/>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row>
    <row r="53" spans="1:52" ht="14.25" customHeight="1" outlineLevel="2">
      <c r="A53" s="119" t="s">
        <v>321</v>
      </c>
      <c r="B53" s="120">
        <v>1</v>
      </c>
      <c r="C53" s="121" t="s">
        <v>322</v>
      </c>
      <c r="D53" s="122"/>
      <c r="E53" s="702">
        <f>'Aviation Data'!B34</f>
        <v>80.335697274078484</v>
      </c>
      <c r="F53" s="702">
        <f>'Aviation Data'!C34</f>
        <v>6.8280509006837103E-2</v>
      </c>
      <c r="G53" s="702">
        <f>'Aviation Data'!D34</f>
        <v>1.0344066917360286E-3</v>
      </c>
      <c r="H53" s="703"/>
      <c r="I53" s="703"/>
      <c r="J53" s="703"/>
      <c r="K53" s="703"/>
      <c r="L53" s="702">
        <f>'Aviation Data'!E34</f>
        <v>82.521669299579969</v>
      </c>
      <c r="M53" s="30"/>
      <c r="N53" s="128" t="s">
        <v>617</v>
      </c>
      <c r="O53" s="128" t="s">
        <v>619</v>
      </c>
      <c r="P53" s="128" t="s">
        <v>612</v>
      </c>
      <c r="Q53" s="128" t="s">
        <v>586</v>
      </c>
      <c r="R53" s="132"/>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row>
    <row r="54" spans="1:52" ht="14.25" customHeight="1" outlineLevel="2">
      <c r="A54" s="119" t="s">
        <v>323</v>
      </c>
      <c r="B54" s="120">
        <v>2</v>
      </c>
      <c r="C54" s="121" t="s">
        <v>324</v>
      </c>
      <c r="D54" s="122" t="s">
        <v>84</v>
      </c>
      <c r="E54" s="30"/>
      <c r="F54" s="30"/>
      <c r="G54" s="30"/>
      <c r="H54" s="30"/>
      <c r="I54" s="30"/>
      <c r="J54" s="30"/>
      <c r="K54" s="30"/>
      <c r="L54" s="30"/>
      <c r="M54" s="30"/>
      <c r="N54" s="137"/>
      <c r="O54" s="120"/>
      <c r="P54" s="120"/>
      <c r="Q54" s="120"/>
      <c r="R54" s="132" t="s">
        <v>616</v>
      </c>
      <c r="S54" s="54"/>
      <c r="T54" s="54"/>
      <c r="U54" s="54"/>
      <c r="V54" s="54"/>
      <c r="W54" s="54"/>
      <c r="X54" s="54"/>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row>
    <row r="55" spans="1:52" ht="14.25" customHeight="1" outlineLevel="2">
      <c r="A55" s="129" t="s">
        <v>325</v>
      </c>
      <c r="B55" s="130">
        <v>3</v>
      </c>
      <c r="C55" s="708" t="s">
        <v>170</v>
      </c>
      <c r="D55" s="31"/>
      <c r="E55" s="31">
        <f>'Aviation Data'!B33+'Aviation Data'!B32</f>
        <v>2045655.7525744599</v>
      </c>
      <c r="F55" s="31">
        <f>'Aviation Data'!C33+'Aviation Data'!C32</f>
        <v>20.564587187607998</v>
      </c>
      <c r="G55" s="31">
        <f>'Aviation Data'!D33+'Aviation Data'!D32</f>
        <v>43.137294197711995</v>
      </c>
      <c r="H55" s="31"/>
      <c r="I55" s="31"/>
      <c r="J55" s="31"/>
      <c r="K55" s="31"/>
      <c r="L55" s="31">
        <f>'Aviation Data'!E33+'Aviation Data'!E32</f>
        <v>2057662.9439781066</v>
      </c>
      <c r="M55" s="31"/>
      <c r="N55" s="31" t="s">
        <v>612</v>
      </c>
      <c r="O55" s="31" t="s">
        <v>206</v>
      </c>
      <c r="P55" s="31" t="s">
        <v>612</v>
      </c>
      <c r="Q55" s="31" t="s">
        <v>586</v>
      </c>
      <c r="R55" s="132" t="s">
        <v>1239</v>
      </c>
      <c r="S55" s="54"/>
      <c r="T55" s="54"/>
      <c r="U55" s="54"/>
      <c r="V55" s="54"/>
      <c r="W55" s="54"/>
      <c r="X55" s="54"/>
      <c r="Y55" s="54"/>
      <c r="Z55" s="54"/>
      <c r="AA55" s="54"/>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row>
    <row r="56" spans="1:52" ht="14.25" customHeight="1" outlineLevel="2">
      <c r="A56" s="115" t="s">
        <v>326</v>
      </c>
      <c r="B56" s="116"/>
      <c r="C56" s="117" t="s">
        <v>128</v>
      </c>
      <c r="D56" s="32"/>
      <c r="E56" s="32"/>
      <c r="F56" s="32"/>
      <c r="G56" s="32"/>
      <c r="H56" s="32"/>
      <c r="I56" s="32"/>
      <c r="J56" s="32"/>
      <c r="K56" s="32"/>
      <c r="L56" s="32"/>
      <c r="M56" s="32"/>
      <c r="N56" s="135"/>
      <c r="O56" s="115"/>
      <c r="P56" s="116"/>
      <c r="Q56" s="115"/>
      <c r="R56" s="132"/>
      <c r="S56" s="54"/>
      <c r="T56" s="54"/>
      <c r="U56" s="54"/>
      <c r="V56" s="54"/>
      <c r="W56" s="54"/>
      <c r="X56" s="54"/>
      <c r="Y56" s="54"/>
      <c r="Z56" s="54"/>
      <c r="AA56" s="54"/>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54"/>
    </row>
    <row r="57" spans="1:52" ht="14.25" customHeight="1" outlineLevel="2">
      <c r="A57" s="119" t="s">
        <v>327</v>
      </c>
      <c r="B57" s="120">
        <v>1</v>
      </c>
      <c r="C57" s="121" t="s">
        <v>175</v>
      </c>
      <c r="D57" s="122"/>
      <c r="E57" s="702">
        <f>'Off-Road'!B27+'Off-Road'!B33</f>
        <v>32966.095631874356</v>
      </c>
      <c r="F57" s="702">
        <f>'Off-Road'!C27+'Off-Road'!C33</f>
        <v>0</v>
      </c>
      <c r="G57" s="702">
        <f>'Off-Road'!D27+'Off-Road'!D33</f>
        <v>0</v>
      </c>
      <c r="H57" s="703"/>
      <c r="I57" s="703"/>
      <c r="J57" s="703"/>
      <c r="K57" s="703"/>
      <c r="L57" s="702">
        <f>'Off-Road'!E27+'Off-Road'!E33</f>
        <v>32966.095631874356</v>
      </c>
      <c r="M57" s="30"/>
      <c r="N57" s="128" t="s">
        <v>617</v>
      </c>
      <c r="O57" s="128" t="s">
        <v>206</v>
      </c>
      <c r="P57" s="128" t="s">
        <v>612</v>
      </c>
      <c r="Q57" s="128" t="s">
        <v>586</v>
      </c>
      <c r="R57" s="132"/>
      <c r="S57" s="54"/>
      <c r="T57" s="54"/>
      <c r="U57" s="54"/>
      <c r="V57" s="54"/>
      <c r="W57" s="54"/>
      <c r="X57" s="54"/>
      <c r="Y57" s="54"/>
      <c r="Z57" s="54"/>
      <c r="AA57" s="54"/>
      <c r="AB57" s="54"/>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54"/>
    </row>
    <row r="58" spans="1:52" ht="14.25" customHeight="1" outlineLevel="2">
      <c r="A58" s="119" t="s">
        <v>328</v>
      </c>
      <c r="B58" s="120">
        <v>2</v>
      </c>
      <c r="C58" s="121" t="s">
        <v>176</v>
      </c>
      <c r="D58" s="122" t="s">
        <v>84</v>
      </c>
      <c r="E58" s="30"/>
      <c r="F58" s="30"/>
      <c r="G58" s="30"/>
      <c r="H58" s="30"/>
      <c r="I58" s="30"/>
      <c r="J58" s="30"/>
      <c r="K58" s="30"/>
      <c r="L58" s="30"/>
      <c r="M58" s="30"/>
      <c r="N58" s="137"/>
      <c r="O58" s="120"/>
      <c r="P58" s="120"/>
      <c r="Q58" s="120"/>
      <c r="R58" s="132" t="s">
        <v>616</v>
      </c>
      <c r="S58" s="54"/>
      <c r="T58" s="54"/>
      <c r="U58" s="54"/>
      <c r="V58" s="54"/>
      <c r="W58" s="54"/>
      <c r="X58" s="54"/>
      <c r="Y58" s="54"/>
      <c r="Z58" s="54"/>
      <c r="AA58" s="54"/>
      <c r="AB58" s="54"/>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54"/>
    </row>
    <row r="59" spans="1:52" ht="14.25" customHeight="1" outlineLevel="2">
      <c r="A59" s="129" t="s">
        <v>329</v>
      </c>
      <c r="B59" s="130">
        <v>3</v>
      </c>
      <c r="C59" s="708" t="s">
        <v>170</v>
      </c>
      <c r="D59" s="31"/>
      <c r="E59" s="31"/>
      <c r="F59" s="31"/>
      <c r="G59" s="31"/>
      <c r="H59" s="31"/>
      <c r="I59" s="31"/>
      <c r="J59" s="31"/>
      <c r="K59" s="31"/>
      <c r="L59" s="31"/>
      <c r="M59" s="31"/>
      <c r="N59" s="31" t="s">
        <v>617</v>
      </c>
      <c r="O59" s="31" t="s">
        <v>206</v>
      </c>
      <c r="P59" s="31" t="s">
        <v>612</v>
      </c>
      <c r="Q59" s="31" t="s">
        <v>586</v>
      </c>
      <c r="R59" s="132"/>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row>
    <row r="60" spans="1:52" s="112" customFormat="1" ht="14.25" customHeight="1" outlineLevel="1">
      <c r="A60" s="113" t="s">
        <v>330</v>
      </c>
      <c r="B60" s="114"/>
      <c r="C60" s="113" t="s">
        <v>331</v>
      </c>
      <c r="D60" s="34"/>
      <c r="E60" s="34"/>
      <c r="F60" s="34"/>
      <c r="G60" s="34"/>
      <c r="H60" s="34"/>
      <c r="I60" s="34"/>
      <c r="J60" s="34"/>
      <c r="K60" s="34"/>
      <c r="L60" s="34"/>
      <c r="M60" s="34"/>
      <c r="N60" s="34"/>
      <c r="O60" s="113"/>
      <c r="P60" s="114"/>
      <c r="Q60" s="113"/>
      <c r="R60" s="132"/>
      <c r="S60" s="111"/>
      <c r="T60" s="111"/>
      <c r="U60" s="111"/>
      <c r="V60" s="111"/>
      <c r="W60" s="111"/>
      <c r="X60" s="111"/>
      <c r="Y60" s="111"/>
      <c r="Z60" s="111"/>
      <c r="AA60" s="111"/>
      <c r="AB60" s="111"/>
      <c r="AC60" s="111"/>
      <c r="AD60" s="111"/>
      <c r="AE60" s="111"/>
      <c r="AF60" s="111"/>
      <c r="AG60" s="111"/>
      <c r="AH60" s="111"/>
      <c r="AI60" s="111"/>
      <c r="AJ60" s="111"/>
      <c r="AK60" s="111"/>
      <c r="AL60" s="111"/>
      <c r="AM60" s="111"/>
      <c r="AN60" s="111"/>
      <c r="AO60" s="111"/>
      <c r="AP60" s="111"/>
      <c r="AQ60" s="111"/>
      <c r="AR60" s="111"/>
      <c r="AS60" s="111"/>
      <c r="AT60" s="111"/>
      <c r="AU60" s="111"/>
      <c r="AV60" s="111"/>
      <c r="AW60" s="111"/>
      <c r="AX60" s="111"/>
      <c r="AY60" s="111"/>
      <c r="AZ60" s="111"/>
    </row>
    <row r="61" spans="1:52" ht="14.25" customHeight="1" outlineLevel="2">
      <c r="A61" s="115" t="s">
        <v>332</v>
      </c>
      <c r="B61" s="116"/>
      <c r="C61" s="117" t="s">
        <v>333</v>
      </c>
      <c r="D61" s="32"/>
      <c r="E61" s="32"/>
      <c r="F61" s="32"/>
      <c r="G61" s="32"/>
      <c r="H61" s="32"/>
      <c r="I61" s="32"/>
      <c r="J61" s="32"/>
      <c r="K61" s="32"/>
      <c r="L61" s="32"/>
      <c r="M61" s="32"/>
      <c r="N61" s="135"/>
      <c r="O61" s="115"/>
      <c r="P61" s="116"/>
      <c r="Q61" s="115"/>
      <c r="R61" s="132"/>
      <c r="S61" s="54"/>
      <c r="T61" s="54"/>
      <c r="U61" s="54"/>
      <c r="V61" s="54"/>
      <c r="W61" s="54"/>
      <c r="X61" s="54"/>
      <c r="Y61" s="54"/>
      <c r="Z61" s="54"/>
      <c r="AA61" s="54"/>
      <c r="AB61" s="54"/>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54"/>
    </row>
    <row r="62" spans="1:52" ht="14.25" customHeight="1" outlineLevel="2">
      <c r="A62" s="119" t="s">
        <v>334</v>
      </c>
      <c r="B62" s="120">
        <v>1</v>
      </c>
      <c r="C62" s="121" t="s">
        <v>335</v>
      </c>
      <c r="D62" s="145" t="s">
        <v>84</v>
      </c>
      <c r="E62" s="30"/>
      <c r="F62" s="30"/>
      <c r="G62" s="30"/>
      <c r="H62" s="30"/>
      <c r="I62" s="30"/>
      <c r="J62" s="30"/>
      <c r="K62" s="30"/>
      <c r="L62" s="30"/>
      <c r="M62" s="30"/>
      <c r="N62" s="137"/>
      <c r="O62" s="121"/>
      <c r="P62" s="120"/>
      <c r="Q62" s="121"/>
      <c r="R62" s="132" t="s">
        <v>616</v>
      </c>
      <c r="S62" s="54"/>
      <c r="T62" s="54"/>
      <c r="U62" s="54"/>
      <c r="V62" s="54"/>
      <c r="W62" s="54"/>
      <c r="X62" s="54"/>
      <c r="Y62" s="54"/>
      <c r="Z62" s="54"/>
      <c r="AA62" s="54"/>
      <c r="AB62" s="54"/>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54"/>
    </row>
    <row r="63" spans="1:52" ht="14.25" customHeight="1" outlineLevel="2">
      <c r="A63" s="119" t="s">
        <v>336</v>
      </c>
      <c r="B63" s="120">
        <v>3</v>
      </c>
      <c r="C63" s="709" t="s">
        <v>337</v>
      </c>
      <c r="D63" s="146"/>
      <c r="E63" s="30"/>
      <c r="F63" s="702">
        <f>'Waste_Recycling Data'!E48+'Waste_Recycling Data'!E49</f>
        <v>5981.7293045865008</v>
      </c>
      <c r="G63" s="703"/>
      <c r="H63" s="703"/>
      <c r="I63" s="703"/>
      <c r="J63" s="703"/>
      <c r="K63" s="703"/>
      <c r="L63" s="702">
        <f>'Waste_Recycling Data'!G48+'Waste_Recycling Data'!G49</f>
        <v>167488.42052842202</v>
      </c>
      <c r="M63" s="30"/>
      <c r="N63" s="123" t="s">
        <v>612</v>
      </c>
      <c r="O63" s="128" t="s">
        <v>523</v>
      </c>
      <c r="P63" s="123" t="s">
        <v>612</v>
      </c>
      <c r="Q63" s="128" t="s">
        <v>586</v>
      </c>
      <c r="R63" s="125"/>
      <c r="S63" s="54"/>
      <c r="T63" s="54"/>
      <c r="U63" s="54"/>
      <c r="V63" s="54"/>
      <c r="W63" s="54"/>
      <c r="X63" s="54"/>
      <c r="Y63" s="54"/>
      <c r="Z63" s="54"/>
      <c r="AA63" s="54"/>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row>
    <row r="64" spans="1:52" ht="14.25" customHeight="1" outlineLevel="2">
      <c r="A64" s="140" t="s">
        <v>338</v>
      </c>
      <c r="B64" s="141">
        <v>1</v>
      </c>
      <c r="C64" s="710" t="s">
        <v>339</v>
      </c>
      <c r="D64" s="33" t="s">
        <v>84</v>
      </c>
      <c r="E64" s="33"/>
      <c r="F64" s="711"/>
      <c r="G64" s="711"/>
      <c r="H64" s="711"/>
      <c r="I64" s="711"/>
      <c r="J64" s="711"/>
      <c r="K64" s="711"/>
      <c r="L64" s="711"/>
      <c r="M64" s="33"/>
      <c r="N64" s="143"/>
      <c r="O64" s="141"/>
      <c r="P64" s="141"/>
      <c r="Q64" s="141"/>
      <c r="R64" s="144" t="s">
        <v>1240</v>
      </c>
      <c r="S64" s="54"/>
      <c r="T64" s="54"/>
      <c r="U64" s="54"/>
      <c r="V64" s="54"/>
      <c r="W64" s="54"/>
      <c r="X64" s="54"/>
      <c r="Y64" s="54"/>
      <c r="Z64" s="54"/>
      <c r="AA64" s="54"/>
      <c r="AB64" s="54"/>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54"/>
    </row>
    <row r="65" spans="1:52" ht="14.25" customHeight="1" outlineLevel="2">
      <c r="A65" s="115" t="s">
        <v>340</v>
      </c>
      <c r="B65" s="116"/>
      <c r="C65" s="117" t="s">
        <v>341</v>
      </c>
      <c r="D65" s="32"/>
      <c r="E65" s="32"/>
      <c r="F65" s="28"/>
      <c r="G65" s="28"/>
      <c r="H65" s="28"/>
      <c r="I65" s="28"/>
      <c r="J65" s="28"/>
      <c r="K65" s="28"/>
      <c r="L65" s="28"/>
      <c r="M65" s="32"/>
      <c r="N65" s="135"/>
      <c r="O65" s="115"/>
      <c r="P65" s="116"/>
      <c r="Q65" s="115"/>
      <c r="R65" s="132"/>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row>
    <row r="66" spans="1:52" ht="14.25" customHeight="1" outlineLevel="2">
      <c r="A66" s="119" t="s">
        <v>342</v>
      </c>
      <c r="B66" s="120">
        <v>1</v>
      </c>
      <c r="C66" s="121" t="s">
        <v>343</v>
      </c>
      <c r="D66" s="145"/>
      <c r="E66" s="30"/>
      <c r="F66" s="702">
        <f>'Waste_Recycling Data'!E50</f>
        <v>0.74464285714285705</v>
      </c>
      <c r="G66" s="29">
        <f>'Waste_Recycling Data'!F50</f>
        <v>0.3447169811320755</v>
      </c>
      <c r="H66" s="703"/>
      <c r="I66" s="703"/>
      <c r="J66" s="703"/>
      <c r="K66" s="703"/>
      <c r="L66" s="702">
        <f>'Waste_Recycling Data'!G50</f>
        <v>112.2</v>
      </c>
      <c r="M66" s="30"/>
      <c r="N66" s="128" t="s">
        <v>617</v>
      </c>
      <c r="O66" s="128" t="s">
        <v>523</v>
      </c>
      <c r="P66" s="128" t="s">
        <v>612</v>
      </c>
      <c r="Q66" s="128" t="s">
        <v>586</v>
      </c>
      <c r="R66" s="132"/>
      <c r="S66" s="54"/>
      <c r="T66" s="54"/>
      <c r="U66" s="54"/>
      <c r="V66" s="54"/>
      <c r="W66" s="54"/>
      <c r="X66" s="54"/>
      <c r="Y66" s="54"/>
      <c r="Z66" s="54"/>
      <c r="AA66" s="54"/>
      <c r="AB66" s="54"/>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54"/>
    </row>
    <row r="67" spans="1:52" ht="14.25" customHeight="1" outlineLevel="2">
      <c r="A67" s="119" t="s">
        <v>344</v>
      </c>
      <c r="B67" s="120">
        <v>3</v>
      </c>
      <c r="C67" s="121" t="s">
        <v>345</v>
      </c>
      <c r="D67" s="145"/>
      <c r="E67" s="30"/>
      <c r="F67" s="702">
        <f>'Waste_Recycling Data'!E51</f>
        <v>14.927914928571429</v>
      </c>
      <c r="G67" s="702">
        <f>'Waste_Recycling Data'!F51</f>
        <v>6.9105688981132083</v>
      </c>
      <c r="H67" s="703"/>
      <c r="I67" s="703"/>
      <c r="J67" s="703"/>
      <c r="K67" s="703"/>
      <c r="L67" s="702">
        <f>'Waste_Recycling Data'!G51</f>
        <v>2249.2823760000001</v>
      </c>
      <c r="M67" s="30"/>
      <c r="N67" s="128" t="s">
        <v>612</v>
      </c>
      <c r="O67" s="128" t="s">
        <v>523</v>
      </c>
      <c r="P67" s="128" t="s">
        <v>612</v>
      </c>
      <c r="Q67" s="128" t="s">
        <v>586</v>
      </c>
      <c r="R67" s="125"/>
      <c r="S67" s="54"/>
      <c r="T67" s="54"/>
      <c r="U67" s="54"/>
      <c r="V67" s="54"/>
      <c r="W67" s="54"/>
      <c r="X67" s="54"/>
      <c r="Y67" s="54"/>
      <c r="Z67" s="54"/>
      <c r="AA67" s="54"/>
      <c r="AB67" s="54"/>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54"/>
    </row>
    <row r="68" spans="1:52" ht="14.25" customHeight="1" outlineLevel="2">
      <c r="A68" s="140" t="s">
        <v>346</v>
      </c>
      <c r="B68" s="141">
        <v>1</v>
      </c>
      <c r="C68" s="142" t="s">
        <v>347</v>
      </c>
      <c r="D68" s="33" t="s">
        <v>84</v>
      </c>
      <c r="E68" s="33"/>
      <c r="F68" s="33"/>
      <c r="G68" s="33"/>
      <c r="H68" s="33"/>
      <c r="I68" s="33"/>
      <c r="J68" s="33"/>
      <c r="K68" s="33"/>
      <c r="L68" s="33"/>
      <c r="M68" s="33"/>
      <c r="N68" s="143"/>
      <c r="O68" s="141"/>
      <c r="P68" s="141"/>
      <c r="Q68" s="141"/>
      <c r="R68" s="144" t="s">
        <v>1241</v>
      </c>
      <c r="S68" s="54"/>
      <c r="T68" s="54"/>
      <c r="U68" s="54"/>
      <c r="V68" s="54"/>
      <c r="W68" s="54"/>
      <c r="X68" s="54"/>
      <c r="Y68" s="54"/>
      <c r="Z68" s="54"/>
      <c r="AA68" s="54"/>
      <c r="AB68" s="54"/>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54"/>
    </row>
    <row r="69" spans="1:52" ht="14.25" customHeight="1" outlineLevel="2">
      <c r="A69" s="115" t="s">
        <v>348</v>
      </c>
      <c r="B69" s="116"/>
      <c r="C69" s="117" t="s">
        <v>349</v>
      </c>
      <c r="D69" s="32"/>
      <c r="E69" s="32"/>
      <c r="F69" s="32"/>
      <c r="G69" s="32"/>
      <c r="H69" s="32"/>
      <c r="I69" s="32"/>
      <c r="J69" s="32"/>
      <c r="K69" s="32"/>
      <c r="L69" s="32"/>
      <c r="M69" s="32"/>
      <c r="N69" s="135"/>
      <c r="O69" s="115"/>
      <c r="P69" s="116"/>
      <c r="Q69" s="115"/>
      <c r="R69" s="132"/>
      <c r="S69" s="54"/>
      <c r="T69" s="54"/>
      <c r="U69" s="54"/>
      <c r="V69" s="54"/>
      <c r="W69" s="54"/>
      <c r="X69" s="54"/>
      <c r="Y69" s="54"/>
      <c r="Z69" s="54"/>
      <c r="AA69" s="54"/>
      <c r="AB69" s="54"/>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54"/>
    </row>
    <row r="70" spans="1:52" ht="14.25" customHeight="1" outlineLevel="2">
      <c r="A70" s="119" t="s">
        <v>350</v>
      </c>
      <c r="B70" s="120">
        <v>1</v>
      </c>
      <c r="C70" s="121" t="s">
        <v>351</v>
      </c>
      <c r="D70" s="145" t="s">
        <v>84</v>
      </c>
      <c r="E70" s="30"/>
      <c r="F70" s="30"/>
      <c r="G70" s="30"/>
      <c r="H70" s="30"/>
      <c r="I70" s="30"/>
      <c r="J70" s="30"/>
      <c r="K70" s="30"/>
      <c r="L70" s="30"/>
      <c r="M70" s="30"/>
      <c r="N70" s="137"/>
      <c r="O70" s="120"/>
      <c r="P70" s="120"/>
      <c r="Q70" s="120"/>
      <c r="R70" s="132" t="s">
        <v>616</v>
      </c>
      <c r="S70" s="54"/>
      <c r="T70" s="54"/>
      <c r="U70" s="54"/>
      <c r="V70" s="54"/>
      <c r="W70" s="54"/>
      <c r="X70" s="54"/>
      <c r="Y70" s="54"/>
      <c r="Z70" s="54"/>
      <c r="AA70" s="54"/>
      <c r="AB70" s="54"/>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54"/>
    </row>
    <row r="71" spans="1:52" ht="14.25" customHeight="1" outlineLevel="2">
      <c r="A71" s="119" t="s">
        <v>352</v>
      </c>
      <c r="B71" s="120">
        <v>3</v>
      </c>
      <c r="C71" s="121" t="s">
        <v>353</v>
      </c>
      <c r="D71" s="145" t="s">
        <v>84</v>
      </c>
      <c r="E71" s="30"/>
      <c r="F71" s="30"/>
      <c r="G71" s="30"/>
      <c r="H71" s="30"/>
      <c r="I71" s="30"/>
      <c r="J71" s="30"/>
      <c r="K71" s="30"/>
      <c r="L71" s="30"/>
      <c r="M71" s="30"/>
      <c r="N71" s="137"/>
      <c r="O71" s="120"/>
      <c r="P71" s="120"/>
      <c r="Q71" s="120"/>
      <c r="R71" s="132" t="s">
        <v>616</v>
      </c>
      <c r="S71" s="54"/>
      <c r="T71" s="54"/>
      <c r="U71" s="54"/>
      <c r="V71" s="54"/>
      <c r="W71" s="54"/>
      <c r="X71" s="54"/>
      <c r="Y71" s="54"/>
      <c r="Z71" s="54"/>
      <c r="AA71" s="54"/>
      <c r="AB71" s="54"/>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54"/>
    </row>
    <row r="72" spans="1:52" ht="14.25" customHeight="1" outlineLevel="2">
      <c r="A72" s="140" t="s">
        <v>354</v>
      </c>
      <c r="B72" s="141">
        <v>1</v>
      </c>
      <c r="C72" s="142" t="s">
        <v>355</v>
      </c>
      <c r="D72" s="33" t="s">
        <v>84</v>
      </c>
      <c r="E72" s="33"/>
      <c r="F72" s="33"/>
      <c r="G72" s="33"/>
      <c r="H72" s="33"/>
      <c r="I72" s="33"/>
      <c r="J72" s="33"/>
      <c r="K72" s="33"/>
      <c r="L72" s="33"/>
      <c r="M72" s="33"/>
      <c r="N72" s="143"/>
      <c r="O72" s="141"/>
      <c r="P72" s="141"/>
      <c r="Q72" s="141"/>
      <c r="R72" s="132" t="s">
        <v>616</v>
      </c>
      <c r="S72" s="54"/>
      <c r="T72" s="54"/>
      <c r="U72" s="54"/>
      <c r="V72" s="54"/>
      <c r="W72" s="54"/>
      <c r="X72" s="54"/>
      <c r="Y72" s="54"/>
      <c r="Z72" s="54"/>
      <c r="AA72" s="54"/>
      <c r="AB72" s="54"/>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54"/>
    </row>
    <row r="73" spans="1:52" ht="14.25" customHeight="1" outlineLevel="2">
      <c r="A73" s="115" t="s">
        <v>356</v>
      </c>
      <c r="B73" s="116"/>
      <c r="C73" s="117" t="s">
        <v>357</v>
      </c>
      <c r="D73" s="32"/>
      <c r="E73" s="32"/>
      <c r="F73" s="32"/>
      <c r="G73" s="32"/>
      <c r="H73" s="32"/>
      <c r="I73" s="32"/>
      <c r="J73" s="32"/>
      <c r="K73" s="32"/>
      <c r="L73" s="32"/>
      <c r="M73" s="32"/>
      <c r="N73" s="135"/>
      <c r="O73" s="115"/>
      <c r="P73" s="116"/>
      <c r="Q73" s="115"/>
      <c r="R73" s="132"/>
      <c r="S73" s="54"/>
      <c r="T73" s="54"/>
      <c r="U73" s="54"/>
      <c r="V73" s="54"/>
      <c r="W73" s="54"/>
      <c r="X73" s="54"/>
      <c r="Y73" s="54"/>
      <c r="Z73" s="54"/>
      <c r="AA73" s="54"/>
      <c r="AB73" s="54"/>
      <c r="AC73" s="54"/>
      <c r="AD73" s="54"/>
      <c r="AE73" s="54"/>
      <c r="AF73" s="54"/>
      <c r="AG73" s="54"/>
      <c r="AH73" s="54"/>
      <c r="AI73" s="54"/>
      <c r="AJ73" s="54"/>
      <c r="AK73" s="54"/>
      <c r="AL73" s="54"/>
      <c r="AM73" s="54"/>
      <c r="AN73" s="54"/>
      <c r="AO73" s="54"/>
      <c r="AP73" s="54"/>
      <c r="AQ73" s="54"/>
      <c r="AR73" s="54"/>
      <c r="AS73" s="54"/>
      <c r="AT73" s="54"/>
      <c r="AU73" s="54"/>
      <c r="AV73" s="54"/>
      <c r="AW73" s="54"/>
      <c r="AX73" s="54"/>
      <c r="AY73" s="54"/>
      <c r="AZ73" s="54"/>
    </row>
    <row r="74" spans="1:52" ht="14.25" customHeight="1" outlineLevel="2">
      <c r="A74" s="119" t="s">
        <v>358</v>
      </c>
      <c r="B74" s="120">
        <v>1</v>
      </c>
      <c r="C74" s="121" t="s">
        <v>359</v>
      </c>
      <c r="D74" s="145"/>
      <c r="E74" s="30"/>
      <c r="F74" s="30">
        <f>L74/'Conversion Factors and GWPs'!$C$14</f>
        <v>73.578170107142867</v>
      </c>
      <c r="G74" s="30"/>
      <c r="H74" s="30"/>
      <c r="I74" s="30"/>
      <c r="J74" s="30"/>
      <c r="K74" s="30"/>
      <c r="L74" s="702">
        <f>'Wastewater Data'!B27+'Wastewater Data'!B29</f>
        <v>2060.1887630000001</v>
      </c>
      <c r="M74" s="702">
        <f>'Wastewater Data'!B25</f>
        <v>10122.049909000001</v>
      </c>
      <c r="N74" s="30"/>
      <c r="O74" s="702" t="s">
        <v>620</v>
      </c>
      <c r="P74" s="128" t="s">
        <v>63</v>
      </c>
      <c r="Q74" s="128" t="s">
        <v>63</v>
      </c>
      <c r="R74" s="132"/>
      <c r="S74" s="54"/>
      <c r="T74" s="54"/>
      <c r="U74" s="54"/>
      <c r="V74" s="54"/>
      <c r="W74" s="54"/>
      <c r="X74" s="54"/>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row>
    <row r="75" spans="1:52" ht="14.25" customHeight="1" outlineLevel="2">
      <c r="A75" s="119" t="s">
        <v>360</v>
      </c>
      <c r="B75" s="120">
        <v>3</v>
      </c>
      <c r="C75" s="121" t="s">
        <v>361</v>
      </c>
      <c r="D75" s="145" t="s">
        <v>84</v>
      </c>
      <c r="E75" s="30"/>
      <c r="F75" s="30"/>
      <c r="G75" s="30"/>
      <c r="H75" s="30"/>
      <c r="I75" s="30"/>
      <c r="J75" s="30"/>
      <c r="K75" s="30"/>
      <c r="L75" s="30"/>
      <c r="M75" s="30"/>
      <c r="N75" s="137"/>
      <c r="O75" s="120"/>
      <c r="P75" s="120"/>
      <c r="Q75" s="120"/>
      <c r="R75" s="132" t="s">
        <v>1253</v>
      </c>
      <c r="S75" s="54"/>
      <c r="T75" s="54"/>
      <c r="U75" s="54"/>
      <c r="V75" s="54"/>
      <c r="W75" s="54"/>
      <c r="X75" s="54"/>
      <c r="Y75" s="54"/>
      <c r="Z75" s="54"/>
      <c r="AA75" s="54"/>
      <c r="AB75" s="54"/>
      <c r="AC75" s="54"/>
      <c r="AD75" s="54"/>
      <c r="AE75" s="54"/>
      <c r="AF75" s="54"/>
      <c r="AG75" s="54"/>
      <c r="AH75" s="54"/>
      <c r="AI75" s="54"/>
      <c r="AJ75" s="54"/>
      <c r="AK75" s="54"/>
      <c r="AL75" s="54"/>
      <c r="AM75" s="54"/>
      <c r="AN75" s="54"/>
      <c r="AO75" s="54"/>
      <c r="AP75" s="54"/>
      <c r="AQ75" s="54"/>
      <c r="AR75" s="54"/>
      <c r="AS75" s="54"/>
      <c r="AT75" s="54"/>
      <c r="AU75" s="54"/>
      <c r="AV75" s="54"/>
      <c r="AW75" s="54"/>
      <c r="AX75" s="54"/>
      <c r="AY75" s="54"/>
      <c r="AZ75" s="54"/>
    </row>
    <row r="76" spans="1:52" ht="14.25" customHeight="1" outlineLevel="2">
      <c r="A76" s="140" t="s">
        <v>362</v>
      </c>
      <c r="B76" s="141">
        <v>1</v>
      </c>
      <c r="C76" s="142" t="s">
        <v>363</v>
      </c>
      <c r="D76" s="33"/>
      <c r="E76" s="33"/>
      <c r="F76" s="33">
        <f>L76/'Conversion Factors and GWPs'!$C$14</f>
        <v>128.77897275000001</v>
      </c>
      <c r="G76" s="33"/>
      <c r="H76" s="33"/>
      <c r="I76" s="33"/>
      <c r="J76" s="33"/>
      <c r="K76" s="33"/>
      <c r="L76" s="702">
        <f>'Wastewater Data'!B28+'Wastewater Data'!B30</f>
        <v>3605.8112369999999</v>
      </c>
      <c r="M76" s="702">
        <f>'Wastewater Data'!B26</f>
        <v>17715.950090999999</v>
      </c>
      <c r="N76" s="143"/>
      <c r="O76" s="702" t="s">
        <v>620</v>
      </c>
      <c r="P76" s="128" t="s">
        <v>63</v>
      </c>
      <c r="Q76" s="128" t="s">
        <v>63</v>
      </c>
      <c r="R76" s="144"/>
      <c r="S76" s="54"/>
      <c r="T76" s="54"/>
      <c r="U76" s="54"/>
      <c r="V76" s="54"/>
      <c r="W76" s="54"/>
      <c r="X76" s="54"/>
      <c r="Y76" s="54"/>
      <c r="Z76" s="54"/>
      <c r="AA76" s="54"/>
      <c r="AB76" s="54"/>
      <c r="AC76" s="54"/>
      <c r="AD76" s="54"/>
      <c r="AE76" s="54"/>
      <c r="AF76" s="54"/>
      <c r="AG76" s="54"/>
      <c r="AH76" s="54"/>
      <c r="AI76" s="54"/>
      <c r="AJ76" s="54"/>
      <c r="AK76" s="54"/>
      <c r="AL76" s="54"/>
      <c r="AM76" s="54"/>
      <c r="AN76" s="54"/>
      <c r="AO76" s="54"/>
      <c r="AP76" s="54"/>
      <c r="AQ76" s="54"/>
      <c r="AR76" s="54"/>
      <c r="AS76" s="54"/>
      <c r="AT76" s="54"/>
      <c r="AU76" s="54"/>
      <c r="AV76" s="54"/>
      <c r="AW76" s="54"/>
      <c r="AX76" s="54"/>
      <c r="AY76" s="54"/>
      <c r="AZ76" s="54"/>
    </row>
    <row r="77" spans="1:52" s="112" customFormat="1" ht="14.25" customHeight="1" outlineLevel="1">
      <c r="A77" s="113" t="s">
        <v>364</v>
      </c>
      <c r="B77" s="114"/>
      <c r="C77" s="113" t="s">
        <v>365</v>
      </c>
      <c r="D77" s="34"/>
      <c r="E77" s="34"/>
      <c r="F77" s="34"/>
      <c r="G77" s="34"/>
      <c r="H77" s="34"/>
      <c r="I77" s="34"/>
      <c r="J77" s="34"/>
      <c r="K77" s="34"/>
      <c r="L77" s="34"/>
      <c r="M77" s="34"/>
      <c r="N77" s="34"/>
      <c r="O77" s="113"/>
      <c r="P77" s="114"/>
      <c r="Q77" s="113"/>
      <c r="R77" s="132"/>
      <c r="S77" s="111"/>
      <c r="T77" s="111"/>
      <c r="U77" s="111"/>
      <c r="V77" s="111"/>
      <c r="W77" s="111"/>
      <c r="X77" s="111"/>
      <c r="Y77" s="111"/>
      <c r="Z77" s="111"/>
      <c r="AA77" s="111"/>
      <c r="AB77" s="111"/>
      <c r="AC77" s="111"/>
      <c r="AD77" s="111"/>
      <c r="AE77" s="111"/>
      <c r="AF77" s="111"/>
      <c r="AG77" s="111"/>
      <c r="AH77" s="111"/>
      <c r="AI77" s="111"/>
      <c r="AJ77" s="111"/>
      <c r="AK77" s="111"/>
      <c r="AL77" s="111"/>
      <c r="AM77" s="111"/>
      <c r="AN77" s="111"/>
      <c r="AO77" s="111"/>
      <c r="AP77" s="111"/>
      <c r="AQ77" s="111"/>
      <c r="AR77" s="111"/>
      <c r="AS77" s="111"/>
      <c r="AT77" s="111"/>
      <c r="AU77" s="111"/>
      <c r="AV77" s="111"/>
      <c r="AW77" s="111"/>
      <c r="AX77" s="111"/>
      <c r="AY77" s="111"/>
      <c r="AZ77" s="111"/>
    </row>
    <row r="78" spans="1:52" ht="14.25" customHeight="1" outlineLevel="2">
      <c r="A78" s="129" t="s">
        <v>366</v>
      </c>
      <c r="B78" s="130">
        <v>1</v>
      </c>
      <c r="C78" s="131" t="s">
        <v>367</v>
      </c>
      <c r="D78" s="31" t="s">
        <v>84</v>
      </c>
      <c r="E78" s="31"/>
      <c r="F78" s="31"/>
      <c r="G78" s="31"/>
      <c r="H78" s="31"/>
      <c r="I78" s="31"/>
      <c r="J78" s="31"/>
      <c r="K78" s="31"/>
      <c r="L78" s="31"/>
      <c r="M78" s="31"/>
      <c r="N78" s="138"/>
      <c r="O78" s="130"/>
      <c r="P78" s="130"/>
      <c r="Q78" s="130"/>
      <c r="R78" s="712" t="s">
        <v>1242</v>
      </c>
      <c r="S78" s="54"/>
      <c r="T78" s="54"/>
      <c r="U78" s="54"/>
      <c r="V78" s="54"/>
      <c r="W78" s="54"/>
      <c r="X78" s="54"/>
      <c r="Y78" s="54"/>
      <c r="Z78" s="54"/>
      <c r="AA78" s="54"/>
      <c r="AB78" s="54"/>
      <c r="AC78" s="54"/>
      <c r="AD78" s="54"/>
      <c r="AE78" s="54"/>
      <c r="AF78" s="54"/>
      <c r="AG78" s="54"/>
      <c r="AH78" s="54"/>
      <c r="AI78" s="54"/>
      <c r="AJ78" s="54"/>
      <c r="AK78" s="54"/>
      <c r="AL78" s="54"/>
      <c r="AM78" s="54"/>
      <c r="AN78" s="54"/>
      <c r="AO78" s="54"/>
      <c r="AP78" s="54"/>
      <c r="AQ78" s="54"/>
      <c r="AR78" s="54"/>
      <c r="AS78" s="54"/>
      <c r="AT78" s="54"/>
      <c r="AU78" s="54"/>
      <c r="AV78" s="54"/>
      <c r="AW78" s="54"/>
      <c r="AX78" s="54"/>
      <c r="AY78" s="54"/>
      <c r="AZ78" s="54"/>
    </row>
    <row r="79" spans="1:52" ht="14.25" customHeight="1" outlineLevel="2">
      <c r="A79" s="129" t="s">
        <v>368</v>
      </c>
      <c r="B79" s="130">
        <v>1</v>
      </c>
      <c r="C79" s="131" t="s">
        <v>369</v>
      </c>
      <c r="D79" s="31"/>
      <c r="E79" s="31"/>
      <c r="F79" s="31"/>
      <c r="G79" s="31"/>
      <c r="H79" s="31">
        <f>IPPU!B27/'Conversion Factors and GWPs'!A7</f>
        <v>17.884868583333333</v>
      </c>
      <c r="I79" s="31"/>
      <c r="J79" s="31"/>
      <c r="K79" s="31"/>
      <c r="L79" s="704">
        <f>IPPU!B28</f>
        <v>23250.329158333334</v>
      </c>
      <c r="M79" s="31"/>
      <c r="N79" s="31" t="s">
        <v>1243</v>
      </c>
      <c r="O79" s="31" t="s">
        <v>1244</v>
      </c>
      <c r="P79" s="31" t="s">
        <v>612</v>
      </c>
      <c r="Q79" s="31" t="s">
        <v>1245</v>
      </c>
      <c r="R79" s="132" t="s">
        <v>675</v>
      </c>
      <c r="S79" s="54"/>
      <c r="T79" s="54"/>
      <c r="U79" s="54"/>
      <c r="V79" s="54"/>
      <c r="W79" s="54"/>
      <c r="X79" s="54"/>
      <c r="Y79" s="54"/>
      <c r="Z79" s="54"/>
      <c r="AA79" s="54"/>
      <c r="AB79" s="54"/>
      <c r="AC79" s="54"/>
      <c r="AD79" s="54"/>
      <c r="AE79" s="54"/>
      <c r="AF79" s="54"/>
      <c r="AG79" s="54"/>
      <c r="AH79" s="54"/>
      <c r="AI79" s="54"/>
      <c r="AJ79" s="54"/>
      <c r="AK79" s="54"/>
      <c r="AL79" s="54"/>
      <c r="AM79" s="54"/>
      <c r="AN79" s="54"/>
      <c r="AO79" s="54"/>
      <c r="AP79" s="54"/>
      <c r="AQ79" s="54"/>
      <c r="AR79" s="54"/>
      <c r="AS79" s="54"/>
      <c r="AT79" s="54"/>
      <c r="AU79" s="54"/>
      <c r="AV79" s="54"/>
      <c r="AW79" s="54"/>
      <c r="AX79" s="54"/>
      <c r="AY79" s="54"/>
      <c r="AZ79" s="54"/>
    </row>
    <row r="80" spans="1:52" s="112" customFormat="1" ht="14.25" customHeight="1" outlineLevel="1">
      <c r="A80" s="113" t="s">
        <v>370</v>
      </c>
      <c r="B80" s="114"/>
      <c r="C80" s="113" t="s">
        <v>371</v>
      </c>
      <c r="D80" s="34"/>
      <c r="E80" s="34"/>
      <c r="F80" s="34"/>
      <c r="G80" s="34"/>
      <c r="H80" s="34"/>
      <c r="I80" s="34"/>
      <c r="J80" s="34"/>
      <c r="K80" s="34"/>
      <c r="L80" s="34"/>
      <c r="M80" s="34"/>
      <c r="N80" s="34"/>
      <c r="O80" s="113"/>
      <c r="P80" s="114"/>
      <c r="Q80" s="113"/>
      <c r="R80" s="132"/>
      <c r="S80" s="111"/>
      <c r="T80" s="111"/>
      <c r="U80" s="111"/>
      <c r="V80" s="111"/>
      <c r="W80" s="111"/>
      <c r="X80" s="111"/>
      <c r="Y80" s="111"/>
      <c r="Z80" s="111"/>
      <c r="AA80" s="111"/>
      <c r="AB80" s="111"/>
      <c r="AC80" s="111"/>
      <c r="AD80" s="111"/>
      <c r="AE80" s="111"/>
      <c r="AF80" s="111"/>
      <c r="AG80" s="111"/>
      <c r="AH80" s="111"/>
      <c r="AI80" s="111"/>
      <c r="AJ80" s="111"/>
      <c r="AK80" s="111"/>
      <c r="AL80" s="111"/>
      <c r="AM80" s="111"/>
      <c r="AN80" s="111"/>
      <c r="AO80" s="111"/>
      <c r="AP80" s="111"/>
      <c r="AQ80" s="111"/>
      <c r="AR80" s="111"/>
      <c r="AS80" s="111"/>
      <c r="AT80" s="111"/>
      <c r="AU80" s="111"/>
      <c r="AV80" s="111"/>
      <c r="AW80" s="111"/>
      <c r="AX80" s="111"/>
      <c r="AY80" s="111"/>
      <c r="AZ80" s="111"/>
    </row>
    <row r="81" spans="1:52" ht="14.25" customHeight="1" outlineLevel="2">
      <c r="A81" s="129" t="s">
        <v>372</v>
      </c>
      <c r="B81" s="130">
        <v>1</v>
      </c>
      <c r="C81" s="131" t="s">
        <v>373</v>
      </c>
      <c r="D81" s="31" t="s">
        <v>84</v>
      </c>
      <c r="E81" s="31"/>
      <c r="F81" s="31"/>
      <c r="G81" s="31"/>
      <c r="H81" s="31"/>
      <c r="I81" s="31"/>
      <c r="J81" s="31"/>
      <c r="K81" s="31"/>
      <c r="L81" s="31"/>
      <c r="M81" s="31"/>
      <c r="N81" s="138"/>
      <c r="O81" s="130"/>
      <c r="P81" s="130"/>
      <c r="Q81" s="130"/>
      <c r="R81" s="132"/>
      <c r="S81" s="54"/>
      <c r="T81" s="54"/>
      <c r="U81" s="54"/>
      <c r="V81" s="54"/>
      <c r="W81" s="54"/>
      <c r="X81" s="54"/>
      <c r="Y81" s="54"/>
      <c r="Z81" s="54"/>
      <c r="AA81" s="54"/>
      <c r="AB81" s="54"/>
      <c r="AC81" s="54"/>
      <c r="AD81" s="54"/>
      <c r="AE81" s="54"/>
      <c r="AF81" s="54"/>
      <c r="AG81" s="54"/>
      <c r="AH81" s="54"/>
      <c r="AI81" s="54"/>
      <c r="AJ81" s="54"/>
      <c r="AK81" s="54"/>
      <c r="AL81" s="54"/>
      <c r="AM81" s="54"/>
      <c r="AN81" s="54"/>
      <c r="AO81" s="54"/>
      <c r="AP81" s="54"/>
      <c r="AQ81" s="54"/>
      <c r="AR81" s="54"/>
      <c r="AS81" s="54"/>
      <c r="AT81" s="54"/>
      <c r="AU81" s="54"/>
      <c r="AV81" s="54"/>
      <c r="AW81" s="54"/>
      <c r="AX81" s="54"/>
      <c r="AY81" s="54"/>
      <c r="AZ81" s="54"/>
    </row>
    <row r="82" spans="1:52" ht="14.25" customHeight="1" outlineLevel="2">
      <c r="A82" s="129" t="s">
        <v>374</v>
      </c>
      <c r="B82" s="130">
        <v>1</v>
      </c>
      <c r="C82" s="131" t="s">
        <v>375</v>
      </c>
      <c r="D82" s="31" t="s">
        <v>84</v>
      </c>
      <c r="E82" s="31"/>
      <c r="F82" s="31"/>
      <c r="G82" s="31"/>
      <c r="H82" s="31"/>
      <c r="I82" s="31"/>
      <c r="J82" s="31"/>
      <c r="K82" s="31"/>
      <c r="L82" s="31"/>
      <c r="M82" s="31"/>
      <c r="N82" s="31"/>
      <c r="O82" s="31"/>
      <c r="P82" s="31"/>
      <c r="Q82" s="31"/>
      <c r="R82" s="132"/>
      <c r="S82" s="54"/>
      <c r="T82" s="54"/>
      <c r="U82" s="54"/>
      <c r="V82" s="54"/>
      <c r="W82" s="54"/>
      <c r="X82" s="54"/>
      <c r="Y82" s="54"/>
      <c r="Z82" s="54"/>
      <c r="AA82" s="54"/>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4"/>
      <c r="AZ82" s="54"/>
    </row>
    <row r="83" spans="1:52" ht="14.25" customHeight="1" outlineLevel="2">
      <c r="A83" s="129" t="s">
        <v>376</v>
      </c>
      <c r="B83" s="130">
        <v>1</v>
      </c>
      <c r="C83" s="131" t="s">
        <v>377</v>
      </c>
      <c r="D83" s="31" t="s">
        <v>84</v>
      </c>
      <c r="E83" s="31"/>
      <c r="F83" s="31"/>
      <c r="G83" s="31"/>
      <c r="H83" s="31"/>
      <c r="I83" s="31"/>
      <c r="J83" s="31"/>
      <c r="K83" s="31"/>
      <c r="L83" s="31"/>
      <c r="M83" s="31"/>
      <c r="N83" s="138"/>
      <c r="O83" s="130"/>
      <c r="P83" s="130"/>
      <c r="Q83" s="130"/>
      <c r="R83" s="132"/>
      <c r="S83" s="52"/>
      <c r="T83" s="52"/>
      <c r="U83" s="52"/>
      <c r="V83" s="52"/>
      <c r="W83" s="52"/>
      <c r="X83" s="52"/>
      <c r="Y83" s="52"/>
      <c r="Z83" s="52"/>
      <c r="AA83" s="52"/>
      <c r="AB83" s="52"/>
      <c r="AC83" s="52"/>
      <c r="AD83" s="52"/>
      <c r="AE83" s="52"/>
      <c r="AF83" s="52"/>
      <c r="AG83" s="52"/>
      <c r="AH83" s="52"/>
      <c r="AI83" s="52"/>
      <c r="AJ83" s="52"/>
      <c r="AK83" s="52"/>
      <c r="AL83" s="54"/>
      <c r="AM83" s="54"/>
      <c r="AN83" s="54"/>
      <c r="AO83" s="54"/>
      <c r="AP83" s="54"/>
      <c r="AQ83" s="54"/>
      <c r="AR83" s="54"/>
      <c r="AS83" s="54"/>
      <c r="AT83" s="54"/>
      <c r="AU83" s="54"/>
      <c r="AV83" s="54"/>
      <c r="AW83" s="54"/>
      <c r="AX83" s="54"/>
      <c r="AY83" s="54"/>
      <c r="AZ83" s="54"/>
    </row>
    <row r="84" spans="1:52" s="112" customFormat="1" ht="14.25" customHeight="1" outlineLevel="1">
      <c r="A84" s="113" t="s">
        <v>378</v>
      </c>
      <c r="B84" s="114"/>
      <c r="C84" s="113" t="s">
        <v>379</v>
      </c>
      <c r="D84" s="114"/>
      <c r="E84" s="34"/>
      <c r="F84" s="34"/>
      <c r="G84" s="34"/>
      <c r="H84" s="34"/>
      <c r="I84" s="34"/>
      <c r="J84" s="34"/>
      <c r="K84" s="34"/>
      <c r="L84" s="713">
        <f>'Consumption-Based Data'!$B$6</f>
        <v>2403340.6631482961</v>
      </c>
      <c r="M84" s="34"/>
      <c r="N84" s="34"/>
      <c r="O84" s="113"/>
      <c r="P84" s="114"/>
      <c r="Q84" s="113"/>
      <c r="R84" s="346"/>
      <c r="S84" s="347"/>
      <c r="T84" s="347"/>
      <c r="U84" s="347"/>
      <c r="V84" s="347"/>
      <c r="W84" s="347"/>
      <c r="X84" s="347"/>
      <c r="Y84" s="347"/>
      <c r="Z84" s="347"/>
      <c r="AA84" s="347"/>
      <c r="AB84" s="347"/>
      <c r="AC84" s="347"/>
      <c r="AD84" s="347"/>
      <c r="AE84" s="347"/>
      <c r="AF84" s="347"/>
      <c r="AG84" s="347"/>
      <c r="AH84" s="347"/>
      <c r="AI84" s="347"/>
      <c r="AJ84" s="347"/>
      <c r="AK84" s="347"/>
      <c r="AL84" s="111"/>
      <c r="AM84" s="111"/>
      <c r="AN84" s="111"/>
      <c r="AO84" s="111"/>
      <c r="AP84" s="111"/>
      <c r="AQ84" s="111"/>
      <c r="AR84" s="111"/>
      <c r="AS84" s="111"/>
      <c r="AT84" s="111"/>
      <c r="AU84" s="111"/>
      <c r="AV84" s="111"/>
      <c r="AW84" s="111"/>
      <c r="AX84" s="111"/>
      <c r="AY84" s="111"/>
      <c r="AZ84" s="111"/>
    </row>
    <row r="85" spans="1:52" ht="14.25" customHeight="1" outlineLevel="1">
      <c r="A85" s="147" t="s">
        <v>380</v>
      </c>
      <c r="B85" s="148"/>
      <c r="C85" s="147" t="s">
        <v>242</v>
      </c>
      <c r="D85" s="148"/>
      <c r="E85" s="149">
        <f>SUM(E11:E12,E15:E16,E19:E20,E23:E24,E28:E29,E32:E33,E36,E38,E41:E42,E45:E46,E49:E51,E53:E54,E57:E58,E62:E63,E66:E67,E70:E71,E74:E76,)</f>
        <v>8055596.1819286561</v>
      </c>
      <c r="F85" s="149">
        <f>SUM(F11:F12,F15:F16,F19:F20,F23:F24,F28:F29,F32:F33,F36,F38,F41:F42,F45:F46,F49:F51,F53:F54,F57:F58,F62:F63,F66:F67,F70:F71,F74:F76,)</f>
        <v>10058.771173415402</v>
      </c>
      <c r="G85" s="149">
        <f>SUM(G11:G12,G15:G16,G19:G20,G23:G24,G28:G29,G32:G33,G36,G38,G41:G42,G45:G46,G49:G51,G53:G54,G57:G58,G62:G63,G66:G67,G70:G71,G74:G76,)</f>
        <v>133.4500206641676</v>
      </c>
      <c r="H85" s="149"/>
      <c r="I85" s="149"/>
      <c r="J85" s="149"/>
      <c r="K85" s="149"/>
      <c r="L85" s="149">
        <f>SUM(L11:L12,L15:L16,L19:L20,L23:L24,L28:L29,L32:L33,L36,L38,L41:L42,L45:L46,L49:L51,L53:L54,L57:L58,L62:L63,L66:L67,L70:L71,L74:L76,)</f>
        <v>8428848.2015750129</v>
      </c>
      <c r="M85" s="149">
        <f>SUM(M11:M12,M15:M16,M19:M20,M23:M24,M28:M29,M32:M33,M36,M38,M41:M42,M45:M46,M49:M51,M53:M54,M57:M58,M62:M63,M66:M67,M70:M71,M74:M76,)</f>
        <v>27838</v>
      </c>
      <c r="N85" s="148"/>
      <c r="O85" s="147"/>
      <c r="P85" s="148"/>
      <c r="Q85" s="147"/>
      <c r="R85" s="348"/>
      <c r="S85" s="52"/>
      <c r="T85" s="52"/>
      <c r="U85" s="52"/>
      <c r="V85" s="52"/>
      <c r="W85" s="52"/>
      <c r="X85" s="52"/>
      <c r="Y85" s="52"/>
      <c r="Z85" s="52"/>
      <c r="AA85" s="52"/>
      <c r="AB85" s="52"/>
      <c r="AC85" s="52"/>
      <c r="AD85" s="52"/>
      <c r="AE85" s="52"/>
      <c r="AF85" s="52"/>
      <c r="AG85" s="52"/>
      <c r="AH85" s="52"/>
      <c r="AI85" s="52"/>
      <c r="AJ85" s="52"/>
      <c r="AK85" s="52"/>
      <c r="AL85" s="54"/>
      <c r="AM85" s="54"/>
      <c r="AN85" s="54"/>
      <c r="AO85" s="54"/>
      <c r="AP85" s="54"/>
      <c r="AQ85" s="54"/>
      <c r="AR85" s="54"/>
      <c r="AS85" s="54"/>
      <c r="AT85" s="54"/>
      <c r="AU85" s="54"/>
      <c r="AV85" s="54"/>
      <c r="AW85" s="54"/>
      <c r="AX85" s="54"/>
      <c r="AY85" s="54"/>
      <c r="AZ85" s="54"/>
    </row>
    <row r="86" spans="1:52" ht="14.25" customHeight="1" outlineLevel="1">
      <c r="A86" s="147" t="s">
        <v>380</v>
      </c>
      <c r="B86" s="148"/>
      <c r="C86" s="147" t="s">
        <v>1388</v>
      </c>
      <c r="D86" s="148"/>
      <c r="E86" s="149">
        <f>SUM(E11:E83)</f>
        <v>10101251.934503118</v>
      </c>
      <c r="F86" s="149">
        <f t="shared" ref="F86:M86" si="0">SUM(F11:F83)</f>
        <v>10079.335760603011</v>
      </c>
      <c r="G86" s="149">
        <f t="shared" si="0"/>
        <v>176.58731486187961</v>
      </c>
      <c r="H86" s="149"/>
      <c r="I86" s="149"/>
      <c r="J86" s="149"/>
      <c r="K86" s="149"/>
      <c r="L86" s="149">
        <f t="shared" si="0"/>
        <v>10509761.474711454</v>
      </c>
      <c r="M86" s="149">
        <f t="shared" si="0"/>
        <v>27838</v>
      </c>
      <c r="N86" s="148"/>
      <c r="O86" s="147"/>
      <c r="P86" s="148"/>
      <c r="Q86" s="147"/>
      <c r="R86" s="348"/>
      <c r="S86" s="52"/>
      <c r="T86" s="52"/>
      <c r="U86" s="52"/>
      <c r="V86" s="52"/>
      <c r="W86" s="52"/>
      <c r="X86" s="52"/>
      <c r="Y86" s="52"/>
      <c r="Z86" s="52"/>
      <c r="AA86" s="52"/>
      <c r="AB86" s="52"/>
      <c r="AC86" s="52"/>
      <c r="AD86" s="52"/>
      <c r="AE86" s="52"/>
      <c r="AF86" s="52"/>
      <c r="AG86" s="52"/>
      <c r="AH86" s="52"/>
      <c r="AI86" s="52"/>
      <c r="AJ86" s="52"/>
      <c r="AK86" s="52"/>
      <c r="AL86" s="54"/>
      <c r="AM86" s="54"/>
      <c r="AN86" s="54"/>
      <c r="AO86" s="54"/>
      <c r="AP86" s="54"/>
      <c r="AQ86" s="54"/>
      <c r="AR86" s="54"/>
      <c r="AS86" s="54"/>
      <c r="AT86" s="54"/>
      <c r="AU86" s="54"/>
      <c r="AV86" s="54"/>
      <c r="AW86" s="54"/>
      <c r="AX86" s="54"/>
      <c r="AY86" s="54"/>
      <c r="AZ86" s="54"/>
    </row>
    <row r="87" spans="1:52" ht="14.25" customHeight="1" outlineLevel="1">
      <c r="A87" s="147" t="s">
        <v>380</v>
      </c>
      <c r="B87" s="148"/>
      <c r="C87" s="147" t="s">
        <v>681</v>
      </c>
      <c r="D87" s="148"/>
      <c r="E87" s="149">
        <f>SUM(E11:E84)</f>
        <v>10101251.934503118</v>
      </c>
      <c r="F87" s="149">
        <f t="shared" ref="F87:M87" si="1">SUM(F11:F84)</f>
        <v>10079.335760603011</v>
      </c>
      <c r="G87" s="149">
        <f t="shared" si="1"/>
        <v>176.58731486187961</v>
      </c>
      <c r="H87" s="149"/>
      <c r="I87" s="149"/>
      <c r="J87" s="149"/>
      <c r="K87" s="149"/>
      <c r="L87" s="149">
        <f>SUM(L11:L84)</f>
        <v>12913102.137859751</v>
      </c>
      <c r="M87" s="149">
        <f t="shared" si="1"/>
        <v>27838</v>
      </c>
      <c r="N87" s="148"/>
      <c r="O87" s="147"/>
      <c r="P87" s="148"/>
      <c r="Q87" s="147"/>
      <c r="R87" s="348"/>
      <c r="S87" s="52"/>
      <c r="T87" s="52"/>
      <c r="U87" s="52"/>
      <c r="V87" s="52"/>
      <c r="W87" s="52"/>
      <c r="X87" s="52"/>
      <c r="Y87" s="52"/>
      <c r="Z87" s="52"/>
      <c r="AA87" s="52"/>
      <c r="AB87" s="52"/>
      <c r="AC87" s="52"/>
      <c r="AD87" s="52"/>
      <c r="AE87" s="52"/>
      <c r="AF87" s="52"/>
      <c r="AG87" s="52"/>
      <c r="AH87" s="52"/>
      <c r="AI87" s="52"/>
      <c r="AJ87" s="52"/>
      <c r="AK87" s="52"/>
      <c r="AL87" s="54"/>
      <c r="AM87" s="54"/>
      <c r="AN87" s="54"/>
      <c r="AO87" s="54"/>
      <c r="AP87" s="54"/>
      <c r="AQ87" s="54"/>
      <c r="AR87" s="54"/>
      <c r="AS87" s="54"/>
      <c r="AT87" s="54"/>
      <c r="AU87" s="54"/>
      <c r="AV87" s="54"/>
      <c r="AW87" s="54"/>
      <c r="AX87" s="54"/>
      <c r="AY87" s="54"/>
      <c r="AZ87" s="54"/>
    </row>
    <row r="88" spans="1:52" ht="14.25" customHeight="1">
      <c r="A88" s="24"/>
      <c r="B88" s="24"/>
      <c r="C88" s="24"/>
      <c r="D88" s="24"/>
      <c r="E88" s="24"/>
      <c r="F88" s="1051"/>
      <c r="G88" s="24"/>
      <c r="H88" s="24"/>
      <c r="I88" s="24"/>
      <c r="J88" s="24"/>
      <c r="K88" s="24"/>
      <c r="L88" s="950"/>
      <c r="M88" s="951"/>
      <c r="N88" s="952"/>
      <c r="O88" s="24"/>
      <c r="P88" s="35"/>
      <c r="Q88" s="24"/>
      <c r="R88" s="36"/>
      <c r="S88" s="36"/>
      <c r="T88" s="36"/>
      <c r="U88" s="52"/>
      <c r="V88" s="52"/>
      <c r="W88" s="52"/>
      <c r="X88" s="52"/>
      <c r="Y88" s="52"/>
      <c r="Z88" s="52"/>
      <c r="AA88" s="52"/>
      <c r="AB88" s="52"/>
      <c r="AC88" s="52"/>
      <c r="AD88" s="52"/>
      <c r="AE88" s="52"/>
      <c r="AF88" s="52"/>
      <c r="AG88" s="52"/>
      <c r="AH88" s="52"/>
      <c r="AI88" s="52"/>
      <c r="AJ88" s="52"/>
      <c r="AK88" s="52"/>
      <c r="AL88" s="54"/>
      <c r="AM88" s="54"/>
      <c r="AN88" s="54"/>
      <c r="AO88" s="54"/>
      <c r="AP88" s="54"/>
      <c r="AQ88" s="54"/>
      <c r="AR88" s="54"/>
      <c r="AS88" s="54"/>
      <c r="AT88" s="54"/>
      <c r="AU88" s="54"/>
      <c r="AV88" s="54"/>
      <c r="AW88" s="54"/>
      <c r="AX88" s="54"/>
      <c r="AY88" s="54"/>
      <c r="AZ88" s="54"/>
    </row>
    <row r="89" spans="1:52" ht="14.25" customHeight="1">
      <c r="A89" s="24"/>
      <c r="B89" s="24"/>
      <c r="C89" s="24"/>
      <c r="D89" s="24"/>
      <c r="E89" s="24"/>
      <c r="F89" s="1050"/>
      <c r="G89" s="24"/>
      <c r="H89" s="24"/>
      <c r="I89" s="24"/>
      <c r="J89" s="24"/>
      <c r="K89" s="24"/>
      <c r="L89" s="950"/>
      <c r="M89" s="951"/>
      <c r="N89" s="952"/>
      <c r="O89" s="24"/>
      <c r="P89" s="35"/>
      <c r="Q89" s="24"/>
      <c r="R89" s="36"/>
      <c r="S89" s="36"/>
      <c r="T89" s="36"/>
      <c r="U89" s="52"/>
      <c r="V89" s="52"/>
      <c r="W89" s="52"/>
      <c r="X89" s="52"/>
      <c r="Y89" s="52"/>
      <c r="Z89" s="52"/>
      <c r="AA89" s="52"/>
      <c r="AB89" s="52"/>
      <c r="AC89" s="52"/>
      <c r="AD89" s="52"/>
      <c r="AE89" s="52"/>
      <c r="AF89" s="52"/>
      <c r="AG89" s="52"/>
      <c r="AH89" s="52"/>
      <c r="AI89" s="52"/>
      <c r="AJ89" s="52"/>
      <c r="AK89" s="52"/>
      <c r="AL89" s="54"/>
      <c r="AM89" s="54"/>
      <c r="AN89" s="54"/>
      <c r="AO89" s="54"/>
      <c r="AP89" s="54"/>
      <c r="AQ89" s="54"/>
      <c r="AR89" s="54"/>
      <c r="AS89" s="54"/>
      <c r="AT89" s="54"/>
      <c r="AU89" s="54"/>
      <c r="AV89" s="54"/>
      <c r="AW89" s="54"/>
      <c r="AX89" s="54"/>
      <c r="AY89" s="54"/>
      <c r="AZ89" s="54"/>
    </row>
    <row r="90" spans="1:52" ht="14.25" customHeight="1">
      <c r="A90" s="24"/>
      <c r="B90" s="24"/>
      <c r="C90" s="24"/>
      <c r="D90" s="24"/>
      <c r="E90" s="24"/>
      <c r="G90" s="24"/>
      <c r="H90" s="24"/>
      <c r="I90" s="24"/>
      <c r="J90" s="24"/>
      <c r="K90" s="24"/>
      <c r="L90" s="24"/>
      <c r="M90" s="24"/>
      <c r="N90" s="35"/>
      <c r="O90" s="24"/>
      <c r="P90" s="35"/>
      <c r="Q90" s="24"/>
      <c r="R90" s="36"/>
      <c r="S90" s="36"/>
      <c r="T90" s="36"/>
      <c r="U90" s="52"/>
      <c r="V90" s="52"/>
      <c r="W90" s="52"/>
      <c r="X90" s="52"/>
      <c r="Y90" s="52"/>
      <c r="Z90" s="52"/>
      <c r="AA90" s="52"/>
      <c r="AB90" s="52"/>
      <c r="AC90" s="52"/>
      <c r="AD90" s="52"/>
      <c r="AE90" s="52"/>
      <c r="AF90" s="52"/>
      <c r="AG90" s="52"/>
      <c r="AH90" s="52"/>
      <c r="AI90" s="52"/>
      <c r="AJ90" s="52"/>
      <c r="AK90" s="52"/>
      <c r="AL90" s="54"/>
      <c r="AM90" s="54"/>
      <c r="AN90" s="54"/>
      <c r="AO90" s="54"/>
      <c r="AP90" s="54"/>
      <c r="AQ90" s="54"/>
      <c r="AR90" s="54"/>
      <c r="AS90" s="54"/>
      <c r="AT90" s="54"/>
      <c r="AU90" s="54"/>
      <c r="AV90" s="54"/>
      <c r="AW90" s="54"/>
      <c r="AX90" s="54"/>
      <c r="AY90" s="54"/>
      <c r="AZ90" s="54"/>
    </row>
    <row r="91" spans="1:52" ht="14.25" customHeight="1">
      <c r="A91" s="24"/>
      <c r="B91" s="24"/>
      <c r="C91" s="24"/>
      <c r="D91" s="24"/>
      <c r="E91" s="24"/>
      <c r="F91" s="1050"/>
      <c r="G91" s="24"/>
      <c r="H91" s="24"/>
      <c r="I91" s="24"/>
      <c r="J91" s="24"/>
      <c r="K91" s="24"/>
      <c r="L91" s="24"/>
      <c r="M91" s="24"/>
      <c r="N91" s="35"/>
      <c r="O91" s="24"/>
      <c r="P91" s="35"/>
      <c r="Q91" s="24"/>
      <c r="R91" s="24"/>
      <c r="S91" s="24"/>
      <c r="T91" s="24"/>
      <c r="U91" s="54"/>
      <c r="V91" s="54"/>
      <c r="W91" s="54"/>
      <c r="X91" s="54"/>
      <c r="Y91" s="54"/>
      <c r="Z91" s="54"/>
      <c r="AA91" s="54"/>
      <c r="AB91" s="54"/>
      <c r="AC91" s="54"/>
      <c r="AD91" s="54"/>
      <c r="AE91" s="54"/>
      <c r="AF91" s="54"/>
      <c r="AG91" s="54"/>
      <c r="AH91" s="54"/>
      <c r="AI91" s="54"/>
      <c r="AJ91" s="54"/>
      <c r="AK91" s="54"/>
      <c r="AL91" s="54"/>
      <c r="AM91" s="54"/>
      <c r="AN91" s="54"/>
      <c r="AO91" s="54"/>
      <c r="AP91" s="54"/>
      <c r="AQ91" s="54"/>
      <c r="AR91" s="54"/>
      <c r="AS91" s="54"/>
      <c r="AT91" s="54"/>
      <c r="AU91" s="54"/>
      <c r="AV91" s="54"/>
      <c r="AW91" s="54"/>
      <c r="AX91" s="54"/>
      <c r="AY91" s="54"/>
      <c r="AZ91" s="54"/>
    </row>
    <row r="92" spans="1:52" ht="14.25" customHeight="1">
      <c r="A92" s="24"/>
      <c r="B92" s="24"/>
      <c r="C92" s="24"/>
      <c r="D92" s="24"/>
      <c r="E92" s="24"/>
      <c r="F92" s="24"/>
      <c r="G92" s="24"/>
      <c r="H92" s="24"/>
      <c r="I92" s="24"/>
      <c r="J92" s="24"/>
      <c r="K92" s="24"/>
      <c r="L92" s="24"/>
      <c r="M92" s="24"/>
      <c r="N92" s="35"/>
      <c r="O92" s="24"/>
      <c r="P92" s="35"/>
      <c r="Q92" s="24"/>
      <c r="R92" s="24"/>
      <c r="S92" s="24"/>
      <c r="T92" s="24"/>
      <c r="U92" s="54"/>
      <c r="V92" s="54"/>
      <c r="W92" s="54"/>
      <c r="X92" s="54"/>
      <c r="Y92" s="54"/>
      <c r="Z92" s="54"/>
      <c r="AA92" s="54"/>
      <c r="AB92" s="54"/>
      <c r="AC92" s="54"/>
      <c r="AD92" s="54"/>
      <c r="AE92" s="54"/>
      <c r="AF92" s="54"/>
      <c r="AG92" s="54"/>
      <c r="AH92" s="54"/>
      <c r="AI92" s="54"/>
      <c r="AJ92" s="54"/>
      <c r="AK92" s="54"/>
      <c r="AL92" s="54"/>
      <c r="AM92" s="54"/>
      <c r="AN92" s="54"/>
      <c r="AO92" s="54"/>
      <c r="AP92" s="54"/>
      <c r="AQ92" s="54"/>
      <c r="AR92" s="54"/>
      <c r="AS92" s="54"/>
      <c r="AT92" s="54"/>
      <c r="AU92" s="54"/>
      <c r="AV92" s="54"/>
      <c r="AW92" s="54"/>
      <c r="AX92" s="54"/>
      <c r="AY92" s="54"/>
      <c r="AZ92" s="54"/>
    </row>
    <row r="93" spans="1:52" ht="14.25" customHeight="1">
      <c r="A93" s="24"/>
      <c r="B93" s="24"/>
      <c r="C93" s="24"/>
      <c r="D93" s="24"/>
      <c r="E93" s="24"/>
      <c r="F93" s="24"/>
      <c r="G93" s="24"/>
      <c r="H93" s="24"/>
      <c r="I93" s="24"/>
      <c r="J93" s="24"/>
      <c r="K93" s="24"/>
      <c r="L93" s="24"/>
      <c r="M93" s="24"/>
      <c r="N93" s="35"/>
      <c r="O93" s="24"/>
      <c r="P93" s="35"/>
      <c r="Q93" s="24"/>
      <c r="R93" s="24"/>
      <c r="S93" s="24"/>
      <c r="T93" s="24"/>
      <c r="U93" s="54"/>
      <c r="V93" s="54"/>
      <c r="W93" s="54"/>
      <c r="X93" s="54"/>
      <c r="Y93" s="54"/>
      <c r="Z93" s="54"/>
      <c r="AA93" s="54"/>
      <c r="AB93" s="54"/>
      <c r="AC93" s="54"/>
      <c r="AD93" s="54"/>
      <c r="AE93" s="54"/>
      <c r="AF93" s="54"/>
      <c r="AG93" s="54"/>
      <c r="AH93" s="54"/>
      <c r="AI93" s="54"/>
      <c r="AJ93" s="54"/>
      <c r="AK93" s="54"/>
      <c r="AL93" s="54"/>
      <c r="AM93" s="54"/>
      <c r="AN93" s="54"/>
      <c r="AO93" s="54"/>
      <c r="AP93" s="54"/>
      <c r="AQ93" s="54"/>
      <c r="AR93" s="54"/>
      <c r="AS93" s="54"/>
      <c r="AT93" s="54"/>
      <c r="AU93" s="54"/>
      <c r="AV93" s="54"/>
      <c r="AW93" s="54"/>
      <c r="AX93" s="54"/>
      <c r="AY93" s="54"/>
      <c r="AZ93" s="54"/>
    </row>
    <row r="94" spans="1:52" ht="14.25" customHeight="1">
      <c r="A94" s="24"/>
      <c r="B94" s="24"/>
      <c r="C94" s="24"/>
      <c r="D94" s="24"/>
      <c r="E94" s="24"/>
      <c r="F94" s="24"/>
      <c r="G94" s="24"/>
      <c r="H94" s="24"/>
      <c r="I94" s="24"/>
      <c r="J94" s="24"/>
      <c r="K94" s="24"/>
      <c r="L94" s="24"/>
      <c r="M94" s="24"/>
      <c r="N94" s="35"/>
      <c r="O94" s="24"/>
      <c r="P94" s="35"/>
      <c r="Q94" s="24"/>
      <c r="R94" s="24"/>
      <c r="S94" s="24"/>
      <c r="T94" s="24"/>
      <c r="U94" s="54"/>
      <c r="V94" s="54"/>
      <c r="W94" s="54"/>
      <c r="X94" s="54"/>
      <c r="Y94" s="54"/>
      <c r="Z94" s="54"/>
      <c r="AA94" s="54"/>
      <c r="AB94" s="54"/>
      <c r="AC94" s="54"/>
      <c r="AD94" s="54"/>
      <c r="AE94" s="54"/>
      <c r="AF94" s="54"/>
      <c r="AG94" s="54"/>
      <c r="AH94" s="54"/>
      <c r="AI94" s="54"/>
      <c r="AJ94" s="54"/>
      <c r="AK94" s="54"/>
      <c r="AL94" s="54"/>
      <c r="AM94" s="54"/>
      <c r="AN94" s="54"/>
      <c r="AO94" s="54"/>
      <c r="AP94" s="54"/>
      <c r="AQ94" s="54"/>
      <c r="AR94" s="54"/>
      <c r="AS94" s="54"/>
      <c r="AT94" s="54"/>
      <c r="AU94" s="54"/>
      <c r="AV94" s="54"/>
      <c r="AW94" s="54"/>
      <c r="AX94" s="54"/>
      <c r="AY94" s="54"/>
      <c r="AZ94" s="54"/>
    </row>
    <row r="95" spans="1:52" ht="14.25" customHeight="1">
      <c r="A95" s="24"/>
      <c r="B95" s="24"/>
      <c r="C95" s="24"/>
      <c r="D95" s="24"/>
      <c r="E95" s="24"/>
      <c r="F95" s="24"/>
      <c r="G95" s="24"/>
      <c r="H95" s="24"/>
      <c r="I95" s="24"/>
      <c r="J95" s="24"/>
      <c r="K95" s="24"/>
      <c r="L95" s="24"/>
      <c r="M95" s="24"/>
      <c r="N95" s="35"/>
      <c r="O95" s="24"/>
      <c r="P95" s="35"/>
      <c r="Q95" s="24"/>
      <c r="R95" s="24"/>
      <c r="S95" s="24"/>
      <c r="T95" s="24"/>
      <c r="U95" s="54"/>
      <c r="V95" s="54"/>
      <c r="W95" s="54"/>
      <c r="X95" s="54"/>
      <c r="Y95" s="54"/>
      <c r="Z95" s="54"/>
      <c r="AA95" s="54"/>
      <c r="AB95" s="54"/>
      <c r="AC95" s="54"/>
      <c r="AD95" s="54"/>
      <c r="AE95" s="54"/>
      <c r="AF95" s="54"/>
      <c r="AG95" s="54"/>
      <c r="AH95" s="54"/>
      <c r="AI95" s="54"/>
      <c r="AJ95" s="54"/>
      <c r="AK95" s="54"/>
      <c r="AL95" s="54"/>
      <c r="AM95" s="54"/>
      <c r="AN95" s="54"/>
      <c r="AO95" s="54"/>
      <c r="AP95" s="54"/>
      <c r="AQ95" s="54"/>
      <c r="AR95" s="54"/>
      <c r="AS95" s="54"/>
      <c r="AT95" s="54"/>
      <c r="AU95" s="54"/>
      <c r="AV95" s="54"/>
      <c r="AW95" s="54"/>
      <c r="AX95" s="54"/>
      <c r="AY95" s="54"/>
      <c r="AZ95" s="54"/>
    </row>
    <row r="96" spans="1:52" ht="14.25" customHeight="1">
      <c r="A96" s="24"/>
      <c r="B96" s="24"/>
      <c r="C96" s="24"/>
      <c r="D96" s="24"/>
      <c r="E96" s="24"/>
      <c r="F96" s="24"/>
      <c r="G96" s="24"/>
      <c r="H96" s="24"/>
      <c r="I96" s="24"/>
      <c r="J96" s="24"/>
      <c r="K96" s="24"/>
      <c r="L96" s="24"/>
      <c r="M96" s="24"/>
      <c r="N96" s="35"/>
      <c r="O96" s="24"/>
      <c r="P96" s="35"/>
      <c r="Q96" s="24"/>
      <c r="R96" s="24"/>
      <c r="S96" s="24"/>
      <c r="T96" s="24"/>
      <c r="U96" s="54"/>
      <c r="V96" s="54"/>
      <c r="W96" s="54"/>
      <c r="X96" s="54"/>
      <c r="Y96" s="54"/>
      <c r="Z96" s="54"/>
      <c r="AA96" s="54"/>
      <c r="AB96" s="54"/>
      <c r="AC96" s="54"/>
      <c r="AD96" s="54"/>
      <c r="AE96" s="54"/>
      <c r="AF96" s="54"/>
      <c r="AG96" s="54"/>
      <c r="AH96" s="54"/>
      <c r="AI96" s="54"/>
      <c r="AJ96" s="54"/>
      <c r="AK96" s="54"/>
      <c r="AL96" s="54"/>
      <c r="AM96" s="54"/>
      <c r="AN96" s="54"/>
      <c r="AO96" s="54"/>
      <c r="AP96" s="54"/>
      <c r="AQ96" s="54"/>
      <c r="AR96" s="54"/>
      <c r="AS96" s="54"/>
      <c r="AT96" s="54"/>
      <c r="AU96" s="54"/>
      <c r="AV96" s="54"/>
      <c r="AW96" s="54"/>
      <c r="AX96" s="54"/>
      <c r="AY96" s="54"/>
      <c r="AZ96" s="54"/>
    </row>
    <row r="97" spans="1:52" ht="14.25" customHeight="1">
      <c r="A97" s="24"/>
      <c r="B97" s="24"/>
      <c r="C97" s="24"/>
      <c r="D97" s="24"/>
      <c r="E97" s="24"/>
      <c r="F97" s="24"/>
      <c r="G97" s="24"/>
      <c r="H97" s="24"/>
      <c r="I97" s="24"/>
      <c r="J97" s="24"/>
      <c r="K97" s="24"/>
      <c r="L97" s="24"/>
      <c r="M97" s="24"/>
      <c r="N97" s="35"/>
      <c r="O97" s="24"/>
      <c r="P97" s="35"/>
      <c r="Q97" s="24"/>
      <c r="R97" s="24"/>
      <c r="S97" s="24"/>
      <c r="T97" s="24"/>
      <c r="U97" s="54"/>
      <c r="V97" s="54"/>
      <c r="W97" s="54"/>
      <c r="X97" s="54"/>
      <c r="Y97" s="54"/>
      <c r="Z97" s="54"/>
      <c r="AA97" s="54"/>
      <c r="AB97" s="54"/>
      <c r="AC97" s="54"/>
      <c r="AD97" s="54"/>
      <c r="AE97" s="54"/>
      <c r="AF97" s="54"/>
      <c r="AG97" s="54"/>
      <c r="AH97" s="54"/>
      <c r="AI97" s="54"/>
      <c r="AJ97" s="54"/>
      <c r="AK97" s="54"/>
      <c r="AL97" s="54"/>
      <c r="AM97" s="54"/>
      <c r="AN97" s="54"/>
      <c r="AO97" s="54"/>
      <c r="AP97" s="54"/>
      <c r="AQ97" s="54"/>
      <c r="AR97" s="54"/>
      <c r="AS97" s="54"/>
      <c r="AT97" s="54"/>
      <c r="AU97" s="54"/>
      <c r="AV97" s="54"/>
      <c r="AW97" s="54"/>
      <c r="AX97" s="54"/>
      <c r="AY97" s="54"/>
      <c r="AZ97" s="54"/>
    </row>
    <row r="98" spans="1:52" ht="14.25" customHeight="1">
      <c r="A98" s="24"/>
      <c r="B98" s="24"/>
      <c r="C98" s="24"/>
      <c r="D98" s="24"/>
      <c r="E98" s="24"/>
      <c r="F98" s="24"/>
      <c r="G98" s="24"/>
      <c r="H98" s="24"/>
      <c r="I98" s="24"/>
      <c r="J98" s="24"/>
      <c r="K98" s="24"/>
      <c r="L98" s="24"/>
      <c r="M98" s="24"/>
      <c r="N98" s="35"/>
      <c r="O98" s="24"/>
      <c r="P98" s="35"/>
      <c r="Q98" s="24"/>
      <c r="R98" s="24"/>
      <c r="S98" s="24"/>
      <c r="T98" s="24"/>
      <c r="U98" s="54"/>
      <c r="V98" s="54"/>
      <c r="W98" s="54"/>
      <c r="X98" s="54"/>
      <c r="Y98" s="54"/>
      <c r="Z98" s="54"/>
      <c r="AA98" s="54"/>
      <c r="AB98" s="54"/>
      <c r="AC98" s="54"/>
      <c r="AD98" s="54"/>
      <c r="AE98" s="54"/>
      <c r="AF98" s="54"/>
      <c r="AG98" s="54"/>
      <c r="AH98" s="54"/>
      <c r="AI98" s="54"/>
      <c r="AJ98" s="54"/>
      <c r="AK98" s="54"/>
      <c r="AL98" s="54"/>
      <c r="AM98" s="54"/>
      <c r="AN98" s="54"/>
      <c r="AO98" s="54"/>
      <c r="AP98" s="54"/>
      <c r="AQ98" s="54"/>
      <c r="AR98" s="54"/>
      <c r="AS98" s="54"/>
      <c r="AT98" s="54"/>
      <c r="AU98" s="54"/>
      <c r="AV98" s="54"/>
      <c r="AW98" s="54"/>
      <c r="AX98" s="54"/>
      <c r="AY98" s="54"/>
      <c r="AZ98" s="54"/>
    </row>
    <row r="99" spans="1:52" ht="14.25" customHeight="1">
      <c r="A99" s="24"/>
      <c r="B99" s="24"/>
      <c r="C99" s="24"/>
      <c r="D99" s="24"/>
      <c r="E99" s="24"/>
      <c r="F99" s="24"/>
      <c r="G99" s="24"/>
      <c r="H99" s="24"/>
      <c r="I99" s="24"/>
      <c r="J99" s="24"/>
      <c r="K99" s="24"/>
      <c r="L99" s="24"/>
      <c r="M99" s="24"/>
      <c r="N99" s="35"/>
      <c r="O99" s="24"/>
      <c r="P99" s="35"/>
      <c r="Q99" s="24"/>
      <c r="R99" s="24"/>
      <c r="S99" s="24"/>
      <c r="T99" s="24"/>
      <c r="U99" s="54"/>
      <c r="V99" s="54"/>
      <c r="W99" s="54"/>
      <c r="X99" s="54"/>
      <c r="Y99" s="54"/>
      <c r="Z99" s="54"/>
      <c r="AA99" s="54"/>
      <c r="AB99" s="54"/>
      <c r="AC99" s="54"/>
      <c r="AD99" s="54"/>
      <c r="AE99" s="54"/>
      <c r="AF99" s="54"/>
      <c r="AG99" s="54"/>
      <c r="AH99" s="54"/>
      <c r="AI99" s="54"/>
      <c r="AJ99" s="54"/>
      <c r="AK99" s="54"/>
      <c r="AL99" s="54"/>
      <c r="AM99" s="54"/>
      <c r="AN99" s="54"/>
      <c r="AO99" s="54"/>
      <c r="AP99" s="54"/>
      <c r="AQ99" s="54"/>
      <c r="AR99" s="54"/>
      <c r="AS99" s="54"/>
      <c r="AT99" s="54"/>
      <c r="AU99" s="54"/>
      <c r="AV99" s="54"/>
      <c r="AW99" s="54"/>
      <c r="AX99" s="54"/>
      <c r="AY99" s="54"/>
      <c r="AZ99" s="54"/>
    </row>
    <row r="100" spans="1:52" ht="14.25" customHeight="1">
      <c r="A100" s="24"/>
      <c r="B100" s="24"/>
      <c r="C100" s="24"/>
      <c r="D100" s="24"/>
      <c r="E100" s="24"/>
      <c r="F100" s="24"/>
      <c r="G100" s="24"/>
      <c r="H100" s="24"/>
      <c r="I100" s="24"/>
      <c r="J100" s="24"/>
      <c r="K100" s="24"/>
      <c r="L100" s="24"/>
      <c r="M100" s="24"/>
      <c r="N100" s="35"/>
      <c r="O100" s="24"/>
      <c r="P100" s="35"/>
      <c r="Q100" s="24"/>
      <c r="R100" s="24"/>
      <c r="S100" s="24"/>
      <c r="T100" s="24"/>
      <c r="U100" s="54"/>
      <c r="V100" s="54"/>
      <c r="W100" s="54"/>
      <c r="X100" s="54"/>
      <c r="Y100" s="54"/>
      <c r="Z100" s="54"/>
      <c r="AA100" s="54"/>
      <c r="AB100" s="54"/>
      <c r="AC100" s="54"/>
      <c r="AD100" s="54"/>
      <c r="AE100" s="54"/>
      <c r="AF100" s="54"/>
      <c r="AG100" s="54"/>
      <c r="AH100" s="54"/>
      <c r="AI100" s="54"/>
      <c r="AJ100" s="54"/>
      <c r="AK100" s="54"/>
      <c r="AL100" s="54"/>
      <c r="AM100" s="54"/>
      <c r="AN100" s="54"/>
      <c r="AO100" s="54"/>
      <c r="AP100" s="54"/>
      <c r="AQ100" s="54"/>
      <c r="AR100" s="54"/>
      <c r="AS100" s="54"/>
      <c r="AT100" s="54"/>
      <c r="AU100" s="54"/>
      <c r="AV100" s="54"/>
      <c r="AW100" s="54"/>
      <c r="AX100" s="54"/>
      <c r="AY100" s="54"/>
      <c r="AZ100" s="54"/>
    </row>
    <row r="101" spans="1:52" ht="14.25" customHeight="1">
      <c r="A101" s="24"/>
      <c r="B101" s="24"/>
      <c r="C101" s="24"/>
      <c r="D101" s="24"/>
      <c r="E101" s="24"/>
      <c r="F101" s="24"/>
      <c r="G101" s="24"/>
      <c r="H101" s="24"/>
      <c r="I101" s="24"/>
      <c r="J101" s="24"/>
      <c r="K101" s="24"/>
      <c r="L101" s="24"/>
      <c r="M101" s="24"/>
      <c r="N101" s="35"/>
      <c r="O101" s="24"/>
      <c r="P101" s="35"/>
      <c r="Q101" s="24"/>
      <c r="R101" s="24"/>
      <c r="S101" s="24"/>
      <c r="T101" s="24"/>
      <c r="U101" s="54"/>
      <c r="V101" s="54"/>
      <c r="W101" s="54"/>
      <c r="X101" s="54"/>
      <c r="Y101" s="54"/>
      <c r="Z101" s="54"/>
      <c r="AA101" s="54"/>
      <c r="AB101" s="54"/>
      <c r="AC101" s="54"/>
      <c r="AD101" s="54"/>
      <c r="AE101" s="54"/>
      <c r="AF101" s="54"/>
      <c r="AG101" s="54"/>
      <c r="AH101" s="54"/>
      <c r="AI101" s="54"/>
      <c r="AJ101" s="54"/>
      <c r="AK101" s="54"/>
      <c r="AL101" s="54"/>
      <c r="AM101" s="54"/>
      <c r="AN101" s="54"/>
      <c r="AO101" s="54"/>
      <c r="AP101" s="54"/>
      <c r="AQ101" s="54"/>
      <c r="AR101" s="54"/>
      <c r="AS101" s="54"/>
      <c r="AT101" s="54"/>
      <c r="AU101" s="54"/>
      <c r="AV101" s="54"/>
      <c r="AW101" s="54"/>
      <c r="AX101" s="54"/>
      <c r="AY101" s="54"/>
      <c r="AZ101" s="54"/>
    </row>
    <row r="102" spans="1:52" ht="14.25" customHeight="1">
      <c r="A102" s="24"/>
      <c r="B102" s="24"/>
      <c r="C102" s="24"/>
      <c r="D102" s="24"/>
      <c r="E102" s="24"/>
      <c r="F102" s="24"/>
      <c r="G102" s="24"/>
      <c r="H102" s="24"/>
      <c r="I102" s="24"/>
      <c r="J102" s="24"/>
      <c r="K102" s="24"/>
      <c r="L102" s="24"/>
      <c r="M102" s="24"/>
      <c r="N102" s="35"/>
      <c r="O102" s="24"/>
      <c r="P102" s="35"/>
      <c r="Q102" s="24"/>
      <c r="R102" s="24"/>
      <c r="S102" s="24"/>
      <c r="T102" s="24"/>
      <c r="U102" s="54"/>
      <c r="V102" s="54"/>
      <c r="W102" s="54"/>
      <c r="X102" s="54"/>
      <c r="Y102" s="54"/>
      <c r="Z102" s="54"/>
      <c r="AA102" s="54"/>
      <c r="AB102" s="54"/>
      <c r="AC102" s="54"/>
      <c r="AD102" s="54"/>
      <c r="AE102" s="54"/>
      <c r="AF102" s="54"/>
      <c r="AG102" s="54"/>
      <c r="AH102" s="54"/>
      <c r="AI102" s="54"/>
      <c r="AJ102" s="54"/>
      <c r="AK102" s="54"/>
      <c r="AL102" s="54"/>
      <c r="AM102" s="54"/>
      <c r="AN102" s="54"/>
      <c r="AO102" s="54"/>
      <c r="AP102" s="54"/>
      <c r="AQ102" s="54"/>
      <c r="AR102" s="54"/>
      <c r="AS102" s="54"/>
      <c r="AT102" s="54"/>
      <c r="AU102" s="54"/>
      <c r="AV102" s="54"/>
      <c r="AW102" s="54"/>
      <c r="AX102" s="54"/>
      <c r="AY102" s="54"/>
      <c r="AZ102" s="54"/>
    </row>
    <row r="103" spans="1:52" ht="14.25" customHeight="1">
      <c r="A103" s="24"/>
      <c r="B103" s="24"/>
      <c r="C103" s="24"/>
      <c r="D103" s="24"/>
      <c r="E103" s="24"/>
      <c r="F103" s="24"/>
      <c r="G103" s="24"/>
      <c r="H103" s="24"/>
      <c r="I103" s="24"/>
      <c r="J103" s="24"/>
      <c r="K103" s="24"/>
      <c r="L103" s="24"/>
      <c r="M103" s="24"/>
      <c r="N103" s="35"/>
      <c r="O103" s="24"/>
      <c r="P103" s="35"/>
      <c r="Q103" s="24"/>
      <c r="R103" s="24"/>
      <c r="S103" s="24"/>
      <c r="T103" s="24"/>
      <c r="U103" s="54"/>
      <c r="V103" s="54"/>
      <c r="W103" s="54"/>
      <c r="X103" s="54"/>
      <c r="Y103" s="54"/>
      <c r="Z103" s="54"/>
      <c r="AA103" s="54"/>
      <c r="AB103" s="54"/>
      <c r="AC103" s="54"/>
      <c r="AD103" s="54"/>
      <c r="AE103" s="54"/>
      <c r="AF103" s="54"/>
      <c r="AG103" s="54"/>
      <c r="AH103" s="54"/>
      <c r="AI103" s="54"/>
      <c r="AJ103" s="54"/>
      <c r="AK103" s="54"/>
      <c r="AL103" s="54"/>
      <c r="AM103" s="54"/>
      <c r="AN103" s="54"/>
      <c r="AO103" s="54"/>
      <c r="AP103" s="54"/>
      <c r="AQ103" s="54"/>
      <c r="AR103" s="54"/>
      <c r="AS103" s="54"/>
      <c r="AT103" s="54"/>
      <c r="AU103" s="54"/>
      <c r="AV103" s="54"/>
      <c r="AW103" s="54"/>
      <c r="AX103" s="54"/>
      <c r="AY103" s="54"/>
      <c r="AZ103" s="54"/>
    </row>
    <row r="104" spans="1:52" ht="14.25" customHeight="1">
      <c r="A104" s="24"/>
      <c r="B104" s="24"/>
      <c r="C104" s="24"/>
      <c r="D104" s="24"/>
      <c r="E104" s="24"/>
      <c r="F104" s="24"/>
      <c r="G104" s="24"/>
      <c r="H104" s="24"/>
      <c r="I104" s="24"/>
      <c r="J104" s="24"/>
      <c r="K104" s="24"/>
      <c r="L104" s="24"/>
      <c r="M104" s="24"/>
      <c r="N104" s="35"/>
      <c r="O104" s="24"/>
      <c r="P104" s="35"/>
      <c r="Q104" s="24"/>
      <c r="R104" s="24"/>
      <c r="S104" s="24"/>
      <c r="T104" s="24"/>
      <c r="U104" s="54"/>
      <c r="V104" s="54"/>
      <c r="W104" s="54"/>
      <c r="X104" s="54"/>
      <c r="Y104" s="54"/>
      <c r="Z104" s="54"/>
      <c r="AA104" s="54"/>
      <c r="AB104" s="54"/>
      <c r="AC104" s="54"/>
      <c r="AD104" s="54"/>
      <c r="AE104" s="54"/>
      <c r="AF104" s="54"/>
      <c r="AG104" s="54"/>
      <c r="AH104" s="54"/>
      <c r="AI104" s="54"/>
      <c r="AJ104" s="54"/>
      <c r="AK104" s="54"/>
      <c r="AL104" s="54"/>
      <c r="AM104" s="54"/>
      <c r="AN104" s="54"/>
      <c r="AO104" s="54"/>
      <c r="AP104" s="54"/>
      <c r="AQ104" s="54"/>
      <c r="AR104" s="54"/>
      <c r="AS104" s="54"/>
      <c r="AT104" s="54"/>
      <c r="AU104" s="54"/>
      <c r="AV104" s="54"/>
      <c r="AW104" s="54"/>
      <c r="AX104" s="54"/>
      <c r="AY104" s="54"/>
      <c r="AZ104" s="54"/>
    </row>
    <row r="105" spans="1:52" ht="14.25" customHeight="1">
      <c r="A105" s="24"/>
      <c r="B105" s="24"/>
      <c r="C105" s="24"/>
      <c r="D105" s="24"/>
      <c r="E105" s="24"/>
      <c r="F105" s="24"/>
      <c r="G105" s="24"/>
      <c r="H105" s="24"/>
      <c r="I105" s="24"/>
      <c r="J105" s="24"/>
      <c r="K105" s="24"/>
      <c r="L105" s="24"/>
      <c r="M105" s="24"/>
      <c r="N105" s="35"/>
      <c r="O105" s="24"/>
      <c r="P105" s="35"/>
      <c r="Q105" s="24"/>
      <c r="R105" s="24"/>
      <c r="S105" s="24"/>
      <c r="T105" s="24"/>
      <c r="U105" s="54"/>
      <c r="V105" s="54"/>
      <c r="W105" s="54"/>
      <c r="X105" s="54"/>
      <c r="Y105" s="54"/>
      <c r="Z105" s="54"/>
      <c r="AA105" s="54"/>
      <c r="AB105" s="54"/>
      <c r="AC105" s="54"/>
      <c r="AD105" s="54"/>
      <c r="AE105" s="54"/>
      <c r="AF105" s="54"/>
      <c r="AG105" s="54"/>
      <c r="AH105" s="54"/>
      <c r="AI105" s="54"/>
      <c r="AJ105" s="54"/>
      <c r="AK105" s="54"/>
      <c r="AL105" s="54"/>
      <c r="AM105" s="54"/>
      <c r="AN105" s="54"/>
      <c r="AO105" s="54"/>
      <c r="AP105" s="54"/>
      <c r="AQ105" s="54"/>
      <c r="AR105" s="54"/>
      <c r="AS105" s="54"/>
      <c r="AT105" s="54"/>
      <c r="AU105" s="54"/>
      <c r="AV105" s="54"/>
      <c r="AW105" s="54"/>
      <c r="AX105" s="54"/>
      <c r="AY105" s="54"/>
      <c r="AZ105" s="54"/>
    </row>
    <row r="106" spans="1:52" ht="14.25" customHeight="1">
      <c r="A106" s="24"/>
      <c r="B106" s="24"/>
      <c r="C106" s="24"/>
      <c r="D106" s="24"/>
      <c r="E106" s="24"/>
      <c r="F106" s="24"/>
      <c r="G106" s="24"/>
      <c r="H106" s="24"/>
      <c r="I106" s="24"/>
      <c r="J106" s="24"/>
      <c r="K106" s="24"/>
      <c r="L106" s="24"/>
      <c r="M106" s="24"/>
      <c r="N106" s="35"/>
      <c r="O106" s="24"/>
      <c r="P106" s="35"/>
      <c r="Q106" s="24"/>
      <c r="R106" s="24"/>
      <c r="S106" s="24"/>
      <c r="T106" s="24"/>
      <c r="U106" s="54"/>
      <c r="V106" s="54"/>
      <c r="W106" s="54"/>
      <c r="X106" s="54"/>
      <c r="Y106" s="54"/>
      <c r="Z106" s="54"/>
      <c r="AA106" s="54"/>
      <c r="AB106" s="54"/>
      <c r="AC106" s="54"/>
      <c r="AD106" s="54"/>
      <c r="AE106" s="54"/>
      <c r="AF106" s="54"/>
      <c r="AG106" s="54"/>
      <c r="AH106" s="54"/>
      <c r="AI106" s="54"/>
      <c r="AJ106" s="54"/>
      <c r="AK106" s="54"/>
      <c r="AL106" s="54"/>
      <c r="AM106" s="54"/>
      <c r="AN106" s="54"/>
      <c r="AO106" s="54"/>
      <c r="AP106" s="54"/>
      <c r="AQ106" s="54"/>
      <c r="AR106" s="54"/>
      <c r="AS106" s="54"/>
      <c r="AT106" s="54"/>
      <c r="AU106" s="54"/>
      <c r="AV106" s="54"/>
      <c r="AW106" s="54"/>
      <c r="AX106" s="54"/>
      <c r="AY106" s="54"/>
      <c r="AZ106" s="54"/>
    </row>
    <row r="107" spans="1:52" ht="14.25" customHeight="1">
      <c r="A107" s="24"/>
      <c r="B107" s="24"/>
      <c r="C107" s="24"/>
      <c r="D107" s="24"/>
      <c r="E107" s="24"/>
      <c r="F107" s="24"/>
      <c r="G107" s="24"/>
      <c r="H107" s="24"/>
      <c r="I107" s="24"/>
      <c r="J107" s="24"/>
      <c r="K107" s="24"/>
      <c r="L107" s="24"/>
      <c r="M107" s="24"/>
      <c r="N107" s="35"/>
      <c r="O107" s="24"/>
      <c r="P107" s="35"/>
      <c r="Q107" s="24"/>
      <c r="R107" s="24"/>
      <c r="S107" s="24"/>
      <c r="T107" s="24"/>
      <c r="U107" s="54"/>
      <c r="V107" s="54"/>
      <c r="W107" s="54"/>
      <c r="X107" s="54"/>
      <c r="Y107" s="54"/>
      <c r="Z107" s="54"/>
      <c r="AA107" s="54"/>
      <c r="AB107" s="54"/>
      <c r="AC107" s="54"/>
      <c r="AD107" s="54"/>
      <c r="AE107" s="54"/>
      <c r="AF107" s="54"/>
      <c r="AG107" s="54"/>
      <c r="AH107" s="54"/>
      <c r="AI107" s="54"/>
      <c r="AJ107" s="54"/>
      <c r="AK107" s="54"/>
      <c r="AL107" s="54"/>
      <c r="AM107" s="54"/>
      <c r="AN107" s="54"/>
      <c r="AO107" s="54"/>
      <c r="AP107" s="54"/>
      <c r="AQ107" s="54"/>
      <c r="AR107" s="54"/>
      <c r="AS107" s="54"/>
      <c r="AT107" s="54"/>
      <c r="AU107" s="54"/>
      <c r="AV107" s="54"/>
      <c r="AW107" s="54"/>
      <c r="AX107" s="54"/>
      <c r="AY107" s="54"/>
      <c r="AZ107" s="54"/>
    </row>
    <row r="108" spans="1:52" ht="14.25" customHeight="1">
      <c r="A108" s="24"/>
      <c r="B108" s="24"/>
      <c r="C108" s="24"/>
      <c r="D108" s="24"/>
      <c r="E108" s="24"/>
      <c r="F108" s="24"/>
      <c r="G108" s="24"/>
      <c r="H108" s="24"/>
      <c r="I108" s="24"/>
      <c r="J108" s="24"/>
      <c r="K108" s="24"/>
      <c r="L108" s="24"/>
      <c r="M108" s="24"/>
      <c r="N108" s="35"/>
      <c r="O108" s="24"/>
      <c r="P108" s="35"/>
      <c r="Q108" s="24"/>
      <c r="R108" s="24"/>
      <c r="S108" s="24"/>
      <c r="T108" s="24"/>
      <c r="U108" s="54"/>
      <c r="V108" s="54"/>
      <c r="W108" s="54"/>
      <c r="X108" s="54"/>
      <c r="Y108" s="54"/>
      <c r="Z108" s="54"/>
      <c r="AA108" s="54"/>
      <c r="AB108" s="54"/>
      <c r="AC108" s="54"/>
      <c r="AD108" s="54"/>
      <c r="AE108" s="54"/>
      <c r="AF108" s="54"/>
      <c r="AG108" s="54"/>
      <c r="AH108" s="54"/>
      <c r="AI108" s="54"/>
      <c r="AJ108" s="54"/>
      <c r="AK108" s="54"/>
      <c r="AL108" s="54"/>
      <c r="AM108" s="54"/>
      <c r="AN108" s="54"/>
      <c r="AO108" s="54"/>
      <c r="AP108" s="54"/>
      <c r="AQ108" s="54"/>
      <c r="AR108" s="54"/>
      <c r="AS108" s="54"/>
      <c r="AT108" s="54"/>
      <c r="AU108" s="54"/>
      <c r="AV108" s="54"/>
      <c r="AW108" s="54"/>
      <c r="AX108" s="54"/>
      <c r="AY108" s="54"/>
      <c r="AZ108" s="54"/>
    </row>
    <row r="109" spans="1:52" ht="14.25" customHeight="1">
      <c r="A109" s="24"/>
      <c r="B109" s="24"/>
      <c r="C109" s="24"/>
      <c r="D109" s="24"/>
      <c r="E109" s="24"/>
      <c r="F109" s="24"/>
      <c r="G109" s="24"/>
      <c r="H109" s="24"/>
      <c r="I109" s="24"/>
      <c r="J109" s="24"/>
      <c r="K109" s="24"/>
      <c r="L109" s="24"/>
      <c r="M109" s="24"/>
      <c r="N109" s="35"/>
      <c r="O109" s="24"/>
      <c r="P109" s="35"/>
      <c r="Q109" s="24"/>
      <c r="R109" s="24"/>
      <c r="S109" s="24"/>
      <c r="T109" s="24"/>
      <c r="U109" s="54"/>
      <c r="V109" s="54"/>
      <c r="W109" s="54"/>
      <c r="X109" s="54"/>
      <c r="Y109" s="54"/>
      <c r="Z109" s="54"/>
      <c r="AA109" s="54"/>
      <c r="AB109" s="54"/>
      <c r="AC109" s="54"/>
      <c r="AD109" s="54"/>
      <c r="AE109" s="54"/>
      <c r="AF109" s="54"/>
      <c r="AG109" s="54"/>
      <c r="AH109" s="54"/>
      <c r="AI109" s="54"/>
      <c r="AJ109" s="54"/>
      <c r="AK109" s="54"/>
      <c r="AL109" s="54"/>
      <c r="AM109" s="54"/>
      <c r="AN109" s="54"/>
      <c r="AO109" s="54"/>
      <c r="AP109" s="54"/>
      <c r="AQ109" s="54"/>
      <c r="AR109" s="54"/>
      <c r="AS109" s="54"/>
      <c r="AT109" s="54"/>
      <c r="AU109" s="54"/>
      <c r="AV109" s="54"/>
      <c r="AW109" s="54"/>
      <c r="AX109" s="54"/>
      <c r="AY109" s="54"/>
      <c r="AZ109" s="54"/>
    </row>
    <row r="110" spans="1:52" ht="14.25" customHeight="1">
      <c r="A110" s="24"/>
      <c r="B110" s="24"/>
      <c r="C110" s="24"/>
      <c r="D110" s="24"/>
      <c r="E110" s="24"/>
      <c r="F110" s="24"/>
      <c r="G110" s="24"/>
      <c r="H110" s="24"/>
      <c r="I110" s="24"/>
      <c r="J110" s="24"/>
      <c r="K110" s="24"/>
      <c r="L110" s="24"/>
      <c r="M110" s="24"/>
      <c r="N110" s="35"/>
      <c r="O110" s="24"/>
      <c r="P110" s="35"/>
      <c r="Q110" s="24"/>
      <c r="R110" s="24"/>
      <c r="S110" s="24"/>
      <c r="T110" s="24"/>
      <c r="U110" s="54"/>
      <c r="V110" s="54"/>
      <c r="W110" s="54"/>
      <c r="X110" s="54"/>
      <c r="Y110" s="54"/>
      <c r="Z110" s="54"/>
      <c r="AA110" s="54"/>
      <c r="AB110" s="54"/>
      <c r="AC110" s="54"/>
      <c r="AD110" s="54"/>
      <c r="AE110" s="54"/>
      <c r="AF110" s="54"/>
      <c r="AG110" s="54"/>
      <c r="AH110" s="54"/>
      <c r="AI110" s="54"/>
      <c r="AJ110" s="54"/>
      <c r="AK110" s="54"/>
      <c r="AL110" s="54"/>
      <c r="AM110" s="54"/>
      <c r="AN110" s="54"/>
      <c r="AO110" s="54"/>
      <c r="AP110" s="54"/>
      <c r="AQ110" s="54"/>
      <c r="AR110" s="54"/>
      <c r="AS110" s="54"/>
      <c r="AT110" s="54"/>
      <c r="AU110" s="54"/>
      <c r="AV110" s="54"/>
      <c r="AW110" s="54"/>
      <c r="AX110" s="54"/>
      <c r="AY110" s="54"/>
      <c r="AZ110" s="54"/>
    </row>
    <row r="111" spans="1:52" ht="14.25" customHeight="1">
      <c r="A111" s="24"/>
      <c r="B111" s="24"/>
      <c r="C111" s="24"/>
      <c r="D111" s="24"/>
      <c r="E111" s="24"/>
      <c r="F111" s="24"/>
      <c r="G111" s="24"/>
      <c r="H111" s="24"/>
      <c r="I111" s="24"/>
      <c r="J111" s="24"/>
      <c r="K111" s="24"/>
      <c r="L111" s="24"/>
      <c r="M111" s="24"/>
      <c r="N111" s="35"/>
      <c r="O111" s="24"/>
      <c r="P111" s="35"/>
      <c r="Q111" s="24"/>
      <c r="R111" s="24"/>
      <c r="S111" s="24"/>
      <c r="T111" s="24"/>
      <c r="U111" s="54"/>
      <c r="V111" s="54"/>
      <c r="W111" s="54"/>
      <c r="X111" s="54"/>
      <c r="Y111" s="54"/>
      <c r="Z111" s="54"/>
      <c r="AA111" s="54"/>
      <c r="AB111" s="54"/>
      <c r="AC111" s="54"/>
      <c r="AD111" s="54"/>
      <c r="AE111" s="54"/>
      <c r="AF111" s="54"/>
      <c r="AG111" s="54"/>
      <c r="AH111" s="54"/>
      <c r="AI111" s="54"/>
      <c r="AJ111" s="54"/>
      <c r="AK111" s="54"/>
      <c r="AL111" s="54"/>
      <c r="AM111" s="54"/>
      <c r="AN111" s="54"/>
      <c r="AO111" s="54"/>
      <c r="AP111" s="54"/>
      <c r="AQ111" s="54"/>
      <c r="AR111" s="54"/>
      <c r="AS111" s="54"/>
      <c r="AT111" s="54"/>
      <c r="AU111" s="54"/>
      <c r="AV111" s="54"/>
      <c r="AW111" s="54"/>
      <c r="AX111" s="54"/>
      <c r="AY111" s="54"/>
      <c r="AZ111" s="54"/>
    </row>
    <row r="112" spans="1:52" ht="14.25" customHeight="1">
      <c r="A112" s="24"/>
      <c r="B112" s="24"/>
      <c r="C112" s="24"/>
      <c r="D112" s="24"/>
      <c r="E112" s="24"/>
      <c r="F112" s="24"/>
      <c r="G112" s="24"/>
      <c r="H112" s="24"/>
      <c r="I112" s="24"/>
      <c r="J112" s="24"/>
      <c r="K112" s="24"/>
      <c r="L112" s="24"/>
      <c r="M112" s="24"/>
      <c r="N112" s="35"/>
      <c r="O112" s="24"/>
      <c r="P112" s="35"/>
      <c r="Q112" s="24"/>
      <c r="R112" s="24"/>
      <c r="S112" s="24"/>
      <c r="T112" s="24"/>
      <c r="U112" s="54"/>
      <c r="V112" s="54"/>
      <c r="W112" s="54"/>
      <c r="X112" s="54"/>
      <c r="Y112" s="54"/>
      <c r="Z112" s="54"/>
      <c r="AA112" s="54"/>
      <c r="AB112" s="54"/>
      <c r="AC112" s="54"/>
      <c r="AD112" s="54"/>
      <c r="AE112" s="54"/>
      <c r="AF112" s="54"/>
      <c r="AG112" s="54"/>
      <c r="AH112" s="54"/>
      <c r="AI112" s="54"/>
      <c r="AJ112" s="54"/>
      <c r="AK112" s="54"/>
      <c r="AL112" s="54"/>
      <c r="AM112" s="54"/>
      <c r="AN112" s="54"/>
      <c r="AO112" s="54"/>
      <c r="AP112" s="54"/>
      <c r="AQ112" s="54"/>
      <c r="AR112" s="54"/>
      <c r="AS112" s="54"/>
      <c r="AT112" s="54"/>
      <c r="AU112" s="54"/>
      <c r="AV112" s="54"/>
      <c r="AW112" s="54"/>
      <c r="AX112" s="54"/>
      <c r="AY112" s="54"/>
      <c r="AZ112" s="54"/>
    </row>
    <row r="113" spans="1:52" ht="14.25" customHeight="1">
      <c r="A113" s="24"/>
      <c r="B113" s="24"/>
      <c r="C113" s="24"/>
      <c r="D113" s="24"/>
      <c r="E113" s="24"/>
      <c r="F113" s="24"/>
      <c r="G113" s="24"/>
      <c r="H113" s="24"/>
      <c r="I113" s="24"/>
      <c r="J113" s="24"/>
      <c r="K113" s="24"/>
      <c r="L113" s="24"/>
      <c r="M113" s="24"/>
      <c r="N113" s="35"/>
      <c r="O113" s="24"/>
      <c r="P113" s="35"/>
      <c r="Q113" s="24"/>
      <c r="R113" s="24"/>
      <c r="S113" s="24"/>
      <c r="T113" s="24"/>
      <c r="U113" s="54"/>
      <c r="V113" s="54"/>
      <c r="W113" s="54"/>
      <c r="X113" s="54"/>
      <c r="Y113" s="54"/>
      <c r="Z113" s="54"/>
      <c r="AA113" s="54"/>
      <c r="AB113" s="54"/>
      <c r="AC113" s="54"/>
      <c r="AD113" s="54"/>
      <c r="AE113" s="54"/>
      <c r="AF113" s="54"/>
      <c r="AG113" s="54"/>
      <c r="AH113" s="54"/>
      <c r="AI113" s="54"/>
      <c r="AJ113" s="54"/>
      <c r="AK113" s="54"/>
      <c r="AL113" s="54"/>
      <c r="AM113" s="54"/>
      <c r="AN113" s="54"/>
      <c r="AO113" s="54"/>
      <c r="AP113" s="54"/>
      <c r="AQ113" s="54"/>
      <c r="AR113" s="54"/>
      <c r="AS113" s="54"/>
      <c r="AT113" s="54"/>
      <c r="AU113" s="54"/>
      <c r="AV113" s="54"/>
      <c r="AW113" s="54"/>
      <c r="AX113" s="54"/>
      <c r="AY113" s="54"/>
      <c r="AZ113" s="54"/>
    </row>
    <row r="114" spans="1:52" ht="14.25" customHeight="1">
      <c r="A114" s="24"/>
      <c r="B114" s="24"/>
      <c r="C114" s="24"/>
      <c r="D114" s="24"/>
      <c r="E114" s="24"/>
      <c r="F114" s="24"/>
      <c r="G114" s="24"/>
      <c r="H114" s="24"/>
      <c r="I114" s="24"/>
      <c r="J114" s="24"/>
      <c r="K114" s="24"/>
      <c r="L114" s="24"/>
      <c r="M114" s="24"/>
      <c r="N114" s="35"/>
      <c r="O114" s="24"/>
      <c r="P114" s="35"/>
      <c r="Q114" s="24"/>
      <c r="R114" s="24"/>
      <c r="S114" s="24"/>
      <c r="T114" s="24"/>
      <c r="U114" s="54"/>
      <c r="V114" s="54"/>
      <c r="W114" s="54"/>
      <c r="X114" s="54"/>
      <c r="Y114" s="54"/>
      <c r="Z114" s="54"/>
      <c r="AA114" s="54"/>
      <c r="AB114" s="54"/>
      <c r="AC114" s="54"/>
      <c r="AD114" s="54"/>
      <c r="AE114" s="54"/>
      <c r="AF114" s="54"/>
      <c r="AG114" s="54"/>
      <c r="AH114" s="54"/>
      <c r="AI114" s="54"/>
      <c r="AJ114" s="54"/>
      <c r="AK114" s="54"/>
      <c r="AL114" s="54"/>
      <c r="AM114" s="54"/>
      <c r="AN114" s="54"/>
      <c r="AO114" s="54"/>
      <c r="AP114" s="54"/>
      <c r="AQ114" s="54"/>
      <c r="AR114" s="54"/>
      <c r="AS114" s="54"/>
      <c r="AT114" s="54"/>
      <c r="AU114" s="54"/>
      <c r="AV114" s="54"/>
      <c r="AW114" s="54"/>
      <c r="AX114" s="54"/>
      <c r="AY114" s="54"/>
      <c r="AZ114" s="54"/>
    </row>
    <row r="115" spans="1:52" ht="14.25" customHeight="1">
      <c r="A115" s="24"/>
      <c r="B115" s="24"/>
      <c r="C115" s="24"/>
      <c r="D115" s="24"/>
      <c r="E115" s="24"/>
      <c r="F115" s="24"/>
      <c r="G115" s="24"/>
      <c r="H115" s="24"/>
      <c r="I115" s="24"/>
      <c r="J115" s="24"/>
      <c r="K115" s="24"/>
      <c r="L115" s="24"/>
      <c r="M115" s="24"/>
      <c r="N115" s="35"/>
      <c r="O115" s="24"/>
      <c r="P115" s="35"/>
      <c r="Q115" s="24"/>
      <c r="R115" s="24"/>
      <c r="S115" s="24"/>
      <c r="T115" s="24"/>
      <c r="U115" s="54"/>
      <c r="V115" s="54"/>
      <c r="W115" s="54"/>
      <c r="X115" s="54"/>
      <c r="Y115" s="54"/>
      <c r="Z115" s="54"/>
      <c r="AA115" s="54"/>
      <c r="AB115" s="54"/>
      <c r="AC115" s="54"/>
      <c r="AD115" s="54"/>
      <c r="AE115" s="54"/>
      <c r="AF115" s="54"/>
      <c r="AG115" s="54"/>
      <c r="AH115" s="54"/>
      <c r="AI115" s="54"/>
      <c r="AJ115" s="54"/>
      <c r="AK115" s="54"/>
      <c r="AL115" s="54"/>
      <c r="AM115" s="54"/>
      <c r="AN115" s="54"/>
      <c r="AO115" s="54"/>
      <c r="AP115" s="54"/>
      <c r="AQ115" s="54"/>
      <c r="AR115" s="54"/>
      <c r="AS115" s="54"/>
      <c r="AT115" s="54"/>
      <c r="AU115" s="54"/>
      <c r="AV115" s="54"/>
      <c r="AW115" s="54"/>
      <c r="AX115" s="54"/>
      <c r="AY115" s="54"/>
      <c r="AZ115" s="54"/>
    </row>
    <row r="116" spans="1:52" ht="14.25" customHeight="1">
      <c r="A116" s="24"/>
      <c r="B116" s="24"/>
      <c r="C116" s="24"/>
      <c r="D116" s="24"/>
      <c r="E116" s="24"/>
      <c r="F116" s="24"/>
      <c r="G116" s="24"/>
      <c r="H116" s="24"/>
      <c r="I116" s="24"/>
      <c r="J116" s="24"/>
      <c r="K116" s="24"/>
      <c r="L116" s="24"/>
      <c r="M116" s="24"/>
      <c r="N116" s="35"/>
      <c r="O116" s="24"/>
      <c r="P116" s="35"/>
      <c r="Q116" s="24"/>
      <c r="R116" s="24"/>
      <c r="S116" s="24"/>
      <c r="T116" s="24"/>
      <c r="U116" s="54"/>
      <c r="V116" s="54"/>
      <c r="W116" s="54"/>
      <c r="X116" s="54"/>
      <c r="Y116" s="54"/>
      <c r="Z116" s="54"/>
      <c r="AA116" s="54"/>
      <c r="AB116" s="54"/>
      <c r="AC116" s="54"/>
      <c r="AD116" s="54"/>
      <c r="AE116" s="54"/>
      <c r="AF116" s="54"/>
      <c r="AG116" s="54"/>
      <c r="AH116" s="54"/>
      <c r="AI116" s="54"/>
      <c r="AJ116" s="54"/>
      <c r="AK116" s="54"/>
      <c r="AL116" s="54"/>
      <c r="AM116" s="54"/>
      <c r="AN116" s="54"/>
      <c r="AO116" s="54"/>
      <c r="AP116" s="54"/>
      <c r="AQ116" s="54"/>
      <c r="AR116" s="54"/>
      <c r="AS116" s="54"/>
      <c r="AT116" s="54"/>
      <c r="AU116" s="54"/>
      <c r="AV116" s="54"/>
      <c r="AW116" s="54"/>
      <c r="AX116" s="54"/>
      <c r="AY116" s="54"/>
      <c r="AZ116" s="54"/>
    </row>
    <row r="117" spans="1:52" ht="14.25" customHeight="1">
      <c r="A117" s="24"/>
      <c r="B117" s="24"/>
      <c r="C117" s="24"/>
      <c r="D117" s="24"/>
      <c r="E117" s="24"/>
      <c r="F117" s="24"/>
      <c r="G117" s="24"/>
      <c r="H117" s="24"/>
      <c r="I117" s="24"/>
      <c r="J117" s="24"/>
      <c r="K117" s="24"/>
      <c r="L117" s="24"/>
      <c r="M117" s="24"/>
      <c r="N117" s="35"/>
      <c r="O117" s="24"/>
      <c r="P117" s="35"/>
      <c r="Q117" s="24"/>
      <c r="R117" s="24"/>
      <c r="S117" s="24"/>
      <c r="T117" s="24"/>
      <c r="U117" s="54"/>
      <c r="V117" s="54"/>
      <c r="W117" s="54"/>
      <c r="X117" s="54"/>
      <c r="Y117" s="54"/>
      <c r="Z117" s="54"/>
      <c r="AA117" s="54"/>
      <c r="AB117" s="54"/>
      <c r="AC117" s="54"/>
      <c r="AD117" s="54"/>
      <c r="AE117" s="54"/>
      <c r="AF117" s="54"/>
      <c r="AG117" s="54"/>
      <c r="AH117" s="54"/>
      <c r="AI117" s="54"/>
      <c r="AJ117" s="54"/>
      <c r="AK117" s="54"/>
      <c r="AL117" s="54"/>
      <c r="AM117" s="54"/>
      <c r="AN117" s="54"/>
      <c r="AO117" s="54"/>
      <c r="AP117" s="54"/>
      <c r="AQ117" s="54"/>
      <c r="AR117" s="54"/>
      <c r="AS117" s="54"/>
      <c r="AT117" s="54"/>
      <c r="AU117" s="54"/>
      <c r="AV117" s="54"/>
      <c r="AW117" s="54"/>
      <c r="AX117" s="54"/>
      <c r="AY117" s="54"/>
      <c r="AZ117" s="54"/>
    </row>
    <row r="118" spans="1:52" ht="14.25" customHeight="1">
      <c r="A118" s="24"/>
      <c r="B118" s="24"/>
      <c r="C118" s="24"/>
      <c r="D118" s="24"/>
      <c r="E118" s="24"/>
      <c r="F118" s="24"/>
      <c r="G118" s="24"/>
      <c r="H118" s="24"/>
      <c r="I118" s="24"/>
      <c r="J118" s="24"/>
      <c r="K118" s="24"/>
      <c r="L118" s="24"/>
      <c r="M118" s="24"/>
      <c r="N118" s="35"/>
      <c r="O118" s="24"/>
      <c r="P118" s="35"/>
      <c r="Q118" s="24"/>
      <c r="R118" s="24"/>
      <c r="S118" s="24"/>
      <c r="T118" s="24"/>
      <c r="U118" s="54"/>
      <c r="V118" s="54"/>
      <c r="W118" s="54"/>
      <c r="X118" s="54"/>
      <c r="Y118" s="54"/>
      <c r="Z118" s="54"/>
      <c r="AA118" s="54"/>
      <c r="AB118" s="54"/>
      <c r="AC118" s="54"/>
      <c r="AD118" s="54"/>
      <c r="AE118" s="54"/>
      <c r="AF118" s="54"/>
      <c r="AG118" s="54"/>
      <c r="AH118" s="54"/>
      <c r="AI118" s="54"/>
      <c r="AJ118" s="54"/>
      <c r="AK118" s="54"/>
      <c r="AL118" s="54"/>
      <c r="AM118" s="54"/>
      <c r="AN118" s="54"/>
      <c r="AO118" s="54"/>
      <c r="AP118" s="54"/>
      <c r="AQ118" s="54"/>
      <c r="AR118" s="54"/>
      <c r="AS118" s="54"/>
      <c r="AT118" s="54"/>
      <c r="AU118" s="54"/>
      <c r="AV118" s="54"/>
      <c r="AW118" s="54"/>
      <c r="AX118" s="54"/>
      <c r="AY118" s="54"/>
      <c r="AZ118" s="54"/>
    </row>
    <row r="119" spans="1:52" ht="14.25" customHeight="1">
      <c r="A119" s="24"/>
      <c r="B119" s="24"/>
      <c r="C119" s="24"/>
      <c r="D119" s="24"/>
      <c r="E119" s="24"/>
      <c r="F119" s="24"/>
      <c r="G119" s="24"/>
      <c r="H119" s="24"/>
      <c r="I119" s="24"/>
      <c r="J119" s="24"/>
      <c r="K119" s="24"/>
      <c r="L119" s="24"/>
      <c r="M119" s="24"/>
      <c r="N119" s="35"/>
      <c r="O119" s="24"/>
      <c r="P119" s="35"/>
      <c r="Q119" s="24"/>
      <c r="R119" s="24"/>
      <c r="S119" s="24"/>
      <c r="T119" s="24"/>
      <c r="U119" s="54"/>
      <c r="V119" s="54"/>
      <c r="W119" s="54"/>
      <c r="X119" s="54"/>
      <c r="Y119" s="54"/>
      <c r="Z119" s="54"/>
      <c r="AA119" s="54"/>
      <c r="AB119" s="54"/>
      <c r="AC119" s="54"/>
      <c r="AD119" s="54"/>
      <c r="AE119" s="54"/>
      <c r="AF119" s="54"/>
      <c r="AG119" s="54"/>
      <c r="AH119" s="54"/>
      <c r="AI119" s="54"/>
      <c r="AJ119" s="54"/>
      <c r="AK119" s="54"/>
      <c r="AL119" s="54"/>
      <c r="AM119" s="54"/>
      <c r="AN119" s="54"/>
      <c r="AO119" s="54"/>
      <c r="AP119" s="54"/>
      <c r="AQ119" s="54"/>
      <c r="AR119" s="54"/>
      <c r="AS119" s="54"/>
      <c r="AT119" s="54"/>
      <c r="AU119" s="54"/>
      <c r="AV119" s="54"/>
      <c r="AW119" s="54"/>
      <c r="AX119" s="54"/>
      <c r="AY119" s="54"/>
      <c r="AZ119" s="54"/>
    </row>
    <row r="120" spans="1:52" ht="14.25" customHeight="1">
      <c r="A120" s="24"/>
      <c r="B120" s="24"/>
      <c r="C120" s="24"/>
      <c r="D120" s="24"/>
      <c r="E120" s="24"/>
      <c r="F120" s="24"/>
      <c r="G120" s="24"/>
      <c r="H120" s="24"/>
      <c r="I120" s="24"/>
      <c r="J120" s="24"/>
      <c r="K120" s="24"/>
      <c r="L120" s="24"/>
      <c r="M120" s="24"/>
      <c r="N120" s="35"/>
      <c r="O120" s="24"/>
      <c r="P120" s="35"/>
      <c r="Q120" s="24"/>
      <c r="R120" s="24"/>
      <c r="S120" s="24"/>
      <c r="T120" s="24"/>
      <c r="U120" s="54"/>
      <c r="V120" s="54"/>
      <c r="W120" s="54"/>
      <c r="X120" s="54"/>
      <c r="Y120" s="54"/>
      <c r="Z120" s="54"/>
      <c r="AA120" s="54"/>
      <c r="AB120" s="54"/>
      <c r="AC120" s="54"/>
      <c r="AD120" s="54"/>
      <c r="AE120" s="54"/>
      <c r="AF120" s="54"/>
      <c r="AG120" s="54"/>
      <c r="AH120" s="54"/>
      <c r="AI120" s="54"/>
      <c r="AJ120" s="54"/>
      <c r="AK120" s="54"/>
      <c r="AL120" s="54"/>
      <c r="AM120" s="54"/>
      <c r="AN120" s="54"/>
      <c r="AO120" s="54"/>
      <c r="AP120" s="54"/>
      <c r="AQ120" s="54"/>
      <c r="AR120" s="54"/>
      <c r="AS120" s="54"/>
      <c r="AT120" s="54"/>
      <c r="AU120" s="54"/>
      <c r="AV120" s="54"/>
      <c r="AW120" s="54"/>
      <c r="AX120" s="54"/>
      <c r="AY120" s="54"/>
      <c r="AZ120" s="54"/>
    </row>
    <row r="121" spans="1:52" ht="14.25" customHeight="1">
      <c r="A121" s="24"/>
      <c r="B121" s="24"/>
      <c r="C121" s="24"/>
      <c r="D121" s="24"/>
      <c r="E121" s="24"/>
      <c r="F121" s="24"/>
      <c r="G121" s="24"/>
      <c r="H121" s="24"/>
      <c r="I121" s="24"/>
      <c r="J121" s="24"/>
      <c r="K121" s="24"/>
      <c r="L121" s="24"/>
      <c r="M121" s="24"/>
      <c r="N121" s="35"/>
      <c r="O121" s="24"/>
      <c r="P121" s="35"/>
      <c r="Q121" s="24"/>
      <c r="R121" s="24"/>
      <c r="S121" s="24"/>
      <c r="T121" s="24"/>
      <c r="U121" s="54"/>
      <c r="V121" s="54"/>
      <c r="W121" s="54"/>
      <c r="X121" s="54"/>
      <c r="Y121" s="54"/>
      <c r="Z121" s="54"/>
      <c r="AA121" s="54"/>
      <c r="AB121" s="54"/>
      <c r="AC121" s="54"/>
      <c r="AD121" s="54"/>
      <c r="AE121" s="54"/>
      <c r="AF121" s="54"/>
      <c r="AG121" s="54"/>
      <c r="AH121" s="54"/>
      <c r="AI121" s="54"/>
      <c r="AJ121" s="54"/>
      <c r="AK121" s="54"/>
      <c r="AL121" s="54"/>
      <c r="AM121" s="54"/>
      <c r="AN121" s="54"/>
      <c r="AO121" s="54"/>
      <c r="AP121" s="54"/>
      <c r="AQ121" s="54"/>
      <c r="AR121" s="54"/>
      <c r="AS121" s="54"/>
      <c r="AT121" s="54"/>
      <c r="AU121" s="54"/>
      <c r="AV121" s="54"/>
      <c r="AW121" s="54"/>
      <c r="AX121" s="54"/>
      <c r="AY121" s="54"/>
      <c r="AZ121" s="54"/>
    </row>
    <row r="122" spans="1:52" ht="14.25" customHeight="1">
      <c r="A122" s="24"/>
      <c r="B122" s="24"/>
      <c r="C122" s="24"/>
      <c r="D122" s="24"/>
      <c r="E122" s="24"/>
      <c r="F122" s="24"/>
      <c r="G122" s="24"/>
      <c r="H122" s="24"/>
      <c r="I122" s="24"/>
      <c r="J122" s="24"/>
      <c r="K122" s="24"/>
      <c r="L122" s="24"/>
      <c r="M122" s="24"/>
      <c r="N122" s="35"/>
      <c r="O122" s="24"/>
      <c r="P122" s="35"/>
      <c r="Q122" s="24"/>
      <c r="R122" s="24"/>
      <c r="S122" s="24"/>
      <c r="T122" s="24"/>
      <c r="U122" s="54"/>
      <c r="V122" s="54"/>
      <c r="W122" s="54"/>
      <c r="X122" s="54"/>
      <c r="Y122" s="54"/>
      <c r="Z122" s="54"/>
      <c r="AA122" s="54"/>
      <c r="AB122" s="54"/>
      <c r="AC122" s="54"/>
      <c r="AD122" s="54"/>
      <c r="AE122" s="54"/>
      <c r="AF122" s="54"/>
      <c r="AG122" s="54"/>
      <c r="AH122" s="54"/>
      <c r="AI122" s="54"/>
      <c r="AJ122" s="54"/>
      <c r="AK122" s="54"/>
      <c r="AL122" s="54"/>
      <c r="AM122" s="54"/>
      <c r="AN122" s="54"/>
      <c r="AO122" s="54"/>
      <c r="AP122" s="54"/>
      <c r="AQ122" s="54"/>
      <c r="AR122" s="54"/>
      <c r="AS122" s="54"/>
      <c r="AT122" s="54"/>
      <c r="AU122" s="54"/>
      <c r="AV122" s="54"/>
      <c r="AW122" s="54"/>
      <c r="AX122" s="54"/>
      <c r="AY122" s="54"/>
      <c r="AZ122" s="54"/>
    </row>
    <row r="123" spans="1:52" ht="14.25" customHeight="1">
      <c r="A123" s="24"/>
      <c r="B123" s="24"/>
      <c r="C123" s="24"/>
      <c r="D123" s="24"/>
      <c r="E123" s="24"/>
      <c r="F123" s="24"/>
      <c r="G123" s="24"/>
      <c r="H123" s="24"/>
      <c r="I123" s="24"/>
      <c r="J123" s="24"/>
      <c r="K123" s="24"/>
      <c r="L123" s="24"/>
      <c r="M123" s="24"/>
      <c r="N123" s="35"/>
      <c r="O123" s="24"/>
      <c r="P123" s="35"/>
      <c r="Q123" s="24"/>
      <c r="R123" s="24"/>
      <c r="S123" s="24"/>
      <c r="T123" s="24"/>
      <c r="U123" s="54"/>
      <c r="V123" s="54"/>
      <c r="W123" s="54"/>
      <c r="X123" s="54"/>
      <c r="Y123" s="54"/>
      <c r="Z123" s="54"/>
      <c r="AA123" s="54"/>
      <c r="AB123" s="54"/>
      <c r="AC123" s="54"/>
      <c r="AD123" s="54"/>
      <c r="AE123" s="54"/>
      <c r="AF123" s="54"/>
      <c r="AG123" s="54"/>
      <c r="AH123" s="54"/>
      <c r="AI123" s="54"/>
      <c r="AJ123" s="54"/>
      <c r="AK123" s="54"/>
      <c r="AL123" s="54"/>
      <c r="AM123" s="54"/>
      <c r="AN123" s="54"/>
      <c r="AO123" s="54"/>
      <c r="AP123" s="54"/>
      <c r="AQ123" s="54"/>
      <c r="AR123" s="54"/>
      <c r="AS123" s="54"/>
      <c r="AT123" s="54"/>
      <c r="AU123" s="54"/>
      <c r="AV123" s="54"/>
      <c r="AW123" s="54"/>
      <c r="AX123" s="54"/>
      <c r="AY123" s="54"/>
      <c r="AZ123" s="54"/>
    </row>
    <row r="124" spans="1:52" ht="14.25" customHeight="1">
      <c r="A124" s="24"/>
      <c r="B124" s="24"/>
      <c r="C124" s="24"/>
      <c r="D124" s="24"/>
      <c r="E124" s="24"/>
      <c r="F124" s="24"/>
      <c r="G124" s="24"/>
      <c r="H124" s="24"/>
      <c r="I124" s="24"/>
      <c r="J124" s="24"/>
      <c r="K124" s="24"/>
      <c r="L124" s="24"/>
      <c r="M124" s="24"/>
      <c r="N124" s="35"/>
      <c r="O124" s="24"/>
      <c r="P124" s="35"/>
      <c r="Q124" s="24"/>
      <c r="R124" s="24"/>
      <c r="S124" s="24"/>
      <c r="T124" s="24"/>
      <c r="U124" s="54"/>
      <c r="V124" s="54"/>
      <c r="W124" s="54"/>
      <c r="X124" s="54"/>
      <c r="Y124" s="54"/>
      <c r="Z124" s="54"/>
      <c r="AA124" s="54"/>
      <c r="AB124" s="54"/>
      <c r="AC124" s="54"/>
      <c r="AD124" s="54"/>
      <c r="AE124" s="54"/>
      <c r="AF124" s="54"/>
      <c r="AG124" s="54"/>
      <c r="AH124" s="54"/>
      <c r="AI124" s="54"/>
      <c r="AJ124" s="54"/>
      <c r="AK124" s="54"/>
      <c r="AL124" s="54"/>
      <c r="AM124" s="54"/>
      <c r="AN124" s="54"/>
      <c r="AO124" s="54"/>
      <c r="AP124" s="54"/>
      <c r="AQ124" s="54"/>
      <c r="AR124" s="54"/>
      <c r="AS124" s="54"/>
      <c r="AT124" s="54"/>
      <c r="AU124" s="54"/>
      <c r="AV124" s="54"/>
      <c r="AW124" s="54"/>
      <c r="AX124" s="54"/>
      <c r="AY124" s="54"/>
      <c r="AZ124" s="54"/>
    </row>
    <row r="125" spans="1:52" ht="14.25" customHeight="1">
      <c r="A125" s="24"/>
      <c r="B125" s="24"/>
      <c r="C125" s="24"/>
      <c r="D125" s="24"/>
      <c r="E125" s="24"/>
      <c r="F125" s="24"/>
      <c r="G125" s="24"/>
      <c r="H125" s="24"/>
      <c r="I125" s="24"/>
      <c r="J125" s="24"/>
      <c r="K125" s="24"/>
      <c r="L125" s="24"/>
      <c r="M125" s="24"/>
      <c r="N125" s="35"/>
      <c r="O125" s="24"/>
      <c r="P125" s="35"/>
      <c r="Q125" s="24"/>
      <c r="R125" s="24"/>
      <c r="S125" s="24"/>
      <c r="T125" s="24"/>
      <c r="U125" s="54"/>
      <c r="V125" s="54"/>
      <c r="W125" s="54"/>
      <c r="X125" s="54"/>
      <c r="Y125" s="54"/>
      <c r="Z125" s="54"/>
      <c r="AA125" s="54"/>
      <c r="AB125" s="54"/>
      <c r="AC125" s="54"/>
      <c r="AD125" s="54"/>
      <c r="AE125" s="54"/>
      <c r="AF125" s="54"/>
      <c r="AG125" s="54"/>
      <c r="AH125" s="54"/>
      <c r="AI125" s="54"/>
      <c r="AJ125" s="54"/>
      <c r="AK125" s="54"/>
      <c r="AL125" s="54"/>
      <c r="AM125" s="54"/>
      <c r="AN125" s="54"/>
      <c r="AO125" s="54"/>
      <c r="AP125" s="54"/>
      <c r="AQ125" s="54"/>
      <c r="AR125" s="54"/>
      <c r="AS125" s="54"/>
      <c r="AT125" s="54"/>
      <c r="AU125" s="54"/>
      <c r="AV125" s="54"/>
      <c r="AW125" s="54"/>
      <c r="AX125" s="54"/>
      <c r="AY125" s="54"/>
      <c r="AZ125" s="54"/>
    </row>
    <row r="126" spans="1:52" ht="14.25" customHeight="1">
      <c r="A126" s="24"/>
      <c r="B126" s="24"/>
      <c r="C126" s="24"/>
      <c r="D126" s="24"/>
      <c r="E126" s="24"/>
      <c r="F126" s="24"/>
      <c r="G126" s="24"/>
      <c r="H126" s="24"/>
      <c r="I126" s="24"/>
      <c r="J126" s="24"/>
      <c r="K126" s="24"/>
      <c r="L126" s="24"/>
      <c r="M126" s="24"/>
      <c r="N126" s="35"/>
      <c r="O126" s="24"/>
      <c r="P126" s="35"/>
      <c r="Q126" s="24"/>
      <c r="R126" s="24"/>
      <c r="S126" s="24"/>
      <c r="T126" s="24"/>
      <c r="U126" s="54"/>
      <c r="V126" s="54"/>
      <c r="W126" s="54"/>
      <c r="X126" s="54"/>
      <c r="Y126" s="54"/>
      <c r="Z126" s="54"/>
      <c r="AA126" s="54"/>
      <c r="AB126" s="54"/>
      <c r="AC126" s="54"/>
      <c r="AD126" s="54"/>
      <c r="AE126" s="54"/>
      <c r="AF126" s="54"/>
      <c r="AG126" s="54"/>
      <c r="AH126" s="54"/>
      <c r="AI126" s="54"/>
      <c r="AJ126" s="54"/>
      <c r="AK126" s="54"/>
      <c r="AL126" s="54"/>
      <c r="AM126" s="54"/>
      <c r="AN126" s="54"/>
      <c r="AO126" s="54"/>
      <c r="AP126" s="54"/>
      <c r="AQ126" s="54"/>
      <c r="AR126" s="54"/>
      <c r="AS126" s="54"/>
      <c r="AT126" s="54"/>
      <c r="AU126" s="54"/>
      <c r="AV126" s="54"/>
      <c r="AW126" s="54"/>
      <c r="AX126" s="54"/>
      <c r="AY126" s="54"/>
      <c r="AZ126" s="54"/>
    </row>
    <row r="127" spans="1:52" ht="14.25" customHeight="1">
      <c r="A127" s="24"/>
      <c r="B127" s="24"/>
      <c r="C127" s="24"/>
      <c r="D127" s="24"/>
      <c r="E127" s="24"/>
      <c r="F127" s="24"/>
      <c r="G127" s="24"/>
      <c r="H127" s="24"/>
      <c r="I127" s="24"/>
      <c r="J127" s="24"/>
      <c r="K127" s="24"/>
      <c r="L127" s="24"/>
      <c r="M127" s="24"/>
      <c r="N127" s="35"/>
      <c r="O127" s="24"/>
      <c r="P127" s="35"/>
      <c r="Q127" s="24"/>
      <c r="R127" s="24"/>
      <c r="S127" s="24"/>
      <c r="T127" s="24"/>
      <c r="U127" s="54"/>
      <c r="V127" s="54"/>
      <c r="W127" s="54"/>
      <c r="X127" s="54"/>
      <c r="Y127" s="54"/>
      <c r="Z127" s="54"/>
      <c r="AA127" s="54"/>
      <c r="AB127" s="54"/>
      <c r="AC127" s="54"/>
      <c r="AD127" s="54"/>
      <c r="AE127" s="54"/>
      <c r="AF127" s="54"/>
      <c r="AG127" s="54"/>
      <c r="AH127" s="54"/>
      <c r="AI127" s="54"/>
      <c r="AJ127" s="54"/>
      <c r="AK127" s="54"/>
      <c r="AL127" s="54"/>
      <c r="AM127" s="54"/>
      <c r="AN127" s="54"/>
      <c r="AO127" s="54"/>
      <c r="AP127" s="54"/>
      <c r="AQ127" s="54"/>
      <c r="AR127" s="54"/>
      <c r="AS127" s="54"/>
      <c r="AT127" s="54"/>
      <c r="AU127" s="54"/>
      <c r="AV127" s="54"/>
      <c r="AW127" s="54"/>
      <c r="AX127" s="54"/>
      <c r="AY127" s="54"/>
      <c r="AZ127" s="54"/>
    </row>
    <row r="128" spans="1:52" ht="14.25" customHeight="1">
      <c r="A128" s="24"/>
      <c r="B128" s="24"/>
      <c r="C128" s="24"/>
      <c r="D128" s="24"/>
      <c r="E128" s="24"/>
      <c r="F128" s="24"/>
      <c r="G128" s="24"/>
      <c r="H128" s="24"/>
      <c r="I128" s="24"/>
      <c r="J128" s="24"/>
      <c r="K128" s="24"/>
      <c r="L128" s="24"/>
      <c r="M128" s="24"/>
      <c r="N128" s="35"/>
      <c r="O128" s="24"/>
      <c r="P128" s="35"/>
      <c r="Q128" s="24"/>
      <c r="R128" s="24"/>
      <c r="S128" s="24"/>
      <c r="T128" s="24"/>
      <c r="U128" s="54"/>
      <c r="V128" s="54"/>
      <c r="W128" s="54"/>
      <c r="X128" s="54"/>
      <c r="Y128" s="54"/>
      <c r="Z128" s="54"/>
      <c r="AA128" s="54"/>
      <c r="AB128" s="54"/>
      <c r="AC128" s="54"/>
      <c r="AD128" s="54"/>
      <c r="AE128" s="54"/>
      <c r="AF128" s="54"/>
      <c r="AG128" s="54"/>
      <c r="AH128" s="54"/>
      <c r="AI128" s="54"/>
      <c r="AJ128" s="54"/>
      <c r="AK128" s="54"/>
      <c r="AL128" s="54"/>
      <c r="AM128" s="54"/>
      <c r="AN128" s="54"/>
      <c r="AO128" s="54"/>
      <c r="AP128" s="54"/>
      <c r="AQ128" s="54"/>
      <c r="AR128" s="54"/>
      <c r="AS128" s="54"/>
      <c r="AT128" s="54"/>
      <c r="AU128" s="54"/>
      <c r="AV128" s="54"/>
      <c r="AW128" s="54"/>
      <c r="AX128" s="54"/>
      <c r="AY128" s="54"/>
      <c r="AZ128" s="54"/>
    </row>
    <row r="129" spans="1:52" ht="14.25" customHeight="1">
      <c r="A129" s="24"/>
      <c r="B129" s="24"/>
      <c r="C129" s="24"/>
      <c r="D129" s="24"/>
      <c r="E129" s="24"/>
      <c r="F129" s="24"/>
      <c r="G129" s="24"/>
      <c r="H129" s="24"/>
      <c r="I129" s="24"/>
      <c r="J129" s="24"/>
      <c r="K129" s="24"/>
      <c r="L129" s="24"/>
      <c r="M129" s="24"/>
      <c r="N129" s="35"/>
      <c r="O129" s="24"/>
      <c r="P129" s="35"/>
      <c r="Q129" s="24"/>
      <c r="R129" s="24"/>
      <c r="S129" s="24"/>
      <c r="T129" s="24"/>
      <c r="U129" s="54"/>
      <c r="V129" s="54"/>
      <c r="W129" s="54"/>
      <c r="X129" s="54"/>
      <c r="Y129" s="54"/>
      <c r="Z129" s="54"/>
      <c r="AA129" s="54"/>
      <c r="AB129" s="54"/>
      <c r="AC129" s="54"/>
      <c r="AD129" s="54"/>
      <c r="AE129" s="54"/>
      <c r="AF129" s="54"/>
      <c r="AG129" s="54"/>
      <c r="AH129" s="54"/>
      <c r="AI129" s="54"/>
      <c r="AJ129" s="54"/>
      <c r="AK129" s="54"/>
      <c r="AL129" s="54"/>
      <c r="AM129" s="54"/>
      <c r="AN129" s="54"/>
      <c r="AO129" s="54"/>
      <c r="AP129" s="54"/>
      <c r="AQ129" s="54"/>
      <c r="AR129" s="54"/>
      <c r="AS129" s="54"/>
      <c r="AT129" s="54"/>
      <c r="AU129" s="54"/>
      <c r="AV129" s="54"/>
      <c r="AW129" s="54"/>
      <c r="AX129" s="54"/>
      <c r="AY129" s="54"/>
      <c r="AZ129" s="54"/>
    </row>
    <row r="130" spans="1:52" ht="14.25" customHeight="1">
      <c r="A130" s="24"/>
      <c r="B130" s="24"/>
      <c r="C130" s="24"/>
      <c r="D130" s="24"/>
      <c r="E130" s="24"/>
      <c r="F130" s="24"/>
      <c r="G130" s="24"/>
      <c r="H130" s="24"/>
      <c r="I130" s="24"/>
      <c r="J130" s="24"/>
      <c r="K130" s="24"/>
      <c r="L130" s="24"/>
      <c r="M130" s="24"/>
      <c r="N130" s="35"/>
      <c r="O130" s="24"/>
      <c r="P130" s="35"/>
      <c r="Q130" s="24"/>
      <c r="R130" s="24"/>
      <c r="S130" s="24"/>
      <c r="T130" s="24"/>
      <c r="U130" s="54"/>
      <c r="V130" s="54"/>
      <c r="W130" s="54"/>
      <c r="X130" s="54"/>
      <c r="Y130" s="54"/>
      <c r="Z130" s="54"/>
      <c r="AA130" s="54"/>
      <c r="AB130" s="54"/>
      <c r="AC130" s="54"/>
      <c r="AD130" s="54"/>
      <c r="AE130" s="54"/>
      <c r="AF130" s="54"/>
      <c r="AG130" s="54"/>
      <c r="AH130" s="54"/>
      <c r="AI130" s="54"/>
      <c r="AJ130" s="54"/>
      <c r="AK130" s="54"/>
      <c r="AL130" s="54"/>
      <c r="AM130" s="54"/>
      <c r="AN130" s="54"/>
      <c r="AO130" s="54"/>
      <c r="AP130" s="54"/>
      <c r="AQ130" s="54"/>
      <c r="AR130" s="54"/>
      <c r="AS130" s="54"/>
      <c r="AT130" s="54"/>
      <c r="AU130" s="54"/>
      <c r="AV130" s="54"/>
      <c r="AW130" s="54"/>
      <c r="AX130" s="54"/>
      <c r="AY130" s="54"/>
      <c r="AZ130" s="54"/>
    </row>
    <row r="131" spans="1:52" ht="14.25" customHeight="1">
      <c r="A131" s="24"/>
      <c r="B131" s="24"/>
      <c r="C131" s="24"/>
      <c r="D131" s="24"/>
      <c r="E131" s="24"/>
      <c r="F131" s="24"/>
      <c r="G131" s="24"/>
      <c r="H131" s="24"/>
      <c r="I131" s="24"/>
      <c r="J131" s="24"/>
      <c r="K131" s="24"/>
      <c r="L131" s="24"/>
      <c r="M131" s="24"/>
      <c r="N131" s="35"/>
      <c r="O131" s="24"/>
      <c r="P131" s="35"/>
      <c r="Q131" s="24"/>
      <c r="R131" s="24"/>
      <c r="S131" s="24"/>
      <c r="T131" s="24"/>
      <c r="U131" s="54"/>
      <c r="V131" s="54"/>
      <c r="W131" s="54"/>
      <c r="X131" s="54"/>
      <c r="Y131" s="54"/>
      <c r="Z131" s="54"/>
      <c r="AA131" s="54"/>
      <c r="AB131" s="54"/>
      <c r="AC131" s="54"/>
      <c r="AD131" s="54"/>
      <c r="AE131" s="54"/>
      <c r="AF131" s="54"/>
      <c r="AG131" s="54"/>
      <c r="AH131" s="54"/>
      <c r="AI131" s="54"/>
      <c r="AJ131" s="54"/>
      <c r="AK131" s="54"/>
      <c r="AL131" s="54"/>
      <c r="AM131" s="54"/>
      <c r="AN131" s="54"/>
      <c r="AO131" s="54"/>
      <c r="AP131" s="54"/>
      <c r="AQ131" s="54"/>
      <c r="AR131" s="54"/>
      <c r="AS131" s="54"/>
      <c r="AT131" s="54"/>
      <c r="AU131" s="54"/>
      <c r="AV131" s="54"/>
      <c r="AW131" s="54"/>
      <c r="AX131" s="54"/>
      <c r="AY131" s="54"/>
      <c r="AZ131" s="54"/>
    </row>
    <row r="132" spans="1:52" ht="14.25" customHeight="1">
      <c r="A132" s="24"/>
      <c r="B132" s="24"/>
      <c r="C132" s="24"/>
      <c r="D132" s="24"/>
      <c r="E132" s="24"/>
      <c r="F132" s="24"/>
      <c r="G132" s="24"/>
      <c r="H132" s="24"/>
      <c r="I132" s="24"/>
      <c r="J132" s="24"/>
      <c r="K132" s="24"/>
      <c r="L132" s="24"/>
      <c r="M132" s="24"/>
      <c r="N132" s="35"/>
      <c r="O132" s="24"/>
      <c r="P132" s="35"/>
      <c r="Q132" s="24"/>
      <c r="R132" s="24"/>
      <c r="S132" s="24"/>
      <c r="T132" s="24"/>
      <c r="U132" s="54"/>
      <c r="V132" s="54"/>
      <c r="W132" s="54"/>
      <c r="X132" s="54"/>
      <c r="Y132" s="54"/>
      <c r="Z132" s="54"/>
      <c r="AA132" s="54"/>
      <c r="AB132" s="54"/>
      <c r="AC132" s="54"/>
      <c r="AD132" s="54"/>
      <c r="AE132" s="54"/>
      <c r="AF132" s="54"/>
      <c r="AG132" s="54"/>
      <c r="AH132" s="54"/>
      <c r="AI132" s="54"/>
      <c r="AJ132" s="54"/>
      <c r="AK132" s="54"/>
      <c r="AL132" s="54"/>
      <c r="AM132" s="54"/>
      <c r="AN132" s="54"/>
      <c r="AO132" s="54"/>
      <c r="AP132" s="54"/>
      <c r="AQ132" s="54"/>
      <c r="AR132" s="54"/>
      <c r="AS132" s="54"/>
      <c r="AT132" s="54"/>
      <c r="AU132" s="54"/>
      <c r="AV132" s="54"/>
      <c r="AW132" s="54"/>
      <c r="AX132" s="54"/>
      <c r="AY132" s="54"/>
      <c r="AZ132" s="54"/>
    </row>
    <row r="133" spans="1:52" ht="14.25" customHeight="1">
      <c r="A133" s="24"/>
      <c r="B133" s="24"/>
      <c r="C133" s="24"/>
      <c r="D133" s="24"/>
      <c r="E133" s="24"/>
      <c r="F133" s="24"/>
      <c r="G133" s="24"/>
      <c r="H133" s="24"/>
      <c r="I133" s="24"/>
      <c r="J133" s="24"/>
      <c r="K133" s="24"/>
      <c r="L133" s="24"/>
      <c r="M133" s="24"/>
      <c r="N133" s="35"/>
      <c r="O133" s="24"/>
      <c r="P133" s="35"/>
      <c r="Q133" s="24"/>
      <c r="R133" s="24"/>
      <c r="S133" s="24"/>
      <c r="T133" s="24"/>
      <c r="U133" s="54"/>
      <c r="V133" s="54"/>
      <c r="W133" s="54"/>
      <c r="X133" s="54"/>
      <c r="Y133" s="54"/>
      <c r="Z133" s="54"/>
      <c r="AA133" s="54"/>
      <c r="AB133" s="54"/>
      <c r="AC133" s="54"/>
      <c r="AD133" s="54"/>
      <c r="AE133" s="54"/>
      <c r="AF133" s="54"/>
      <c r="AG133" s="54"/>
      <c r="AH133" s="54"/>
      <c r="AI133" s="54"/>
      <c r="AJ133" s="54"/>
      <c r="AK133" s="54"/>
      <c r="AL133" s="54"/>
      <c r="AM133" s="54"/>
      <c r="AN133" s="54"/>
      <c r="AO133" s="54"/>
      <c r="AP133" s="54"/>
      <c r="AQ133" s="54"/>
      <c r="AR133" s="54"/>
      <c r="AS133" s="54"/>
      <c r="AT133" s="54"/>
      <c r="AU133" s="54"/>
      <c r="AV133" s="54"/>
      <c r="AW133" s="54"/>
      <c r="AX133" s="54"/>
      <c r="AY133" s="54"/>
      <c r="AZ133" s="54"/>
    </row>
    <row r="134" spans="1:52" ht="14.25" customHeight="1">
      <c r="A134" s="24"/>
      <c r="B134" s="24"/>
      <c r="C134" s="24"/>
      <c r="D134" s="24"/>
      <c r="E134" s="24"/>
      <c r="F134" s="24"/>
      <c r="G134" s="24"/>
      <c r="H134" s="24"/>
      <c r="I134" s="24"/>
      <c r="J134" s="24"/>
      <c r="K134" s="24"/>
      <c r="L134" s="24"/>
      <c r="M134" s="24"/>
      <c r="N134" s="35"/>
      <c r="O134" s="24"/>
      <c r="P134" s="35"/>
      <c r="Q134" s="24"/>
      <c r="R134" s="24"/>
      <c r="S134" s="24"/>
      <c r="T134" s="24"/>
      <c r="U134" s="54"/>
      <c r="V134" s="54"/>
      <c r="W134" s="54"/>
      <c r="X134" s="54"/>
      <c r="Y134" s="54"/>
      <c r="Z134" s="54"/>
      <c r="AA134" s="54"/>
      <c r="AB134" s="54"/>
      <c r="AC134" s="54"/>
      <c r="AD134" s="54"/>
      <c r="AE134" s="54"/>
      <c r="AF134" s="54"/>
      <c r="AG134" s="54"/>
      <c r="AH134" s="54"/>
      <c r="AI134" s="54"/>
      <c r="AJ134" s="54"/>
      <c r="AK134" s="54"/>
      <c r="AL134" s="54"/>
      <c r="AM134" s="54"/>
      <c r="AN134" s="54"/>
      <c r="AO134" s="54"/>
      <c r="AP134" s="54"/>
      <c r="AQ134" s="54"/>
      <c r="AR134" s="54"/>
      <c r="AS134" s="54"/>
      <c r="AT134" s="54"/>
      <c r="AU134" s="54"/>
      <c r="AV134" s="54"/>
      <c r="AW134" s="54"/>
      <c r="AX134" s="54"/>
      <c r="AY134" s="54"/>
      <c r="AZ134" s="54"/>
    </row>
    <row r="135" spans="1:52" ht="14.25" customHeight="1">
      <c r="A135" s="24"/>
      <c r="B135" s="24"/>
      <c r="C135" s="24"/>
      <c r="D135" s="24"/>
      <c r="E135" s="24"/>
      <c r="F135" s="24"/>
      <c r="G135" s="24"/>
      <c r="H135" s="24"/>
      <c r="I135" s="24"/>
      <c r="J135" s="24"/>
      <c r="K135" s="24"/>
      <c r="L135" s="24"/>
      <c r="M135" s="24"/>
      <c r="N135" s="35"/>
      <c r="O135" s="24"/>
      <c r="P135" s="35"/>
      <c r="Q135" s="24"/>
      <c r="R135" s="24"/>
      <c r="S135" s="24"/>
      <c r="T135" s="24"/>
      <c r="U135" s="54"/>
      <c r="V135" s="54"/>
      <c r="W135" s="54"/>
      <c r="X135" s="54"/>
      <c r="Y135" s="54"/>
      <c r="Z135" s="54"/>
      <c r="AA135" s="54"/>
      <c r="AB135" s="54"/>
      <c r="AC135" s="54"/>
      <c r="AD135" s="54"/>
      <c r="AE135" s="54"/>
      <c r="AF135" s="54"/>
      <c r="AG135" s="54"/>
      <c r="AH135" s="54"/>
      <c r="AI135" s="54"/>
      <c r="AJ135" s="54"/>
      <c r="AK135" s="54"/>
      <c r="AL135" s="54"/>
      <c r="AM135" s="54"/>
      <c r="AN135" s="54"/>
      <c r="AO135" s="54"/>
      <c r="AP135" s="54"/>
      <c r="AQ135" s="54"/>
      <c r="AR135" s="54"/>
      <c r="AS135" s="54"/>
      <c r="AT135" s="54"/>
      <c r="AU135" s="54"/>
      <c r="AV135" s="54"/>
      <c r="AW135" s="54"/>
      <c r="AX135" s="54"/>
      <c r="AY135" s="54"/>
      <c r="AZ135" s="54"/>
    </row>
    <row r="136" spans="1:52" ht="14.25" customHeight="1">
      <c r="A136" s="24"/>
      <c r="B136" s="24"/>
      <c r="C136" s="24"/>
      <c r="D136" s="24"/>
      <c r="E136" s="24"/>
      <c r="F136" s="24"/>
      <c r="G136" s="24"/>
      <c r="H136" s="24"/>
      <c r="I136" s="24"/>
      <c r="J136" s="24"/>
      <c r="K136" s="24"/>
      <c r="L136" s="24"/>
      <c r="M136" s="24"/>
      <c r="N136" s="35"/>
      <c r="O136" s="24"/>
      <c r="P136" s="35"/>
      <c r="Q136" s="24"/>
      <c r="R136" s="24"/>
      <c r="S136" s="24"/>
      <c r="T136" s="24"/>
      <c r="U136" s="54"/>
      <c r="V136" s="54"/>
      <c r="W136" s="54"/>
      <c r="X136" s="54"/>
      <c r="Y136" s="54"/>
      <c r="Z136" s="54"/>
      <c r="AA136" s="54"/>
      <c r="AB136" s="54"/>
      <c r="AC136" s="54"/>
      <c r="AD136" s="54"/>
      <c r="AE136" s="54"/>
      <c r="AF136" s="54"/>
      <c r="AG136" s="54"/>
      <c r="AH136" s="54"/>
      <c r="AI136" s="54"/>
      <c r="AJ136" s="54"/>
      <c r="AK136" s="54"/>
      <c r="AL136" s="54"/>
      <c r="AM136" s="54"/>
      <c r="AN136" s="54"/>
      <c r="AO136" s="54"/>
      <c r="AP136" s="54"/>
      <c r="AQ136" s="54"/>
      <c r="AR136" s="54"/>
      <c r="AS136" s="54"/>
      <c r="AT136" s="54"/>
      <c r="AU136" s="54"/>
      <c r="AV136" s="54"/>
      <c r="AW136" s="54"/>
      <c r="AX136" s="54"/>
      <c r="AY136" s="54"/>
      <c r="AZ136" s="54"/>
    </row>
    <row r="137" spans="1:52" ht="14.25" customHeight="1">
      <c r="A137" s="24"/>
      <c r="B137" s="24"/>
      <c r="C137" s="24"/>
      <c r="D137" s="24"/>
      <c r="E137" s="24"/>
      <c r="F137" s="24"/>
      <c r="G137" s="24"/>
      <c r="H137" s="24"/>
      <c r="I137" s="24"/>
      <c r="J137" s="24"/>
      <c r="K137" s="24"/>
      <c r="L137" s="24"/>
      <c r="M137" s="24"/>
      <c r="N137" s="35"/>
      <c r="O137" s="24"/>
      <c r="P137" s="35"/>
      <c r="Q137" s="24"/>
      <c r="R137" s="24"/>
      <c r="S137" s="24"/>
      <c r="T137" s="24"/>
      <c r="U137" s="54"/>
      <c r="V137" s="54"/>
      <c r="W137" s="54"/>
      <c r="X137" s="54"/>
      <c r="Y137" s="54"/>
      <c r="Z137" s="54"/>
      <c r="AA137" s="54"/>
      <c r="AB137" s="54"/>
      <c r="AC137" s="54"/>
      <c r="AD137" s="54"/>
      <c r="AE137" s="54"/>
      <c r="AF137" s="54"/>
      <c r="AG137" s="54"/>
      <c r="AH137" s="54"/>
      <c r="AI137" s="54"/>
      <c r="AJ137" s="54"/>
      <c r="AK137" s="54"/>
      <c r="AL137" s="54"/>
      <c r="AM137" s="54"/>
      <c r="AN137" s="54"/>
      <c r="AO137" s="54"/>
      <c r="AP137" s="54"/>
      <c r="AQ137" s="54"/>
      <c r="AR137" s="54"/>
      <c r="AS137" s="54"/>
      <c r="AT137" s="54"/>
      <c r="AU137" s="54"/>
      <c r="AV137" s="54"/>
      <c r="AW137" s="54"/>
      <c r="AX137" s="54"/>
      <c r="AY137" s="54"/>
      <c r="AZ137" s="54"/>
    </row>
    <row r="138" spans="1:52" ht="14.25" customHeight="1">
      <c r="A138" s="24"/>
      <c r="B138" s="24"/>
      <c r="C138" s="24"/>
      <c r="D138" s="24"/>
      <c r="E138" s="24"/>
      <c r="F138" s="24"/>
      <c r="G138" s="24"/>
      <c r="H138" s="24"/>
      <c r="I138" s="24"/>
      <c r="J138" s="24"/>
      <c r="K138" s="24"/>
      <c r="L138" s="24"/>
      <c r="M138" s="24"/>
      <c r="N138" s="35"/>
      <c r="O138" s="24"/>
      <c r="P138" s="35"/>
      <c r="Q138" s="24"/>
      <c r="R138" s="24"/>
      <c r="S138" s="24"/>
      <c r="T138" s="24"/>
      <c r="U138" s="54"/>
      <c r="V138" s="54"/>
      <c r="W138" s="54"/>
      <c r="X138" s="54"/>
      <c r="Y138" s="54"/>
      <c r="Z138" s="54"/>
      <c r="AA138" s="54"/>
      <c r="AB138" s="54"/>
      <c r="AC138" s="54"/>
      <c r="AD138" s="54"/>
      <c r="AE138" s="54"/>
      <c r="AF138" s="54"/>
      <c r="AG138" s="54"/>
      <c r="AH138" s="54"/>
      <c r="AI138" s="54"/>
      <c r="AJ138" s="54"/>
      <c r="AK138" s="54"/>
      <c r="AL138" s="54"/>
      <c r="AM138" s="54"/>
      <c r="AN138" s="54"/>
      <c r="AO138" s="54"/>
      <c r="AP138" s="54"/>
      <c r="AQ138" s="54"/>
      <c r="AR138" s="54"/>
      <c r="AS138" s="54"/>
      <c r="AT138" s="54"/>
      <c r="AU138" s="54"/>
      <c r="AV138" s="54"/>
      <c r="AW138" s="54"/>
      <c r="AX138" s="54"/>
      <c r="AY138" s="54"/>
      <c r="AZ138" s="54"/>
    </row>
    <row r="139" spans="1:52" ht="14.25" customHeight="1">
      <c r="A139" s="24"/>
      <c r="B139" s="24"/>
      <c r="C139" s="24"/>
      <c r="D139" s="24"/>
      <c r="E139" s="24"/>
      <c r="F139" s="24"/>
      <c r="G139" s="24"/>
      <c r="H139" s="24"/>
      <c r="I139" s="24"/>
      <c r="J139" s="24"/>
      <c r="K139" s="24"/>
      <c r="L139" s="24"/>
      <c r="M139" s="24"/>
      <c r="N139" s="35"/>
      <c r="O139" s="24"/>
      <c r="P139" s="35"/>
      <c r="Q139" s="24"/>
      <c r="R139" s="24"/>
      <c r="S139" s="24"/>
      <c r="T139" s="24"/>
      <c r="U139" s="54"/>
      <c r="V139" s="54"/>
      <c r="W139" s="54"/>
      <c r="X139" s="54"/>
      <c r="Y139" s="54"/>
      <c r="Z139" s="54"/>
      <c r="AA139" s="54"/>
      <c r="AB139" s="54"/>
      <c r="AC139" s="54"/>
      <c r="AD139" s="54"/>
      <c r="AE139" s="54"/>
      <c r="AF139" s="54"/>
      <c r="AG139" s="54"/>
      <c r="AH139" s="54"/>
      <c r="AI139" s="54"/>
      <c r="AJ139" s="54"/>
      <c r="AK139" s="54"/>
      <c r="AL139" s="54"/>
      <c r="AM139" s="54"/>
      <c r="AN139" s="54"/>
      <c r="AO139" s="54"/>
      <c r="AP139" s="54"/>
      <c r="AQ139" s="54"/>
      <c r="AR139" s="54"/>
      <c r="AS139" s="54"/>
      <c r="AT139" s="54"/>
      <c r="AU139" s="54"/>
      <c r="AV139" s="54"/>
      <c r="AW139" s="54"/>
      <c r="AX139" s="54"/>
      <c r="AY139" s="54"/>
      <c r="AZ139" s="54"/>
    </row>
    <row r="140" spans="1:52" ht="14.25" customHeight="1">
      <c r="A140" s="24"/>
      <c r="B140" s="24"/>
      <c r="C140" s="24"/>
      <c r="D140" s="24"/>
      <c r="E140" s="24"/>
      <c r="F140" s="24"/>
      <c r="G140" s="24"/>
      <c r="H140" s="24"/>
      <c r="I140" s="24"/>
      <c r="J140" s="24"/>
      <c r="K140" s="24"/>
      <c r="L140" s="24"/>
      <c r="M140" s="24"/>
      <c r="N140" s="35"/>
      <c r="O140" s="24"/>
      <c r="P140" s="35"/>
      <c r="Q140" s="24"/>
      <c r="R140" s="24"/>
      <c r="S140" s="24"/>
      <c r="T140" s="24"/>
      <c r="U140" s="54"/>
      <c r="V140" s="54"/>
      <c r="W140" s="54"/>
      <c r="X140" s="54"/>
      <c r="Y140" s="54"/>
      <c r="Z140" s="54"/>
      <c r="AA140" s="54"/>
      <c r="AB140" s="54"/>
      <c r="AC140" s="54"/>
      <c r="AD140" s="54"/>
      <c r="AE140" s="54"/>
      <c r="AF140" s="54"/>
      <c r="AG140" s="54"/>
      <c r="AH140" s="54"/>
      <c r="AI140" s="54"/>
      <c r="AJ140" s="54"/>
      <c r="AK140" s="54"/>
      <c r="AL140" s="54"/>
      <c r="AM140" s="54"/>
      <c r="AN140" s="54"/>
      <c r="AO140" s="54"/>
      <c r="AP140" s="54"/>
      <c r="AQ140" s="54"/>
      <c r="AR140" s="54"/>
      <c r="AS140" s="54"/>
      <c r="AT140" s="54"/>
      <c r="AU140" s="54"/>
      <c r="AV140" s="54"/>
      <c r="AW140" s="54"/>
      <c r="AX140" s="54"/>
      <c r="AY140" s="54"/>
      <c r="AZ140" s="54"/>
    </row>
    <row r="141" spans="1:52" ht="14.25" customHeight="1">
      <c r="A141" s="24"/>
      <c r="B141" s="24"/>
      <c r="C141" s="24"/>
      <c r="D141" s="24"/>
      <c r="E141" s="24"/>
      <c r="F141" s="24"/>
      <c r="G141" s="24"/>
      <c r="H141" s="24"/>
      <c r="I141" s="24"/>
      <c r="J141" s="24"/>
      <c r="K141" s="24"/>
      <c r="L141" s="24"/>
      <c r="M141" s="24"/>
      <c r="N141" s="35"/>
      <c r="O141" s="24"/>
      <c r="P141" s="35"/>
      <c r="Q141" s="24"/>
      <c r="R141" s="24"/>
      <c r="S141" s="24"/>
      <c r="T141" s="24"/>
      <c r="U141" s="54"/>
      <c r="V141" s="54"/>
      <c r="W141" s="54"/>
      <c r="X141" s="54"/>
      <c r="Y141" s="54"/>
      <c r="Z141" s="54"/>
      <c r="AA141" s="54"/>
      <c r="AB141" s="54"/>
      <c r="AC141" s="54"/>
      <c r="AD141" s="54"/>
      <c r="AE141" s="54"/>
      <c r="AF141" s="54"/>
      <c r="AG141" s="54"/>
      <c r="AH141" s="54"/>
      <c r="AI141" s="54"/>
      <c r="AJ141" s="54"/>
      <c r="AK141" s="54"/>
      <c r="AL141" s="54"/>
      <c r="AM141" s="54"/>
      <c r="AN141" s="54"/>
      <c r="AO141" s="54"/>
      <c r="AP141" s="54"/>
      <c r="AQ141" s="54"/>
      <c r="AR141" s="54"/>
      <c r="AS141" s="54"/>
      <c r="AT141" s="54"/>
      <c r="AU141" s="54"/>
      <c r="AV141" s="54"/>
      <c r="AW141" s="54"/>
      <c r="AX141" s="54"/>
      <c r="AY141" s="54"/>
      <c r="AZ141" s="54"/>
    </row>
    <row r="142" spans="1:52" ht="14.25" customHeight="1">
      <c r="A142" s="24"/>
      <c r="B142" s="24"/>
      <c r="C142" s="24"/>
      <c r="D142" s="24"/>
      <c r="E142" s="24"/>
      <c r="F142" s="24"/>
      <c r="G142" s="24"/>
      <c r="H142" s="24"/>
      <c r="I142" s="24"/>
      <c r="J142" s="24"/>
      <c r="K142" s="24"/>
      <c r="L142" s="24"/>
      <c r="M142" s="24"/>
      <c r="N142" s="35"/>
      <c r="O142" s="24"/>
      <c r="P142" s="35"/>
      <c r="Q142" s="24"/>
      <c r="R142" s="24"/>
      <c r="S142" s="24"/>
      <c r="T142" s="24"/>
      <c r="U142" s="54"/>
      <c r="V142" s="54"/>
      <c r="W142" s="54"/>
      <c r="X142" s="54"/>
      <c r="Y142" s="54"/>
      <c r="Z142" s="54"/>
      <c r="AA142" s="54"/>
      <c r="AB142" s="54"/>
      <c r="AC142" s="54"/>
      <c r="AD142" s="54"/>
      <c r="AE142" s="54"/>
      <c r="AF142" s="54"/>
      <c r="AG142" s="54"/>
      <c r="AH142" s="54"/>
      <c r="AI142" s="54"/>
      <c r="AJ142" s="54"/>
      <c r="AK142" s="54"/>
      <c r="AL142" s="54"/>
      <c r="AM142" s="54"/>
      <c r="AN142" s="54"/>
      <c r="AO142" s="54"/>
      <c r="AP142" s="54"/>
      <c r="AQ142" s="54"/>
      <c r="AR142" s="54"/>
      <c r="AS142" s="54"/>
      <c r="AT142" s="54"/>
      <c r="AU142" s="54"/>
      <c r="AV142" s="54"/>
      <c r="AW142" s="54"/>
      <c r="AX142" s="54"/>
      <c r="AY142" s="54"/>
      <c r="AZ142" s="54"/>
    </row>
    <row r="143" spans="1:52" ht="14.25" customHeight="1">
      <c r="A143" s="24"/>
      <c r="B143" s="24"/>
      <c r="C143" s="24"/>
      <c r="D143" s="24"/>
      <c r="E143" s="24"/>
      <c r="F143" s="24"/>
      <c r="G143" s="24"/>
      <c r="H143" s="24"/>
      <c r="I143" s="24"/>
      <c r="J143" s="24"/>
      <c r="K143" s="24"/>
      <c r="L143" s="24"/>
      <c r="M143" s="24"/>
      <c r="N143" s="35"/>
      <c r="O143" s="24"/>
      <c r="P143" s="35"/>
      <c r="Q143" s="24"/>
      <c r="R143" s="24"/>
      <c r="S143" s="24"/>
      <c r="T143" s="24"/>
      <c r="U143" s="54"/>
      <c r="V143" s="54"/>
      <c r="W143" s="54"/>
      <c r="X143" s="54"/>
      <c r="Y143" s="54"/>
      <c r="Z143" s="54"/>
      <c r="AA143" s="54"/>
      <c r="AB143" s="54"/>
      <c r="AC143" s="54"/>
      <c r="AD143" s="54"/>
      <c r="AE143" s="54"/>
      <c r="AF143" s="54"/>
      <c r="AG143" s="54"/>
      <c r="AH143" s="54"/>
      <c r="AI143" s="54"/>
      <c r="AJ143" s="54"/>
      <c r="AK143" s="54"/>
      <c r="AL143" s="54"/>
      <c r="AM143" s="54"/>
      <c r="AN143" s="54"/>
      <c r="AO143" s="54"/>
      <c r="AP143" s="54"/>
      <c r="AQ143" s="54"/>
      <c r="AR143" s="54"/>
      <c r="AS143" s="54"/>
      <c r="AT143" s="54"/>
      <c r="AU143" s="54"/>
      <c r="AV143" s="54"/>
      <c r="AW143" s="54"/>
      <c r="AX143" s="54"/>
      <c r="AY143" s="54"/>
      <c r="AZ143" s="54"/>
    </row>
    <row r="144" spans="1:52" ht="14.25" customHeight="1">
      <c r="A144" s="24"/>
      <c r="B144" s="24"/>
      <c r="C144" s="24"/>
      <c r="D144" s="24"/>
      <c r="E144" s="24"/>
      <c r="F144" s="24"/>
      <c r="G144" s="24"/>
      <c r="H144" s="24"/>
      <c r="I144" s="24"/>
      <c r="J144" s="24"/>
      <c r="K144" s="24"/>
      <c r="L144" s="24"/>
      <c r="M144" s="24"/>
      <c r="N144" s="35"/>
      <c r="O144" s="24"/>
      <c r="P144" s="35"/>
      <c r="Q144" s="24"/>
      <c r="R144" s="24"/>
      <c r="S144" s="24"/>
      <c r="T144" s="24"/>
      <c r="U144" s="54"/>
      <c r="V144" s="54"/>
      <c r="W144" s="54"/>
      <c r="X144" s="54"/>
      <c r="Y144" s="54"/>
      <c r="Z144" s="54"/>
      <c r="AA144" s="54"/>
      <c r="AB144" s="54"/>
      <c r="AC144" s="54"/>
      <c r="AD144" s="54"/>
      <c r="AE144" s="54"/>
      <c r="AF144" s="54"/>
      <c r="AG144" s="54"/>
      <c r="AH144" s="54"/>
      <c r="AI144" s="54"/>
      <c r="AJ144" s="54"/>
      <c r="AK144" s="54"/>
      <c r="AL144" s="54"/>
      <c r="AM144" s="54"/>
      <c r="AN144" s="54"/>
      <c r="AO144" s="54"/>
      <c r="AP144" s="54"/>
      <c r="AQ144" s="54"/>
      <c r="AR144" s="54"/>
      <c r="AS144" s="54"/>
      <c r="AT144" s="54"/>
      <c r="AU144" s="54"/>
      <c r="AV144" s="54"/>
      <c r="AW144" s="54"/>
      <c r="AX144" s="54"/>
      <c r="AY144" s="54"/>
      <c r="AZ144" s="54"/>
    </row>
    <row r="145" spans="1:52" ht="14.25" customHeight="1">
      <c r="A145" s="24"/>
      <c r="B145" s="24"/>
      <c r="C145" s="24"/>
      <c r="D145" s="24"/>
      <c r="E145" s="24"/>
      <c r="F145" s="24"/>
      <c r="G145" s="24"/>
      <c r="H145" s="24"/>
      <c r="I145" s="24"/>
      <c r="J145" s="24"/>
      <c r="K145" s="24"/>
      <c r="L145" s="24"/>
      <c r="M145" s="24"/>
      <c r="N145" s="35"/>
      <c r="O145" s="24"/>
      <c r="P145" s="35"/>
      <c r="Q145" s="24"/>
      <c r="R145" s="24"/>
      <c r="S145" s="24"/>
      <c r="T145" s="24"/>
      <c r="U145" s="54"/>
      <c r="V145" s="54"/>
      <c r="W145" s="54"/>
      <c r="X145" s="54"/>
      <c r="Y145" s="54"/>
      <c r="Z145" s="54"/>
      <c r="AA145" s="54"/>
      <c r="AB145" s="54"/>
      <c r="AC145" s="54"/>
      <c r="AD145" s="54"/>
      <c r="AE145" s="54"/>
      <c r="AF145" s="54"/>
      <c r="AG145" s="54"/>
      <c r="AH145" s="54"/>
      <c r="AI145" s="54"/>
      <c r="AJ145" s="54"/>
      <c r="AK145" s="54"/>
      <c r="AL145" s="54"/>
      <c r="AM145" s="54"/>
      <c r="AN145" s="54"/>
      <c r="AO145" s="54"/>
      <c r="AP145" s="54"/>
      <c r="AQ145" s="54"/>
      <c r="AR145" s="54"/>
      <c r="AS145" s="54"/>
      <c r="AT145" s="54"/>
      <c r="AU145" s="54"/>
      <c r="AV145" s="54"/>
      <c r="AW145" s="54"/>
      <c r="AX145" s="54"/>
      <c r="AY145" s="54"/>
      <c r="AZ145" s="54"/>
    </row>
    <row r="146" spans="1:52" ht="14.25" customHeight="1">
      <c r="A146" s="24"/>
      <c r="B146" s="24"/>
      <c r="C146" s="24"/>
      <c r="D146" s="24"/>
      <c r="E146" s="24"/>
      <c r="F146" s="24"/>
      <c r="G146" s="24"/>
      <c r="H146" s="24"/>
      <c r="I146" s="24"/>
      <c r="J146" s="24"/>
      <c r="K146" s="24"/>
      <c r="L146" s="24"/>
      <c r="M146" s="24"/>
      <c r="N146" s="35"/>
      <c r="O146" s="24"/>
      <c r="P146" s="35"/>
      <c r="Q146" s="24"/>
      <c r="R146" s="24"/>
      <c r="S146" s="24"/>
      <c r="T146" s="24"/>
      <c r="U146" s="54"/>
      <c r="V146" s="54"/>
      <c r="W146" s="54"/>
      <c r="X146" s="54"/>
      <c r="Y146" s="54"/>
      <c r="Z146" s="54"/>
      <c r="AA146" s="54"/>
      <c r="AB146" s="54"/>
      <c r="AC146" s="54"/>
      <c r="AD146" s="54"/>
      <c r="AE146" s="54"/>
      <c r="AF146" s="54"/>
      <c r="AG146" s="54"/>
      <c r="AH146" s="54"/>
      <c r="AI146" s="54"/>
      <c r="AJ146" s="54"/>
      <c r="AK146" s="54"/>
      <c r="AL146" s="54"/>
      <c r="AM146" s="54"/>
      <c r="AN146" s="54"/>
      <c r="AO146" s="54"/>
      <c r="AP146" s="54"/>
      <c r="AQ146" s="54"/>
      <c r="AR146" s="54"/>
      <c r="AS146" s="54"/>
      <c r="AT146" s="54"/>
      <c r="AU146" s="54"/>
      <c r="AV146" s="54"/>
      <c r="AW146" s="54"/>
      <c r="AX146" s="54"/>
      <c r="AY146" s="54"/>
      <c r="AZ146" s="54"/>
    </row>
    <row r="147" spans="1:52" ht="14.25" customHeight="1">
      <c r="A147" s="24"/>
      <c r="B147" s="24"/>
      <c r="C147" s="24"/>
      <c r="D147" s="24"/>
      <c r="E147" s="24"/>
      <c r="F147" s="24"/>
      <c r="G147" s="24"/>
      <c r="H147" s="24"/>
      <c r="I147" s="24"/>
      <c r="J147" s="24"/>
      <c r="K147" s="24"/>
      <c r="L147" s="24"/>
      <c r="M147" s="24"/>
      <c r="N147" s="35"/>
      <c r="O147" s="24"/>
      <c r="P147" s="35"/>
      <c r="Q147" s="24"/>
      <c r="R147" s="24"/>
      <c r="S147" s="24"/>
      <c r="T147" s="24"/>
      <c r="U147" s="54"/>
      <c r="V147" s="54"/>
      <c r="W147" s="54"/>
      <c r="X147" s="54"/>
      <c r="Y147" s="54"/>
      <c r="Z147" s="54"/>
      <c r="AA147" s="54"/>
      <c r="AB147" s="54"/>
      <c r="AC147" s="54"/>
      <c r="AD147" s="54"/>
      <c r="AE147" s="54"/>
      <c r="AF147" s="54"/>
      <c r="AG147" s="54"/>
      <c r="AH147" s="54"/>
      <c r="AI147" s="54"/>
      <c r="AJ147" s="54"/>
      <c r="AK147" s="54"/>
      <c r="AL147" s="54"/>
      <c r="AM147" s="54"/>
      <c r="AN147" s="54"/>
      <c r="AO147" s="54"/>
      <c r="AP147" s="54"/>
      <c r="AQ147" s="54"/>
      <c r="AR147" s="54"/>
      <c r="AS147" s="54"/>
      <c r="AT147" s="54"/>
      <c r="AU147" s="54"/>
      <c r="AV147" s="54"/>
      <c r="AW147" s="54"/>
      <c r="AX147" s="54"/>
      <c r="AY147" s="54"/>
      <c r="AZ147" s="54"/>
    </row>
    <row r="148" spans="1:52" ht="14.25" customHeight="1">
      <c r="A148" s="24"/>
      <c r="B148" s="24"/>
      <c r="C148" s="24"/>
      <c r="D148" s="24"/>
      <c r="E148" s="24"/>
      <c r="F148" s="24"/>
      <c r="G148" s="24"/>
      <c r="H148" s="24"/>
      <c r="I148" s="24"/>
      <c r="J148" s="24"/>
      <c r="K148" s="24"/>
      <c r="L148" s="24"/>
      <c r="M148" s="24"/>
      <c r="N148" s="35"/>
      <c r="O148" s="24"/>
      <c r="P148" s="35"/>
      <c r="Q148" s="24"/>
      <c r="R148" s="24"/>
      <c r="S148" s="24"/>
      <c r="T148" s="24"/>
      <c r="U148" s="54"/>
      <c r="V148" s="54"/>
      <c r="W148" s="54"/>
      <c r="X148" s="54"/>
      <c r="Y148" s="54"/>
      <c r="Z148" s="54"/>
      <c r="AA148" s="54"/>
      <c r="AB148" s="54"/>
      <c r="AC148" s="54"/>
      <c r="AD148" s="54"/>
      <c r="AE148" s="54"/>
      <c r="AF148" s="54"/>
      <c r="AG148" s="54"/>
      <c r="AH148" s="54"/>
      <c r="AI148" s="54"/>
      <c r="AJ148" s="54"/>
      <c r="AK148" s="54"/>
      <c r="AL148" s="54"/>
      <c r="AM148" s="54"/>
      <c r="AN148" s="54"/>
      <c r="AO148" s="54"/>
      <c r="AP148" s="54"/>
      <c r="AQ148" s="54"/>
      <c r="AR148" s="54"/>
      <c r="AS148" s="54"/>
      <c r="AT148" s="54"/>
      <c r="AU148" s="54"/>
      <c r="AV148" s="54"/>
      <c r="AW148" s="54"/>
      <c r="AX148" s="54"/>
      <c r="AY148" s="54"/>
      <c r="AZ148" s="54"/>
    </row>
    <row r="149" spans="1:52" ht="14.25" customHeight="1">
      <c r="A149" s="24"/>
      <c r="B149" s="24"/>
      <c r="C149" s="24"/>
      <c r="D149" s="24"/>
      <c r="E149" s="24"/>
      <c r="F149" s="24"/>
      <c r="G149" s="24"/>
      <c r="H149" s="24"/>
      <c r="I149" s="24"/>
      <c r="J149" s="24"/>
      <c r="K149" s="24"/>
      <c r="L149" s="24"/>
      <c r="M149" s="24"/>
      <c r="N149" s="35"/>
      <c r="O149" s="24"/>
      <c r="P149" s="35"/>
      <c r="Q149" s="24"/>
      <c r="R149" s="24"/>
      <c r="S149" s="24"/>
      <c r="T149" s="24"/>
      <c r="U149" s="54"/>
      <c r="V149" s="54"/>
      <c r="W149" s="54"/>
      <c r="X149" s="54"/>
      <c r="Y149" s="54"/>
      <c r="Z149" s="54"/>
      <c r="AA149" s="54"/>
      <c r="AB149" s="54"/>
      <c r="AC149" s="54"/>
      <c r="AD149" s="54"/>
      <c r="AE149" s="54"/>
      <c r="AF149" s="54"/>
      <c r="AG149" s="54"/>
      <c r="AH149" s="54"/>
      <c r="AI149" s="54"/>
      <c r="AJ149" s="54"/>
      <c r="AK149" s="54"/>
      <c r="AL149" s="54"/>
      <c r="AM149" s="54"/>
      <c r="AN149" s="54"/>
      <c r="AO149" s="54"/>
      <c r="AP149" s="54"/>
      <c r="AQ149" s="54"/>
      <c r="AR149" s="54"/>
      <c r="AS149" s="54"/>
      <c r="AT149" s="54"/>
      <c r="AU149" s="54"/>
      <c r="AV149" s="54"/>
      <c r="AW149" s="54"/>
      <c r="AX149" s="54"/>
      <c r="AY149" s="54"/>
      <c r="AZ149" s="54"/>
    </row>
    <row r="150" spans="1:52" ht="14.25" customHeight="1">
      <c r="A150" s="24"/>
      <c r="B150" s="24"/>
      <c r="C150" s="24"/>
      <c r="D150" s="24"/>
      <c r="E150" s="24"/>
      <c r="F150" s="24"/>
      <c r="G150" s="24"/>
      <c r="H150" s="24"/>
      <c r="I150" s="24"/>
      <c r="J150" s="24"/>
      <c r="K150" s="24"/>
      <c r="L150" s="24"/>
      <c r="M150" s="24"/>
      <c r="N150" s="35"/>
      <c r="O150" s="24"/>
      <c r="P150" s="35"/>
      <c r="Q150" s="24"/>
      <c r="R150" s="24"/>
      <c r="S150" s="24"/>
      <c r="T150" s="24"/>
      <c r="U150" s="54"/>
      <c r="V150" s="54"/>
      <c r="W150" s="54"/>
      <c r="X150" s="54"/>
      <c r="Y150" s="54"/>
      <c r="Z150" s="54"/>
      <c r="AA150" s="54"/>
      <c r="AB150" s="54"/>
      <c r="AC150" s="54"/>
      <c r="AD150" s="54"/>
      <c r="AE150" s="54"/>
      <c r="AF150" s="54"/>
      <c r="AG150" s="54"/>
      <c r="AH150" s="54"/>
      <c r="AI150" s="54"/>
      <c r="AJ150" s="54"/>
      <c r="AK150" s="54"/>
      <c r="AL150" s="54"/>
      <c r="AM150" s="54"/>
      <c r="AN150" s="54"/>
      <c r="AO150" s="54"/>
      <c r="AP150" s="54"/>
      <c r="AQ150" s="54"/>
      <c r="AR150" s="54"/>
      <c r="AS150" s="54"/>
      <c r="AT150" s="54"/>
      <c r="AU150" s="54"/>
      <c r="AV150" s="54"/>
      <c r="AW150" s="54"/>
      <c r="AX150" s="54"/>
      <c r="AY150" s="54"/>
      <c r="AZ150" s="54"/>
    </row>
    <row r="151" spans="1:52" ht="14.25" customHeight="1">
      <c r="A151" s="24"/>
      <c r="B151" s="24"/>
      <c r="C151" s="24"/>
      <c r="D151" s="24"/>
      <c r="E151" s="24"/>
      <c r="F151" s="24"/>
      <c r="G151" s="24"/>
      <c r="H151" s="24"/>
      <c r="I151" s="24"/>
      <c r="J151" s="24"/>
      <c r="K151" s="24"/>
      <c r="L151" s="24"/>
      <c r="M151" s="24"/>
      <c r="N151" s="35"/>
      <c r="O151" s="24"/>
      <c r="P151" s="35"/>
      <c r="Q151" s="24"/>
      <c r="R151" s="24"/>
      <c r="S151" s="24"/>
      <c r="T151" s="24"/>
      <c r="U151" s="54"/>
      <c r="V151" s="54"/>
      <c r="W151" s="54"/>
      <c r="X151" s="54"/>
      <c r="Y151" s="54"/>
      <c r="Z151" s="54"/>
      <c r="AA151" s="54"/>
      <c r="AB151" s="54"/>
      <c r="AC151" s="54"/>
      <c r="AD151" s="54"/>
      <c r="AE151" s="54"/>
      <c r="AF151" s="54"/>
      <c r="AG151" s="54"/>
      <c r="AH151" s="54"/>
      <c r="AI151" s="54"/>
      <c r="AJ151" s="54"/>
      <c r="AK151" s="54"/>
      <c r="AL151" s="54"/>
      <c r="AM151" s="54"/>
      <c r="AN151" s="54"/>
      <c r="AO151" s="54"/>
      <c r="AP151" s="54"/>
      <c r="AQ151" s="54"/>
      <c r="AR151" s="54"/>
      <c r="AS151" s="54"/>
      <c r="AT151" s="54"/>
      <c r="AU151" s="54"/>
      <c r="AV151" s="54"/>
      <c r="AW151" s="54"/>
      <c r="AX151" s="54"/>
      <c r="AY151" s="54"/>
      <c r="AZ151" s="54"/>
    </row>
    <row r="152" spans="1:52" ht="14.25" customHeight="1">
      <c r="A152" s="24"/>
      <c r="B152" s="24"/>
      <c r="C152" s="24"/>
      <c r="D152" s="24"/>
      <c r="E152" s="24"/>
      <c r="F152" s="24"/>
      <c r="G152" s="24"/>
      <c r="H152" s="24"/>
      <c r="I152" s="24"/>
      <c r="J152" s="24"/>
      <c r="K152" s="24"/>
      <c r="L152" s="24"/>
      <c r="M152" s="24"/>
      <c r="N152" s="35"/>
      <c r="O152" s="24"/>
      <c r="P152" s="35"/>
      <c r="Q152" s="24"/>
      <c r="R152" s="24"/>
      <c r="S152" s="24"/>
      <c r="T152" s="24"/>
      <c r="U152" s="54"/>
      <c r="V152" s="54"/>
      <c r="W152" s="54"/>
      <c r="X152" s="54"/>
      <c r="Y152" s="54"/>
      <c r="Z152" s="54"/>
      <c r="AA152" s="54"/>
      <c r="AB152" s="54"/>
      <c r="AC152" s="54"/>
      <c r="AD152" s="54"/>
      <c r="AE152" s="54"/>
      <c r="AF152" s="54"/>
      <c r="AG152" s="54"/>
      <c r="AH152" s="54"/>
      <c r="AI152" s="54"/>
      <c r="AJ152" s="54"/>
      <c r="AK152" s="54"/>
      <c r="AL152" s="54"/>
      <c r="AM152" s="54"/>
      <c r="AN152" s="54"/>
      <c r="AO152" s="54"/>
      <c r="AP152" s="54"/>
      <c r="AQ152" s="54"/>
      <c r="AR152" s="54"/>
      <c r="AS152" s="54"/>
      <c r="AT152" s="54"/>
      <c r="AU152" s="54"/>
      <c r="AV152" s="54"/>
      <c r="AW152" s="54"/>
      <c r="AX152" s="54"/>
      <c r="AY152" s="54"/>
      <c r="AZ152" s="54"/>
    </row>
    <row r="153" spans="1:52" ht="14.25" customHeight="1">
      <c r="A153" s="24"/>
      <c r="B153" s="24"/>
      <c r="C153" s="24"/>
      <c r="D153" s="24"/>
      <c r="E153" s="24"/>
      <c r="F153" s="24"/>
      <c r="G153" s="24"/>
      <c r="H153" s="24"/>
      <c r="I153" s="24"/>
      <c r="J153" s="24"/>
      <c r="K153" s="24"/>
      <c r="L153" s="24"/>
      <c r="M153" s="24"/>
      <c r="N153" s="35"/>
      <c r="O153" s="24"/>
      <c r="P153" s="35"/>
      <c r="Q153" s="24"/>
      <c r="R153" s="24"/>
      <c r="S153" s="24"/>
      <c r="T153" s="24"/>
      <c r="U153" s="54"/>
      <c r="V153" s="54"/>
      <c r="W153" s="54"/>
      <c r="X153" s="54"/>
      <c r="Y153" s="54"/>
      <c r="Z153" s="54"/>
      <c r="AA153" s="54"/>
      <c r="AB153" s="54"/>
      <c r="AC153" s="54"/>
      <c r="AD153" s="54"/>
      <c r="AE153" s="54"/>
      <c r="AF153" s="54"/>
      <c r="AG153" s="54"/>
      <c r="AH153" s="54"/>
      <c r="AI153" s="54"/>
      <c r="AJ153" s="54"/>
      <c r="AK153" s="54"/>
      <c r="AL153" s="54"/>
      <c r="AM153" s="54"/>
      <c r="AN153" s="54"/>
      <c r="AO153" s="54"/>
      <c r="AP153" s="54"/>
      <c r="AQ153" s="54"/>
      <c r="AR153" s="54"/>
      <c r="AS153" s="54"/>
      <c r="AT153" s="54"/>
      <c r="AU153" s="54"/>
      <c r="AV153" s="54"/>
      <c r="AW153" s="54"/>
      <c r="AX153" s="54"/>
      <c r="AY153" s="54"/>
      <c r="AZ153" s="54"/>
    </row>
    <row r="154" spans="1:52" ht="14.25" customHeight="1">
      <c r="A154" s="24"/>
      <c r="B154" s="24"/>
      <c r="C154" s="24"/>
      <c r="D154" s="24"/>
      <c r="E154" s="24"/>
      <c r="F154" s="24"/>
      <c r="G154" s="24"/>
      <c r="H154" s="24"/>
      <c r="I154" s="24"/>
      <c r="J154" s="24"/>
      <c r="K154" s="24"/>
      <c r="L154" s="24"/>
      <c r="M154" s="24"/>
      <c r="N154" s="35"/>
      <c r="O154" s="24"/>
      <c r="P154" s="35"/>
      <c r="Q154" s="24"/>
      <c r="R154" s="24"/>
      <c r="S154" s="24"/>
      <c r="T154" s="24"/>
      <c r="U154" s="54"/>
      <c r="V154" s="54"/>
      <c r="W154" s="54"/>
      <c r="X154" s="54"/>
      <c r="Y154" s="54"/>
      <c r="Z154" s="54"/>
      <c r="AA154" s="54"/>
      <c r="AB154" s="54"/>
      <c r="AC154" s="54"/>
      <c r="AD154" s="54"/>
      <c r="AE154" s="54"/>
      <c r="AF154" s="54"/>
      <c r="AG154" s="54"/>
      <c r="AH154" s="54"/>
      <c r="AI154" s="54"/>
      <c r="AJ154" s="54"/>
      <c r="AK154" s="54"/>
      <c r="AL154" s="54"/>
      <c r="AM154" s="54"/>
      <c r="AN154" s="54"/>
      <c r="AO154" s="54"/>
      <c r="AP154" s="54"/>
      <c r="AQ154" s="54"/>
      <c r="AR154" s="54"/>
      <c r="AS154" s="54"/>
      <c r="AT154" s="54"/>
      <c r="AU154" s="54"/>
      <c r="AV154" s="54"/>
      <c r="AW154" s="54"/>
      <c r="AX154" s="54"/>
      <c r="AY154" s="54"/>
      <c r="AZ154" s="54"/>
    </row>
    <row r="155" spans="1:52" ht="14.25" customHeight="1">
      <c r="A155" s="24"/>
      <c r="B155" s="24"/>
      <c r="C155" s="24"/>
      <c r="D155" s="24"/>
      <c r="E155" s="24"/>
      <c r="F155" s="24"/>
      <c r="G155" s="24"/>
      <c r="H155" s="24"/>
      <c r="I155" s="24"/>
      <c r="J155" s="24"/>
      <c r="K155" s="24"/>
      <c r="L155" s="24"/>
      <c r="M155" s="24"/>
      <c r="N155" s="35"/>
      <c r="O155" s="24"/>
      <c r="P155" s="35"/>
      <c r="Q155" s="24"/>
      <c r="R155" s="24"/>
      <c r="S155" s="24"/>
      <c r="T155" s="24"/>
      <c r="U155" s="54"/>
      <c r="V155" s="54"/>
      <c r="W155" s="54"/>
      <c r="X155" s="54"/>
      <c r="Y155" s="54"/>
      <c r="Z155" s="54"/>
      <c r="AA155" s="54"/>
      <c r="AB155" s="54"/>
      <c r="AC155" s="54"/>
      <c r="AD155" s="54"/>
      <c r="AE155" s="54"/>
      <c r="AF155" s="54"/>
      <c r="AG155" s="54"/>
      <c r="AH155" s="54"/>
      <c r="AI155" s="54"/>
      <c r="AJ155" s="54"/>
      <c r="AK155" s="54"/>
      <c r="AL155" s="54"/>
      <c r="AM155" s="54"/>
      <c r="AN155" s="54"/>
      <c r="AO155" s="54"/>
      <c r="AP155" s="54"/>
      <c r="AQ155" s="54"/>
      <c r="AR155" s="54"/>
      <c r="AS155" s="54"/>
      <c r="AT155" s="54"/>
      <c r="AU155" s="54"/>
      <c r="AV155" s="54"/>
      <c r="AW155" s="54"/>
      <c r="AX155" s="54"/>
      <c r="AY155" s="54"/>
      <c r="AZ155" s="54"/>
    </row>
    <row r="156" spans="1:52" ht="14.25" customHeight="1">
      <c r="A156" s="24"/>
      <c r="B156" s="24"/>
      <c r="C156" s="24"/>
      <c r="D156" s="24"/>
      <c r="E156" s="24"/>
      <c r="F156" s="24"/>
      <c r="G156" s="24"/>
      <c r="H156" s="24"/>
      <c r="I156" s="24"/>
      <c r="J156" s="24"/>
      <c r="K156" s="24"/>
      <c r="L156" s="24"/>
      <c r="M156" s="24"/>
      <c r="N156" s="35"/>
      <c r="O156" s="24"/>
      <c r="P156" s="35"/>
      <c r="Q156" s="24"/>
      <c r="R156" s="24"/>
      <c r="S156" s="24"/>
      <c r="T156" s="24"/>
      <c r="U156" s="54"/>
      <c r="V156" s="54"/>
      <c r="W156" s="54"/>
      <c r="X156" s="54"/>
      <c r="Y156" s="54"/>
      <c r="Z156" s="54"/>
      <c r="AA156" s="54"/>
      <c r="AB156" s="54"/>
      <c r="AC156" s="54"/>
      <c r="AD156" s="54"/>
      <c r="AE156" s="54"/>
      <c r="AF156" s="54"/>
      <c r="AG156" s="54"/>
      <c r="AH156" s="54"/>
      <c r="AI156" s="54"/>
      <c r="AJ156" s="54"/>
      <c r="AK156" s="54"/>
      <c r="AL156" s="54"/>
      <c r="AM156" s="54"/>
      <c r="AN156" s="54"/>
      <c r="AO156" s="54"/>
      <c r="AP156" s="54"/>
      <c r="AQ156" s="54"/>
      <c r="AR156" s="54"/>
      <c r="AS156" s="54"/>
      <c r="AT156" s="54"/>
      <c r="AU156" s="54"/>
      <c r="AV156" s="54"/>
      <c r="AW156" s="54"/>
      <c r="AX156" s="54"/>
      <c r="AY156" s="54"/>
      <c r="AZ156" s="54"/>
    </row>
    <row r="157" spans="1:52" ht="14.25" customHeight="1">
      <c r="A157" s="24"/>
      <c r="B157" s="24"/>
      <c r="C157" s="24"/>
      <c r="D157" s="24"/>
      <c r="E157" s="24"/>
      <c r="F157" s="24"/>
      <c r="G157" s="24"/>
      <c r="H157" s="24"/>
      <c r="I157" s="24"/>
      <c r="J157" s="24"/>
      <c r="K157" s="24"/>
      <c r="L157" s="24"/>
      <c r="M157" s="24"/>
      <c r="N157" s="35"/>
      <c r="O157" s="24"/>
      <c r="P157" s="35"/>
      <c r="Q157" s="24"/>
      <c r="R157" s="24"/>
      <c r="S157" s="24"/>
      <c r="T157" s="24"/>
      <c r="U157" s="54"/>
      <c r="V157" s="54"/>
      <c r="W157" s="54"/>
      <c r="X157" s="54"/>
      <c r="Y157" s="54"/>
      <c r="Z157" s="54"/>
      <c r="AA157" s="54"/>
      <c r="AB157" s="54"/>
      <c r="AC157" s="54"/>
      <c r="AD157" s="54"/>
      <c r="AE157" s="54"/>
      <c r="AF157" s="54"/>
      <c r="AG157" s="54"/>
      <c r="AH157" s="54"/>
      <c r="AI157" s="54"/>
      <c r="AJ157" s="54"/>
      <c r="AK157" s="54"/>
      <c r="AL157" s="54"/>
      <c r="AM157" s="54"/>
      <c r="AN157" s="54"/>
      <c r="AO157" s="54"/>
      <c r="AP157" s="54"/>
      <c r="AQ157" s="54"/>
      <c r="AR157" s="54"/>
      <c r="AS157" s="54"/>
      <c r="AT157" s="54"/>
      <c r="AU157" s="54"/>
      <c r="AV157" s="54"/>
      <c r="AW157" s="54"/>
      <c r="AX157" s="54"/>
      <c r="AY157" s="54"/>
      <c r="AZ157" s="54"/>
    </row>
    <row r="158" spans="1:52" ht="14.25" customHeight="1">
      <c r="A158" s="24"/>
      <c r="B158" s="24"/>
      <c r="C158" s="24"/>
      <c r="D158" s="24"/>
      <c r="E158" s="24"/>
      <c r="F158" s="24"/>
      <c r="G158" s="24"/>
      <c r="H158" s="24"/>
      <c r="I158" s="24"/>
      <c r="J158" s="24"/>
      <c r="K158" s="24"/>
      <c r="L158" s="24"/>
      <c r="M158" s="24"/>
      <c r="N158" s="35"/>
      <c r="O158" s="24"/>
      <c r="P158" s="35"/>
      <c r="Q158" s="24"/>
      <c r="R158" s="24"/>
      <c r="S158" s="24"/>
      <c r="T158" s="24"/>
      <c r="U158" s="54"/>
      <c r="V158" s="54"/>
      <c r="W158" s="54"/>
      <c r="X158" s="54"/>
      <c r="Y158" s="54"/>
      <c r="Z158" s="54"/>
      <c r="AA158" s="54"/>
      <c r="AB158" s="54"/>
      <c r="AC158" s="54"/>
      <c r="AD158" s="54"/>
      <c r="AE158" s="54"/>
      <c r="AF158" s="54"/>
      <c r="AG158" s="54"/>
      <c r="AH158" s="54"/>
      <c r="AI158" s="54"/>
      <c r="AJ158" s="54"/>
      <c r="AK158" s="54"/>
      <c r="AL158" s="54"/>
      <c r="AM158" s="54"/>
      <c r="AN158" s="54"/>
      <c r="AO158" s="54"/>
      <c r="AP158" s="54"/>
      <c r="AQ158" s="54"/>
      <c r="AR158" s="54"/>
      <c r="AS158" s="54"/>
      <c r="AT158" s="54"/>
      <c r="AU158" s="54"/>
      <c r="AV158" s="54"/>
      <c r="AW158" s="54"/>
      <c r="AX158" s="54"/>
      <c r="AY158" s="54"/>
      <c r="AZ158" s="54"/>
    </row>
    <row r="159" spans="1:52" ht="14.25" customHeight="1">
      <c r="A159" s="24"/>
      <c r="B159" s="24"/>
      <c r="C159" s="24"/>
      <c r="D159" s="24"/>
      <c r="E159" s="24"/>
      <c r="F159" s="24"/>
      <c r="G159" s="24"/>
      <c r="H159" s="24"/>
      <c r="I159" s="24"/>
      <c r="J159" s="24"/>
      <c r="K159" s="24"/>
      <c r="L159" s="24"/>
      <c r="M159" s="24"/>
      <c r="N159" s="35"/>
      <c r="O159" s="24"/>
      <c r="P159" s="35"/>
      <c r="Q159" s="24"/>
      <c r="R159" s="24"/>
      <c r="S159" s="24"/>
      <c r="T159" s="24"/>
      <c r="U159" s="54"/>
      <c r="V159" s="54"/>
      <c r="W159" s="54"/>
      <c r="X159" s="54"/>
      <c r="Y159" s="54"/>
      <c r="Z159" s="54"/>
      <c r="AA159" s="54"/>
      <c r="AB159" s="54"/>
      <c r="AC159" s="54"/>
      <c r="AD159" s="54"/>
      <c r="AE159" s="54"/>
      <c r="AF159" s="54"/>
      <c r="AG159" s="54"/>
      <c r="AH159" s="54"/>
      <c r="AI159" s="54"/>
      <c r="AJ159" s="54"/>
      <c r="AK159" s="54"/>
      <c r="AL159" s="54"/>
      <c r="AM159" s="54"/>
      <c r="AN159" s="54"/>
      <c r="AO159" s="54"/>
      <c r="AP159" s="54"/>
      <c r="AQ159" s="54"/>
      <c r="AR159" s="54"/>
      <c r="AS159" s="54"/>
      <c r="AT159" s="54"/>
      <c r="AU159" s="54"/>
      <c r="AV159" s="54"/>
      <c r="AW159" s="54"/>
      <c r="AX159" s="54"/>
      <c r="AY159" s="54"/>
      <c r="AZ159" s="54"/>
    </row>
    <row r="160" spans="1:52" ht="14.25" customHeight="1">
      <c r="A160" s="24"/>
      <c r="B160" s="24"/>
      <c r="C160" s="24"/>
      <c r="D160" s="24"/>
      <c r="E160" s="24"/>
      <c r="F160" s="24"/>
      <c r="G160" s="24"/>
      <c r="H160" s="24"/>
      <c r="I160" s="24"/>
      <c r="J160" s="24"/>
      <c r="K160" s="24"/>
      <c r="L160" s="24"/>
      <c r="M160" s="24"/>
      <c r="N160" s="35"/>
      <c r="O160" s="24"/>
      <c r="P160" s="35"/>
      <c r="Q160" s="24"/>
      <c r="R160" s="24"/>
      <c r="S160" s="24"/>
      <c r="T160" s="24"/>
      <c r="U160" s="54"/>
      <c r="V160" s="54"/>
      <c r="W160" s="54"/>
      <c r="X160" s="54"/>
      <c r="Y160" s="54"/>
      <c r="Z160" s="54"/>
      <c r="AA160" s="54"/>
      <c r="AB160" s="54"/>
      <c r="AC160" s="54"/>
      <c r="AD160" s="54"/>
      <c r="AE160" s="54"/>
      <c r="AF160" s="54"/>
      <c r="AG160" s="54"/>
      <c r="AH160" s="54"/>
      <c r="AI160" s="54"/>
      <c r="AJ160" s="54"/>
      <c r="AK160" s="54"/>
      <c r="AL160" s="54"/>
      <c r="AM160" s="54"/>
      <c r="AN160" s="54"/>
      <c r="AO160" s="54"/>
      <c r="AP160" s="54"/>
      <c r="AQ160" s="54"/>
      <c r="AR160" s="54"/>
      <c r="AS160" s="54"/>
      <c r="AT160" s="54"/>
      <c r="AU160" s="54"/>
      <c r="AV160" s="54"/>
      <c r="AW160" s="54"/>
      <c r="AX160" s="54"/>
      <c r="AY160" s="54"/>
      <c r="AZ160" s="54"/>
    </row>
    <row r="161" spans="1:52" ht="14.25" customHeight="1">
      <c r="A161" s="24"/>
      <c r="B161" s="24"/>
      <c r="C161" s="24"/>
      <c r="D161" s="24"/>
      <c r="E161" s="24"/>
      <c r="F161" s="24"/>
      <c r="G161" s="24"/>
      <c r="H161" s="24"/>
      <c r="I161" s="24"/>
      <c r="J161" s="24"/>
      <c r="K161" s="24"/>
      <c r="L161" s="24"/>
      <c r="M161" s="24"/>
      <c r="N161" s="35"/>
      <c r="O161" s="24"/>
      <c r="P161" s="35"/>
      <c r="Q161" s="24"/>
      <c r="R161" s="24"/>
      <c r="S161" s="24"/>
      <c r="T161" s="24"/>
      <c r="U161" s="54"/>
      <c r="V161" s="54"/>
      <c r="W161" s="54"/>
      <c r="X161" s="54"/>
      <c r="Y161" s="54"/>
      <c r="Z161" s="54"/>
      <c r="AA161" s="54"/>
      <c r="AB161" s="54"/>
      <c r="AC161" s="54"/>
      <c r="AD161" s="54"/>
      <c r="AE161" s="54"/>
      <c r="AF161" s="54"/>
      <c r="AG161" s="54"/>
      <c r="AH161" s="54"/>
      <c r="AI161" s="54"/>
      <c r="AJ161" s="54"/>
      <c r="AK161" s="54"/>
      <c r="AL161" s="54"/>
      <c r="AM161" s="54"/>
      <c r="AN161" s="54"/>
      <c r="AO161" s="54"/>
      <c r="AP161" s="54"/>
      <c r="AQ161" s="54"/>
      <c r="AR161" s="54"/>
      <c r="AS161" s="54"/>
      <c r="AT161" s="54"/>
      <c r="AU161" s="54"/>
      <c r="AV161" s="54"/>
      <c r="AW161" s="54"/>
      <c r="AX161" s="54"/>
      <c r="AY161" s="54"/>
      <c r="AZ161" s="54"/>
    </row>
    <row r="162" spans="1:52" ht="14.25" customHeight="1">
      <c r="A162" s="24"/>
      <c r="B162" s="24"/>
      <c r="C162" s="24"/>
      <c r="D162" s="24"/>
      <c r="E162" s="24"/>
      <c r="F162" s="24"/>
      <c r="G162" s="24"/>
      <c r="H162" s="24"/>
      <c r="I162" s="24"/>
      <c r="J162" s="24"/>
      <c r="K162" s="24"/>
      <c r="L162" s="24"/>
      <c r="M162" s="24"/>
      <c r="N162" s="35"/>
      <c r="O162" s="24"/>
      <c r="P162" s="35"/>
      <c r="Q162" s="24"/>
      <c r="R162" s="24"/>
      <c r="S162" s="24"/>
      <c r="T162" s="24"/>
      <c r="U162" s="54"/>
      <c r="V162" s="54"/>
      <c r="W162" s="54"/>
      <c r="X162" s="54"/>
      <c r="Y162" s="54"/>
      <c r="Z162" s="54"/>
      <c r="AA162" s="54"/>
      <c r="AB162" s="54"/>
      <c r="AC162" s="54"/>
      <c r="AD162" s="54"/>
      <c r="AE162" s="54"/>
      <c r="AF162" s="54"/>
      <c r="AG162" s="54"/>
      <c r="AH162" s="54"/>
      <c r="AI162" s="54"/>
      <c r="AJ162" s="54"/>
      <c r="AK162" s="54"/>
      <c r="AL162" s="54"/>
      <c r="AM162" s="54"/>
      <c r="AN162" s="54"/>
      <c r="AO162" s="54"/>
      <c r="AP162" s="54"/>
      <c r="AQ162" s="54"/>
      <c r="AR162" s="54"/>
      <c r="AS162" s="54"/>
      <c r="AT162" s="54"/>
      <c r="AU162" s="54"/>
      <c r="AV162" s="54"/>
      <c r="AW162" s="54"/>
      <c r="AX162" s="54"/>
      <c r="AY162" s="54"/>
      <c r="AZ162" s="54"/>
    </row>
    <row r="163" spans="1:52" ht="14.25" customHeight="1">
      <c r="A163" s="24"/>
      <c r="B163" s="24"/>
      <c r="C163" s="24"/>
      <c r="D163" s="24"/>
      <c r="E163" s="24"/>
      <c r="F163" s="24"/>
      <c r="G163" s="24"/>
      <c r="H163" s="24"/>
      <c r="I163" s="24"/>
      <c r="J163" s="24"/>
      <c r="K163" s="24"/>
      <c r="L163" s="24"/>
      <c r="M163" s="24"/>
      <c r="N163" s="35"/>
      <c r="O163" s="24"/>
      <c r="P163" s="35"/>
      <c r="Q163" s="24"/>
      <c r="R163" s="24"/>
      <c r="S163" s="24"/>
      <c r="T163" s="24"/>
      <c r="U163" s="54"/>
      <c r="V163" s="54"/>
      <c r="W163" s="54"/>
      <c r="X163" s="54"/>
      <c r="Y163" s="54"/>
      <c r="Z163" s="54"/>
      <c r="AA163" s="54"/>
      <c r="AB163" s="54"/>
      <c r="AC163" s="54"/>
      <c r="AD163" s="54"/>
      <c r="AE163" s="54"/>
      <c r="AF163" s="54"/>
      <c r="AG163" s="54"/>
      <c r="AH163" s="54"/>
      <c r="AI163" s="54"/>
      <c r="AJ163" s="54"/>
      <c r="AK163" s="54"/>
      <c r="AL163" s="54"/>
      <c r="AM163" s="54"/>
      <c r="AN163" s="54"/>
      <c r="AO163" s="54"/>
      <c r="AP163" s="54"/>
      <c r="AQ163" s="54"/>
      <c r="AR163" s="54"/>
      <c r="AS163" s="54"/>
      <c r="AT163" s="54"/>
      <c r="AU163" s="54"/>
      <c r="AV163" s="54"/>
      <c r="AW163" s="54"/>
      <c r="AX163" s="54"/>
      <c r="AY163" s="54"/>
      <c r="AZ163" s="54"/>
    </row>
    <row r="164" spans="1:52" ht="14.25" customHeight="1">
      <c r="A164" s="24"/>
      <c r="B164" s="24"/>
      <c r="C164" s="24"/>
      <c r="D164" s="24"/>
      <c r="E164" s="24"/>
      <c r="F164" s="24"/>
      <c r="G164" s="24"/>
      <c r="H164" s="24"/>
      <c r="I164" s="24"/>
      <c r="J164" s="24"/>
      <c r="K164" s="24"/>
      <c r="L164" s="24"/>
      <c r="M164" s="24"/>
      <c r="N164" s="35"/>
      <c r="O164" s="24"/>
      <c r="P164" s="35"/>
      <c r="Q164" s="24"/>
      <c r="R164" s="24"/>
      <c r="S164" s="24"/>
      <c r="T164" s="24"/>
      <c r="U164" s="54"/>
      <c r="V164" s="54"/>
      <c r="W164" s="54"/>
      <c r="X164" s="54"/>
      <c r="Y164" s="54"/>
      <c r="Z164" s="54"/>
      <c r="AA164" s="54"/>
      <c r="AB164" s="54"/>
      <c r="AC164" s="54"/>
      <c r="AD164" s="54"/>
      <c r="AE164" s="54"/>
      <c r="AF164" s="54"/>
      <c r="AG164" s="54"/>
      <c r="AH164" s="54"/>
      <c r="AI164" s="54"/>
      <c r="AJ164" s="54"/>
      <c r="AK164" s="54"/>
      <c r="AL164" s="54"/>
      <c r="AM164" s="54"/>
      <c r="AN164" s="54"/>
      <c r="AO164" s="54"/>
      <c r="AP164" s="54"/>
      <c r="AQ164" s="54"/>
      <c r="AR164" s="54"/>
      <c r="AS164" s="54"/>
      <c r="AT164" s="54"/>
      <c r="AU164" s="54"/>
      <c r="AV164" s="54"/>
      <c r="AW164" s="54"/>
      <c r="AX164" s="54"/>
      <c r="AY164" s="54"/>
      <c r="AZ164" s="54"/>
    </row>
    <row r="165" spans="1:52" ht="14.25" customHeight="1">
      <c r="A165" s="24"/>
      <c r="B165" s="24"/>
      <c r="C165" s="24"/>
      <c r="D165" s="24"/>
      <c r="E165" s="24"/>
      <c r="F165" s="24"/>
      <c r="G165" s="24"/>
      <c r="H165" s="24"/>
      <c r="I165" s="24"/>
      <c r="J165" s="24"/>
      <c r="K165" s="24"/>
      <c r="L165" s="24"/>
      <c r="M165" s="24"/>
      <c r="N165" s="35"/>
      <c r="O165" s="24"/>
      <c r="P165" s="35"/>
      <c r="Q165" s="24"/>
      <c r="R165" s="24"/>
      <c r="S165" s="24"/>
      <c r="T165" s="24"/>
      <c r="U165" s="54"/>
      <c r="V165" s="54"/>
      <c r="W165" s="54"/>
      <c r="X165" s="54"/>
      <c r="Y165" s="54"/>
      <c r="Z165" s="54"/>
      <c r="AA165" s="54"/>
      <c r="AB165" s="54"/>
      <c r="AC165" s="54"/>
      <c r="AD165" s="54"/>
      <c r="AE165" s="54"/>
      <c r="AF165" s="54"/>
      <c r="AG165" s="54"/>
      <c r="AH165" s="54"/>
      <c r="AI165" s="54"/>
      <c r="AJ165" s="54"/>
      <c r="AK165" s="54"/>
      <c r="AL165" s="54"/>
      <c r="AM165" s="54"/>
      <c r="AN165" s="54"/>
      <c r="AO165" s="54"/>
      <c r="AP165" s="54"/>
      <c r="AQ165" s="54"/>
      <c r="AR165" s="54"/>
      <c r="AS165" s="54"/>
      <c r="AT165" s="54"/>
      <c r="AU165" s="54"/>
      <c r="AV165" s="54"/>
      <c r="AW165" s="54"/>
      <c r="AX165" s="54"/>
      <c r="AY165" s="54"/>
      <c r="AZ165" s="54"/>
    </row>
    <row r="166" spans="1:52" ht="14.25" customHeight="1">
      <c r="A166" s="24"/>
      <c r="B166" s="24"/>
      <c r="C166" s="24"/>
      <c r="D166" s="24"/>
      <c r="E166" s="24"/>
      <c r="F166" s="24"/>
      <c r="G166" s="24"/>
      <c r="H166" s="24"/>
      <c r="I166" s="24"/>
      <c r="J166" s="24"/>
      <c r="K166" s="24"/>
      <c r="L166" s="24"/>
      <c r="M166" s="24"/>
      <c r="N166" s="35"/>
      <c r="O166" s="24"/>
      <c r="P166" s="35"/>
      <c r="Q166" s="24"/>
      <c r="R166" s="24"/>
      <c r="S166" s="24"/>
      <c r="T166" s="24"/>
      <c r="U166" s="54"/>
      <c r="V166" s="54"/>
      <c r="W166" s="54"/>
      <c r="X166" s="54"/>
      <c r="Y166" s="54"/>
      <c r="Z166" s="54"/>
      <c r="AA166" s="54"/>
      <c r="AB166" s="54"/>
      <c r="AC166" s="54"/>
      <c r="AD166" s="54"/>
      <c r="AE166" s="54"/>
      <c r="AF166" s="54"/>
      <c r="AG166" s="54"/>
      <c r="AH166" s="54"/>
      <c r="AI166" s="54"/>
      <c r="AJ166" s="54"/>
      <c r="AK166" s="54"/>
      <c r="AL166" s="54"/>
      <c r="AM166" s="54"/>
      <c r="AN166" s="54"/>
      <c r="AO166" s="54"/>
      <c r="AP166" s="54"/>
      <c r="AQ166" s="54"/>
      <c r="AR166" s="54"/>
      <c r="AS166" s="54"/>
      <c r="AT166" s="54"/>
      <c r="AU166" s="54"/>
      <c r="AV166" s="54"/>
      <c r="AW166" s="54"/>
      <c r="AX166" s="54"/>
      <c r="AY166" s="54"/>
      <c r="AZ166" s="54"/>
    </row>
    <row r="167" spans="1:52" ht="14.25" customHeight="1">
      <c r="A167" s="24"/>
      <c r="B167" s="24"/>
      <c r="C167" s="24"/>
      <c r="D167" s="24"/>
      <c r="E167" s="24"/>
      <c r="F167" s="24"/>
      <c r="G167" s="24"/>
      <c r="H167" s="24"/>
      <c r="I167" s="24"/>
      <c r="J167" s="24"/>
      <c r="K167" s="24"/>
      <c r="L167" s="24"/>
      <c r="M167" s="24"/>
      <c r="N167" s="35"/>
      <c r="O167" s="24"/>
      <c r="P167" s="35"/>
      <c r="Q167" s="24"/>
      <c r="R167" s="24"/>
      <c r="S167" s="24"/>
      <c r="T167" s="24"/>
      <c r="U167" s="54"/>
      <c r="V167" s="54"/>
      <c r="W167" s="54"/>
      <c r="X167" s="54"/>
      <c r="Y167" s="54"/>
      <c r="Z167" s="54"/>
      <c r="AA167" s="54"/>
      <c r="AB167" s="54"/>
      <c r="AC167" s="54"/>
      <c r="AD167" s="54"/>
      <c r="AE167" s="54"/>
      <c r="AF167" s="54"/>
      <c r="AG167" s="54"/>
      <c r="AH167" s="54"/>
      <c r="AI167" s="54"/>
      <c r="AJ167" s="54"/>
      <c r="AK167" s="54"/>
      <c r="AL167" s="54"/>
      <c r="AM167" s="54"/>
      <c r="AN167" s="54"/>
      <c r="AO167" s="54"/>
      <c r="AP167" s="54"/>
      <c r="AQ167" s="54"/>
      <c r="AR167" s="54"/>
      <c r="AS167" s="54"/>
      <c r="AT167" s="54"/>
      <c r="AU167" s="54"/>
      <c r="AV167" s="54"/>
      <c r="AW167" s="54"/>
      <c r="AX167" s="54"/>
      <c r="AY167" s="54"/>
      <c r="AZ167" s="54"/>
    </row>
    <row r="168" spans="1:52" ht="14.25" customHeight="1">
      <c r="A168" s="24"/>
      <c r="B168" s="24"/>
      <c r="C168" s="24"/>
      <c r="D168" s="24"/>
      <c r="E168" s="24"/>
      <c r="F168" s="24"/>
      <c r="G168" s="24"/>
      <c r="H168" s="24"/>
      <c r="I168" s="24"/>
      <c r="J168" s="24"/>
      <c r="K168" s="24"/>
      <c r="L168" s="24"/>
      <c r="M168" s="24"/>
      <c r="N168" s="35"/>
      <c r="O168" s="24"/>
      <c r="P168" s="35"/>
      <c r="Q168" s="24"/>
      <c r="R168" s="24"/>
      <c r="S168" s="24"/>
      <c r="T168" s="24"/>
      <c r="U168" s="54"/>
      <c r="V168" s="54"/>
      <c r="W168" s="54"/>
      <c r="X168" s="54"/>
      <c r="Y168" s="54"/>
      <c r="Z168" s="54"/>
      <c r="AA168" s="54"/>
      <c r="AB168" s="54"/>
      <c r="AC168" s="54"/>
      <c r="AD168" s="54"/>
      <c r="AE168" s="54"/>
      <c r="AF168" s="54"/>
      <c r="AG168" s="54"/>
      <c r="AH168" s="54"/>
      <c r="AI168" s="54"/>
      <c r="AJ168" s="54"/>
      <c r="AK168" s="54"/>
      <c r="AL168" s="54"/>
      <c r="AM168" s="54"/>
      <c r="AN168" s="54"/>
      <c r="AO168" s="54"/>
      <c r="AP168" s="54"/>
      <c r="AQ168" s="54"/>
      <c r="AR168" s="54"/>
      <c r="AS168" s="54"/>
      <c r="AT168" s="54"/>
      <c r="AU168" s="54"/>
      <c r="AV168" s="54"/>
      <c r="AW168" s="54"/>
      <c r="AX168" s="54"/>
      <c r="AY168" s="54"/>
      <c r="AZ168" s="54"/>
    </row>
    <row r="169" spans="1:52" ht="14.25" customHeight="1">
      <c r="A169" s="24"/>
      <c r="B169" s="24"/>
      <c r="C169" s="24"/>
      <c r="D169" s="24"/>
      <c r="E169" s="24"/>
      <c r="F169" s="24"/>
      <c r="G169" s="24"/>
      <c r="H169" s="24"/>
      <c r="I169" s="24"/>
      <c r="J169" s="24"/>
      <c r="K169" s="24"/>
      <c r="L169" s="24"/>
      <c r="M169" s="24"/>
      <c r="N169" s="35"/>
      <c r="O169" s="24"/>
      <c r="P169" s="35"/>
      <c r="Q169" s="24"/>
      <c r="R169" s="24"/>
      <c r="S169" s="24"/>
      <c r="T169" s="24"/>
      <c r="U169" s="54"/>
      <c r="V169" s="54"/>
      <c r="W169" s="54"/>
      <c r="X169" s="54"/>
      <c r="Y169" s="54"/>
      <c r="Z169" s="54"/>
      <c r="AA169" s="54"/>
      <c r="AB169" s="54"/>
      <c r="AC169" s="54"/>
      <c r="AD169" s="54"/>
      <c r="AE169" s="54"/>
      <c r="AF169" s="54"/>
      <c r="AG169" s="54"/>
      <c r="AH169" s="54"/>
      <c r="AI169" s="54"/>
      <c r="AJ169" s="54"/>
      <c r="AK169" s="54"/>
      <c r="AL169" s="54"/>
      <c r="AM169" s="54"/>
      <c r="AN169" s="54"/>
      <c r="AO169" s="54"/>
      <c r="AP169" s="54"/>
      <c r="AQ169" s="54"/>
      <c r="AR169" s="54"/>
      <c r="AS169" s="54"/>
      <c r="AT169" s="54"/>
      <c r="AU169" s="54"/>
      <c r="AV169" s="54"/>
      <c r="AW169" s="54"/>
      <c r="AX169" s="54"/>
      <c r="AY169" s="54"/>
      <c r="AZ169" s="54"/>
    </row>
    <row r="170" spans="1:52" ht="14.25" customHeight="1">
      <c r="A170" s="24"/>
      <c r="B170" s="24"/>
      <c r="C170" s="24"/>
      <c r="D170" s="24"/>
      <c r="E170" s="24"/>
      <c r="F170" s="24"/>
      <c r="G170" s="24"/>
      <c r="H170" s="24"/>
      <c r="I170" s="24"/>
      <c r="J170" s="24"/>
      <c r="K170" s="24"/>
      <c r="L170" s="24"/>
      <c r="M170" s="24"/>
      <c r="N170" s="35"/>
      <c r="O170" s="24"/>
      <c r="P170" s="35"/>
      <c r="Q170" s="24"/>
      <c r="R170" s="24"/>
      <c r="S170" s="24"/>
      <c r="T170" s="24"/>
      <c r="U170" s="54"/>
      <c r="V170" s="54"/>
      <c r="W170" s="54"/>
      <c r="X170" s="54"/>
      <c r="Y170" s="54"/>
      <c r="Z170" s="54"/>
      <c r="AA170" s="54"/>
      <c r="AB170" s="54"/>
      <c r="AC170" s="54"/>
      <c r="AD170" s="54"/>
      <c r="AE170" s="54"/>
      <c r="AF170" s="54"/>
      <c r="AG170" s="54"/>
      <c r="AH170" s="54"/>
      <c r="AI170" s="54"/>
      <c r="AJ170" s="54"/>
      <c r="AK170" s="54"/>
      <c r="AL170" s="54"/>
      <c r="AM170" s="54"/>
      <c r="AN170" s="54"/>
      <c r="AO170" s="54"/>
      <c r="AP170" s="54"/>
      <c r="AQ170" s="54"/>
      <c r="AR170" s="54"/>
      <c r="AS170" s="54"/>
      <c r="AT170" s="54"/>
      <c r="AU170" s="54"/>
      <c r="AV170" s="54"/>
      <c r="AW170" s="54"/>
      <c r="AX170" s="54"/>
      <c r="AY170" s="54"/>
      <c r="AZ170" s="54"/>
    </row>
    <row r="171" spans="1:52" ht="14.25" customHeight="1">
      <c r="A171" s="24"/>
      <c r="B171" s="24"/>
      <c r="C171" s="24"/>
      <c r="D171" s="24"/>
      <c r="E171" s="24"/>
      <c r="F171" s="24"/>
      <c r="G171" s="24"/>
      <c r="H171" s="24"/>
      <c r="I171" s="24"/>
      <c r="J171" s="24"/>
      <c r="K171" s="24"/>
      <c r="L171" s="24"/>
      <c r="M171" s="24"/>
      <c r="N171" s="35"/>
      <c r="O171" s="24"/>
      <c r="P171" s="35"/>
      <c r="Q171" s="24"/>
      <c r="R171" s="24"/>
      <c r="S171" s="24"/>
      <c r="T171" s="24"/>
      <c r="U171" s="54"/>
      <c r="V171" s="54"/>
      <c r="W171" s="54"/>
      <c r="X171" s="54"/>
      <c r="Y171" s="54"/>
      <c r="Z171" s="54"/>
      <c r="AA171" s="54"/>
      <c r="AB171" s="54"/>
      <c r="AC171" s="54"/>
      <c r="AD171" s="54"/>
      <c r="AE171" s="54"/>
      <c r="AF171" s="54"/>
      <c r="AG171" s="54"/>
      <c r="AH171" s="54"/>
      <c r="AI171" s="54"/>
      <c r="AJ171" s="54"/>
      <c r="AK171" s="54"/>
      <c r="AL171" s="54"/>
      <c r="AM171" s="54"/>
      <c r="AN171" s="54"/>
      <c r="AO171" s="54"/>
      <c r="AP171" s="54"/>
      <c r="AQ171" s="54"/>
      <c r="AR171" s="54"/>
      <c r="AS171" s="54"/>
      <c r="AT171" s="54"/>
      <c r="AU171" s="54"/>
      <c r="AV171" s="54"/>
      <c r="AW171" s="54"/>
      <c r="AX171" s="54"/>
      <c r="AY171" s="54"/>
      <c r="AZ171" s="54"/>
    </row>
    <row r="172" spans="1:52" ht="14.25" customHeight="1">
      <c r="A172" s="24"/>
      <c r="B172" s="24"/>
      <c r="C172" s="24"/>
      <c r="D172" s="24"/>
      <c r="E172" s="24"/>
      <c r="F172" s="24"/>
      <c r="G172" s="24"/>
      <c r="H172" s="24"/>
      <c r="I172" s="24"/>
      <c r="J172" s="24"/>
      <c r="K172" s="24"/>
      <c r="L172" s="24"/>
      <c r="M172" s="24"/>
      <c r="N172" s="35"/>
      <c r="O172" s="24"/>
      <c r="P172" s="35"/>
      <c r="Q172" s="24"/>
      <c r="R172" s="24"/>
      <c r="S172" s="24"/>
      <c r="T172" s="24"/>
      <c r="U172" s="54"/>
      <c r="V172" s="54"/>
      <c r="W172" s="54"/>
      <c r="X172" s="54"/>
      <c r="Y172" s="54"/>
      <c r="Z172" s="54"/>
      <c r="AA172" s="54"/>
      <c r="AB172" s="54"/>
      <c r="AC172" s="54"/>
      <c r="AD172" s="54"/>
      <c r="AE172" s="54"/>
      <c r="AF172" s="54"/>
      <c r="AG172" s="54"/>
      <c r="AH172" s="54"/>
      <c r="AI172" s="54"/>
      <c r="AJ172" s="54"/>
      <c r="AK172" s="54"/>
      <c r="AL172" s="54"/>
      <c r="AM172" s="54"/>
      <c r="AN172" s="54"/>
      <c r="AO172" s="54"/>
      <c r="AP172" s="54"/>
      <c r="AQ172" s="54"/>
      <c r="AR172" s="54"/>
      <c r="AS172" s="54"/>
      <c r="AT172" s="54"/>
      <c r="AU172" s="54"/>
      <c r="AV172" s="54"/>
      <c r="AW172" s="54"/>
      <c r="AX172" s="54"/>
      <c r="AY172" s="54"/>
      <c r="AZ172" s="54"/>
    </row>
    <row r="173" spans="1:52" ht="14.25" customHeight="1">
      <c r="A173" s="24"/>
      <c r="B173" s="24"/>
      <c r="C173" s="24"/>
      <c r="D173" s="24"/>
      <c r="E173" s="24"/>
      <c r="F173" s="24"/>
      <c r="G173" s="24"/>
      <c r="H173" s="24"/>
      <c r="I173" s="24"/>
      <c r="J173" s="24"/>
      <c r="K173" s="24"/>
      <c r="L173" s="24"/>
      <c r="M173" s="24"/>
      <c r="N173" s="35"/>
      <c r="O173" s="24"/>
      <c r="P173" s="35"/>
      <c r="Q173" s="24"/>
      <c r="R173" s="24"/>
      <c r="S173" s="24"/>
      <c r="T173" s="24"/>
      <c r="U173" s="54"/>
      <c r="V173" s="54"/>
      <c r="W173" s="54"/>
      <c r="X173" s="54"/>
      <c r="Y173" s="54"/>
      <c r="Z173" s="54"/>
      <c r="AA173" s="54"/>
      <c r="AB173" s="54"/>
      <c r="AC173" s="54"/>
      <c r="AD173" s="54"/>
      <c r="AE173" s="54"/>
      <c r="AF173" s="54"/>
      <c r="AG173" s="54"/>
      <c r="AH173" s="54"/>
      <c r="AI173" s="54"/>
      <c r="AJ173" s="54"/>
      <c r="AK173" s="54"/>
      <c r="AL173" s="54"/>
      <c r="AM173" s="54"/>
      <c r="AN173" s="54"/>
      <c r="AO173" s="54"/>
      <c r="AP173" s="54"/>
      <c r="AQ173" s="54"/>
      <c r="AR173" s="54"/>
      <c r="AS173" s="54"/>
      <c r="AT173" s="54"/>
      <c r="AU173" s="54"/>
      <c r="AV173" s="54"/>
      <c r="AW173" s="54"/>
      <c r="AX173" s="54"/>
      <c r="AY173" s="54"/>
      <c r="AZ173" s="54"/>
    </row>
    <row r="174" spans="1:52" ht="14.25" customHeight="1">
      <c r="A174" s="24"/>
      <c r="B174" s="24"/>
      <c r="C174" s="24"/>
      <c r="D174" s="24"/>
      <c r="E174" s="24"/>
      <c r="F174" s="24"/>
      <c r="G174" s="24"/>
      <c r="H174" s="24"/>
      <c r="I174" s="24"/>
      <c r="J174" s="24"/>
      <c r="K174" s="24"/>
      <c r="L174" s="24"/>
      <c r="M174" s="24"/>
      <c r="N174" s="35"/>
      <c r="O174" s="24"/>
      <c r="P174" s="35"/>
      <c r="Q174" s="24"/>
      <c r="R174" s="24"/>
      <c r="S174" s="24"/>
      <c r="T174" s="24"/>
      <c r="U174" s="54"/>
      <c r="V174" s="54"/>
      <c r="W174" s="54"/>
      <c r="X174" s="54"/>
      <c r="Y174" s="54"/>
      <c r="Z174" s="54"/>
      <c r="AA174" s="54"/>
      <c r="AB174" s="54"/>
      <c r="AC174" s="54"/>
      <c r="AD174" s="54"/>
      <c r="AE174" s="54"/>
      <c r="AF174" s="54"/>
      <c r="AG174" s="54"/>
      <c r="AH174" s="54"/>
      <c r="AI174" s="54"/>
      <c r="AJ174" s="54"/>
      <c r="AK174" s="54"/>
      <c r="AL174" s="54"/>
      <c r="AM174" s="54"/>
      <c r="AN174" s="54"/>
      <c r="AO174" s="54"/>
      <c r="AP174" s="54"/>
      <c r="AQ174" s="54"/>
      <c r="AR174" s="54"/>
      <c r="AS174" s="54"/>
      <c r="AT174" s="54"/>
      <c r="AU174" s="54"/>
      <c r="AV174" s="54"/>
      <c r="AW174" s="54"/>
      <c r="AX174" s="54"/>
      <c r="AY174" s="54"/>
      <c r="AZ174" s="54"/>
    </row>
    <row r="175" spans="1:52" ht="14.25" customHeight="1">
      <c r="A175" s="24"/>
      <c r="B175" s="24"/>
      <c r="C175" s="24"/>
      <c r="D175" s="24"/>
      <c r="E175" s="24"/>
      <c r="F175" s="24"/>
      <c r="G175" s="24"/>
      <c r="H175" s="24"/>
      <c r="I175" s="24"/>
      <c r="J175" s="24"/>
      <c r="K175" s="24"/>
      <c r="L175" s="24"/>
      <c r="M175" s="24"/>
      <c r="N175" s="35"/>
      <c r="O175" s="24"/>
      <c r="P175" s="35"/>
      <c r="Q175" s="24"/>
      <c r="R175" s="24"/>
      <c r="S175" s="24"/>
      <c r="T175" s="24"/>
      <c r="U175" s="54"/>
      <c r="V175" s="54"/>
      <c r="W175" s="54"/>
      <c r="X175" s="54"/>
      <c r="Y175" s="54"/>
      <c r="Z175" s="54"/>
      <c r="AA175" s="54"/>
      <c r="AB175" s="54"/>
      <c r="AC175" s="54"/>
      <c r="AD175" s="54"/>
      <c r="AE175" s="54"/>
      <c r="AF175" s="54"/>
      <c r="AG175" s="54"/>
      <c r="AH175" s="54"/>
      <c r="AI175" s="54"/>
      <c r="AJ175" s="54"/>
      <c r="AK175" s="54"/>
      <c r="AL175" s="54"/>
      <c r="AM175" s="54"/>
      <c r="AN175" s="54"/>
      <c r="AO175" s="54"/>
      <c r="AP175" s="54"/>
      <c r="AQ175" s="54"/>
      <c r="AR175" s="54"/>
      <c r="AS175" s="54"/>
      <c r="AT175" s="54"/>
      <c r="AU175" s="54"/>
      <c r="AV175" s="54"/>
      <c r="AW175" s="54"/>
      <c r="AX175" s="54"/>
      <c r="AY175" s="54"/>
      <c r="AZ175" s="54"/>
    </row>
    <row r="176" spans="1:52" ht="14.25" customHeight="1">
      <c r="A176" s="24"/>
      <c r="B176" s="24"/>
      <c r="C176" s="24"/>
      <c r="D176" s="24"/>
      <c r="E176" s="24"/>
      <c r="F176" s="24"/>
      <c r="G176" s="24"/>
      <c r="H176" s="24"/>
      <c r="I176" s="24"/>
      <c r="J176" s="24"/>
      <c r="K176" s="24"/>
      <c r="L176" s="24"/>
      <c r="M176" s="24"/>
      <c r="N176" s="35"/>
      <c r="O176" s="24"/>
      <c r="P176" s="35"/>
      <c r="Q176" s="24"/>
      <c r="R176" s="24"/>
      <c r="S176" s="24"/>
      <c r="T176" s="24"/>
      <c r="U176" s="54"/>
      <c r="V176" s="54"/>
      <c r="W176" s="54"/>
      <c r="X176" s="54"/>
      <c r="Y176" s="54"/>
      <c r="Z176" s="54"/>
      <c r="AA176" s="54"/>
      <c r="AB176" s="54"/>
      <c r="AC176" s="54"/>
      <c r="AD176" s="54"/>
      <c r="AE176" s="54"/>
      <c r="AF176" s="54"/>
      <c r="AG176" s="54"/>
      <c r="AH176" s="54"/>
      <c r="AI176" s="54"/>
      <c r="AJ176" s="54"/>
      <c r="AK176" s="54"/>
      <c r="AL176" s="54"/>
      <c r="AM176" s="54"/>
      <c r="AN176" s="54"/>
      <c r="AO176" s="54"/>
      <c r="AP176" s="54"/>
      <c r="AQ176" s="54"/>
      <c r="AR176" s="54"/>
      <c r="AS176" s="54"/>
      <c r="AT176" s="54"/>
      <c r="AU176" s="54"/>
      <c r="AV176" s="54"/>
      <c r="AW176" s="54"/>
      <c r="AX176" s="54"/>
      <c r="AY176" s="54"/>
      <c r="AZ176" s="54"/>
    </row>
    <row r="177" spans="1:52" ht="14.25" customHeight="1">
      <c r="A177" s="24"/>
      <c r="B177" s="24"/>
      <c r="C177" s="24"/>
      <c r="D177" s="24"/>
      <c r="E177" s="24"/>
      <c r="F177" s="24"/>
      <c r="G177" s="24"/>
      <c r="H177" s="24"/>
      <c r="I177" s="24"/>
      <c r="J177" s="24"/>
      <c r="K177" s="24"/>
      <c r="L177" s="24"/>
      <c r="M177" s="24"/>
      <c r="N177" s="35"/>
      <c r="O177" s="24"/>
      <c r="P177" s="35"/>
      <c r="Q177" s="24"/>
      <c r="R177" s="24"/>
      <c r="S177" s="24"/>
      <c r="T177" s="24"/>
      <c r="U177" s="54"/>
      <c r="V177" s="54"/>
      <c r="W177" s="54"/>
      <c r="X177" s="54"/>
      <c r="Y177" s="54"/>
      <c r="Z177" s="54"/>
      <c r="AA177" s="54"/>
      <c r="AB177" s="54"/>
      <c r="AC177" s="54"/>
      <c r="AD177" s="54"/>
      <c r="AE177" s="54"/>
      <c r="AF177" s="54"/>
      <c r="AG177" s="54"/>
      <c r="AH177" s="54"/>
      <c r="AI177" s="54"/>
      <c r="AJ177" s="54"/>
      <c r="AK177" s="54"/>
      <c r="AL177" s="54"/>
      <c r="AM177" s="54"/>
      <c r="AN177" s="54"/>
      <c r="AO177" s="54"/>
      <c r="AP177" s="54"/>
      <c r="AQ177" s="54"/>
      <c r="AR177" s="54"/>
      <c r="AS177" s="54"/>
      <c r="AT177" s="54"/>
      <c r="AU177" s="54"/>
      <c r="AV177" s="54"/>
      <c r="AW177" s="54"/>
      <c r="AX177" s="54"/>
      <c r="AY177" s="54"/>
      <c r="AZ177" s="54"/>
    </row>
    <row r="178" spans="1:52" ht="14.25" customHeight="1">
      <c r="A178" s="24"/>
      <c r="B178" s="24"/>
      <c r="C178" s="24"/>
      <c r="D178" s="24"/>
      <c r="E178" s="24"/>
      <c r="F178" s="24"/>
      <c r="G178" s="24"/>
      <c r="H178" s="24"/>
      <c r="I178" s="24"/>
      <c r="J178" s="24"/>
      <c r="K178" s="24"/>
      <c r="L178" s="24"/>
      <c r="M178" s="24"/>
      <c r="N178" s="35"/>
      <c r="O178" s="24"/>
      <c r="P178" s="35"/>
      <c r="Q178" s="24"/>
      <c r="R178" s="24"/>
      <c r="S178" s="24"/>
      <c r="T178" s="24"/>
      <c r="U178" s="54"/>
      <c r="V178" s="54"/>
      <c r="W178" s="54"/>
      <c r="X178" s="54"/>
      <c r="Y178" s="54"/>
      <c r="Z178" s="54"/>
      <c r="AA178" s="54"/>
      <c r="AB178" s="54"/>
      <c r="AC178" s="54"/>
      <c r="AD178" s="54"/>
      <c r="AE178" s="54"/>
      <c r="AF178" s="54"/>
      <c r="AG178" s="54"/>
      <c r="AH178" s="54"/>
      <c r="AI178" s="54"/>
      <c r="AJ178" s="54"/>
      <c r="AK178" s="54"/>
      <c r="AL178" s="54"/>
      <c r="AM178" s="54"/>
      <c r="AN178" s="54"/>
      <c r="AO178" s="54"/>
      <c r="AP178" s="54"/>
      <c r="AQ178" s="54"/>
      <c r="AR178" s="54"/>
      <c r="AS178" s="54"/>
      <c r="AT178" s="54"/>
      <c r="AU178" s="54"/>
      <c r="AV178" s="54"/>
      <c r="AW178" s="54"/>
      <c r="AX178" s="54"/>
      <c r="AY178" s="54"/>
      <c r="AZ178" s="54"/>
    </row>
    <row r="179" spans="1:52" ht="14.25" customHeight="1">
      <c r="A179" s="24"/>
      <c r="B179" s="24"/>
      <c r="C179" s="24"/>
      <c r="D179" s="24"/>
      <c r="E179" s="24"/>
      <c r="F179" s="24"/>
      <c r="G179" s="24"/>
      <c r="H179" s="24"/>
      <c r="I179" s="24"/>
      <c r="J179" s="24"/>
      <c r="K179" s="24"/>
      <c r="L179" s="24"/>
      <c r="M179" s="24"/>
      <c r="N179" s="35"/>
      <c r="O179" s="24"/>
      <c r="P179" s="35"/>
      <c r="Q179" s="24"/>
      <c r="R179" s="24"/>
      <c r="S179" s="24"/>
      <c r="T179" s="24"/>
      <c r="U179" s="54"/>
      <c r="V179" s="54"/>
      <c r="W179" s="54"/>
      <c r="X179" s="54"/>
      <c r="Y179" s="54"/>
      <c r="Z179" s="54"/>
      <c r="AA179" s="54"/>
      <c r="AB179" s="54"/>
      <c r="AC179" s="54"/>
      <c r="AD179" s="54"/>
      <c r="AE179" s="54"/>
      <c r="AF179" s="54"/>
      <c r="AG179" s="54"/>
      <c r="AH179" s="54"/>
      <c r="AI179" s="54"/>
      <c r="AJ179" s="54"/>
      <c r="AK179" s="54"/>
      <c r="AL179" s="54"/>
      <c r="AM179" s="54"/>
      <c r="AN179" s="54"/>
      <c r="AO179" s="54"/>
      <c r="AP179" s="54"/>
      <c r="AQ179" s="54"/>
      <c r="AR179" s="54"/>
      <c r="AS179" s="54"/>
      <c r="AT179" s="54"/>
      <c r="AU179" s="54"/>
      <c r="AV179" s="54"/>
      <c r="AW179" s="54"/>
      <c r="AX179" s="54"/>
      <c r="AY179" s="54"/>
      <c r="AZ179" s="54"/>
    </row>
    <row r="180" spans="1:52" ht="14.25" customHeight="1">
      <c r="A180" s="24"/>
      <c r="B180" s="24"/>
      <c r="C180" s="24"/>
      <c r="D180" s="24"/>
      <c r="E180" s="24"/>
      <c r="F180" s="24"/>
      <c r="G180" s="24"/>
      <c r="H180" s="24"/>
      <c r="I180" s="24"/>
      <c r="J180" s="24"/>
      <c r="K180" s="24"/>
      <c r="L180" s="24"/>
      <c r="M180" s="24"/>
      <c r="N180" s="35"/>
      <c r="O180" s="24"/>
      <c r="P180" s="35"/>
      <c r="Q180" s="24"/>
      <c r="R180" s="24"/>
      <c r="S180" s="24"/>
      <c r="T180" s="24"/>
      <c r="U180" s="54"/>
      <c r="V180" s="54"/>
      <c r="W180" s="54"/>
      <c r="X180" s="54"/>
      <c r="Y180" s="54"/>
      <c r="Z180" s="54"/>
      <c r="AA180" s="54"/>
      <c r="AB180" s="54"/>
      <c r="AC180" s="54"/>
      <c r="AD180" s="54"/>
      <c r="AE180" s="54"/>
      <c r="AF180" s="54"/>
      <c r="AG180" s="54"/>
      <c r="AH180" s="54"/>
      <c r="AI180" s="54"/>
      <c r="AJ180" s="54"/>
      <c r="AK180" s="54"/>
      <c r="AL180" s="54"/>
      <c r="AM180" s="54"/>
      <c r="AN180" s="54"/>
      <c r="AO180" s="54"/>
      <c r="AP180" s="54"/>
      <c r="AQ180" s="54"/>
      <c r="AR180" s="54"/>
      <c r="AS180" s="54"/>
      <c r="AT180" s="54"/>
      <c r="AU180" s="54"/>
      <c r="AV180" s="54"/>
      <c r="AW180" s="54"/>
      <c r="AX180" s="54"/>
      <c r="AY180" s="54"/>
      <c r="AZ180" s="54"/>
    </row>
    <row r="181" spans="1:52" ht="14.25" customHeight="1">
      <c r="A181" s="24"/>
      <c r="B181" s="24"/>
      <c r="C181" s="24"/>
      <c r="D181" s="24"/>
      <c r="E181" s="24"/>
      <c r="F181" s="24"/>
      <c r="G181" s="24"/>
      <c r="H181" s="24"/>
      <c r="I181" s="24"/>
      <c r="J181" s="24"/>
      <c r="K181" s="24"/>
      <c r="L181" s="24"/>
      <c r="M181" s="24"/>
      <c r="N181" s="35"/>
      <c r="O181" s="24"/>
      <c r="P181" s="35"/>
      <c r="Q181" s="24"/>
      <c r="R181" s="24"/>
      <c r="S181" s="24"/>
      <c r="T181" s="24"/>
      <c r="U181" s="54"/>
      <c r="V181" s="54"/>
      <c r="W181" s="54"/>
      <c r="X181" s="54"/>
      <c r="Y181" s="54"/>
      <c r="Z181" s="54"/>
      <c r="AA181" s="54"/>
      <c r="AB181" s="54"/>
      <c r="AC181" s="54"/>
      <c r="AD181" s="54"/>
      <c r="AE181" s="54"/>
      <c r="AF181" s="54"/>
      <c r="AG181" s="54"/>
      <c r="AH181" s="54"/>
      <c r="AI181" s="54"/>
      <c r="AJ181" s="54"/>
      <c r="AK181" s="54"/>
      <c r="AL181" s="54"/>
      <c r="AM181" s="54"/>
      <c r="AN181" s="54"/>
      <c r="AO181" s="54"/>
      <c r="AP181" s="54"/>
      <c r="AQ181" s="54"/>
      <c r="AR181" s="54"/>
      <c r="AS181" s="54"/>
      <c r="AT181" s="54"/>
      <c r="AU181" s="54"/>
      <c r="AV181" s="54"/>
      <c r="AW181" s="54"/>
      <c r="AX181" s="54"/>
      <c r="AY181" s="54"/>
      <c r="AZ181" s="54"/>
    </row>
    <row r="182" spans="1:52" ht="14.25" customHeight="1">
      <c r="A182" s="24"/>
      <c r="B182" s="24"/>
      <c r="C182" s="24"/>
      <c r="D182" s="24"/>
      <c r="E182" s="24"/>
      <c r="F182" s="24"/>
      <c r="G182" s="24"/>
      <c r="H182" s="24"/>
      <c r="I182" s="24"/>
      <c r="J182" s="24"/>
      <c r="K182" s="24"/>
      <c r="L182" s="24"/>
      <c r="M182" s="24"/>
      <c r="N182" s="35"/>
      <c r="O182" s="24"/>
      <c r="P182" s="35"/>
      <c r="Q182" s="24"/>
      <c r="R182" s="24"/>
      <c r="S182" s="24"/>
      <c r="T182" s="24"/>
      <c r="U182" s="54"/>
      <c r="V182" s="54"/>
      <c r="W182" s="54"/>
      <c r="X182" s="54"/>
      <c r="Y182" s="54"/>
      <c r="Z182" s="54"/>
      <c r="AA182" s="54"/>
      <c r="AB182" s="54"/>
      <c r="AC182" s="54"/>
      <c r="AD182" s="54"/>
      <c r="AE182" s="54"/>
      <c r="AF182" s="54"/>
      <c r="AG182" s="54"/>
      <c r="AH182" s="54"/>
      <c r="AI182" s="54"/>
      <c r="AJ182" s="54"/>
      <c r="AK182" s="54"/>
      <c r="AL182" s="54"/>
      <c r="AM182" s="54"/>
      <c r="AN182" s="54"/>
      <c r="AO182" s="54"/>
      <c r="AP182" s="54"/>
      <c r="AQ182" s="54"/>
      <c r="AR182" s="54"/>
      <c r="AS182" s="54"/>
      <c r="AT182" s="54"/>
      <c r="AU182" s="54"/>
      <c r="AV182" s="54"/>
      <c r="AW182" s="54"/>
      <c r="AX182" s="54"/>
      <c r="AY182" s="54"/>
      <c r="AZ182" s="54"/>
    </row>
    <row r="183" spans="1:52" ht="14.25" customHeight="1">
      <c r="A183" s="24"/>
      <c r="B183" s="24"/>
      <c r="C183" s="24"/>
      <c r="D183" s="24"/>
      <c r="E183" s="24"/>
      <c r="F183" s="24"/>
      <c r="G183" s="24"/>
      <c r="H183" s="24"/>
      <c r="I183" s="24"/>
      <c r="J183" s="24"/>
      <c r="K183" s="24"/>
      <c r="L183" s="24"/>
      <c r="M183" s="24"/>
      <c r="N183" s="35"/>
      <c r="O183" s="24"/>
      <c r="P183" s="35"/>
      <c r="Q183" s="24"/>
      <c r="R183" s="24"/>
      <c r="S183" s="24"/>
      <c r="T183" s="24"/>
      <c r="U183" s="54"/>
      <c r="V183" s="54"/>
      <c r="W183" s="54"/>
      <c r="X183" s="54"/>
      <c r="Y183" s="54"/>
      <c r="Z183" s="54"/>
      <c r="AA183" s="54"/>
      <c r="AB183" s="54"/>
      <c r="AC183" s="54"/>
      <c r="AD183" s="54"/>
      <c r="AE183" s="54"/>
      <c r="AF183" s="54"/>
      <c r="AG183" s="54"/>
      <c r="AH183" s="54"/>
      <c r="AI183" s="54"/>
      <c r="AJ183" s="54"/>
      <c r="AK183" s="54"/>
      <c r="AL183" s="54"/>
      <c r="AM183" s="54"/>
      <c r="AN183" s="54"/>
      <c r="AO183" s="54"/>
      <c r="AP183" s="54"/>
      <c r="AQ183" s="54"/>
      <c r="AR183" s="54"/>
      <c r="AS183" s="54"/>
      <c r="AT183" s="54"/>
      <c r="AU183" s="54"/>
      <c r="AV183" s="54"/>
      <c r="AW183" s="54"/>
      <c r="AX183" s="54"/>
      <c r="AY183" s="54"/>
      <c r="AZ183" s="54"/>
    </row>
    <row r="184" spans="1:52" ht="14.25" customHeight="1">
      <c r="A184" s="24"/>
      <c r="B184" s="24"/>
      <c r="C184" s="24"/>
      <c r="D184" s="24"/>
      <c r="E184" s="24"/>
      <c r="F184" s="24"/>
      <c r="G184" s="24"/>
      <c r="H184" s="24"/>
      <c r="I184" s="24"/>
      <c r="J184" s="24"/>
      <c r="K184" s="24"/>
      <c r="L184" s="24"/>
      <c r="M184" s="24"/>
      <c r="N184" s="35"/>
      <c r="O184" s="24"/>
      <c r="P184" s="35"/>
      <c r="Q184" s="24"/>
      <c r="R184" s="24"/>
      <c r="S184" s="24"/>
      <c r="T184" s="24"/>
      <c r="U184" s="54"/>
      <c r="V184" s="54"/>
      <c r="W184" s="54"/>
      <c r="X184" s="54"/>
      <c r="Y184" s="54"/>
      <c r="Z184" s="54"/>
      <c r="AA184" s="54"/>
      <c r="AB184" s="54"/>
      <c r="AC184" s="54"/>
      <c r="AD184" s="54"/>
      <c r="AE184" s="54"/>
      <c r="AF184" s="54"/>
      <c r="AG184" s="54"/>
      <c r="AH184" s="54"/>
      <c r="AI184" s="54"/>
      <c r="AJ184" s="54"/>
      <c r="AK184" s="54"/>
      <c r="AL184" s="54"/>
      <c r="AM184" s="54"/>
      <c r="AN184" s="54"/>
      <c r="AO184" s="54"/>
      <c r="AP184" s="54"/>
      <c r="AQ184" s="54"/>
      <c r="AR184" s="54"/>
      <c r="AS184" s="54"/>
      <c r="AT184" s="54"/>
      <c r="AU184" s="54"/>
      <c r="AV184" s="54"/>
      <c r="AW184" s="54"/>
      <c r="AX184" s="54"/>
      <c r="AY184" s="54"/>
      <c r="AZ184" s="54"/>
    </row>
    <row r="185" spans="1:52" ht="14.25" customHeight="1">
      <c r="A185" s="24"/>
      <c r="B185" s="24"/>
      <c r="C185" s="24"/>
      <c r="D185" s="24"/>
      <c r="E185" s="24"/>
      <c r="F185" s="24"/>
      <c r="G185" s="24"/>
      <c r="H185" s="24"/>
      <c r="I185" s="24"/>
      <c r="J185" s="24"/>
      <c r="K185" s="24"/>
      <c r="L185" s="24"/>
      <c r="M185" s="24"/>
      <c r="N185" s="35"/>
      <c r="O185" s="24"/>
      <c r="P185" s="35"/>
      <c r="Q185" s="24"/>
      <c r="R185" s="24"/>
      <c r="S185" s="24"/>
      <c r="T185" s="24"/>
      <c r="U185" s="54"/>
      <c r="V185" s="54"/>
      <c r="W185" s="54"/>
      <c r="X185" s="54"/>
      <c r="Y185" s="54"/>
      <c r="Z185" s="54"/>
      <c r="AA185" s="54"/>
      <c r="AB185" s="54"/>
      <c r="AC185" s="54"/>
      <c r="AD185" s="54"/>
      <c r="AE185" s="54"/>
      <c r="AF185" s="54"/>
      <c r="AG185" s="54"/>
      <c r="AH185" s="54"/>
      <c r="AI185" s="54"/>
      <c r="AJ185" s="54"/>
      <c r="AK185" s="54"/>
      <c r="AL185" s="54"/>
      <c r="AM185" s="54"/>
      <c r="AN185" s="54"/>
      <c r="AO185" s="54"/>
      <c r="AP185" s="54"/>
      <c r="AQ185" s="54"/>
      <c r="AR185" s="54"/>
      <c r="AS185" s="54"/>
      <c r="AT185" s="54"/>
      <c r="AU185" s="54"/>
      <c r="AV185" s="54"/>
      <c r="AW185" s="54"/>
      <c r="AX185" s="54"/>
      <c r="AY185" s="54"/>
      <c r="AZ185" s="54"/>
    </row>
    <row r="186" spans="1:52" ht="14.25" customHeight="1">
      <c r="A186" s="24"/>
      <c r="B186" s="24"/>
      <c r="C186" s="24"/>
      <c r="D186" s="24"/>
      <c r="E186" s="24"/>
      <c r="F186" s="24"/>
      <c r="G186" s="24"/>
      <c r="H186" s="24"/>
      <c r="I186" s="24"/>
      <c r="J186" s="24"/>
      <c r="K186" s="24"/>
      <c r="L186" s="24"/>
      <c r="M186" s="24"/>
      <c r="N186" s="35"/>
      <c r="O186" s="24"/>
      <c r="P186" s="35"/>
      <c r="Q186" s="24"/>
      <c r="R186" s="24"/>
      <c r="S186" s="24"/>
      <c r="T186" s="24"/>
      <c r="U186" s="54"/>
      <c r="V186" s="54"/>
      <c r="W186" s="54"/>
      <c r="X186" s="54"/>
      <c r="Y186" s="54"/>
      <c r="Z186" s="54"/>
      <c r="AA186" s="54"/>
      <c r="AB186" s="54"/>
      <c r="AC186" s="54"/>
      <c r="AD186" s="54"/>
      <c r="AE186" s="54"/>
      <c r="AF186" s="54"/>
      <c r="AG186" s="54"/>
      <c r="AH186" s="54"/>
      <c r="AI186" s="54"/>
      <c r="AJ186" s="54"/>
      <c r="AK186" s="54"/>
      <c r="AL186" s="54"/>
      <c r="AM186" s="54"/>
      <c r="AN186" s="54"/>
      <c r="AO186" s="54"/>
      <c r="AP186" s="54"/>
      <c r="AQ186" s="54"/>
      <c r="AR186" s="54"/>
      <c r="AS186" s="54"/>
      <c r="AT186" s="54"/>
      <c r="AU186" s="54"/>
      <c r="AV186" s="54"/>
      <c r="AW186" s="54"/>
      <c r="AX186" s="54"/>
      <c r="AY186" s="54"/>
      <c r="AZ186" s="54"/>
    </row>
    <row r="187" spans="1:52" ht="14.25" customHeight="1">
      <c r="A187" s="24"/>
      <c r="B187" s="24"/>
      <c r="C187" s="24"/>
      <c r="D187" s="24"/>
      <c r="E187" s="24"/>
      <c r="F187" s="24"/>
      <c r="G187" s="24"/>
      <c r="H187" s="24"/>
      <c r="I187" s="24"/>
      <c r="J187" s="24"/>
      <c r="K187" s="24"/>
      <c r="L187" s="24"/>
      <c r="M187" s="24"/>
      <c r="N187" s="35"/>
      <c r="O187" s="24"/>
      <c r="P187" s="35"/>
      <c r="Q187" s="24"/>
      <c r="R187" s="24"/>
      <c r="S187" s="24"/>
      <c r="T187" s="24"/>
      <c r="U187" s="54"/>
      <c r="V187" s="54"/>
      <c r="W187" s="54"/>
      <c r="X187" s="54"/>
      <c r="Y187" s="54"/>
      <c r="Z187" s="54"/>
      <c r="AA187" s="54"/>
      <c r="AB187" s="54"/>
      <c r="AC187" s="54"/>
      <c r="AD187" s="54"/>
      <c r="AE187" s="54"/>
      <c r="AF187" s="54"/>
      <c r="AG187" s="54"/>
      <c r="AH187" s="54"/>
      <c r="AI187" s="54"/>
      <c r="AJ187" s="54"/>
      <c r="AK187" s="54"/>
      <c r="AL187" s="54"/>
      <c r="AM187" s="54"/>
      <c r="AN187" s="54"/>
      <c r="AO187" s="54"/>
      <c r="AP187" s="54"/>
      <c r="AQ187" s="54"/>
      <c r="AR187" s="54"/>
      <c r="AS187" s="54"/>
      <c r="AT187" s="54"/>
      <c r="AU187" s="54"/>
      <c r="AV187" s="54"/>
      <c r="AW187" s="54"/>
      <c r="AX187" s="54"/>
      <c r="AY187" s="54"/>
      <c r="AZ187" s="54"/>
    </row>
    <row r="188" spans="1:52" ht="14.25" customHeight="1">
      <c r="A188" s="24"/>
      <c r="B188" s="24"/>
      <c r="C188" s="24"/>
      <c r="D188" s="24"/>
      <c r="E188" s="24"/>
      <c r="F188" s="24"/>
      <c r="G188" s="24"/>
      <c r="H188" s="24"/>
      <c r="I188" s="24"/>
      <c r="J188" s="24"/>
      <c r="K188" s="24"/>
      <c r="L188" s="24"/>
      <c r="M188" s="24"/>
      <c r="N188" s="35"/>
      <c r="O188" s="24"/>
      <c r="P188" s="35"/>
      <c r="Q188" s="24"/>
      <c r="R188" s="24"/>
      <c r="S188" s="24"/>
      <c r="T188" s="24"/>
      <c r="U188" s="54"/>
      <c r="V188" s="54"/>
      <c r="W188" s="54"/>
      <c r="X188" s="54"/>
      <c r="Y188" s="54"/>
      <c r="Z188" s="54"/>
      <c r="AA188" s="54"/>
      <c r="AB188" s="54"/>
      <c r="AC188" s="54"/>
      <c r="AD188" s="54"/>
      <c r="AE188" s="54"/>
      <c r="AF188" s="54"/>
      <c r="AG188" s="54"/>
      <c r="AH188" s="54"/>
      <c r="AI188" s="54"/>
      <c r="AJ188" s="54"/>
      <c r="AK188" s="54"/>
      <c r="AL188" s="54"/>
      <c r="AM188" s="54"/>
      <c r="AN188" s="54"/>
      <c r="AO188" s="54"/>
      <c r="AP188" s="54"/>
      <c r="AQ188" s="54"/>
      <c r="AR188" s="54"/>
      <c r="AS188" s="54"/>
      <c r="AT188" s="54"/>
      <c r="AU188" s="54"/>
      <c r="AV188" s="54"/>
      <c r="AW188" s="54"/>
      <c r="AX188" s="54"/>
      <c r="AY188" s="54"/>
      <c r="AZ188" s="54"/>
    </row>
    <row r="189" spans="1:52" ht="14.25" customHeight="1">
      <c r="A189" s="24"/>
      <c r="B189" s="24"/>
      <c r="C189" s="24"/>
      <c r="D189" s="24"/>
      <c r="E189" s="24"/>
      <c r="F189" s="24"/>
      <c r="G189" s="24"/>
      <c r="H189" s="24"/>
      <c r="I189" s="24"/>
      <c r="J189" s="24"/>
      <c r="K189" s="24"/>
      <c r="L189" s="24"/>
      <c r="M189" s="24"/>
      <c r="N189" s="35"/>
      <c r="O189" s="24"/>
      <c r="P189" s="35"/>
      <c r="Q189" s="24"/>
      <c r="R189" s="24"/>
      <c r="S189" s="24"/>
      <c r="T189" s="24"/>
      <c r="U189" s="54"/>
      <c r="V189" s="54"/>
      <c r="W189" s="54"/>
      <c r="X189" s="54"/>
      <c r="Y189" s="54"/>
      <c r="Z189" s="54"/>
      <c r="AA189" s="54"/>
      <c r="AB189" s="54"/>
      <c r="AC189" s="54"/>
      <c r="AD189" s="54"/>
      <c r="AE189" s="54"/>
      <c r="AF189" s="54"/>
      <c r="AG189" s="54"/>
      <c r="AH189" s="54"/>
      <c r="AI189" s="54"/>
      <c r="AJ189" s="54"/>
      <c r="AK189" s="54"/>
      <c r="AL189" s="54"/>
      <c r="AM189" s="54"/>
      <c r="AN189" s="54"/>
      <c r="AO189" s="54"/>
      <c r="AP189" s="54"/>
      <c r="AQ189" s="54"/>
      <c r="AR189" s="54"/>
      <c r="AS189" s="54"/>
      <c r="AT189" s="54"/>
      <c r="AU189" s="54"/>
      <c r="AV189" s="54"/>
      <c r="AW189" s="54"/>
      <c r="AX189" s="54"/>
      <c r="AY189" s="54"/>
      <c r="AZ189" s="54"/>
    </row>
    <row r="190" spans="1:52" ht="14.25" customHeight="1">
      <c r="A190" s="24"/>
      <c r="B190" s="24"/>
      <c r="C190" s="24"/>
      <c r="D190" s="24"/>
      <c r="E190" s="24"/>
      <c r="F190" s="24"/>
      <c r="G190" s="24"/>
      <c r="H190" s="24"/>
      <c r="I190" s="24"/>
      <c r="J190" s="24"/>
      <c r="K190" s="24"/>
      <c r="L190" s="24"/>
      <c r="M190" s="24"/>
      <c r="N190" s="35"/>
      <c r="O190" s="24"/>
      <c r="P190" s="35"/>
      <c r="Q190" s="24"/>
      <c r="R190" s="24"/>
      <c r="S190" s="24"/>
      <c r="T190" s="24"/>
      <c r="U190" s="54"/>
      <c r="V190" s="54"/>
      <c r="W190" s="54"/>
      <c r="X190" s="54"/>
      <c r="Y190" s="54"/>
      <c r="Z190" s="54"/>
      <c r="AA190" s="54"/>
      <c r="AB190" s="54"/>
      <c r="AC190" s="54"/>
      <c r="AD190" s="54"/>
      <c r="AE190" s="54"/>
      <c r="AF190" s="54"/>
      <c r="AG190" s="54"/>
      <c r="AH190" s="54"/>
      <c r="AI190" s="54"/>
      <c r="AJ190" s="54"/>
      <c r="AK190" s="54"/>
      <c r="AL190" s="54"/>
      <c r="AM190" s="54"/>
      <c r="AN190" s="54"/>
      <c r="AO190" s="54"/>
      <c r="AP190" s="54"/>
      <c r="AQ190" s="54"/>
      <c r="AR190" s="54"/>
      <c r="AS190" s="54"/>
      <c r="AT190" s="54"/>
      <c r="AU190" s="54"/>
      <c r="AV190" s="54"/>
      <c r="AW190" s="54"/>
      <c r="AX190" s="54"/>
      <c r="AY190" s="54"/>
      <c r="AZ190" s="54"/>
    </row>
    <row r="191" spans="1:52" ht="14.25" customHeight="1">
      <c r="A191" s="24"/>
      <c r="B191" s="24"/>
      <c r="C191" s="24"/>
      <c r="D191" s="24"/>
      <c r="E191" s="24"/>
      <c r="F191" s="24"/>
      <c r="G191" s="24"/>
      <c r="H191" s="24"/>
      <c r="I191" s="24"/>
      <c r="J191" s="24"/>
      <c r="K191" s="24"/>
      <c r="L191" s="24"/>
      <c r="M191" s="24"/>
      <c r="N191" s="35"/>
      <c r="O191" s="24"/>
      <c r="P191" s="35"/>
      <c r="Q191" s="24"/>
      <c r="R191" s="24"/>
      <c r="S191" s="24"/>
      <c r="T191" s="24"/>
      <c r="U191" s="54"/>
      <c r="V191" s="54"/>
      <c r="W191" s="54"/>
      <c r="X191" s="54"/>
      <c r="Y191" s="54"/>
      <c r="Z191" s="54"/>
      <c r="AA191" s="54"/>
      <c r="AB191" s="54"/>
      <c r="AC191" s="54"/>
      <c r="AD191" s="54"/>
      <c r="AE191" s="54"/>
      <c r="AF191" s="54"/>
      <c r="AG191" s="54"/>
      <c r="AH191" s="54"/>
      <c r="AI191" s="54"/>
      <c r="AJ191" s="54"/>
      <c r="AK191" s="54"/>
      <c r="AL191" s="54"/>
      <c r="AM191" s="54"/>
      <c r="AN191" s="54"/>
      <c r="AO191" s="54"/>
      <c r="AP191" s="54"/>
      <c r="AQ191" s="54"/>
      <c r="AR191" s="54"/>
      <c r="AS191" s="54"/>
      <c r="AT191" s="54"/>
      <c r="AU191" s="54"/>
      <c r="AV191" s="54"/>
      <c r="AW191" s="54"/>
      <c r="AX191" s="54"/>
      <c r="AY191" s="54"/>
      <c r="AZ191" s="54"/>
    </row>
    <row r="192" spans="1:52" ht="14.25" customHeight="1">
      <c r="A192" s="24"/>
      <c r="B192" s="24"/>
      <c r="C192" s="24"/>
      <c r="D192" s="24"/>
      <c r="E192" s="24"/>
      <c r="F192" s="24"/>
      <c r="G192" s="24"/>
      <c r="H192" s="24"/>
      <c r="I192" s="24"/>
      <c r="J192" s="24"/>
      <c r="K192" s="24"/>
      <c r="L192" s="24"/>
      <c r="M192" s="24"/>
      <c r="N192" s="35"/>
      <c r="O192" s="24"/>
      <c r="P192" s="35"/>
      <c r="Q192" s="24"/>
      <c r="R192" s="24"/>
      <c r="S192" s="24"/>
      <c r="T192" s="24"/>
      <c r="U192" s="54"/>
      <c r="V192" s="54"/>
      <c r="W192" s="54"/>
      <c r="X192" s="54"/>
      <c r="Y192" s="54"/>
      <c r="Z192" s="54"/>
      <c r="AA192" s="54"/>
      <c r="AB192" s="54"/>
      <c r="AC192" s="54"/>
      <c r="AD192" s="54"/>
      <c r="AE192" s="54"/>
      <c r="AF192" s="54"/>
      <c r="AG192" s="54"/>
      <c r="AH192" s="54"/>
      <c r="AI192" s="54"/>
      <c r="AJ192" s="54"/>
      <c r="AK192" s="54"/>
      <c r="AL192" s="54"/>
      <c r="AM192" s="54"/>
      <c r="AN192" s="54"/>
      <c r="AO192" s="54"/>
      <c r="AP192" s="54"/>
      <c r="AQ192" s="54"/>
      <c r="AR192" s="54"/>
      <c r="AS192" s="54"/>
      <c r="AT192" s="54"/>
      <c r="AU192" s="54"/>
      <c r="AV192" s="54"/>
      <c r="AW192" s="54"/>
      <c r="AX192" s="54"/>
      <c r="AY192" s="54"/>
      <c r="AZ192" s="54"/>
    </row>
    <row r="193" spans="1:52" ht="14.25" customHeight="1">
      <c r="A193" s="24"/>
      <c r="B193" s="24"/>
      <c r="C193" s="24"/>
      <c r="D193" s="24"/>
      <c r="E193" s="24"/>
      <c r="F193" s="24"/>
      <c r="G193" s="24"/>
      <c r="H193" s="24"/>
      <c r="I193" s="24"/>
      <c r="J193" s="24"/>
      <c r="K193" s="24"/>
      <c r="L193" s="24"/>
      <c r="M193" s="24"/>
      <c r="N193" s="35"/>
      <c r="O193" s="24"/>
      <c r="P193" s="35"/>
      <c r="Q193" s="24"/>
      <c r="R193" s="24"/>
      <c r="S193" s="24"/>
      <c r="T193" s="24"/>
      <c r="U193" s="54"/>
      <c r="V193" s="54"/>
      <c r="W193" s="54"/>
      <c r="X193" s="54"/>
      <c r="Y193" s="54"/>
      <c r="Z193" s="54"/>
      <c r="AA193" s="54"/>
      <c r="AB193" s="54"/>
      <c r="AC193" s="54"/>
      <c r="AD193" s="54"/>
      <c r="AE193" s="54"/>
      <c r="AF193" s="54"/>
      <c r="AG193" s="54"/>
      <c r="AH193" s="54"/>
      <c r="AI193" s="54"/>
      <c r="AJ193" s="54"/>
      <c r="AK193" s="54"/>
      <c r="AL193" s="54"/>
      <c r="AM193" s="54"/>
      <c r="AN193" s="54"/>
      <c r="AO193" s="54"/>
      <c r="AP193" s="54"/>
      <c r="AQ193" s="54"/>
      <c r="AR193" s="54"/>
      <c r="AS193" s="54"/>
      <c r="AT193" s="54"/>
      <c r="AU193" s="54"/>
      <c r="AV193" s="54"/>
      <c r="AW193" s="54"/>
      <c r="AX193" s="54"/>
      <c r="AY193" s="54"/>
      <c r="AZ193" s="54"/>
    </row>
    <row r="194" spans="1:52" ht="14.25" customHeight="1">
      <c r="A194" s="24"/>
      <c r="B194" s="24"/>
      <c r="C194" s="24"/>
      <c r="D194" s="24"/>
      <c r="E194" s="24"/>
      <c r="F194" s="24"/>
      <c r="G194" s="24"/>
      <c r="H194" s="24"/>
      <c r="I194" s="24"/>
      <c r="J194" s="24"/>
      <c r="K194" s="24"/>
      <c r="L194" s="24"/>
      <c r="M194" s="24"/>
      <c r="N194" s="35"/>
      <c r="O194" s="24"/>
      <c r="P194" s="35"/>
      <c r="Q194" s="24"/>
      <c r="R194" s="24"/>
      <c r="S194" s="24"/>
      <c r="T194" s="24"/>
      <c r="U194" s="54"/>
      <c r="V194" s="54"/>
      <c r="W194" s="54"/>
      <c r="X194" s="54"/>
      <c r="Y194" s="54"/>
      <c r="Z194" s="54"/>
      <c r="AA194" s="54"/>
      <c r="AB194" s="54"/>
      <c r="AC194" s="54"/>
      <c r="AD194" s="54"/>
      <c r="AE194" s="54"/>
      <c r="AF194" s="54"/>
      <c r="AG194" s="54"/>
      <c r="AH194" s="54"/>
      <c r="AI194" s="54"/>
      <c r="AJ194" s="54"/>
      <c r="AK194" s="54"/>
      <c r="AL194" s="54"/>
      <c r="AM194" s="54"/>
      <c r="AN194" s="54"/>
      <c r="AO194" s="54"/>
      <c r="AP194" s="54"/>
      <c r="AQ194" s="54"/>
      <c r="AR194" s="54"/>
      <c r="AS194" s="54"/>
      <c r="AT194" s="54"/>
      <c r="AU194" s="54"/>
      <c r="AV194" s="54"/>
      <c r="AW194" s="54"/>
      <c r="AX194" s="54"/>
      <c r="AY194" s="54"/>
      <c r="AZ194" s="54"/>
    </row>
    <row r="195" spans="1:52" ht="14.25" customHeight="1">
      <c r="A195" s="24"/>
      <c r="B195" s="24"/>
      <c r="C195" s="24"/>
      <c r="D195" s="24"/>
      <c r="E195" s="24"/>
      <c r="F195" s="24"/>
      <c r="G195" s="24"/>
      <c r="H195" s="24"/>
      <c r="I195" s="24"/>
      <c r="J195" s="24"/>
      <c r="K195" s="24"/>
      <c r="L195" s="24"/>
      <c r="M195" s="24"/>
      <c r="N195" s="35"/>
      <c r="O195" s="24"/>
      <c r="P195" s="35"/>
      <c r="Q195" s="24"/>
      <c r="R195" s="24"/>
      <c r="S195" s="24"/>
      <c r="T195" s="24"/>
      <c r="U195" s="54"/>
      <c r="V195" s="54"/>
      <c r="W195" s="54"/>
      <c r="X195" s="54"/>
      <c r="Y195" s="54"/>
      <c r="Z195" s="54"/>
      <c r="AA195" s="54"/>
      <c r="AB195" s="54"/>
      <c r="AC195" s="54"/>
      <c r="AD195" s="54"/>
      <c r="AE195" s="54"/>
      <c r="AF195" s="54"/>
      <c r="AG195" s="54"/>
      <c r="AH195" s="54"/>
      <c r="AI195" s="54"/>
      <c r="AJ195" s="54"/>
      <c r="AK195" s="54"/>
      <c r="AL195" s="54"/>
      <c r="AM195" s="54"/>
      <c r="AN195" s="54"/>
      <c r="AO195" s="54"/>
      <c r="AP195" s="54"/>
      <c r="AQ195" s="54"/>
      <c r="AR195" s="54"/>
      <c r="AS195" s="54"/>
      <c r="AT195" s="54"/>
      <c r="AU195" s="54"/>
      <c r="AV195" s="54"/>
      <c r="AW195" s="54"/>
      <c r="AX195" s="54"/>
      <c r="AY195" s="54"/>
      <c r="AZ195" s="54"/>
    </row>
    <row r="196" spans="1:52" ht="14.25" customHeight="1">
      <c r="A196" s="24"/>
      <c r="B196" s="24"/>
      <c r="C196" s="24"/>
      <c r="D196" s="24"/>
      <c r="E196" s="24"/>
      <c r="F196" s="24"/>
      <c r="G196" s="24"/>
      <c r="H196" s="24"/>
      <c r="I196" s="24"/>
      <c r="J196" s="24"/>
      <c r="K196" s="24"/>
      <c r="L196" s="24"/>
      <c r="M196" s="24"/>
      <c r="N196" s="35"/>
      <c r="O196" s="24"/>
      <c r="P196" s="35"/>
      <c r="Q196" s="24"/>
      <c r="R196" s="24"/>
      <c r="S196" s="24"/>
      <c r="T196" s="24"/>
      <c r="U196" s="54"/>
      <c r="V196" s="54"/>
      <c r="W196" s="54"/>
      <c r="X196" s="54"/>
      <c r="Y196" s="54"/>
      <c r="Z196" s="54"/>
      <c r="AA196" s="54"/>
      <c r="AB196" s="54"/>
      <c r="AC196" s="54"/>
      <c r="AD196" s="54"/>
      <c r="AE196" s="54"/>
      <c r="AF196" s="54"/>
      <c r="AG196" s="54"/>
      <c r="AH196" s="54"/>
      <c r="AI196" s="54"/>
      <c r="AJ196" s="54"/>
      <c r="AK196" s="54"/>
      <c r="AL196" s="54"/>
      <c r="AM196" s="54"/>
      <c r="AN196" s="54"/>
      <c r="AO196" s="54"/>
      <c r="AP196" s="54"/>
      <c r="AQ196" s="54"/>
      <c r="AR196" s="54"/>
      <c r="AS196" s="54"/>
      <c r="AT196" s="54"/>
      <c r="AU196" s="54"/>
      <c r="AV196" s="54"/>
      <c r="AW196" s="54"/>
      <c r="AX196" s="54"/>
      <c r="AY196" s="54"/>
      <c r="AZ196" s="54"/>
    </row>
    <row r="197" spans="1:52" ht="14.25" customHeight="1">
      <c r="A197" s="24"/>
      <c r="B197" s="24"/>
      <c r="C197" s="24"/>
      <c r="D197" s="24"/>
      <c r="E197" s="24"/>
      <c r="F197" s="24"/>
      <c r="G197" s="24"/>
      <c r="H197" s="24"/>
      <c r="I197" s="24"/>
      <c r="J197" s="24"/>
      <c r="K197" s="24"/>
      <c r="L197" s="24"/>
      <c r="M197" s="24"/>
      <c r="N197" s="35"/>
      <c r="O197" s="24"/>
      <c r="P197" s="35"/>
      <c r="Q197" s="24"/>
      <c r="R197" s="24"/>
      <c r="S197" s="24"/>
      <c r="T197" s="24"/>
      <c r="U197" s="54"/>
      <c r="V197" s="54"/>
      <c r="W197" s="54"/>
      <c r="X197" s="54"/>
      <c r="Y197" s="54"/>
      <c r="Z197" s="54"/>
      <c r="AA197" s="54"/>
      <c r="AB197" s="54"/>
      <c r="AC197" s="54"/>
      <c r="AD197" s="54"/>
      <c r="AE197" s="54"/>
      <c r="AF197" s="54"/>
      <c r="AG197" s="54"/>
      <c r="AH197" s="54"/>
      <c r="AI197" s="54"/>
      <c r="AJ197" s="54"/>
      <c r="AK197" s="54"/>
      <c r="AL197" s="54"/>
      <c r="AM197" s="54"/>
      <c r="AN197" s="54"/>
      <c r="AO197" s="54"/>
      <c r="AP197" s="54"/>
      <c r="AQ197" s="54"/>
      <c r="AR197" s="54"/>
      <c r="AS197" s="54"/>
      <c r="AT197" s="54"/>
      <c r="AU197" s="54"/>
      <c r="AV197" s="54"/>
      <c r="AW197" s="54"/>
      <c r="AX197" s="54"/>
      <c r="AY197" s="54"/>
      <c r="AZ197" s="54"/>
    </row>
    <row r="198" spans="1:52" ht="14.25" customHeight="1">
      <c r="A198" s="24"/>
      <c r="B198" s="24"/>
      <c r="C198" s="24"/>
      <c r="D198" s="24"/>
      <c r="E198" s="24"/>
      <c r="F198" s="24"/>
      <c r="G198" s="24"/>
      <c r="H198" s="24"/>
      <c r="I198" s="24"/>
      <c r="J198" s="24"/>
      <c r="K198" s="24"/>
      <c r="L198" s="24"/>
      <c r="M198" s="24"/>
      <c r="N198" s="35"/>
      <c r="O198" s="24"/>
      <c r="P198" s="35"/>
      <c r="Q198" s="24"/>
      <c r="R198" s="24"/>
      <c r="S198" s="24"/>
      <c r="T198" s="24"/>
      <c r="U198" s="54"/>
      <c r="V198" s="54"/>
      <c r="W198" s="54"/>
      <c r="X198" s="54"/>
      <c r="Y198" s="54"/>
      <c r="Z198" s="54"/>
      <c r="AA198" s="54"/>
      <c r="AB198" s="54"/>
      <c r="AC198" s="54"/>
      <c r="AD198" s="54"/>
      <c r="AE198" s="54"/>
      <c r="AF198" s="54"/>
      <c r="AG198" s="54"/>
      <c r="AH198" s="54"/>
      <c r="AI198" s="54"/>
      <c r="AJ198" s="54"/>
      <c r="AK198" s="54"/>
      <c r="AL198" s="54"/>
      <c r="AM198" s="54"/>
      <c r="AN198" s="54"/>
      <c r="AO198" s="54"/>
      <c r="AP198" s="54"/>
      <c r="AQ198" s="54"/>
      <c r="AR198" s="54"/>
      <c r="AS198" s="54"/>
      <c r="AT198" s="54"/>
      <c r="AU198" s="54"/>
      <c r="AV198" s="54"/>
      <c r="AW198" s="54"/>
      <c r="AX198" s="54"/>
      <c r="AY198" s="54"/>
      <c r="AZ198" s="54"/>
    </row>
    <row r="199" spans="1:52" ht="14.25" customHeight="1">
      <c r="A199" s="24"/>
      <c r="B199" s="24"/>
      <c r="C199" s="24"/>
      <c r="D199" s="24"/>
      <c r="E199" s="24"/>
      <c r="F199" s="24"/>
      <c r="G199" s="24"/>
      <c r="H199" s="24"/>
      <c r="I199" s="24"/>
      <c r="J199" s="24"/>
      <c r="K199" s="24"/>
      <c r="L199" s="24"/>
      <c r="M199" s="24"/>
      <c r="N199" s="35"/>
      <c r="O199" s="24"/>
      <c r="P199" s="35"/>
      <c r="Q199" s="24"/>
      <c r="R199" s="24"/>
      <c r="S199" s="24"/>
      <c r="T199" s="24"/>
      <c r="U199" s="54"/>
      <c r="V199" s="54"/>
      <c r="W199" s="54"/>
      <c r="X199" s="54"/>
      <c r="Y199" s="54"/>
      <c r="Z199" s="54"/>
      <c r="AA199" s="54"/>
      <c r="AB199" s="54"/>
      <c r="AC199" s="54"/>
      <c r="AD199" s="54"/>
      <c r="AE199" s="54"/>
      <c r="AF199" s="54"/>
      <c r="AG199" s="54"/>
      <c r="AH199" s="54"/>
      <c r="AI199" s="54"/>
      <c r="AJ199" s="54"/>
      <c r="AK199" s="54"/>
      <c r="AL199" s="54"/>
      <c r="AM199" s="54"/>
      <c r="AN199" s="54"/>
      <c r="AO199" s="54"/>
      <c r="AP199" s="54"/>
      <c r="AQ199" s="54"/>
      <c r="AR199" s="54"/>
      <c r="AS199" s="54"/>
      <c r="AT199" s="54"/>
      <c r="AU199" s="54"/>
      <c r="AV199" s="54"/>
      <c r="AW199" s="54"/>
      <c r="AX199" s="54"/>
      <c r="AY199" s="54"/>
      <c r="AZ199" s="54"/>
    </row>
    <row r="200" spans="1:52" ht="14.25" customHeight="1">
      <c r="A200" s="24"/>
      <c r="B200" s="24"/>
      <c r="C200" s="24"/>
      <c r="D200" s="24"/>
      <c r="E200" s="24"/>
      <c r="F200" s="24"/>
      <c r="G200" s="24"/>
      <c r="H200" s="24"/>
      <c r="I200" s="24"/>
      <c r="J200" s="24"/>
      <c r="K200" s="24"/>
      <c r="L200" s="24"/>
      <c r="M200" s="24"/>
      <c r="N200" s="35"/>
      <c r="O200" s="24"/>
      <c r="P200" s="35"/>
      <c r="Q200" s="24"/>
      <c r="R200" s="24"/>
      <c r="S200" s="24"/>
      <c r="T200" s="24"/>
      <c r="U200" s="54"/>
      <c r="V200" s="54"/>
      <c r="W200" s="54"/>
      <c r="X200" s="54"/>
      <c r="Y200" s="54"/>
      <c r="Z200" s="54"/>
      <c r="AA200" s="54"/>
      <c r="AB200" s="54"/>
      <c r="AC200" s="54"/>
      <c r="AD200" s="54"/>
      <c r="AE200" s="54"/>
      <c r="AF200" s="54"/>
      <c r="AG200" s="54"/>
      <c r="AH200" s="54"/>
      <c r="AI200" s="54"/>
      <c r="AJ200" s="54"/>
      <c r="AK200" s="54"/>
      <c r="AL200" s="54"/>
      <c r="AM200" s="54"/>
      <c r="AN200" s="54"/>
      <c r="AO200" s="54"/>
      <c r="AP200" s="54"/>
      <c r="AQ200" s="54"/>
      <c r="AR200" s="54"/>
      <c r="AS200" s="54"/>
      <c r="AT200" s="54"/>
      <c r="AU200" s="54"/>
      <c r="AV200" s="54"/>
      <c r="AW200" s="54"/>
      <c r="AX200" s="54"/>
      <c r="AY200" s="54"/>
      <c r="AZ200" s="54"/>
    </row>
    <row r="201" spans="1:52" ht="14.25" customHeight="1">
      <c r="A201" s="24"/>
      <c r="B201" s="24"/>
      <c r="C201" s="24"/>
      <c r="D201" s="24"/>
      <c r="E201" s="24"/>
      <c r="F201" s="24"/>
      <c r="G201" s="24"/>
      <c r="H201" s="24"/>
      <c r="I201" s="24"/>
      <c r="J201" s="24"/>
      <c r="K201" s="24"/>
      <c r="L201" s="24"/>
      <c r="M201" s="24"/>
      <c r="N201" s="35"/>
      <c r="O201" s="24"/>
      <c r="P201" s="35"/>
      <c r="Q201" s="24"/>
      <c r="R201" s="24"/>
      <c r="S201" s="24"/>
      <c r="T201" s="24"/>
      <c r="U201" s="54"/>
      <c r="V201" s="54"/>
      <c r="W201" s="54"/>
      <c r="X201" s="54"/>
      <c r="Y201" s="54"/>
      <c r="Z201" s="54"/>
      <c r="AA201" s="54"/>
      <c r="AB201" s="54"/>
      <c r="AC201" s="54"/>
      <c r="AD201" s="54"/>
      <c r="AE201" s="54"/>
      <c r="AF201" s="54"/>
      <c r="AG201" s="54"/>
      <c r="AH201" s="54"/>
      <c r="AI201" s="54"/>
      <c r="AJ201" s="54"/>
      <c r="AK201" s="54"/>
      <c r="AL201" s="54"/>
      <c r="AM201" s="54"/>
      <c r="AN201" s="54"/>
      <c r="AO201" s="54"/>
      <c r="AP201" s="54"/>
      <c r="AQ201" s="54"/>
      <c r="AR201" s="54"/>
      <c r="AS201" s="54"/>
      <c r="AT201" s="54"/>
      <c r="AU201" s="54"/>
      <c r="AV201" s="54"/>
      <c r="AW201" s="54"/>
      <c r="AX201" s="54"/>
      <c r="AY201" s="54"/>
      <c r="AZ201" s="54"/>
    </row>
    <row r="202" spans="1:52" ht="14.25" customHeight="1">
      <c r="A202" s="24"/>
      <c r="B202" s="24"/>
      <c r="C202" s="24"/>
      <c r="D202" s="24"/>
      <c r="E202" s="24"/>
      <c r="F202" s="24"/>
      <c r="G202" s="24"/>
      <c r="H202" s="24"/>
      <c r="I202" s="24"/>
      <c r="J202" s="24"/>
      <c r="K202" s="24"/>
      <c r="L202" s="24"/>
      <c r="M202" s="24"/>
      <c r="N202" s="35"/>
      <c r="O202" s="24"/>
      <c r="P202" s="35"/>
      <c r="Q202" s="24"/>
      <c r="R202" s="24"/>
      <c r="S202" s="24"/>
      <c r="T202" s="24"/>
      <c r="U202" s="54"/>
      <c r="V202" s="54"/>
      <c r="W202" s="54"/>
      <c r="X202" s="54"/>
      <c r="Y202" s="54"/>
      <c r="Z202" s="54"/>
      <c r="AA202" s="54"/>
      <c r="AB202" s="54"/>
      <c r="AC202" s="54"/>
      <c r="AD202" s="54"/>
      <c r="AE202" s="54"/>
      <c r="AF202" s="54"/>
      <c r="AG202" s="54"/>
      <c r="AH202" s="54"/>
      <c r="AI202" s="54"/>
      <c r="AJ202" s="54"/>
      <c r="AK202" s="54"/>
      <c r="AL202" s="54"/>
      <c r="AM202" s="54"/>
      <c r="AN202" s="54"/>
      <c r="AO202" s="54"/>
      <c r="AP202" s="54"/>
      <c r="AQ202" s="54"/>
      <c r="AR202" s="54"/>
      <c r="AS202" s="54"/>
      <c r="AT202" s="54"/>
      <c r="AU202" s="54"/>
      <c r="AV202" s="54"/>
      <c r="AW202" s="54"/>
      <c r="AX202" s="54"/>
      <c r="AY202" s="54"/>
      <c r="AZ202" s="54"/>
    </row>
    <row r="203" spans="1:52" ht="14.25" customHeight="1">
      <c r="A203" s="24"/>
      <c r="B203" s="24"/>
      <c r="C203" s="24"/>
      <c r="D203" s="24"/>
      <c r="E203" s="24"/>
      <c r="F203" s="24"/>
      <c r="G203" s="24"/>
      <c r="H203" s="24"/>
      <c r="I203" s="24"/>
      <c r="J203" s="24"/>
      <c r="K203" s="24"/>
      <c r="L203" s="24"/>
      <c r="M203" s="24"/>
      <c r="N203" s="35"/>
      <c r="O203" s="24"/>
      <c r="P203" s="35"/>
      <c r="Q203" s="24"/>
      <c r="R203" s="24"/>
      <c r="S203" s="24"/>
      <c r="T203" s="24"/>
      <c r="U203" s="54"/>
      <c r="V203" s="54"/>
      <c r="W203" s="54"/>
      <c r="X203" s="54"/>
      <c r="Y203" s="54"/>
      <c r="Z203" s="54"/>
      <c r="AA203" s="54"/>
      <c r="AB203" s="54"/>
      <c r="AC203" s="54"/>
      <c r="AD203" s="54"/>
      <c r="AE203" s="54"/>
      <c r="AF203" s="54"/>
      <c r="AG203" s="54"/>
      <c r="AH203" s="54"/>
      <c r="AI203" s="54"/>
      <c r="AJ203" s="54"/>
      <c r="AK203" s="54"/>
      <c r="AL203" s="54"/>
      <c r="AM203" s="54"/>
      <c r="AN203" s="54"/>
      <c r="AO203" s="54"/>
      <c r="AP203" s="54"/>
      <c r="AQ203" s="54"/>
      <c r="AR203" s="54"/>
      <c r="AS203" s="54"/>
      <c r="AT203" s="54"/>
      <c r="AU203" s="54"/>
      <c r="AV203" s="54"/>
      <c r="AW203" s="54"/>
      <c r="AX203" s="54"/>
      <c r="AY203" s="54"/>
      <c r="AZ203" s="54"/>
    </row>
    <row r="204" spans="1:52" ht="14.25" customHeight="1">
      <c r="A204" s="24"/>
      <c r="B204" s="24"/>
      <c r="C204" s="24"/>
      <c r="D204" s="24"/>
      <c r="E204" s="24"/>
      <c r="F204" s="24"/>
      <c r="G204" s="24"/>
      <c r="H204" s="24"/>
      <c r="I204" s="24"/>
      <c r="J204" s="24"/>
      <c r="K204" s="24"/>
      <c r="L204" s="24"/>
      <c r="M204" s="24"/>
      <c r="N204" s="35"/>
      <c r="O204" s="24"/>
      <c r="P204" s="35"/>
      <c r="Q204" s="24"/>
      <c r="R204" s="24"/>
      <c r="S204" s="24"/>
      <c r="T204" s="24"/>
      <c r="U204" s="54"/>
      <c r="V204" s="54"/>
      <c r="W204" s="54"/>
      <c r="X204" s="54"/>
      <c r="Y204" s="54"/>
      <c r="Z204" s="54"/>
      <c r="AA204" s="54"/>
      <c r="AB204" s="54"/>
      <c r="AC204" s="54"/>
      <c r="AD204" s="54"/>
      <c r="AE204" s="54"/>
      <c r="AF204" s="54"/>
      <c r="AG204" s="54"/>
      <c r="AH204" s="54"/>
      <c r="AI204" s="54"/>
      <c r="AJ204" s="54"/>
      <c r="AK204" s="54"/>
      <c r="AL204" s="54"/>
      <c r="AM204" s="54"/>
      <c r="AN204" s="54"/>
      <c r="AO204" s="54"/>
      <c r="AP204" s="54"/>
      <c r="AQ204" s="54"/>
      <c r="AR204" s="54"/>
      <c r="AS204" s="54"/>
      <c r="AT204" s="54"/>
      <c r="AU204" s="54"/>
      <c r="AV204" s="54"/>
      <c r="AW204" s="54"/>
      <c r="AX204" s="54"/>
      <c r="AY204" s="54"/>
      <c r="AZ204" s="54"/>
    </row>
    <row r="205" spans="1:52" ht="14.25" customHeight="1">
      <c r="A205" s="24"/>
      <c r="B205" s="24"/>
      <c r="C205" s="24"/>
      <c r="D205" s="24"/>
      <c r="E205" s="24"/>
      <c r="F205" s="24"/>
      <c r="G205" s="24"/>
      <c r="H205" s="24"/>
      <c r="I205" s="24"/>
      <c r="J205" s="24"/>
      <c r="K205" s="24"/>
      <c r="L205" s="24"/>
      <c r="M205" s="24"/>
      <c r="N205" s="35"/>
      <c r="O205" s="24"/>
      <c r="P205" s="35"/>
      <c r="Q205" s="24"/>
      <c r="R205" s="24"/>
      <c r="S205" s="24"/>
      <c r="T205" s="24"/>
      <c r="U205" s="54"/>
      <c r="V205" s="54"/>
      <c r="W205" s="54"/>
      <c r="X205" s="54"/>
      <c r="Y205" s="54"/>
      <c r="Z205" s="54"/>
      <c r="AA205" s="54"/>
      <c r="AB205" s="54"/>
      <c r="AC205" s="54"/>
      <c r="AD205" s="54"/>
      <c r="AE205" s="54"/>
      <c r="AF205" s="54"/>
      <c r="AG205" s="54"/>
      <c r="AH205" s="54"/>
      <c r="AI205" s="54"/>
      <c r="AJ205" s="54"/>
      <c r="AK205" s="54"/>
      <c r="AL205" s="54"/>
      <c r="AM205" s="54"/>
      <c r="AN205" s="54"/>
      <c r="AO205" s="54"/>
      <c r="AP205" s="54"/>
      <c r="AQ205" s="54"/>
      <c r="AR205" s="54"/>
      <c r="AS205" s="54"/>
      <c r="AT205" s="54"/>
      <c r="AU205" s="54"/>
      <c r="AV205" s="54"/>
      <c r="AW205" s="54"/>
      <c r="AX205" s="54"/>
      <c r="AY205" s="54"/>
      <c r="AZ205" s="54"/>
    </row>
    <row r="206" spans="1:52" ht="14.25" customHeight="1">
      <c r="A206" s="24"/>
      <c r="B206" s="24"/>
      <c r="C206" s="24"/>
      <c r="D206" s="24"/>
      <c r="E206" s="24"/>
      <c r="F206" s="24"/>
      <c r="G206" s="24"/>
      <c r="H206" s="24"/>
      <c r="I206" s="24"/>
      <c r="J206" s="24"/>
      <c r="K206" s="24"/>
      <c r="L206" s="24"/>
      <c r="M206" s="24"/>
      <c r="N206" s="35"/>
      <c r="O206" s="24"/>
      <c r="P206" s="35"/>
      <c r="Q206" s="24"/>
      <c r="R206" s="24"/>
      <c r="S206" s="24"/>
      <c r="T206" s="24"/>
      <c r="U206" s="54"/>
      <c r="V206" s="54"/>
      <c r="W206" s="54"/>
      <c r="X206" s="54"/>
      <c r="Y206" s="54"/>
      <c r="Z206" s="54"/>
      <c r="AA206" s="54"/>
      <c r="AB206" s="54"/>
      <c r="AC206" s="54"/>
      <c r="AD206" s="54"/>
      <c r="AE206" s="54"/>
      <c r="AF206" s="54"/>
      <c r="AG206" s="54"/>
      <c r="AH206" s="54"/>
      <c r="AI206" s="54"/>
      <c r="AJ206" s="54"/>
      <c r="AK206" s="54"/>
      <c r="AL206" s="54"/>
      <c r="AM206" s="54"/>
      <c r="AN206" s="54"/>
      <c r="AO206" s="54"/>
      <c r="AP206" s="54"/>
      <c r="AQ206" s="54"/>
      <c r="AR206" s="54"/>
      <c r="AS206" s="54"/>
      <c r="AT206" s="54"/>
      <c r="AU206" s="54"/>
      <c r="AV206" s="54"/>
      <c r="AW206" s="54"/>
      <c r="AX206" s="54"/>
      <c r="AY206" s="54"/>
      <c r="AZ206" s="54"/>
    </row>
    <row r="207" spans="1:52" ht="14.25" customHeight="1">
      <c r="A207" s="24"/>
      <c r="B207" s="24"/>
      <c r="C207" s="24"/>
      <c r="D207" s="24"/>
      <c r="E207" s="24"/>
      <c r="F207" s="24"/>
      <c r="G207" s="24"/>
      <c r="H207" s="24"/>
      <c r="I207" s="24"/>
      <c r="J207" s="24"/>
      <c r="K207" s="24"/>
      <c r="L207" s="24"/>
      <c r="M207" s="24"/>
      <c r="N207" s="35"/>
      <c r="O207" s="24"/>
      <c r="P207" s="35"/>
      <c r="Q207" s="24"/>
      <c r="R207" s="24"/>
      <c r="S207" s="24"/>
      <c r="T207" s="24"/>
      <c r="U207" s="54"/>
      <c r="V207" s="54"/>
      <c r="W207" s="54"/>
      <c r="X207" s="54"/>
      <c r="Y207" s="54"/>
      <c r="Z207" s="54"/>
      <c r="AA207" s="54"/>
      <c r="AB207" s="54"/>
      <c r="AC207" s="54"/>
      <c r="AD207" s="54"/>
      <c r="AE207" s="54"/>
      <c r="AF207" s="54"/>
      <c r="AG207" s="54"/>
      <c r="AH207" s="54"/>
      <c r="AI207" s="54"/>
      <c r="AJ207" s="54"/>
      <c r="AK207" s="54"/>
      <c r="AL207" s="54"/>
      <c r="AM207" s="54"/>
      <c r="AN207" s="54"/>
      <c r="AO207" s="54"/>
      <c r="AP207" s="54"/>
      <c r="AQ207" s="54"/>
      <c r="AR207" s="54"/>
      <c r="AS207" s="54"/>
      <c r="AT207" s="54"/>
      <c r="AU207" s="54"/>
      <c r="AV207" s="54"/>
      <c r="AW207" s="54"/>
      <c r="AX207" s="54"/>
      <c r="AY207" s="54"/>
      <c r="AZ207" s="54"/>
    </row>
    <row r="208" spans="1:52" ht="14.25" customHeight="1">
      <c r="A208" s="24"/>
      <c r="B208" s="24"/>
      <c r="C208" s="24"/>
      <c r="D208" s="24"/>
      <c r="E208" s="24"/>
      <c r="F208" s="24"/>
      <c r="G208" s="24"/>
      <c r="H208" s="24"/>
      <c r="I208" s="24"/>
      <c r="J208" s="24"/>
      <c r="K208" s="24"/>
      <c r="L208" s="24"/>
      <c r="M208" s="24"/>
      <c r="N208" s="35"/>
      <c r="O208" s="24"/>
      <c r="P208" s="35"/>
      <c r="Q208" s="24"/>
      <c r="R208" s="24"/>
      <c r="S208" s="24"/>
      <c r="T208" s="24"/>
      <c r="U208" s="54"/>
      <c r="V208" s="54"/>
      <c r="W208" s="54"/>
      <c r="X208" s="54"/>
      <c r="Y208" s="54"/>
      <c r="Z208" s="54"/>
      <c r="AA208" s="54"/>
      <c r="AB208" s="54"/>
      <c r="AC208" s="54"/>
      <c r="AD208" s="54"/>
      <c r="AE208" s="54"/>
      <c r="AF208" s="54"/>
      <c r="AG208" s="54"/>
      <c r="AH208" s="54"/>
      <c r="AI208" s="54"/>
      <c r="AJ208" s="54"/>
      <c r="AK208" s="54"/>
      <c r="AL208" s="54"/>
      <c r="AM208" s="54"/>
      <c r="AN208" s="54"/>
      <c r="AO208" s="54"/>
      <c r="AP208" s="54"/>
      <c r="AQ208" s="54"/>
      <c r="AR208" s="54"/>
      <c r="AS208" s="54"/>
      <c r="AT208" s="54"/>
      <c r="AU208" s="54"/>
      <c r="AV208" s="54"/>
      <c r="AW208" s="54"/>
      <c r="AX208" s="54"/>
      <c r="AY208" s="54"/>
      <c r="AZ208" s="54"/>
    </row>
    <row r="209" spans="1:52" ht="14.25" customHeight="1">
      <c r="A209" s="24"/>
      <c r="B209" s="24"/>
      <c r="C209" s="24"/>
      <c r="D209" s="24"/>
      <c r="E209" s="24"/>
      <c r="F209" s="24"/>
      <c r="G209" s="24"/>
      <c r="H209" s="24"/>
      <c r="I209" s="24"/>
      <c r="J209" s="24"/>
      <c r="K209" s="24"/>
      <c r="L209" s="24"/>
      <c r="M209" s="24"/>
      <c r="N209" s="35"/>
      <c r="O209" s="24"/>
      <c r="P209" s="35"/>
      <c r="Q209" s="24"/>
      <c r="R209" s="24"/>
      <c r="S209" s="24"/>
      <c r="T209" s="24"/>
      <c r="U209" s="54"/>
      <c r="V209" s="54"/>
      <c r="W209" s="54"/>
      <c r="X209" s="54"/>
      <c r="Y209" s="54"/>
      <c r="Z209" s="54"/>
      <c r="AA209" s="54"/>
      <c r="AB209" s="54"/>
      <c r="AC209" s="54"/>
      <c r="AD209" s="54"/>
      <c r="AE209" s="54"/>
      <c r="AF209" s="54"/>
      <c r="AG209" s="54"/>
      <c r="AH209" s="54"/>
      <c r="AI209" s="54"/>
      <c r="AJ209" s="54"/>
      <c r="AK209" s="54"/>
      <c r="AL209" s="54"/>
      <c r="AM209" s="54"/>
      <c r="AN209" s="54"/>
      <c r="AO209" s="54"/>
      <c r="AP209" s="54"/>
      <c r="AQ209" s="54"/>
      <c r="AR209" s="54"/>
      <c r="AS209" s="54"/>
      <c r="AT209" s="54"/>
      <c r="AU209" s="54"/>
      <c r="AV209" s="54"/>
      <c r="AW209" s="54"/>
      <c r="AX209" s="54"/>
      <c r="AY209" s="54"/>
      <c r="AZ209" s="54"/>
    </row>
    <row r="210" spans="1:52" ht="14.25" customHeight="1">
      <c r="A210" s="24"/>
      <c r="B210" s="24"/>
      <c r="C210" s="24"/>
      <c r="D210" s="24"/>
      <c r="E210" s="24"/>
      <c r="F210" s="24"/>
      <c r="G210" s="24"/>
      <c r="H210" s="24"/>
      <c r="I210" s="24"/>
      <c r="J210" s="24"/>
      <c r="K210" s="24"/>
      <c r="L210" s="24"/>
      <c r="M210" s="24"/>
      <c r="N210" s="35"/>
      <c r="O210" s="24"/>
      <c r="P210" s="35"/>
      <c r="Q210" s="24"/>
      <c r="R210" s="24"/>
      <c r="S210" s="24"/>
      <c r="T210" s="24"/>
      <c r="U210" s="54"/>
      <c r="V210" s="54"/>
      <c r="W210" s="54"/>
      <c r="X210" s="54"/>
      <c r="Y210" s="54"/>
      <c r="Z210" s="54"/>
      <c r="AA210" s="54"/>
      <c r="AB210" s="54"/>
      <c r="AC210" s="54"/>
      <c r="AD210" s="54"/>
      <c r="AE210" s="54"/>
      <c r="AF210" s="54"/>
      <c r="AG210" s="54"/>
      <c r="AH210" s="54"/>
      <c r="AI210" s="54"/>
      <c r="AJ210" s="54"/>
      <c r="AK210" s="54"/>
      <c r="AL210" s="54"/>
      <c r="AM210" s="54"/>
      <c r="AN210" s="54"/>
      <c r="AO210" s="54"/>
      <c r="AP210" s="54"/>
      <c r="AQ210" s="54"/>
      <c r="AR210" s="54"/>
      <c r="AS210" s="54"/>
      <c r="AT210" s="54"/>
      <c r="AU210" s="54"/>
      <c r="AV210" s="54"/>
      <c r="AW210" s="54"/>
      <c r="AX210" s="54"/>
      <c r="AY210" s="54"/>
      <c r="AZ210" s="54"/>
    </row>
    <row r="211" spans="1:52" ht="14.25" customHeight="1">
      <c r="A211" s="24"/>
      <c r="B211" s="24"/>
      <c r="C211" s="24"/>
      <c r="D211" s="24"/>
      <c r="E211" s="24"/>
      <c r="F211" s="24"/>
      <c r="G211" s="24"/>
      <c r="H211" s="24"/>
      <c r="I211" s="24"/>
      <c r="J211" s="24"/>
      <c r="K211" s="24"/>
      <c r="L211" s="24"/>
      <c r="M211" s="24"/>
      <c r="N211" s="35"/>
      <c r="O211" s="24"/>
      <c r="P211" s="35"/>
      <c r="Q211" s="24"/>
      <c r="R211" s="24"/>
      <c r="S211" s="24"/>
      <c r="T211" s="24"/>
      <c r="U211" s="54"/>
      <c r="V211" s="54"/>
      <c r="W211" s="54"/>
      <c r="X211" s="54"/>
      <c r="Y211" s="54"/>
      <c r="Z211" s="54"/>
      <c r="AA211" s="54"/>
      <c r="AB211" s="54"/>
      <c r="AC211" s="54"/>
      <c r="AD211" s="54"/>
      <c r="AE211" s="54"/>
      <c r="AF211" s="54"/>
      <c r="AG211" s="54"/>
      <c r="AH211" s="54"/>
      <c r="AI211" s="54"/>
      <c r="AJ211" s="54"/>
      <c r="AK211" s="54"/>
      <c r="AL211" s="54"/>
      <c r="AM211" s="54"/>
      <c r="AN211" s="54"/>
      <c r="AO211" s="54"/>
      <c r="AP211" s="54"/>
      <c r="AQ211" s="54"/>
      <c r="AR211" s="54"/>
      <c r="AS211" s="54"/>
      <c r="AT211" s="54"/>
      <c r="AU211" s="54"/>
      <c r="AV211" s="54"/>
      <c r="AW211" s="54"/>
      <c r="AX211" s="54"/>
      <c r="AY211" s="54"/>
      <c r="AZ211" s="54"/>
    </row>
    <row r="212" spans="1:52" ht="14.25" customHeight="1">
      <c r="A212" s="24"/>
      <c r="B212" s="24"/>
      <c r="C212" s="24"/>
      <c r="D212" s="24"/>
      <c r="E212" s="24"/>
      <c r="F212" s="24"/>
      <c r="G212" s="24"/>
      <c r="H212" s="24"/>
      <c r="I212" s="24"/>
      <c r="J212" s="24"/>
      <c r="K212" s="24"/>
      <c r="L212" s="24"/>
      <c r="M212" s="24"/>
      <c r="N212" s="35"/>
      <c r="O212" s="24"/>
      <c r="P212" s="35"/>
      <c r="Q212" s="24"/>
      <c r="R212" s="24"/>
      <c r="S212" s="24"/>
      <c r="T212" s="24"/>
      <c r="U212" s="54"/>
      <c r="V212" s="54"/>
      <c r="W212" s="54"/>
      <c r="X212" s="54"/>
      <c r="Y212" s="54"/>
      <c r="Z212" s="54"/>
      <c r="AA212" s="54"/>
      <c r="AB212" s="54"/>
      <c r="AC212" s="54"/>
      <c r="AD212" s="54"/>
      <c r="AE212" s="54"/>
      <c r="AF212" s="54"/>
      <c r="AG212" s="54"/>
      <c r="AH212" s="54"/>
      <c r="AI212" s="54"/>
      <c r="AJ212" s="54"/>
      <c r="AK212" s="54"/>
      <c r="AL212" s="54"/>
      <c r="AM212" s="54"/>
      <c r="AN212" s="54"/>
      <c r="AO212" s="54"/>
      <c r="AP212" s="54"/>
      <c r="AQ212" s="54"/>
      <c r="AR212" s="54"/>
      <c r="AS212" s="54"/>
      <c r="AT212" s="54"/>
      <c r="AU212" s="54"/>
      <c r="AV212" s="54"/>
      <c r="AW212" s="54"/>
      <c r="AX212" s="54"/>
      <c r="AY212" s="54"/>
      <c r="AZ212" s="54"/>
    </row>
    <row r="213" spans="1:52" ht="14.25" customHeight="1">
      <c r="A213" s="24"/>
      <c r="B213" s="24"/>
      <c r="C213" s="24"/>
      <c r="D213" s="24"/>
      <c r="E213" s="24"/>
      <c r="F213" s="24"/>
      <c r="G213" s="24"/>
      <c r="H213" s="24"/>
      <c r="I213" s="24"/>
      <c r="J213" s="24"/>
      <c r="K213" s="24"/>
      <c r="L213" s="24"/>
      <c r="M213" s="24"/>
      <c r="N213" s="35"/>
      <c r="O213" s="24"/>
      <c r="P213" s="35"/>
      <c r="Q213" s="24"/>
      <c r="R213" s="24"/>
      <c r="S213" s="24"/>
      <c r="T213" s="24"/>
      <c r="U213" s="54"/>
      <c r="V213" s="54"/>
      <c r="W213" s="54"/>
      <c r="X213" s="54"/>
      <c r="Y213" s="54"/>
      <c r="Z213" s="54"/>
      <c r="AA213" s="54"/>
      <c r="AB213" s="54"/>
      <c r="AC213" s="54"/>
      <c r="AD213" s="54"/>
      <c r="AE213" s="54"/>
      <c r="AF213" s="54"/>
      <c r="AG213" s="54"/>
      <c r="AH213" s="54"/>
      <c r="AI213" s="54"/>
      <c r="AJ213" s="54"/>
      <c r="AK213" s="54"/>
      <c r="AL213" s="54"/>
      <c r="AM213" s="54"/>
      <c r="AN213" s="54"/>
      <c r="AO213" s="54"/>
      <c r="AP213" s="54"/>
      <c r="AQ213" s="54"/>
      <c r="AR213" s="54"/>
      <c r="AS213" s="54"/>
      <c r="AT213" s="54"/>
      <c r="AU213" s="54"/>
      <c r="AV213" s="54"/>
      <c r="AW213" s="54"/>
      <c r="AX213" s="54"/>
      <c r="AY213" s="54"/>
      <c r="AZ213" s="54"/>
    </row>
    <row r="214" spans="1:52" ht="14.25" customHeight="1">
      <c r="A214" s="24"/>
      <c r="B214" s="24"/>
      <c r="C214" s="24"/>
      <c r="D214" s="24"/>
      <c r="E214" s="24"/>
      <c r="F214" s="24"/>
      <c r="G214" s="24"/>
      <c r="H214" s="24"/>
      <c r="I214" s="24"/>
      <c r="J214" s="24"/>
      <c r="K214" s="24"/>
      <c r="L214" s="24"/>
      <c r="M214" s="24"/>
      <c r="N214" s="35"/>
      <c r="O214" s="24"/>
      <c r="P214" s="35"/>
      <c r="Q214" s="24"/>
      <c r="R214" s="24"/>
      <c r="S214" s="24"/>
      <c r="T214" s="24"/>
      <c r="U214" s="54"/>
      <c r="V214" s="54"/>
      <c r="W214" s="54"/>
      <c r="X214" s="54"/>
      <c r="Y214" s="54"/>
      <c r="Z214" s="54"/>
      <c r="AA214" s="54"/>
      <c r="AB214" s="54"/>
      <c r="AC214" s="54"/>
      <c r="AD214" s="54"/>
      <c r="AE214" s="54"/>
      <c r="AF214" s="54"/>
      <c r="AG214" s="54"/>
      <c r="AH214" s="54"/>
      <c r="AI214" s="54"/>
      <c r="AJ214" s="54"/>
      <c r="AK214" s="54"/>
      <c r="AL214" s="54"/>
      <c r="AM214" s="54"/>
      <c r="AN214" s="54"/>
      <c r="AO214" s="54"/>
      <c r="AP214" s="54"/>
      <c r="AQ214" s="54"/>
      <c r="AR214" s="54"/>
      <c r="AS214" s="54"/>
      <c r="AT214" s="54"/>
      <c r="AU214" s="54"/>
      <c r="AV214" s="54"/>
      <c r="AW214" s="54"/>
      <c r="AX214" s="54"/>
      <c r="AY214" s="54"/>
      <c r="AZ214" s="54"/>
    </row>
    <row r="215" spans="1:52" ht="14.25" customHeight="1">
      <c r="A215" s="24"/>
      <c r="B215" s="24"/>
      <c r="C215" s="24"/>
      <c r="D215" s="24"/>
      <c r="E215" s="24"/>
      <c r="F215" s="24"/>
      <c r="G215" s="24"/>
      <c r="H215" s="24"/>
      <c r="I215" s="24"/>
      <c r="J215" s="24"/>
      <c r="K215" s="24"/>
      <c r="L215" s="24"/>
      <c r="M215" s="24"/>
      <c r="N215" s="35"/>
      <c r="O215" s="24"/>
      <c r="P215" s="35"/>
      <c r="Q215" s="24"/>
      <c r="R215" s="24"/>
      <c r="S215" s="24"/>
      <c r="T215" s="24"/>
      <c r="U215" s="54"/>
      <c r="V215" s="54"/>
      <c r="W215" s="54"/>
      <c r="X215" s="54"/>
      <c r="Y215" s="54"/>
      <c r="Z215" s="54"/>
      <c r="AA215" s="54"/>
      <c r="AB215" s="54"/>
      <c r="AC215" s="54"/>
      <c r="AD215" s="54"/>
      <c r="AE215" s="54"/>
      <c r="AF215" s="54"/>
      <c r="AG215" s="54"/>
      <c r="AH215" s="54"/>
      <c r="AI215" s="54"/>
      <c r="AJ215" s="54"/>
      <c r="AK215" s="54"/>
      <c r="AL215" s="54"/>
      <c r="AM215" s="54"/>
      <c r="AN215" s="54"/>
      <c r="AO215" s="54"/>
      <c r="AP215" s="54"/>
      <c r="AQ215" s="54"/>
      <c r="AR215" s="54"/>
      <c r="AS215" s="54"/>
      <c r="AT215" s="54"/>
      <c r="AU215" s="54"/>
      <c r="AV215" s="54"/>
      <c r="AW215" s="54"/>
      <c r="AX215" s="54"/>
      <c r="AY215" s="54"/>
      <c r="AZ215" s="54"/>
    </row>
    <row r="216" spans="1:52" ht="14.25" customHeight="1">
      <c r="A216" s="24"/>
      <c r="B216" s="24"/>
      <c r="C216" s="24"/>
      <c r="D216" s="24"/>
      <c r="E216" s="24"/>
      <c r="F216" s="24"/>
      <c r="G216" s="24"/>
      <c r="H216" s="24"/>
      <c r="I216" s="24"/>
      <c r="J216" s="24"/>
      <c r="K216" s="24"/>
      <c r="L216" s="24"/>
      <c r="M216" s="24"/>
      <c r="N216" s="35"/>
      <c r="O216" s="24"/>
      <c r="P216" s="35"/>
      <c r="Q216" s="24"/>
      <c r="R216" s="24"/>
      <c r="S216" s="24"/>
      <c r="T216" s="24"/>
      <c r="U216" s="54"/>
      <c r="V216" s="54"/>
      <c r="W216" s="54"/>
      <c r="X216" s="54"/>
      <c r="Y216" s="54"/>
      <c r="Z216" s="54"/>
      <c r="AA216" s="54"/>
      <c r="AB216" s="54"/>
      <c r="AC216" s="54"/>
      <c r="AD216" s="54"/>
      <c r="AE216" s="54"/>
      <c r="AF216" s="54"/>
      <c r="AG216" s="54"/>
      <c r="AH216" s="54"/>
      <c r="AI216" s="54"/>
      <c r="AJ216" s="54"/>
      <c r="AK216" s="54"/>
      <c r="AL216" s="54"/>
      <c r="AM216" s="54"/>
      <c r="AN216" s="54"/>
      <c r="AO216" s="54"/>
      <c r="AP216" s="54"/>
      <c r="AQ216" s="54"/>
      <c r="AR216" s="54"/>
      <c r="AS216" s="54"/>
      <c r="AT216" s="54"/>
      <c r="AU216" s="54"/>
      <c r="AV216" s="54"/>
      <c r="AW216" s="54"/>
      <c r="AX216" s="54"/>
      <c r="AY216" s="54"/>
      <c r="AZ216" s="54"/>
    </row>
    <row r="217" spans="1:52" ht="14.25" customHeight="1">
      <c r="A217" s="24"/>
      <c r="B217" s="24"/>
      <c r="C217" s="24"/>
      <c r="D217" s="24"/>
      <c r="E217" s="24"/>
      <c r="F217" s="24"/>
      <c r="G217" s="24"/>
      <c r="H217" s="24"/>
      <c r="I217" s="24"/>
      <c r="J217" s="24"/>
      <c r="K217" s="24"/>
      <c r="L217" s="24"/>
      <c r="M217" s="24"/>
      <c r="N217" s="35"/>
      <c r="O217" s="24"/>
      <c r="P217" s="35"/>
      <c r="Q217" s="24"/>
      <c r="R217" s="24"/>
      <c r="S217" s="24"/>
      <c r="T217" s="24"/>
      <c r="U217" s="54"/>
      <c r="V217" s="54"/>
      <c r="W217" s="54"/>
      <c r="X217" s="54"/>
      <c r="Y217" s="54"/>
      <c r="Z217" s="54"/>
      <c r="AA217" s="54"/>
      <c r="AB217" s="54"/>
      <c r="AC217" s="54"/>
      <c r="AD217" s="54"/>
      <c r="AE217" s="54"/>
      <c r="AF217" s="54"/>
      <c r="AG217" s="54"/>
      <c r="AH217" s="54"/>
      <c r="AI217" s="54"/>
      <c r="AJ217" s="54"/>
      <c r="AK217" s="54"/>
      <c r="AL217" s="54"/>
      <c r="AM217" s="54"/>
      <c r="AN217" s="54"/>
      <c r="AO217" s="54"/>
      <c r="AP217" s="54"/>
      <c r="AQ217" s="54"/>
      <c r="AR217" s="54"/>
      <c r="AS217" s="54"/>
      <c r="AT217" s="54"/>
      <c r="AU217" s="54"/>
      <c r="AV217" s="54"/>
      <c r="AW217" s="54"/>
      <c r="AX217" s="54"/>
      <c r="AY217" s="54"/>
      <c r="AZ217" s="54"/>
    </row>
    <row r="218" spans="1:52" ht="14.25" customHeight="1">
      <c r="A218" s="24"/>
      <c r="B218" s="24"/>
      <c r="C218" s="24"/>
      <c r="D218" s="24"/>
      <c r="E218" s="24"/>
      <c r="F218" s="24"/>
      <c r="G218" s="24"/>
      <c r="H218" s="24"/>
      <c r="I218" s="24"/>
      <c r="J218" s="24"/>
      <c r="K218" s="24"/>
      <c r="L218" s="24"/>
      <c r="M218" s="24"/>
      <c r="N218" s="35"/>
      <c r="O218" s="24"/>
      <c r="P218" s="35"/>
      <c r="Q218" s="24"/>
      <c r="R218" s="24"/>
      <c r="S218" s="24"/>
      <c r="T218" s="24"/>
      <c r="U218" s="54"/>
      <c r="V218" s="54"/>
      <c r="W218" s="54"/>
      <c r="X218" s="54"/>
      <c r="Y218" s="54"/>
      <c r="Z218" s="54"/>
      <c r="AA218" s="54"/>
      <c r="AB218" s="54"/>
      <c r="AC218" s="54"/>
      <c r="AD218" s="54"/>
      <c r="AE218" s="54"/>
      <c r="AF218" s="54"/>
      <c r="AG218" s="54"/>
      <c r="AH218" s="54"/>
      <c r="AI218" s="54"/>
      <c r="AJ218" s="54"/>
      <c r="AK218" s="54"/>
      <c r="AL218" s="54"/>
      <c r="AM218" s="54"/>
      <c r="AN218" s="54"/>
      <c r="AO218" s="54"/>
      <c r="AP218" s="54"/>
      <c r="AQ218" s="54"/>
      <c r="AR218" s="54"/>
      <c r="AS218" s="54"/>
      <c r="AT218" s="54"/>
      <c r="AU218" s="54"/>
      <c r="AV218" s="54"/>
      <c r="AW218" s="54"/>
      <c r="AX218" s="54"/>
      <c r="AY218" s="54"/>
      <c r="AZ218" s="54"/>
    </row>
    <row r="219" spans="1:52" ht="14.25" customHeight="1">
      <c r="A219" s="24"/>
      <c r="B219" s="24"/>
      <c r="C219" s="24"/>
      <c r="D219" s="24"/>
      <c r="E219" s="24"/>
      <c r="F219" s="24"/>
      <c r="G219" s="24"/>
      <c r="H219" s="24"/>
      <c r="I219" s="24"/>
      <c r="J219" s="24"/>
      <c r="K219" s="24"/>
      <c r="L219" s="24"/>
      <c r="M219" s="24"/>
      <c r="N219" s="35"/>
      <c r="O219" s="24"/>
      <c r="P219" s="35"/>
      <c r="Q219" s="24"/>
      <c r="R219" s="24"/>
      <c r="S219" s="24"/>
      <c r="T219" s="24"/>
      <c r="U219" s="54"/>
      <c r="V219" s="54"/>
      <c r="W219" s="54"/>
      <c r="X219" s="54"/>
      <c r="Y219" s="54"/>
      <c r="Z219" s="54"/>
      <c r="AA219" s="54"/>
      <c r="AB219" s="54"/>
      <c r="AC219" s="54"/>
      <c r="AD219" s="54"/>
      <c r="AE219" s="54"/>
      <c r="AF219" s="54"/>
      <c r="AG219" s="54"/>
      <c r="AH219" s="54"/>
      <c r="AI219" s="54"/>
      <c r="AJ219" s="54"/>
      <c r="AK219" s="54"/>
      <c r="AL219" s="54"/>
      <c r="AM219" s="54"/>
      <c r="AN219" s="54"/>
      <c r="AO219" s="54"/>
      <c r="AP219" s="54"/>
      <c r="AQ219" s="54"/>
      <c r="AR219" s="54"/>
      <c r="AS219" s="54"/>
      <c r="AT219" s="54"/>
      <c r="AU219" s="54"/>
      <c r="AV219" s="54"/>
      <c r="AW219" s="54"/>
      <c r="AX219" s="54"/>
      <c r="AY219" s="54"/>
      <c r="AZ219" s="54"/>
    </row>
    <row r="220" spans="1:52" ht="14.25" customHeight="1">
      <c r="A220" s="24"/>
      <c r="B220" s="24"/>
      <c r="C220" s="24"/>
      <c r="D220" s="24"/>
      <c r="E220" s="24"/>
      <c r="F220" s="24"/>
      <c r="G220" s="24"/>
      <c r="H220" s="24"/>
      <c r="I220" s="24"/>
      <c r="J220" s="24"/>
      <c r="K220" s="24"/>
      <c r="L220" s="24"/>
      <c r="M220" s="24"/>
      <c r="N220" s="35"/>
      <c r="O220" s="24"/>
      <c r="P220" s="35"/>
      <c r="Q220" s="24"/>
      <c r="R220" s="24"/>
      <c r="S220" s="24"/>
      <c r="T220" s="24"/>
      <c r="U220" s="54"/>
      <c r="V220" s="54"/>
      <c r="W220" s="54"/>
      <c r="X220" s="54"/>
      <c r="Y220" s="54"/>
      <c r="Z220" s="54"/>
      <c r="AA220" s="54"/>
      <c r="AB220" s="54"/>
      <c r="AC220" s="54"/>
      <c r="AD220" s="54"/>
      <c r="AE220" s="54"/>
      <c r="AF220" s="54"/>
      <c r="AG220" s="54"/>
      <c r="AH220" s="54"/>
      <c r="AI220" s="54"/>
      <c r="AJ220" s="54"/>
      <c r="AK220" s="54"/>
      <c r="AL220" s="54"/>
      <c r="AM220" s="54"/>
      <c r="AN220" s="54"/>
      <c r="AO220" s="54"/>
      <c r="AP220" s="54"/>
      <c r="AQ220" s="54"/>
      <c r="AR220" s="54"/>
      <c r="AS220" s="54"/>
      <c r="AT220" s="54"/>
      <c r="AU220" s="54"/>
      <c r="AV220" s="54"/>
      <c r="AW220" s="54"/>
      <c r="AX220" s="54"/>
      <c r="AY220" s="54"/>
      <c r="AZ220" s="54"/>
    </row>
    <row r="221" spans="1:52" ht="14.25" customHeight="1">
      <c r="A221" s="24"/>
      <c r="B221" s="24"/>
      <c r="C221" s="24"/>
      <c r="D221" s="24"/>
      <c r="E221" s="24"/>
      <c r="F221" s="24"/>
      <c r="G221" s="24"/>
      <c r="H221" s="24"/>
      <c r="I221" s="24"/>
      <c r="J221" s="24"/>
      <c r="K221" s="24"/>
      <c r="L221" s="24"/>
      <c r="M221" s="24"/>
      <c r="N221" s="35"/>
      <c r="O221" s="24"/>
      <c r="P221" s="35"/>
      <c r="Q221" s="24"/>
      <c r="R221" s="24"/>
      <c r="S221" s="24"/>
      <c r="T221" s="24"/>
      <c r="U221" s="54"/>
      <c r="V221" s="54"/>
      <c r="W221" s="54"/>
      <c r="X221" s="54"/>
      <c r="Y221" s="54"/>
      <c r="Z221" s="54"/>
      <c r="AA221" s="54"/>
      <c r="AB221" s="54"/>
      <c r="AC221" s="54"/>
      <c r="AD221" s="54"/>
      <c r="AE221" s="54"/>
      <c r="AF221" s="54"/>
      <c r="AG221" s="54"/>
      <c r="AH221" s="54"/>
      <c r="AI221" s="54"/>
      <c r="AJ221" s="54"/>
      <c r="AK221" s="54"/>
      <c r="AL221" s="54"/>
      <c r="AM221" s="54"/>
      <c r="AN221" s="54"/>
      <c r="AO221" s="54"/>
      <c r="AP221" s="54"/>
      <c r="AQ221" s="54"/>
      <c r="AR221" s="54"/>
      <c r="AS221" s="54"/>
      <c r="AT221" s="54"/>
      <c r="AU221" s="54"/>
      <c r="AV221" s="54"/>
      <c r="AW221" s="54"/>
      <c r="AX221" s="54"/>
      <c r="AY221" s="54"/>
      <c r="AZ221" s="54"/>
    </row>
    <row r="222" spans="1:52" ht="14.25" customHeight="1">
      <c r="A222" s="24"/>
      <c r="B222" s="24"/>
      <c r="C222" s="24"/>
      <c r="D222" s="24"/>
      <c r="E222" s="24"/>
      <c r="F222" s="24"/>
      <c r="G222" s="24"/>
      <c r="H222" s="24"/>
      <c r="I222" s="24"/>
      <c r="J222" s="24"/>
      <c r="K222" s="24"/>
      <c r="L222" s="24"/>
      <c r="M222" s="24"/>
      <c r="N222" s="35"/>
      <c r="O222" s="24"/>
      <c r="P222" s="35"/>
      <c r="Q222" s="24"/>
      <c r="R222" s="24"/>
      <c r="S222" s="24"/>
      <c r="T222" s="24"/>
      <c r="U222" s="54"/>
      <c r="V222" s="54"/>
      <c r="W222" s="54"/>
      <c r="X222" s="54"/>
      <c r="Y222" s="54"/>
      <c r="Z222" s="54"/>
      <c r="AA222" s="54"/>
      <c r="AB222" s="54"/>
      <c r="AC222" s="54"/>
      <c r="AD222" s="54"/>
      <c r="AE222" s="54"/>
      <c r="AF222" s="54"/>
      <c r="AG222" s="54"/>
      <c r="AH222" s="54"/>
      <c r="AI222" s="54"/>
      <c r="AJ222" s="54"/>
      <c r="AK222" s="54"/>
      <c r="AL222" s="54"/>
      <c r="AM222" s="54"/>
      <c r="AN222" s="54"/>
      <c r="AO222" s="54"/>
      <c r="AP222" s="54"/>
      <c r="AQ222" s="54"/>
      <c r="AR222" s="54"/>
      <c r="AS222" s="54"/>
      <c r="AT222" s="54"/>
      <c r="AU222" s="54"/>
      <c r="AV222" s="54"/>
      <c r="AW222" s="54"/>
      <c r="AX222" s="54"/>
      <c r="AY222" s="54"/>
      <c r="AZ222" s="54"/>
    </row>
    <row r="223" spans="1:52" ht="14.25" customHeight="1">
      <c r="A223" s="24"/>
      <c r="B223" s="24"/>
      <c r="C223" s="24"/>
      <c r="D223" s="24"/>
      <c r="E223" s="24"/>
      <c r="F223" s="24"/>
      <c r="G223" s="24"/>
      <c r="H223" s="24"/>
      <c r="I223" s="24"/>
      <c r="J223" s="24"/>
      <c r="K223" s="24"/>
      <c r="L223" s="24"/>
      <c r="M223" s="24"/>
      <c r="N223" s="35"/>
      <c r="O223" s="24"/>
      <c r="P223" s="35"/>
      <c r="Q223" s="24"/>
      <c r="R223" s="24"/>
      <c r="S223" s="24"/>
      <c r="T223" s="24"/>
      <c r="U223" s="54"/>
      <c r="V223" s="54"/>
      <c r="W223" s="54"/>
      <c r="X223" s="54"/>
      <c r="Y223" s="54"/>
      <c r="Z223" s="54"/>
      <c r="AA223" s="54"/>
      <c r="AB223" s="54"/>
      <c r="AC223" s="54"/>
      <c r="AD223" s="54"/>
      <c r="AE223" s="54"/>
      <c r="AF223" s="54"/>
      <c r="AG223" s="54"/>
      <c r="AH223" s="54"/>
      <c r="AI223" s="54"/>
      <c r="AJ223" s="54"/>
      <c r="AK223" s="54"/>
      <c r="AL223" s="54"/>
      <c r="AM223" s="54"/>
      <c r="AN223" s="54"/>
      <c r="AO223" s="54"/>
      <c r="AP223" s="54"/>
      <c r="AQ223" s="54"/>
      <c r="AR223" s="54"/>
      <c r="AS223" s="54"/>
      <c r="AT223" s="54"/>
      <c r="AU223" s="54"/>
      <c r="AV223" s="54"/>
      <c r="AW223" s="54"/>
      <c r="AX223" s="54"/>
      <c r="AY223" s="54"/>
      <c r="AZ223" s="54"/>
    </row>
    <row r="224" spans="1:52" ht="14.25" customHeight="1">
      <c r="A224" s="24"/>
      <c r="B224" s="24"/>
      <c r="C224" s="24"/>
      <c r="D224" s="24"/>
      <c r="E224" s="24"/>
      <c r="F224" s="24"/>
      <c r="G224" s="24"/>
      <c r="H224" s="24"/>
      <c r="I224" s="24"/>
      <c r="J224" s="24"/>
      <c r="K224" s="24"/>
      <c r="L224" s="24"/>
      <c r="M224" s="24"/>
      <c r="N224" s="35"/>
      <c r="O224" s="24"/>
      <c r="P224" s="35"/>
      <c r="Q224" s="24"/>
      <c r="R224" s="24"/>
      <c r="S224" s="24"/>
      <c r="T224" s="24"/>
      <c r="U224" s="54"/>
      <c r="V224" s="54"/>
      <c r="W224" s="54"/>
      <c r="X224" s="54"/>
      <c r="Y224" s="54"/>
      <c r="Z224" s="54"/>
      <c r="AA224" s="54"/>
      <c r="AB224" s="54"/>
      <c r="AC224" s="54"/>
      <c r="AD224" s="54"/>
      <c r="AE224" s="54"/>
      <c r="AF224" s="54"/>
      <c r="AG224" s="54"/>
      <c r="AH224" s="54"/>
      <c r="AI224" s="54"/>
      <c r="AJ224" s="54"/>
      <c r="AK224" s="54"/>
      <c r="AL224" s="54"/>
      <c r="AM224" s="54"/>
      <c r="AN224" s="54"/>
      <c r="AO224" s="54"/>
      <c r="AP224" s="54"/>
      <c r="AQ224" s="54"/>
      <c r="AR224" s="54"/>
      <c r="AS224" s="54"/>
      <c r="AT224" s="54"/>
      <c r="AU224" s="54"/>
      <c r="AV224" s="54"/>
      <c r="AW224" s="54"/>
      <c r="AX224" s="54"/>
      <c r="AY224" s="54"/>
      <c r="AZ224" s="54"/>
    </row>
    <row r="225" spans="1:52" ht="14.25" customHeight="1">
      <c r="A225" s="24"/>
      <c r="B225" s="24"/>
      <c r="C225" s="24"/>
      <c r="D225" s="24"/>
      <c r="E225" s="24"/>
      <c r="F225" s="24"/>
      <c r="G225" s="24"/>
      <c r="H225" s="24"/>
      <c r="I225" s="24"/>
      <c r="J225" s="24"/>
      <c r="K225" s="24"/>
      <c r="L225" s="24"/>
      <c r="M225" s="24"/>
      <c r="N225" s="35"/>
      <c r="O225" s="24"/>
      <c r="P225" s="35"/>
      <c r="Q225" s="24"/>
      <c r="R225" s="24"/>
      <c r="S225" s="24"/>
      <c r="T225" s="24"/>
      <c r="U225" s="54"/>
      <c r="V225" s="54"/>
      <c r="W225" s="54"/>
      <c r="X225" s="54"/>
      <c r="Y225" s="54"/>
      <c r="Z225" s="54"/>
      <c r="AA225" s="54"/>
      <c r="AB225" s="54"/>
      <c r="AC225" s="54"/>
      <c r="AD225" s="54"/>
      <c r="AE225" s="54"/>
      <c r="AF225" s="54"/>
      <c r="AG225" s="54"/>
      <c r="AH225" s="54"/>
      <c r="AI225" s="54"/>
      <c r="AJ225" s="54"/>
      <c r="AK225" s="54"/>
      <c r="AL225" s="54"/>
      <c r="AM225" s="54"/>
      <c r="AN225" s="54"/>
      <c r="AO225" s="54"/>
      <c r="AP225" s="54"/>
      <c r="AQ225" s="54"/>
      <c r="AR225" s="54"/>
      <c r="AS225" s="54"/>
      <c r="AT225" s="54"/>
      <c r="AU225" s="54"/>
      <c r="AV225" s="54"/>
      <c r="AW225" s="54"/>
      <c r="AX225" s="54"/>
      <c r="AY225" s="54"/>
      <c r="AZ225" s="54"/>
    </row>
    <row r="226" spans="1:52" ht="14.25" customHeight="1">
      <c r="A226" s="24"/>
      <c r="B226" s="24"/>
      <c r="C226" s="24"/>
      <c r="D226" s="24"/>
      <c r="E226" s="24"/>
      <c r="F226" s="24"/>
      <c r="G226" s="24"/>
      <c r="H226" s="24"/>
      <c r="I226" s="24"/>
      <c r="J226" s="24"/>
      <c r="K226" s="24"/>
      <c r="L226" s="24"/>
      <c r="M226" s="24"/>
      <c r="N226" s="35"/>
      <c r="O226" s="24"/>
      <c r="P226" s="35"/>
      <c r="Q226" s="24"/>
      <c r="R226" s="24"/>
      <c r="S226" s="24"/>
      <c r="T226" s="24"/>
      <c r="U226" s="54"/>
      <c r="V226" s="54"/>
      <c r="W226" s="54"/>
      <c r="X226" s="54"/>
      <c r="Y226" s="54"/>
      <c r="Z226" s="54"/>
      <c r="AA226" s="54"/>
      <c r="AB226" s="54"/>
      <c r="AC226" s="54"/>
      <c r="AD226" s="54"/>
      <c r="AE226" s="54"/>
      <c r="AF226" s="54"/>
      <c r="AG226" s="54"/>
      <c r="AH226" s="54"/>
      <c r="AI226" s="54"/>
      <c r="AJ226" s="54"/>
      <c r="AK226" s="54"/>
      <c r="AL226" s="54"/>
      <c r="AM226" s="54"/>
      <c r="AN226" s="54"/>
      <c r="AO226" s="54"/>
      <c r="AP226" s="54"/>
      <c r="AQ226" s="54"/>
      <c r="AR226" s="54"/>
      <c r="AS226" s="54"/>
      <c r="AT226" s="54"/>
      <c r="AU226" s="54"/>
      <c r="AV226" s="54"/>
      <c r="AW226" s="54"/>
      <c r="AX226" s="54"/>
      <c r="AY226" s="54"/>
      <c r="AZ226" s="54"/>
    </row>
    <row r="227" spans="1:52" ht="14.25" customHeight="1">
      <c r="A227" s="24"/>
      <c r="B227" s="24"/>
      <c r="C227" s="24"/>
      <c r="D227" s="24"/>
      <c r="E227" s="24"/>
      <c r="F227" s="24"/>
      <c r="G227" s="24"/>
      <c r="H227" s="24"/>
      <c r="I227" s="24"/>
      <c r="J227" s="24"/>
      <c r="K227" s="24"/>
      <c r="L227" s="24"/>
      <c r="M227" s="24"/>
      <c r="N227" s="35"/>
      <c r="O227" s="24"/>
      <c r="P227" s="35"/>
      <c r="Q227" s="24"/>
      <c r="R227" s="24"/>
      <c r="S227" s="24"/>
      <c r="T227" s="24"/>
      <c r="U227" s="54"/>
      <c r="V227" s="54"/>
      <c r="W227" s="54"/>
      <c r="X227" s="54"/>
      <c r="Y227" s="54"/>
      <c r="Z227" s="54"/>
      <c r="AA227" s="54"/>
      <c r="AB227" s="54"/>
      <c r="AC227" s="54"/>
      <c r="AD227" s="54"/>
      <c r="AE227" s="54"/>
      <c r="AF227" s="54"/>
      <c r="AG227" s="54"/>
      <c r="AH227" s="54"/>
      <c r="AI227" s="54"/>
      <c r="AJ227" s="54"/>
      <c r="AK227" s="54"/>
      <c r="AL227" s="54"/>
      <c r="AM227" s="54"/>
      <c r="AN227" s="54"/>
      <c r="AO227" s="54"/>
      <c r="AP227" s="54"/>
      <c r="AQ227" s="54"/>
      <c r="AR227" s="54"/>
      <c r="AS227" s="54"/>
      <c r="AT227" s="54"/>
      <c r="AU227" s="54"/>
      <c r="AV227" s="54"/>
      <c r="AW227" s="54"/>
      <c r="AX227" s="54"/>
      <c r="AY227" s="54"/>
      <c r="AZ227" s="54"/>
    </row>
    <row r="228" spans="1:52" ht="14.25" customHeight="1">
      <c r="A228" s="24"/>
      <c r="B228" s="24"/>
      <c r="C228" s="24"/>
      <c r="D228" s="24"/>
      <c r="E228" s="24"/>
      <c r="F228" s="24"/>
      <c r="G228" s="24"/>
      <c r="H228" s="24"/>
      <c r="I228" s="24"/>
      <c r="J228" s="24"/>
      <c r="K228" s="24"/>
      <c r="L228" s="24"/>
      <c r="M228" s="24"/>
      <c r="N228" s="35"/>
      <c r="O228" s="24"/>
      <c r="P228" s="35"/>
      <c r="Q228" s="24"/>
      <c r="R228" s="24"/>
      <c r="S228" s="24"/>
      <c r="T228" s="24"/>
      <c r="U228" s="54"/>
      <c r="V228" s="54"/>
      <c r="W228" s="54"/>
      <c r="X228" s="54"/>
      <c r="Y228" s="54"/>
      <c r="Z228" s="54"/>
      <c r="AA228" s="54"/>
      <c r="AB228" s="54"/>
      <c r="AC228" s="54"/>
      <c r="AD228" s="54"/>
      <c r="AE228" s="54"/>
      <c r="AF228" s="54"/>
      <c r="AG228" s="54"/>
      <c r="AH228" s="54"/>
      <c r="AI228" s="54"/>
      <c r="AJ228" s="54"/>
      <c r="AK228" s="54"/>
      <c r="AL228" s="54"/>
      <c r="AM228" s="54"/>
      <c r="AN228" s="54"/>
      <c r="AO228" s="54"/>
      <c r="AP228" s="54"/>
      <c r="AQ228" s="54"/>
      <c r="AR228" s="54"/>
      <c r="AS228" s="54"/>
      <c r="AT228" s="54"/>
      <c r="AU228" s="54"/>
      <c r="AV228" s="54"/>
      <c r="AW228" s="54"/>
      <c r="AX228" s="54"/>
      <c r="AY228" s="54"/>
      <c r="AZ228" s="54"/>
    </row>
    <row r="229" spans="1:52" ht="14.25" customHeight="1">
      <c r="A229" s="24"/>
      <c r="B229" s="24"/>
      <c r="C229" s="24"/>
      <c r="D229" s="24"/>
      <c r="E229" s="24"/>
      <c r="F229" s="24"/>
      <c r="G229" s="24"/>
      <c r="H229" s="24"/>
      <c r="I229" s="24"/>
      <c r="J229" s="24"/>
      <c r="K229" s="24"/>
      <c r="L229" s="24"/>
      <c r="M229" s="24"/>
      <c r="N229" s="35"/>
      <c r="O229" s="24"/>
      <c r="P229" s="35"/>
      <c r="Q229" s="24"/>
      <c r="R229" s="24"/>
      <c r="S229" s="24"/>
      <c r="T229" s="24"/>
      <c r="U229" s="54"/>
      <c r="V229" s="54"/>
      <c r="W229" s="54"/>
      <c r="X229" s="54"/>
      <c r="Y229" s="54"/>
      <c r="Z229" s="54"/>
      <c r="AA229" s="54"/>
      <c r="AB229" s="54"/>
      <c r="AC229" s="54"/>
      <c r="AD229" s="54"/>
      <c r="AE229" s="54"/>
      <c r="AF229" s="54"/>
      <c r="AG229" s="54"/>
      <c r="AH229" s="54"/>
      <c r="AI229" s="54"/>
      <c r="AJ229" s="54"/>
      <c r="AK229" s="54"/>
      <c r="AL229" s="54"/>
      <c r="AM229" s="54"/>
      <c r="AN229" s="54"/>
      <c r="AO229" s="54"/>
      <c r="AP229" s="54"/>
      <c r="AQ229" s="54"/>
      <c r="AR229" s="54"/>
      <c r="AS229" s="54"/>
      <c r="AT229" s="54"/>
      <c r="AU229" s="54"/>
      <c r="AV229" s="54"/>
      <c r="AW229" s="54"/>
      <c r="AX229" s="54"/>
      <c r="AY229" s="54"/>
      <c r="AZ229" s="54"/>
    </row>
    <row r="230" spans="1:52" ht="14.25" customHeight="1">
      <c r="A230" s="24"/>
      <c r="B230" s="24"/>
      <c r="C230" s="24"/>
      <c r="D230" s="24"/>
      <c r="E230" s="24"/>
      <c r="F230" s="24"/>
      <c r="G230" s="24"/>
      <c r="H230" s="24"/>
      <c r="I230" s="24"/>
      <c r="J230" s="24"/>
      <c r="K230" s="24"/>
      <c r="L230" s="24"/>
      <c r="M230" s="24"/>
      <c r="N230" s="35"/>
      <c r="O230" s="24"/>
      <c r="P230" s="35"/>
      <c r="Q230" s="24"/>
      <c r="R230" s="24"/>
      <c r="S230" s="24"/>
      <c r="T230" s="24"/>
      <c r="U230" s="54"/>
      <c r="V230" s="54"/>
      <c r="W230" s="54"/>
      <c r="X230" s="54"/>
      <c r="Y230" s="54"/>
      <c r="Z230" s="54"/>
      <c r="AA230" s="54"/>
      <c r="AB230" s="54"/>
      <c r="AC230" s="54"/>
      <c r="AD230" s="54"/>
      <c r="AE230" s="54"/>
      <c r="AF230" s="54"/>
      <c r="AG230" s="54"/>
      <c r="AH230" s="54"/>
      <c r="AI230" s="54"/>
      <c r="AJ230" s="54"/>
      <c r="AK230" s="54"/>
      <c r="AL230" s="54"/>
      <c r="AM230" s="54"/>
      <c r="AN230" s="54"/>
      <c r="AO230" s="54"/>
      <c r="AP230" s="54"/>
      <c r="AQ230" s="54"/>
      <c r="AR230" s="54"/>
      <c r="AS230" s="54"/>
      <c r="AT230" s="54"/>
      <c r="AU230" s="54"/>
      <c r="AV230" s="54"/>
      <c r="AW230" s="54"/>
      <c r="AX230" s="54"/>
      <c r="AY230" s="54"/>
      <c r="AZ230" s="54"/>
    </row>
    <row r="231" spans="1:52" ht="14.25" customHeight="1">
      <c r="A231" s="24"/>
      <c r="B231" s="24"/>
      <c r="C231" s="24"/>
      <c r="D231" s="24"/>
      <c r="E231" s="24"/>
      <c r="F231" s="24"/>
      <c r="G231" s="24"/>
      <c r="H231" s="24"/>
      <c r="I231" s="24"/>
      <c r="J231" s="24"/>
      <c r="K231" s="24"/>
      <c r="L231" s="24"/>
      <c r="M231" s="24"/>
      <c r="N231" s="35"/>
      <c r="O231" s="24"/>
      <c r="P231" s="35"/>
      <c r="Q231" s="24"/>
      <c r="R231" s="24"/>
      <c r="S231" s="24"/>
      <c r="T231" s="24"/>
      <c r="U231" s="54"/>
      <c r="V231" s="54"/>
      <c r="W231" s="54"/>
      <c r="X231" s="54"/>
      <c r="Y231" s="54"/>
      <c r="Z231" s="54"/>
      <c r="AA231" s="54"/>
      <c r="AB231" s="54"/>
      <c r="AC231" s="54"/>
      <c r="AD231" s="54"/>
      <c r="AE231" s="54"/>
      <c r="AF231" s="54"/>
      <c r="AG231" s="54"/>
      <c r="AH231" s="54"/>
      <c r="AI231" s="54"/>
      <c r="AJ231" s="54"/>
      <c r="AK231" s="54"/>
      <c r="AL231" s="54"/>
      <c r="AM231" s="54"/>
      <c r="AN231" s="54"/>
      <c r="AO231" s="54"/>
      <c r="AP231" s="54"/>
      <c r="AQ231" s="54"/>
      <c r="AR231" s="54"/>
      <c r="AS231" s="54"/>
      <c r="AT231" s="54"/>
      <c r="AU231" s="54"/>
      <c r="AV231" s="54"/>
      <c r="AW231" s="54"/>
      <c r="AX231" s="54"/>
      <c r="AY231" s="54"/>
      <c r="AZ231" s="54"/>
    </row>
    <row r="232" spans="1:52" ht="14.25" customHeight="1">
      <c r="A232" s="24"/>
      <c r="B232" s="24"/>
      <c r="C232" s="24"/>
      <c r="D232" s="24"/>
      <c r="E232" s="24"/>
      <c r="F232" s="24"/>
      <c r="G232" s="24"/>
      <c r="H232" s="24"/>
      <c r="I232" s="24"/>
      <c r="J232" s="24"/>
      <c r="K232" s="24"/>
      <c r="L232" s="24"/>
      <c r="M232" s="24"/>
      <c r="N232" s="35"/>
      <c r="O232" s="24"/>
      <c r="P232" s="35"/>
      <c r="Q232" s="24"/>
      <c r="R232" s="24"/>
      <c r="S232" s="24"/>
      <c r="T232" s="24"/>
      <c r="U232" s="54"/>
      <c r="V232" s="54"/>
      <c r="W232" s="54"/>
      <c r="X232" s="54"/>
      <c r="Y232" s="54"/>
      <c r="Z232" s="54"/>
      <c r="AA232" s="54"/>
      <c r="AB232" s="54"/>
      <c r="AC232" s="54"/>
      <c r="AD232" s="54"/>
      <c r="AE232" s="54"/>
      <c r="AF232" s="54"/>
      <c r="AG232" s="54"/>
      <c r="AH232" s="54"/>
      <c r="AI232" s="54"/>
      <c r="AJ232" s="54"/>
      <c r="AK232" s="54"/>
      <c r="AL232" s="54"/>
      <c r="AM232" s="54"/>
      <c r="AN232" s="54"/>
      <c r="AO232" s="54"/>
      <c r="AP232" s="54"/>
      <c r="AQ232" s="54"/>
      <c r="AR232" s="54"/>
      <c r="AS232" s="54"/>
      <c r="AT232" s="54"/>
      <c r="AU232" s="54"/>
      <c r="AV232" s="54"/>
      <c r="AW232" s="54"/>
      <c r="AX232" s="54"/>
      <c r="AY232" s="54"/>
      <c r="AZ232" s="54"/>
    </row>
    <row r="233" spans="1:52" ht="14.25" customHeight="1">
      <c r="A233" s="24"/>
      <c r="B233" s="24"/>
      <c r="C233" s="24"/>
      <c r="D233" s="24"/>
      <c r="E233" s="24"/>
      <c r="F233" s="24"/>
      <c r="G233" s="24"/>
      <c r="H233" s="24"/>
      <c r="I233" s="24"/>
      <c r="J233" s="24"/>
      <c r="K233" s="24"/>
      <c r="L233" s="24"/>
      <c r="M233" s="24"/>
      <c r="N233" s="35"/>
      <c r="O233" s="24"/>
      <c r="P233" s="35"/>
      <c r="Q233" s="24"/>
      <c r="R233" s="24"/>
      <c r="S233" s="24"/>
      <c r="T233" s="24"/>
      <c r="U233" s="54"/>
      <c r="V233" s="54"/>
      <c r="W233" s="54"/>
      <c r="X233" s="54"/>
      <c r="Y233" s="54"/>
      <c r="Z233" s="54"/>
      <c r="AA233" s="54"/>
      <c r="AB233" s="54"/>
      <c r="AC233" s="54"/>
      <c r="AD233" s="54"/>
      <c r="AE233" s="54"/>
      <c r="AF233" s="54"/>
      <c r="AG233" s="54"/>
      <c r="AH233" s="54"/>
      <c r="AI233" s="54"/>
      <c r="AJ233" s="54"/>
      <c r="AK233" s="54"/>
      <c r="AL233" s="54"/>
      <c r="AM233" s="54"/>
      <c r="AN233" s="54"/>
      <c r="AO233" s="54"/>
      <c r="AP233" s="54"/>
      <c r="AQ233" s="54"/>
      <c r="AR233" s="54"/>
      <c r="AS233" s="54"/>
      <c r="AT233" s="54"/>
      <c r="AU233" s="54"/>
      <c r="AV233" s="54"/>
      <c r="AW233" s="54"/>
      <c r="AX233" s="54"/>
      <c r="AY233" s="54"/>
      <c r="AZ233" s="54"/>
    </row>
    <row r="234" spans="1:52" ht="14.25" customHeight="1">
      <c r="A234" s="24"/>
      <c r="B234" s="24"/>
      <c r="C234" s="24"/>
      <c r="D234" s="24"/>
      <c r="E234" s="24"/>
      <c r="F234" s="24"/>
      <c r="G234" s="24"/>
      <c r="H234" s="24"/>
      <c r="I234" s="24"/>
      <c r="J234" s="24"/>
      <c r="K234" s="24"/>
      <c r="L234" s="24"/>
      <c r="M234" s="24"/>
      <c r="N234" s="35"/>
      <c r="O234" s="24"/>
      <c r="P234" s="35"/>
      <c r="Q234" s="24"/>
      <c r="R234" s="24"/>
      <c r="S234" s="24"/>
      <c r="T234" s="24"/>
      <c r="U234" s="54"/>
      <c r="V234" s="54"/>
      <c r="W234" s="54"/>
      <c r="X234" s="54"/>
      <c r="Y234" s="54"/>
      <c r="Z234" s="54"/>
      <c r="AA234" s="54"/>
      <c r="AB234" s="54"/>
      <c r="AC234" s="54"/>
      <c r="AD234" s="54"/>
      <c r="AE234" s="54"/>
      <c r="AF234" s="54"/>
      <c r="AG234" s="54"/>
      <c r="AH234" s="54"/>
      <c r="AI234" s="54"/>
      <c r="AJ234" s="54"/>
      <c r="AK234" s="54"/>
      <c r="AL234" s="54"/>
      <c r="AM234" s="54"/>
      <c r="AN234" s="54"/>
      <c r="AO234" s="54"/>
      <c r="AP234" s="54"/>
      <c r="AQ234" s="54"/>
      <c r="AR234" s="54"/>
      <c r="AS234" s="54"/>
      <c r="AT234" s="54"/>
      <c r="AU234" s="54"/>
      <c r="AV234" s="54"/>
      <c r="AW234" s="54"/>
      <c r="AX234" s="54"/>
      <c r="AY234" s="54"/>
      <c r="AZ234" s="54"/>
    </row>
    <row r="235" spans="1:52" ht="14.25" customHeight="1">
      <c r="A235" s="24"/>
      <c r="B235" s="24"/>
      <c r="C235" s="24"/>
      <c r="D235" s="24"/>
      <c r="E235" s="24"/>
      <c r="F235" s="24"/>
      <c r="G235" s="24"/>
      <c r="H235" s="24"/>
      <c r="I235" s="24"/>
      <c r="J235" s="24"/>
      <c r="K235" s="24"/>
      <c r="L235" s="24"/>
      <c r="M235" s="24"/>
      <c r="N235" s="35"/>
      <c r="O235" s="24"/>
      <c r="P235" s="35"/>
      <c r="Q235" s="24"/>
      <c r="R235" s="24"/>
      <c r="S235" s="24"/>
      <c r="T235" s="24"/>
      <c r="U235" s="54"/>
      <c r="V235" s="54"/>
      <c r="W235" s="54"/>
      <c r="X235" s="54"/>
      <c r="Y235" s="54"/>
      <c r="Z235" s="54"/>
      <c r="AA235" s="54"/>
      <c r="AB235" s="54"/>
      <c r="AC235" s="54"/>
      <c r="AD235" s="54"/>
      <c r="AE235" s="54"/>
      <c r="AF235" s="54"/>
      <c r="AG235" s="54"/>
      <c r="AH235" s="54"/>
      <c r="AI235" s="54"/>
      <c r="AJ235" s="54"/>
      <c r="AK235" s="54"/>
      <c r="AL235" s="54"/>
      <c r="AM235" s="54"/>
      <c r="AN235" s="54"/>
      <c r="AO235" s="54"/>
      <c r="AP235" s="54"/>
      <c r="AQ235" s="54"/>
      <c r="AR235" s="54"/>
      <c r="AS235" s="54"/>
      <c r="AT235" s="54"/>
      <c r="AU235" s="54"/>
      <c r="AV235" s="54"/>
      <c r="AW235" s="54"/>
      <c r="AX235" s="54"/>
      <c r="AY235" s="54"/>
      <c r="AZ235" s="54"/>
    </row>
    <row r="236" spans="1:52" ht="14.25" customHeight="1">
      <c r="A236" s="24"/>
      <c r="B236" s="24"/>
      <c r="C236" s="24"/>
      <c r="D236" s="24"/>
      <c r="E236" s="24"/>
      <c r="F236" s="24"/>
      <c r="G236" s="24"/>
      <c r="H236" s="24"/>
      <c r="I236" s="24"/>
      <c r="J236" s="24"/>
      <c r="K236" s="24"/>
      <c r="L236" s="24"/>
      <c r="M236" s="24"/>
      <c r="N236" s="35"/>
      <c r="O236" s="24"/>
      <c r="P236" s="35"/>
      <c r="Q236" s="24"/>
      <c r="R236" s="24"/>
      <c r="S236" s="24"/>
      <c r="T236" s="24"/>
      <c r="U236" s="54"/>
      <c r="V236" s="54"/>
      <c r="W236" s="54"/>
      <c r="X236" s="54"/>
      <c r="Y236" s="54"/>
      <c r="Z236" s="54"/>
      <c r="AA236" s="54"/>
      <c r="AB236" s="54"/>
      <c r="AC236" s="54"/>
      <c r="AD236" s="54"/>
      <c r="AE236" s="54"/>
      <c r="AF236" s="54"/>
      <c r="AG236" s="54"/>
      <c r="AH236" s="54"/>
      <c r="AI236" s="54"/>
      <c r="AJ236" s="54"/>
      <c r="AK236" s="54"/>
      <c r="AL236" s="54"/>
      <c r="AM236" s="54"/>
      <c r="AN236" s="54"/>
      <c r="AO236" s="54"/>
      <c r="AP236" s="54"/>
      <c r="AQ236" s="54"/>
      <c r="AR236" s="54"/>
      <c r="AS236" s="54"/>
      <c r="AT236" s="54"/>
      <c r="AU236" s="54"/>
      <c r="AV236" s="54"/>
      <c r="AW236" s="54"/>
      <c r="AX236" s="54"/>
      <c r="AY236" s="54"/>
      <c r="AZ236" s="54"/>
    </row>
    <row r="237" spans="1:52" ht="14.25" customHeight="1">
      <c r="A237" s="24"/>
      <c r="B237" s="24"/>
      <c r="C237" s="24"/>
      <c r="D237" s="24"/>
      <c r="E237" s="24"/>
      <c r="F237" s="24"/>
      <c r="G237" s="24"/>
      <c r="H237" s="24"/>
      <c r="I237" s="24"/>
      <c r="J237" s="24"/>
      <c r="K237" s="24"/>
      <c r="L237" s="24"/>
      <c r="M237" s="24"/>
      <c r="N237" s="35"/>
      <c r="O237" s="24"/>
      <c r="P237" s="35"/>
      <c r="Q237" s="24"/>
      <c r="R237" s="24"/>
      <c r="S237" s="24"/>
      <c r="T237" s="24"/>
      <c r="U237" s="54"/>
      <c r="V237" s="54"/>
      <c r="W237" s="54"/>
      <c r="X237" s="54"/>
      <c r="Y237" s="54"/>
      <c r="Z237" s="54"/>
      <c r="AA237" s="54"/>
      <c r="AB237" s="54"/>
      <c r="AC237" s="54"/>
      <c r="AD237" s="54"/>
      <c r="AE237" s="54"/>
      <c r="AF237" s="54"/>
      <c r="AG237" s="54"/>
      <c r="AH237" s="54"/>
      <c r="AI237" s="54"/>
      <c r="AJ237" s="54"/>
      <c r="AK237" s="54"/>
      <c r="AL237" s="54"/>
      <c r="AM237" s="54"/>
      <c r="AN237" s="54"/>
      <c r="AO237" s="54"/>
      <c r="AP237" s="54"/>
      <c r="AQ237" s="54"/>
      <c r="AR237" s="54"/>
      <c r="AS237" s="54"/>
      <c r="AT237" s="54"/>
      <c r="AU237" s="54"/>
      <c r="AV237" s="54"/>
      <c r="AW237" s="54"/>
      <c r="AX237" s="54"/>
      <c r="AY237" s="54"/>
      <c r="AZ237" s="54"/>
    </row>
    <row r="238" spans="1:52" ht="14.25" customHeight="1">
      <c r="A238" s="24"/>
      <c r="B238" s="24"/>
      <c r="C238" s="24"/>
      <c r="D238" s="24"/>
      <c r="E238" s="24"/>
      <c r="F238" s="24"/>
      <c r="G238" s="24"/>
      <c r="H238" s="24"/>
      <c r="I238" s="24"/>
      <c r="J238" s="24"/>
      <c r="K238" s="24"/>
      <c r="L238" s="24"/>
      <c r="M238" s="24"/>
      <c r="N238" s="35"/>
      <c r="O238" s="24"/>
      <c r="P238" s="35"/>
      <c r="Q238" s="24"/>
      <c r="R238" s="24"/>
      <c r="S238" s="24"/>
      <c r="T238" s="24"/>
      <c r="U238" s="54"/>
      <c r="V238" s="54"/>
      <c r="W238" s="54"/>
      <c r="X238" s="54"/>
      <c r="Y238" s="54"/>
      <c r="Z238" s="54"/>
      <c r="AA238" s="54"/>
      <c r="AB238" s="54"/>
      <c r="AC238" s="54"/>
      <c r="AD238" s="54"/>
      <c r="AE238" s="54"/>
      <c r="AF238" s="54"/>
      <c r="AG238" s="54"/>
      <c r="AH238" s="54"/>
      <c r="AI238" s="54"/>
      <c r="AJ238" s="54"/>
      <c r="AK238" s="54"/>
      <c r="AL238" s="54"/>
      <c r="AM238" s="54"/>
      <c r="AN238" s="54"/>
      <c r="AO238" s="54"/>
      <c r="AP238" s="54"/>
      <c r="AQ238" s="54"/>
      <c r="AR238" s="54"/>
      <c r="AS238" s="54"/>
      <c r="AT238" s="54"/>
      <c r="AU238" s="54"/>
      <c r="AV238" s="54"/>
      <c r="AW238" s="54"/>
      <c r="AX238" s="54"/>
      <c r="AY238" s="54"/>
      <c r="AZ238" s="54"/>
    </row>
    <row r="239" spans="1:52" ht="14.25" customHeight="1">
      <c r="A239" s="24"/>
      <c r="B239" s="24"/>
      <c r="C239" s="24"/>
      <c r="D239" s="24"/>
      <c r="E239" s="24"/>
      <c r="F239" s="24"/>
      <c r="G239" s="24"/>
      <c r="H239" s="24"/>
      <c r="I239" s="24"/>
      <c r="J239" s="24"/>
      <c r="K239" s="24"/>
      <c r="L239" s="24"/>
      <c r="M239" s="24"/>
      <c r="N239" s="35"/>
      <c r="O239" s="24"/>
      <c r="P239" s="35"/>
      <c r="Q239" s="24"/>
      <c r="R239" s="24"/>
      <c r="S239" s="24"/>
      <c r="T239" s="24"/>
      <c r="U239" s="54"/>
      <c r="V239" s="54"/>
      <c r="W239" s="54"/>
      <c r="X239" s="54"/>
      <c r="Y239" s="54"/>
      <c r="Z239" s="54"/>
      <c r="AA239" s="54"/>
      <c r="AB239" s="54"/>
      <c r="AC239" s="54"/>
      <c r="AD239" s="54"/>
      <c r="AE239" s="54"/>
      <c r="AF239" s="54"/>
      <c r="AG239" s="54"/>
      <c r="AH239" s="54"/>
      <c r="AI239" s="54"/>
      <c r="AJ239" s="54"/>
      <c r="AK239" s="54"/>
      <c r="AL239" s="54"/>
      <c r="AM239" s="54"/>
      <c r="AN239" s="54"/>
      <c r="AO239" s="54"/>
      <c r="AP239" s="54"/>
      <c r="AQ239" s="54"/>
      <c r="AR239" s="54"/>
      <c r="AS239" s="54"/>
      <c r="AT239" s="54"/>
      <c r="AU239" s="54"/>
      <c r="AV239" s="54"/>
      <c r="AW239" s="54"/>
      <c r="AX239" s="54"/>
      <c r="AY239" s="54"/>
      <c r="AZ239" s="54"/>
    </row>
    <row r="240" spans="1:52" ht="14.25" customHeight="1">
      <c r="A240" s="24"/>
      <c r="B240" s="24"/>
      <c r="C240" s="24"/>
      <c r="D240" s="24"/>
      <c r="E240" s="24"/>
      <c r="F240" s="24"/>
      <c r="G240" s="24"/>
      <c r="H240" s="24"/>
      <c r="I240" s="24"/>
      <c r="J240" s="24"/>
      <c r="K240" s="24"/>
      <c r="L240" s="24"/>
      <c r="M240" s="24"/>
      <c r="N240" s="35"/>
      <c r="O240" s="24"/>
      <c r="P240" s="35"/>
      <c r="Q240" s="24"/>
      <c r="R240" s="24"/>
      <c r="S240" s="24"/>
      <c r="T240" s="24"/>
      <c r="U240" s="54"/>
      <c r="V240" s="54"/>
      <c r="W240" s="54"/>
      <c r="X240" s="54"/>
      <c r="Y240" s="54"/>
      <c r="Z240" s="54"/>
      <c r="AA240" s="54"/>
      <c r="AB240" s="54"/>
      <c r="AC240" s="54"/>
      <c r="AD240" s="54"/>
      <c r="AE240" s="54"/>
      <c r="AF240" s="54"/>
      <c r="AG240" s="54"/>
      <c r="AH240" s="54"/>
      <c r="AI240" s="54"/>
      <c r="AJ240" s="54"/>
      <c r="AK240" s="54"/>
      <c r="AL240" s="54"/>
      <c r="AM240" s="54"/>
      <c r="AN240" s="54"/>
      <c r="AO240" s="54"/>
      <c r="AP240" s="54"/>
      <c r="AQ240" s="54"/>
      <c r="AR240" s="54"/>
      <c r="AS240" s="54"/>
      <c r="AT240" s="54"/>
      <c r="AU240" s="54"/>
      <c r="AV240" s="54"/>
      <c r="AW240" s="54"/>
      <c r="AX240" s="54"/>
      <c r="AY240" s="54"/>
      <c r="AZ240" s="54"/>
    </row>
    <row r="241" spans="1:52" ht="14.25" customHeight="1">
      <c r="A241" s="24"/>
      <c r="B241" s="24"/>
      <c r="C241" s="24"/>
      <c r="D241" s="24"/>
      <c r="E241" s="24"/>
      <c r="F241" s="24"/>
      <c r="G241" s="24"/>
      <c r="H241" s="24"/>
      <c r="I241" s="24"/>
      <c r="J241" s="24"/>
      <c r="K241" s="24"/>
      <c r="L241" s="24"/>
      <c r="M241" s="24"/>
      <c r="N241" s="35"/>
      <c r="O241" s="24"/>
      <c r="P241" s="35"/>
      <c r="Q241" s="24"/>
      <c r="R241" s="24"/>
      <c r="S241" s="24"/>
      <c r="T241" s="24"/>
      <c r="U241" s="54"/>
      <c r="V241" s="54"/>
      <c r="W241" s="54"/>
      <c r="X241" s="54"/>
      <c r="Y241" s="54"/>
      <c r="Z241" s="54"/>
      <c r="AA241" s="54"/>
      <c r="AB241" s="54"/>
      <c r="AC241" s="54"/>
      <c r="AD241" s="54"/>
      <c r="AE241" s="54"/>
      <c r="AF241" s="54"/>
      <c r="AG241" s="54"/>
      <c r="AH241" s="54"/>
      <c r="AI241" s="54"/>
      <c r="AJ241" s="54"/>
      <c r="AK241" s="54"/>
      <c r="AL241" s="54"/>
      <c r="AM241" s="54"/>
      <c r="AN241" s="54"/>
      <c r="AO241" s="54"/>
      <c r="AP241" s="54"/>
      <c r="AQ241" s="54"/>
      <c r="AR241" s="54"/>
      <c r="AS241" s="54"/>
      <c r="AT241" s="54"/>
      <c r="AU241" s="54"/>
      <c r="AV241" s="54"/>
      <c r="AW241" s="54"/>
      <c r="AX241" s="54"/>
      <c r="AY241" s="54"/>
      <c r="AZ241" s="54"/>
    </row>
    <row r="242" spans="1:52" ht="14.25" customHeight="1">
      <c r="A242" s="24"/>
      <c r="B242" s="24"/>
      <c r="C242" s="24"/>
      <c r="D242" s="24"/>
      <c r="E242" s="24"/>
      <c r="F242" s="24"/>
      <c r="G242" s="24"/>
      <c r="H242" s="24"/>
      <c r="I242" s="24"/>
      <c r="J242" s="24"/>
      <c r="K242" s="24"/>
      <c r="L242" s="24"/>
      <c r="M242" s="24"/>
      <c r="N242" s="35"/>
      <c r="O242" s="24"/>
      <c r="P242" s="35"/>
      <c r="Q242" s="24"/>
      <c r="R242" s="24"/>
      <c r="S242" s="24"/>
      <c r="T242" s="24"/>
      <c r="U242" s="54"/>
      <c r="V242" s="54"/>
      <c r="W242" s="54"/>
      <c r="X242" s="54"/>
      <c r="Y242" s="54"/>
      <c r="Z242" s="54"/>
      <c r="AA242" s="54"/>
      <c r="AB242" s="54"/>
      <c r="AC242" s="54"/>
      <c r="AD242" s="54"/>
      <c r="AE242" s="54"/>
      <c r="AF242" s="54"/>
      <c r="AG242" s="54"/>
      <c r="AH242" s="54"/>
      <c r="AI242" s="54"/>
      <c r="AJ242" s="54"/>
      <c r="AK242" s="54"/>
      <c r="AL242" s="54"/>
      <c r="AM242" s="54"/>
      <c r="AN242" s="54"/>
      <c r="AO242" s="54"/>
      <c r="AP242" s="54"/>
      <c r="AQ242" s="54"/>
      <c r="AR242" s="54"/>
      <c r="AS242" s="54"/>
      <c r="AT242" s="54"/>
      <c r="AU242" s="54"/>
      <c r="AV242" s="54"/>
      <c r="AW242" s="54"/>
      <c r="AX242" s="54"/>
      <c r="AY242" s="54"/>
      <c r="AZ242" s="54"/>
    </row>
    <row r="243" spans="1:52" ht="14.25" customHeight="1">
      <c r="A243" s="24"/>
      <c r="B243" s="24"/>
      <c r="C243" s="24"/>
      <c r="D243" s="24"/>
      <c r="E243" s="24"/>
      <c r="F243" s="24"/>
      <c r="G243" s="24"/>
      <c r="H243" s="24"/>
      <c r="I243" s="24"/>
      <c r="J243" s="24"/>
      <c r="K243" s="24"/>
      <c r="L243" s="24"/>
      <c r="M243" s="24"/>
      <c r="N243" s="35"/>
      <c r="O243" s="24"/>
      <c r="P243" s="35"/>
      <c r="Q243" s="24"/>
      <c r="R243" s="24"/>
      <c r="S243" s="24"/>
      <c r="T243" s="24"/>
      <c r="U243" s="54"/>
      <c r="V243" s="54"/>
      <c r="W243" s="54"/>
      <c r="X243" s="54"/>
      <c r="Y243" s="54"/>
      <c r="Z243" s="54"/>
      <c r="AA243" s="54"/>
      <c r="AB243" s="54"/>
      <c r="AC243" s="54"/>
      <c r="AD243" s="54"/>
      <c r="AE243" s="54"/>
      <c r="AF243" s="54"/>
      <c r="AG243" s="54"/>
      <c r="AH243" s="54"/>
      <c r="AI243" s="54"/>
      <c r="AJ243" s="54"/>
      <c r="AK243" s="54"/>
      <c r="AL243" s="54"/>
      <c r="AM243" s="54"/>
      <c r="AN243" s="54"/>
      <c r="AO243" s="54"/>
      <c r="AP243" s="54"/>
      <c r="AQ243" s="54"/>
      <c r="AR243" s="54"/>
      <c r="AS243" s="54"/>
      <c r="AT243" s="54"/>
      <c r="AU243" s="54"/>
      <c r="AV243" s="54"/>
      <c r="AW243" s="54"/>
      <c r="AX243" s="54"/>
      <c r="AY243" s="54"/>
      <c r="AZ243" s="54"/>
    </row>
    <row r="244" spans="1:52" ht="14.25" customHeight="1">
      <c r="A244" s="24"/>
      <c r="B244" s="24"/>
      <c r="C244" s="24"/>
      <c r="D244" s="24"/>
      <c r="E244" s="24"/>
      <c r="F244" s="24"/>
      <c r="G244" s="24"/>
      <c r="H244" s="24"/>
      <c r="I244" s="24"/>
      <c r="J244" s="24"/>
      <c r="K244" s="24"/>
      <c r="L244" s="24"/>
      <c r="M244" s="24"/>
      <c r="N244" s="35"/>
      <c r="O244" s="24"/>
      <c r="P244" s="35"/>
      <c r="Q244" s="24"/>
      <c r="R244" s="24"/>
      <c r="S244" s="24"/>
      <c r="T244" s="24"/>
      <c r="U244" s="54"/>
      <c r="V244" s="54"/>
      <c r="W244" s="54"/>
      <c r="X244" s="54"/>
      <c r="Y244" s="54"/>
      <c r="Z244" s="54"/>
      <c r="AA244" s="54"/>
      <c r="AB244" s="54"/>
      <c r="AC244" s="54"/>
      <c r="AD244" s="54"/>
      <c r="AE244" s="54"/>
      <c r="AF244" s="54"/>
      <c r="AG244" s="54"/>
      <c r="AH244" s="54"/>
      <c r="AI244" s="54"/>
      <c r="AJ244" s="54"/>
      <c r="AK244" s="54"/>
      <c r="AL244" s="54"/>
      <c r="AM244" s="54"/>
      <c r="AN244" s="54"/>
      <c r="AO244" s="54"/>
      <c r="AP244" s="54"/>
      <c r="AQ244" s="54"/>
      <c r="AR244" s="54"/>
      <c r="AS244" s="54"/>
      <c r="AT244" s="54"/>
      <c r="AU244" s="54"/>
      <c r="AV244" s="54"/>
      <c r="AW244" s="54"/>
      <c r="AX244" s="54"/>
      <c r="AY244" s="54"/>
      <c r="AZ244" s="54"/>
    </row>
    <row r="245" spans="1:52" ht="14.25" customHeight="1">
      <c r="A245" s="24"/>
      <c r="B245" s="24"/>
      <c r="C245" s="24"/>
      <c r="D245" s="24"/>
      <c r="E245" s="24"/>
      <c r="F245" s="24"/>
      <c r="G245" s="24"/>
      <c r="H245" s="24"/>
      <c r="I245" s="24"/>
      <c r="J245" s="24"/>
      <c r="K245" s="24"/>
      <c r="L245" s="24"/>
      <c r="M245" s="24"/>
      <c r="N245" s="35"/>
      <c r="O245" s="24"/>
      <c r="P245" s="35"/>
      <c r="Q245" s="24"/>
      <c r="R245" s="24"/>
      <c r="S245" s="24"/>
      <c r="T245" s="24"/>
      <c r="U245" s="54"/>
      <c r="V245" s="54"/>
      <c r="W245" s="54"/>
      <c r="X245" s="54"/>
      <c r="Y245" s="54"/>
      <c r="Z245" s="54"/>
      <c r="AA245" s="54"/>
      <c r="AB245" s="54"/>
      <c r="AC245" s="54"/>
      <c r="AD245" s="54"/>
      <c r="AE245" s="54"/>
      <c r="AF245" s="54"/>
      <c r="AG245" s="54"/>
      <c r="AH245" s="54"/>
      <c r="AI245" s="54"/>
      <c r="AJ245" s="54"/>
      <c r="AK245" s="54"/>
      <c r="AL245" s="54"/>
      <c r="AM245" s="54"/>
      <c r="AN245" s="54"/>
      <c r="AO245" s="54"/>
      <c r="AP245" s="54"/>
      <c r="AQ245" s="54"/>
      <c r="AR245" s="54"/>
      <c r="AS245" s="54"/>
      <c r="AT245" s="54"/>
      <c r="AU245" s="54"/>
      <c r="AV245" s="54"/>
      <c r="AW245" s="54"/>
      <c r="AX245" s="54"/>
      <c r="AY245" s="54"/>
      <c r="AZ245" s="54"/>
    </row>
    <row r="246" spans="1:52" ht="14.25" customHeight="1">
      <c r="A246" s="24"/>
      <c r="B246" s="24"/>
      <c r="C246" s="24"/>
      <c r="D246" s="24"/>
      <c r="E246" s="24"/>
      <c r="F246" s="24"/>
      <c r="G246" s="24"/>
      <c r="H246" s="24"/>
      <c r="I246" s="24"/>
      <c r="J246" s="24"/>
      <c r="K246" s="24"/>
      <c r="L246" s="24"/>
      <c r="M246" s="24"/>
      <c r="N246" s="35"/>
      <c r="O246" s="24"/>
      <c r="P246" s="35"/>
      <c r="Q246" s="24"/>
      <c r="R246" s="24"/>
      <c r="S246" s="24"/>
      <c r="T246" s="24"/>
      <c r="U246" s="54"/>
      <c r="V246" s="54"/>
      <c r="W246" s="54"/>
      <c r="X246" s="54"/>
      <c r="Y246" s="54"/>
      <c r="Z246" s="54"/>
      <c r="AA246" s="54"/>
      <c r="AB246" s="54"/>
      <c r="AC246" s="54"/>
      <c r="AD246" s="54"/>
      <c r="AE246" s="54"/>
      <c r="AF246" s="54"/>
      <c r="AG246" s="54"/>
      <c r="AH246" s="54"/>
      <c r="AI246" s="54"/>
      <c r="AJ246" s="54"/>
      <c r="AK246" s="54"/>
      <c r="AL246" s="54"/>
      <c r="AM246" s="54"/>
      <c r="AN246" s="54"/>
      <c r="AO246" s="54"/>
      <c r="AP246" s="54"/>
      <c r="AQ246" s="54"/>
      <c r="AR246" s="54"/>
      <c r="AS246" s="54"/>
      <c r="AT246" s="54"/>
      <c r="AU246" s="54"/>
      <c r="AV246" s="54"/>
      <c r="AW246" s="54"/>
      <c r="AX246" s="54"/>
      <c r="AY246" s="54"/>
      <c r="AZ246" s="54"/>
    </row>
    <row r="247" spans="1:52" ht="14.25" customHeight="1">
      <c r="A247" s="24"/>
      <c r="B247" s="24"/>
      <c r="C247" s="24"/>
      <c r="D247" s="24"/>
      <c r="E247" s="24"/>
      <c r="F247" s="24"/>
      <c r="G247" s="24"/>
      <c r="H247" s="24"/>
      <c r="I247" s="24"/>
      <c r="J247" s="24"/>
      <c r="K247" s="24"/>
      <c r="L247" s="24"/>
      <c r="M247" s="24"/>
      <c r="N247" s="35"/>
      <c r="O247" s="24"/>
      <c r="P247" s="35"/>
      <c r="Q247" s="24"/>
      <c r="R247" s="24"/>
      <c r="S247" s="24"/>
      <c r="T247" s="24"/>
      <c r="U247" s="54"/>
      <c r="V247" s="54"/>
      <c r="W247" s="54"/>
      <c r="X247" s="54"/>
      <c r="Y247" s="54"/>
      <c r="Z247" s="54"/>
      <c r="AA247" s="54"/>
      <c r="AB247" s="54"/>
      <c r="AC247" s="54"/>
      <c r="AD247" s="54"/>
      <c r="AE247" s="54"/>
      <c r="AF247" s="54"/>
      <c r="AG247" s="54"/>
      <c r="AH247" s="54"/>
      <c r="AI247" s="54"/>
      <c r="AJ247" s="54"/>
      <c r="AK247" s="54"/>
      <c r="AL247" s="54"/>
      <c r="AM247" s="54"/>
      <c r="AN247" s="54"/>
      <c r="AO247" s="54"/>
      <c r="AP247" s="54"/>
      <c r="AQ247" s="54"/>
      <c r="AR247" s="54"/>
      <c r="AS247" s="54"/>
      <c r="AT247" s="54"/>
      <c r="AU247" s="54"/>
      <c r="AV247" s="54"/>
      <c r="AW247" s="54"/>
      <c r="AX247" s="54"/>
      <c r="AY247" s="54"/>
      <c r="AZ247" s="54"/>
    </row>
    <row r="248" spans="1:52" ht="14.25" customHeight="1">
      <c r="A248" s="24"/>
      <c r="B248" s="24"/>
      <c r="C248" s="24"/>
      <c r="D248" s="24"/>
      <c r="E248" s="24"/>
      <c r="F248" s="24"/>
      <c r="G248" s="24"/>
      <c r="H248" s="24"/>
      <c r="I248" s="24"/>
      <c r="J248" s="24"/>
      <c r="K248" s="24"/>
      <c r="L248" s="24"/>
      <c r="M248" s="24"/>
      <c r="N248" s="35"/>
      <c r="O248" s="24"/>
      <c r="P248" s="35"/>
      <c r="Q248" s="24"/>
      <c r="R248" s="24"/>
      <c r="S248" s="24"/>
      <c r="T248" s="24"/>
      <c r="U248" s="54"/>
      <c r="V248" s="54"/>
      <c r="W248" s="54"/>
      <c r="X248" s="54"/>
      <c r="Y248" s="54"/>
      <c r="Z248" s="54"/>
      <c r="AA248" s="54"/>
      <c r="AB248" s="54"/>
      <c r="AC248" s="54"/>
      <c r="AD248" s="54"/>
      <c r="AE248" s="54"/>
      <c r="AF248" s="54"/>
      <c r="AG248" s="54"/>
      <c r="AH248" s="54"/>
      <c r="AI248" s="54"/>
      <c r="AJ248" s="54"/>
      <c r="AK248" s="54"/>
      <c r="AL248" s="54"/>
      <c r="AM248" s="54"/>
      <c r="AN248" s="54"/>
      <c r="AO248" s="54"/>
      <c r="AP248" s="54"/>
      <c r="AQ248" s="54"/>
      <c r="AR248" s="54"/>
      <c r="AS248" s="54"/>
      <c r="AT248" s="54"/>
      <c r="AU248" s="54"/>
      <c r="AV248" s="54"/>
      <c r="AW248" s="54"/>
      <c r="AX248" s="54"/>
      <c r="AY248" s="54"/>
      <c r="AZ248" s="54"/>
    </row>
    <row r="249" spans="1:52" ht="14.25" customHeight="1">
      <c r="A249" s="24"/>
      <c r="B249" s="24"/>
      <c r="C249" s="24"/>
      <c r="D249" s="24"/>
      <c r="E249" s="24"/>
      <c r="F249" s="24"/>
      <c r="G249" s="24"/>
      <c r="H249" s="24"/>
      <c r="I249" s="24"/>
      <c r="J249" s="24"/>
      <c r="K249" s="24"/>
      <c r="L249" s="24"/>
      <c r="M249" s="24"/>
      <c r="N249" s="35"/>
      <c r="O249" s="24"/>
      <c r="P249" s="35"/>
      <c r="Q249" s="24"/>
      <c r="R249" s="24"/>
      <c r="S249" s="24"/>
      <c r="T249" s="24"/>
      <c r="U249" s="54"/>
      <c r="V249" s="54"/>
      <c r="W249" s="54"/>
      <c r="X249" s="54"/>
      <c r="Y249" s="54"/>
      <c r="Z249" s="54"/>
      <c r="AA249" s="54"/>
      <c r="AB249" s="54"/>
      <c r="AC249" s="54"/>
      <c r="AD249" s="54"/>
      <c r="AE249" s="54"/>
      <c r="AF249" s="54"/>
      <c r="AG249" s="54"/>
      <c r="AH249" s="54"/>
      <c r="AI249" s="54"/>
      <c r="AJ249" s="54"/>
      <c r="AK249" s="54"/>
      <c r="AL249" s="54"/>
      <c r="AM249" s="54"/>
      <c r="AN249" s="54"/>
      <c r="AO249" s="54"/>
      <c r="AP249" s="54"/>
      <c r="AQ249" s="54"/>
      <c r="AR249" s="54"/>
      <c r="AS249" s="54"/>
      <c r="AT249" s="54"/>
      <c r="AU249" s="54"/>
      <c r="AV249" s="54"/>
      <c r="AW249" s="54"/>
      <c r="AX249" s="54"/>
      <c r="AY249" s="54"/>
      <c r="AZ249" s="54"/>
    </row>
    <row r="250" spans="1:52" ht="14.25" customHeight="1">
      <c r="A250" s="24"/>
      <c r="B250" s="24"/>
      <c r="C250" s="24"/>
      <c r="D250" s="24"/>
      <c r="E250" s="24"/>
      <c r="F250" s="24"/>
      <c r="G250" s="24"/>
      <c r="H250" s="24"/>
      <c r="I250" s="24"/>
      <c r="J250" s="24"/>
      <c r="K250" s="24"/>
      <c r="L250" s="24"/>
      <c r="M250" s="24"/>
      <c r="N250" s="35"/>
      <c r="O250" s="24"/>
      <c r="P250" s="35"/>
      <c r="Q250" s="24"/>
      <c r="R250" s="24"/>
      <c r="S250" s="24"/>
      <c r="T250" s="24"/>
      <c r="U250" s="54"/>
      <c r="V250" s="54"/>
      <c r="W250" s="54"/>
      <c r="X250" s="54"/>
      <c r="Y250" s="54"/>
      <c r="Z250" s="54"/>
      <c r="AA250" s="54"/>
      <c r="AB250" s="54"/>
      <c r="AC250" s="54"/>
      <c r="AD250" s="54"/>
      <c r="AE250" s="54"/>
      <c r="AF250" s="54"/>
      <c r="AG250" s="54"/>
      <c r="AH250" s="54"/>
      <c r="AI250" s="54"/>
      <c r="AJ250" s="54"/>
      <c r="AK250" s="54"/>
      <c r="AL250" s="54"/>
      <c r="AM250" s="54"/>
      <c r="AN250" s="54"/>
      <c r="AO250" s="54"/>
      <c r="AP250" s="54"/>
      <c r="AQ250" s="54"/>
      <c r="AR250" s="54"/>
      <c r="AS250" s="54"/>
      <c r="AT250" s="54"/>
      <c r="AU250" s="54"/>
      <c r="AV250" s="54"/>
      <c r="AW250" s="54"/>
      <c r="AX250" s="54"/>
      <c r="AY250" s="54"/>
      <c r="AZ250" s="54"/>
    </row>
    <row r="251" spans="1:52" ht="14.25" customHeight="1">
      <c r="A251" s="24"/>
      <c r="B251" s="24"/>
      <c r="C251" s="24"/>
      <c r="D251" s="24"/>
      <c r="E251" s="24"/>
      <c r="F251" s="24"/>
      <c r="G251" s="24"/>
      <c r="H251" s="24"/>
      <c r="I251" s="24"/>
      <c r="J251" s="24"/>
      <c r="K251" s="24"/>
      <c r="L251" s="24"/>
      <c r="M251" s="24"/>
      <c r="N251" s="35"/>
      <c r="O251" s="24"/>
      <c r="P251" s="35"/>
      <c r="Q251" s="24"/>
      <c r="R251" s="24"/>
      <c r="S251" s="24"/>
      <c r="T251" s="24"/>
      <c r="U251" s="54"/>
      <c r="V251" s="54"/>
      <c r="W251" s="54"/>
      <c r="X251" s="54"/>
      <c r="Y251" s="54"/>
      <c r="Z251" s="54"/>
      <c r="AA251" s="54"/>
      <c r="AB251" s="54"/>
      <c r="AC251" s="54"/>
      <c r="AD251" s="54"/>
      <c r="AE251" s="54"/>
      <c r="AF251" s="54"/>
      <c r="AG251" s="54"/>
      <c r="AH251" s="54"/>
      <c r="AI251" s="54"/>
      <c r="AJ251" s="54"/>
      <c r="AK251" s="54"/>
      <c r="AL251" s="54"/>
      <c r="AM251" s="54"/>
      <c r="AN251" s="54"/>
      <c r="AO251" s="54"/>
      <c r="AP251" s="54"/>
      <c r="AQ251" s="54"/>
      <c r="AR251" s="54"/>
      <c r="AS251" s="54"/>
      <c r="AT251" s="54"/>
      <c r="AU251" s="54"/>
      <c r="AV251" s="54"/>
      <c r="AW251" s="54"/>
      <c r="AX251" s="54"/>
      <c r="AY251" s="54"/>
      <c r="AZ251" s="54"/>
    </row>
    <row r="252" spans="1:52" ht="14.25" customHeight="1">
      <c r="A252" s="24"/>
      <c r="B252" s="24"/>
      <c r="C252" s="24"/>
      <c r="D252" s="24"/>
      <c r="E252" s="24"/>
      <c r="F252" s="24"/>
      <c r="G252" s="24"/>
      <c r="H252" s="24"/>
      <c r="I252" s="24"/>
      <c r="J252" s="24"/>
      <c r="K252" s="24"/>
      <c r="L252" s="24"/>
      <c r="M252" s="24"/>
      <c r="N252" s="35"/>
      <c r="O252" s="24"/>
      <c r="P252" s="35"/>
      <c r="Q252" s="24"/>
      <c r="R252" s="24"/>
      <c r="S252" s="24"/>
      <c r="T252" s="24"/>
      <c r="U252" s="54"/>
      <c r="V252" s="54"/>
      <c r="W252" s="54"/>
      <c r="X252" s="54"/>
      <c r="Y252" s="54"/>
      <c r="Z252" s="54"/>
      <c r="AA252" s="54"/>
      <c r="AB252" s="54"/>
      <c r="AC252" s="54"/>
      <c r="AD252" s="54"/>
      <c r="AE252" s="54"/>
      <c r="AF252" s="54"/>
      <c r="AG252" s="54"/>
      <c r="AH252" s="54"/>
      <c r="AI252" s="54"/>
      <c r="AJ252" s="54"/>
      <c r="AK252" s="54"/>
      <c r="AL252" s="54"/>
      <c r="AM252" s="54"/>
      <c r="AN252" s="54"/>
      <c r="AO252" s="54"/>
      <c r="AP252" s="54"/>
      <c r="AQ252" s="54"/>
      <c r="AR252" s="54"/>
      <c r="AS252" s="54"/>
      <c r="AT252" s="54"/>
      <c r="AU252" s="54"/>
      <c r="AV252" s="54"/>
      <c r="AW252" s="54"/>
      <c r="AX252" s="54"/>
      <c r="AY252" s="54"/>
      <c r="AZ252" s="54"/>
    </row>
    <row r="253" spans="1:52" ht="14.25" customHeight="1">
      <c r="A253" s="24"/>
      <c r="B253" s="24"/>
      <c r="C253" s="24"/>
      <c r="D253" s="24"/>
      <c r="E253" s="24"/>
      <c r="F253" s="24"/>
      <c r="G253" s="24"/>
      <c r="H253" s="24"/>
      <c r="I253" s="24"/>
      <c r="J253" s="24"/>
      <c r="K253" s="24"/>
      <c r="L253" s="24"/>
      <c r="M253" s="24"/>
      <c r="N253" s="35"/>
      <c r="O253" s="24"/>
      <c r="P253" s="35"/>
      <c r="Q253" s="24"/>
      <c r="R253" s="24"/>
      <c r="S253" s="24"/>
      <c r="T253" s="24"/>
      <c r="U253" s="54"/>
      <c r="V253" s="54"/>
      <c r="W253" s="54"/>
      <c r="X253" s="54"/>
      <c r="Y253" s="54"/>
      <c r="Z253" s="54"/>
      <c r="AA253" s="54"/>
      <c r="AB253" s="54"/>
      <c r="AC253" s="54"/>
      <c r="AD253" s="54"/>
      <c r="AE253" s="54"/>
      <c r="AF253" s="54"/>
      <c r="AG253" s="54"/>
      <c r="AH253" s="54"/>
      <c r="AI253" s="54"/>
      <c r="AJ253" s="54"/>
      <c r="AK253" s="54"/>
      <c r="AL253" s="54"/>
      <c r="AM253" s="54"/>
      <c r="AN253" s="54"/>
      <c r="AO253" s="54"/>
      <c r="AP253" s="54"/>
      <c r="AQ253" s="54"/>
      <c r="AR253" s="54"/>
      <c r="AS253" s="54"/>
      <c r="AT253" s="54"/>
      <c r="AU253" s="54"/>
      <c r="AV253" s="54"/>
      <c r="AW253" s="54"/>
      <c r="AX253" s="54"/>
      <c r="AY253" s="54"/>
      <c r="AZ253" s="54"/>
    </row>
    <row r="254" spans="1:52" ht="14.25" customHeight="1">
      <c r="A254" s="24"/>
      <c r="B254" s="24"/>
      <c r="C254" s="24"/>
      <c r="D254" s="24"/>
      <c r="E254" s="24"/>
      <c r="F254" s="24"/>
      <c r="G254" s="24"/>
      <c r="H254" s="24"/>
      <c r="I254" s="24"/>
      <c r="J254" s="24"/>
      <c r="K254" s="24"/>
      <c r="L254" s="24"/>
      <c r="M254" s="24"/>
      <c r="N254" s="35"/>
      <c r="O254" s="24"/>
      <c r="P254" s="35"/>
      <c r="Q254" s="24"/>
      <c r="R254" s="24"/>
      <c r="S254" s="24"/>
      <c r="T254" s="24"/>
      <c r="U254" s="54"/>
      <c r="V254" s="54"/>
      <c r="W254" s="54"/>
      <c r="X254" s="54"/>
      <c r="Y254" s="54"/>
      <c r="Z254" s="54"/>
      <c r="AA254" s="54"/>
      <c r="AB254" s="54"/>
      <c r="AC254" s="54"/>
      <c r="AD254" s="54"/>
      <c r="AE254" s="54"/>
      <c r="AF254" s="54"/>
      <c r="AG254" s="54"/>
      <c r="AH254" s="54"/>
      <c r="AI254" s="54"/>
      <c r="AJ254" s="54"/>
      <c r="AK254" s="54"/>
      <c r="AL254" s="54"/>
      <c r="AM254" s="54"/>
      <c r="AN254" s="54"/>
      <c r="AO254" s="54"/>
      <c r="AP254" s="54"/>
      <c r="AQ254" s="54"/>
      <c r="AR254" s="54"/>
      <c r="AS254" s="54"/>
      <c r="AT254" s="54"/>
      <c r="AU254" s="54"/>
      <c r="AV254" s="54"/>
      <c r="AW254" s="54"/>
      <c r="AX254" s="54"/>
      <c r="AY254" s="54"/>
      <c r="AZ254" s="54"/>
    </row>
    <row r="255" spans="1:52" ht="14.25" customHeight="1">
      <c r="A255" s="24"/>
      <c r="B255" s="24"/>
      <c r="C255" s="24"/>
      <c r="D255" s="24"/>
      <c r="E255" s="24"/>
      <c r="F255" s="24"/>
      <c r="G255" s="24"/>
      <c r="H255" s="24"/>
      <c r="I255" s="24"/>
      <c r="J255" s="24"/>
      <c r="K255" s="24"/>
      <c r="L255" s="24"/>
      <c r="M255" s="24"/>
      <c r="N255" s="35"/>
      <c r="O255" s="24"/>
      <c r="P255" s="35"/>
      <c r="Q255" s="24"/>
      <c r="R255" s="24"/>
      <c r="S255" s="24"/>
      <c r="T255" s="24"/>
      <c r="U255" s="54"/>
      <c r="V255" s="54"/>
      <c r="W255" s="54"/>
      <c r="X255" s="54"/>
      <c r="Y255" s="54"/>
      <c r="Z255" s="54"/>
      <c r="AA255" s="54"/>
      <c r="AB255" s="54"/>
      <c r="AC255" s="54"/>
      <c r="AD255" s="54"/>
      <c r="AE255" s="54"/>
      <c r="AF255" s="54"/>
      <c r="AG255" s="54"/>
      <c r="AH255" s="54"/>
      <c r="AI255" s="54"/>
      <c r="AJ255" s="54"/>
      <c r="AK255" s="54"/>
      <c r="AL255" s="54"/>
      <c r="AM255" s="54"/>
      <c r="AN255" s="54"/>
      <c r="AO255" s="54"/>
      <c r="AP255" s="54"/>
      <c r="AQ255" s="54"/>
      <c r="AR255" s="54"/>
      <c r="AS255" s="54"/>
      <c r="AT255" s="54"/>
      <c r="AU255" s="54"/>
      <c r="AV255" s="54"/>
      <c r="AW255" s="54"/>
      <c r="AX255" s="54"/>
      <c r="AY255" s="54"/>
      <c r="AZ255" s="54"/>
    </row>
    <row r="256" spans="1:52" ht="14.25" customHeight="1">
      <c r="A256" s="24"/>
      <c r="B256" s="24"/>
      <c r="C256" s="24"/>
      <c r="D256" s="24"/>
      <c r="E256" s="24"/>
      <c r="F256" s="24"/>
      <c r="G256" s="24"/>
      <c r="H256" s="24"/>
      <c r="I256" s="24"/>
      <c r="J256" s="24"/>
      <c r="K256" s="24"/>
      <c r="L256" s="24"/>
      <c r="M256" s="24"/>
      <c r="N256" s="35"/>
      <c r="O256" s="24"/>
      <c r="P256" s="35"/>
      <c r="Q256" s="24"/>
      <c r="R256" s="24"/>
      <c r="S256" s="24"/>
      <c r="T256" s="24"/>
      <c r="U256" s="54"/>
      <c r="V256" s="54"/>
      <c r="W256" s="54"/>
      <c r="X256" s="54"/>
      <c r="Y256" s="54"/>
      <c r="Z256" s="54"/>
      <c r="AA256" s="54"/>
      <c r="AB256" s="54"/>
      <c r="AC256" s="54"/>
      <c r="AD256" s="54"/>
      <c r="AE256" s="54"/>
      <c r="AF256" s="54"/>
      <c r="AG256" s="54"/>
      <c r="AH256" s="54"/>
      <c r="AI256" s="54"/>
      <c r="AJ256" s="54"/>
      <c r="AK256" s="54"/>
      <c r="AL256" s="54"/>
      <c r="AM256" s="54"/>
      <c r="AN256" s="54"/>
      <c r="AO256" s="54"/>
      <c r="AP256" s="54"/>
      <c r="AQ256" s="54"/>
      <c r="AR256" s="54"/>
      <c r="AS256" s="54"/>
      <c r="AT256" s="54"/>
      <c r="AU256" s="54"/>
      <c r="AV256" s="54"/>
      <c r="AW256" s="54"/>
      <c r="AX256" s="54"/>
      <c r="AY256" s="54"/>
      <c r="AZ256" s="54"/>
    </row>
    <row r="257" spans="1:52" ht="14.25" customHeight="1">
      <c r="A257" s="24"/>
      <c r="B257" s="24"/>
      <c r="C257" s="24"/>
      <c r="D257" s="24"/>
      <c r="E257" s="24"/>
      <c r="F257" s="24"/>
      <c r="G257" s="24"/>
      <c r="H257" s="24"/>
      <c r="I257" s="24"/>
      <c r="J257" s="24"/>
      <c r="K257" s="24"/>
      <c r="L257" s="24"/>
      <c r="M257" s="24"/>
      <c r="N257" s="35"/>
      <c r="O257" s="24"/>
      <c r="P257" s="35"/>
      <c r="Q257" s="24"/>
      <c r="R257" s="24"/>
      <c r="S257" s="24"/>
      <c r="T257" s="24"/>
      <c r="U257" s="54"/>
      <c r="V257" s="54"/>
      <c r="W257" s="54"/>
      <c r="X257" s="54"/>
      <c r="Y257" s="54"/>
      <c r="Z257" s="54"/>
      <c r="AA257" s="54"/>
      <c r="AB257" s="54"/>
      <c r="AC257" s="54"/>
      <c r="AD257" s="54"/>
      <c r="AE257" s="54"/>
      <c r="AF257" s="54"/>
      <c r="AG257" s="54"/>
      <c r="AH257" s="54"/>
      <c r="AI257" s="54"/>
      <c r="AJ257" s="54"/>
      <c r="AK257" s="54"/>
      <c r="AL257" s="54"/>
      <c r="AM257" s="54"/>
      <c r="AN257" s="54"/>
      <c r="AO257" s="54"/>
      <c r="AP257" s="54"/>
      <c r="AQ257" s="54"/>
      <c r="AR257" s="54"/>
      <c r="AS257" s="54"/>
      <c r="AT257" s="54"/>
      <c r="AU257" s="54"/>
      <c r="AV257" s="54"/>
      <c r="AW257" s="54"/>
      <c r="AX257" s="54"/>
      <c r="AY257" s="54"/>
      <c r="AZ257" s="54"/>
    </row>
    <row r="258" spans="1:52" ht="14.25" customHeight="1">
      <c r="A258" s="24"/>
      <c r="B258" s="24"/>
      <c r="C258" s="24"/>
      <c r="D258" s="24"/>
      <c r="E258" s="24"/>
      <c r="F258" s="24"/>
      <c r="G258" s="24"/>
      <c r="H258" s="24"/>
      <c r="I258" s="24"/>
      <c r="J258" s="24"/>
      <c r="K258" s="24"/>
      <c r="L258" s="24"/>
      <c r="M258" s="24"/>
      <c r="N258" s="35"/>
      <c r="O258" s="24"/>
      <c r="P258" s="35"/>
      <c r="Q258" s="24"/>
      <c r="R258" s="24"/>
      <c r="S258" s="24"/>
      <c r="T258" s="24"/>
      <c r="U258" s="54"/>
      <c r="V258" s="54"/>
      <c r="W258" s="54"/>
      <c r="X258" s="54"/>
      <c r="Y258" s="54"/>
      <c r="Z258" s="54"/>
      <c r="AA258" s="54"/>
      <c r="AB258" s="54"/>
      <c r="AC258" s="54"/>
      <c r="AD258" s="54"/>
      <c r="AE258" s="54"/>
      <c r="AF258" s="54"/>
      <c r="AG258" s="54"/>
      <c r="AH258" s="54"/>
      <c r="AI258" s="54"/>
      <c r="AJ258" s="54"/>
      <c r="AK258" s="54"/>
      <c r="AL258" s="54"/>
      <c r="AM258" s="54"/>
      <c r="AN258" s="54"/>
      <c r="AO258" s="54"/>
      <c r="AP258" s="54"/>
      <c r="AQ258" s="54"/>
      <c r="AR258" s="54"/>
      <c r="AS258" s="54"/>
      <c r="AT258" s="54"/>
      <c r="AU258" s="54"/>
      <c r="AV258" s="54"/>
      <c r="AW258" s="54"/>
      <c r="AX258" s="54"/>
      <c r="AY258" s="54"/>
      <c r="AZ258" s="54"/>
    </row>
    <row r="259" spans="1:52" ht="14.25" customHeight="1">
      <c r="A259" s="24"/>
      <c r="B259" s="24"/>
      <c r="C259" s="24"/>
      <c r="D259" s="24"/>
      <c r="E259" s="24"/>
      <c r="F259" s="24"/>
      <c r="G259" s="24"/>
      <c r="H259" s="24"/>
      <c r="I259" s="24"/>
      <c r="J259" s="24"/>
      <c r="K259" s="24"/>
      <c r="L259" s="24"/>
      <c r="M259" s="24"/>
      <c r="N259" s="35"/>
      <c r="O259" s="24"/>
      <c r="P259" s="35"/>
      <c r="Q259" s="24"/>
      <c r="R259" s="24"/>
      <c r="S259" s="24"/>
      <c r="T259" s="24"/>
      <c r="U259" s="54"/>
      <c r="V259" s="54"/>
      <c r="W259" s="54"/>
      <c r="X259" s="54"/>
      <c r="Y259" s="54"/>
      <c r="Z259" s="54"/>
      <c r="AA259" s="54"/>
      <c r="AB259" s="54"/>
      <c r="AC259" s="54"/>
      <c r="AD259" s="54"/>
      <c r="AE259" s="54"/>
      <c r="AF259" s="54"/>
      <c r="AG259" s="54"/>
      <c r="AH259" s="54"/>
      <c r="AI259" s="54"/>
      <c r="AJ259" s="54"/>
      <c r="AK259" s="54"/>
      <c r="AL259" s="54"/>
      <c r="AM259" s="54"/>
      <c r="AN259" s="54"/>
      <c r="AO259" s="54"/>
      <c r="AP259" s="54"/>
      <c r="AQ259" s="54"/>
      <c r="AR259" s="54"/>
      <c r="AS259" s="54"/>
      <c r="AT259" s="54"/>
      <c r="AU259" s="54"/>
      <c r="AV259" s="54"/>
      <c r="AW259" s="54"/>
      <c r="AX259" s="54"/>
      <c r="AY259" s="54"/>
      <c r="AZ259" s="54"/>
    </row>
    <row r="260" spans="1:52" ht="14.25" customHeight="1">
      <c r="A260" s="24"/>
      <c r="B260" s="24"/>
      <c r="C260" s="24"/>
      <c r="D260" s="24"/>
      <c r="E260" s="24"/>
      <c r="F260" s="24"/>
      <c r="G260" s="24"/>
      <c r="H260" s="24"/>
      <c r="I260" s="24"/>
      <c r="J260" s="24"/>
      <c r="K260" s="24"/>
      <c r="L260" s="24"/>
      <c r="M260" s="24"/>
      <c r="N260" s="35"/>
      <c r="O260" s="24"/>
      <c r="P260" s="35"/>
      <c r="Q260" s="24"/>
      <c r="R260" s="24"/>
      <c r="S260" s="24"/>
      <c r="T260" s="24"/>
      <c r="U260" s="54"/>
      <c r="V260" s="54"/>
      <c r="W260" s="54"/>
      <c r="X260" s="54"/>
      <c r="Y260" s="54"/>
      <c r="Z260" s="54"/>
      <c r="AA260" s="54"/>
      <c r="AB260" s="54"/>
      <c r="AC260" s="54"/>
      <c r="AD260" s="54"/>
      <c r="AE260" s="54"/>
      <c r="AF260" s="54"/>
      <c r="AG260" s="54"/>
      <c r="AH260" s="54"/>
      <c r="AI260" s="54"/>
      <c r="AJ260" s="54"/>
      <c r="AK260" s="54"/>
      <c r="AL260" s="54"/>
      <c r="AM260" s="54"/>
      <c r="AN260" s="54"/>
      <c r="AO260" s="54"/>
      <c r="AP260" s="54"/>
      <c r="AQ260" s="54"/>
      <c r="AR260" s="54"/>
      <c r="AS260" s="54"/>
      <c r="AT260" s="54"/>
      <c r="AU260" s="54"/>
      <c r="AV260" s="54"/>
      <c r="AW260" s="54"/>
      <c r="AX260" s="54"/>
      <c r="AY260" s="54"/>
      <c r="AZ260" s="54"/>
    </row>
    <row r="261" spans="1:52" ht="14.25" customHeight="1">
      <c r="A261" s="24"/>
      <c r="B261" s="24"/>
      <c r="C261" s="24"/>
      <c r="D261" s="24"/>
      <c r="E261" s="24"/>
      <c r="F261" s="24"/>
      <c r="G261" s="24"/>
      <c r="H261" s="24"/>
      <c r="I261" s="24"/>
      <c r="J261" s="24"/>
      <c r="K261" s="24"/>
      <c r="L261" s="24"/>
      <c r="M261" s="24"/>
      <c r="N261" s="35"/>
      <c r="O261" s="24"/>
      <c r="P261" s="35"/>
      <c r="Q261" s="24"/>
      <c r="R261" s="24"/>
      <c r="S261" s="24"/>
      <c r="T261" s="24"/>
      <c r="U261" s="54"/>
      <c r="V261" s="54"/>
      <c r="W261" s="54"/>
      <c r="X261" s="54"/>
      <c r="Y261" s="54"/>
      <c r="Z261" s="54"/>
      <c r="AA261" s="54"/>
      <c r="AB261" s="54"/>
      <c r="AC261" s="54"/>
      <c r="AD261" s="54"/>
      <c r="AE261" s="54"/>
      <c r="AF261" s="54"/>
      <c r="AG261" s="54"/>
      <c r="AH261" s="54"/>
      <c r="AI261" s="54"/>
      <c r="AJ261" s="54"/>
      <c r="AK261" s="54"/>
      <c r="AL261" s="54"/>
      <c r="AM261" s="54"/>
      <c r="AN261" s="54"/>
      <c r="AO261" s="54"/>
      <c r="AP261" s="54"/>
      <c r="AQ261" s="54"/>
      <c r="AR261" s="54"/>
      <c r="AS261" s="54"/>
      <c r="AT261" s="54"/>
      <c r="AU261" s="54"/>
      <c r="AV261" s="54"/>
      <c r="AW261" s="54"/>
      <c r="AX261" s="54"/>
      <c r="AY261" s="54"/>
      <c r="AZ261" s="54"/>
    </row>
    <row r="262" spans="1:52" ht="14.25" customHeight="1">
      <c r="A262" s="24"/>
      <c r="B262" s="24"/>
      <c r="C262" s="24"/>
      <c r="D262" s="24"/>
      <c r="E262" s="24"/>
      <c r="F262" s="24"/>
      <c r="G262" s="24"/>
      <c r="H262" s="24"/>
      <c r="I262" s="24"/>
      <c r="J262" s="24"/>
      <c r="K262" s="24"/>
      <c r="L262" s="24"/>
      <c r="M262" s="24"/>
      <c r="N262" s="35"/>
      <c r="O262" s="24"/>
      <c r="P262" s="35"/>
      <c r="Q262" s="24"/>
      <c r="R262" s="24"/>
      <c r="S262" s="24"/>
      <c r="T262" s="24"/>
      <c r="U262" s="54"/>
      <c r="V262" s="54"/>
      <c r="W262" s="54"/>
      <c r="X262" s="54"/>
      <c r="Y262" s="54"/>
      <c r="Z262" s="54"/>
      <c r="AA262" s="54"/>
      <c r="AB262" s="54"/>
      <c r="AC262" s="54"/>
      <c r="AD262" s="54"/>
      <c r="AE262" s="54"/>
      <c r="AF262" s="54"/>
      <c r="AG262" s="54"/>
      <c r="AH262" s="54"/>
      <c r="AI262" s="54"/>
      <c r="AJ262" s="54"/>
      <c r="AK262" s="54"/>
      <c r="AL262" s="54"/>
      <c r="AM262" s="54"/>
      <c r="AN262" s="54"/>
      <c r="AO262" s="54"/>
      <c r="AP262" s="54"/>
      <c r="AQ262" s="54"/>
      <c r="AR262" s="54"/>
      <c r="AS262" s="54"/>
      <c r="AT262" s="54"/>
      <c r="AU262" s="54"/>
      <c r="AV262" s="54"/>
      <c r="AW262" s="54"/>
      <c r="AX262" s="54"/>
      <c r="AY262" s="54"/>
      <c r="AZ262" s="54"/>
    </row>
    <row r="263" spans="1:52" ht="14.25" customHeight="1">
      <c r="A263" s="24"/>
      <c r="B263" s="24"/>
      <c r="C263" s="24"/>
      <c r="D263" s="24"/>
      <c r="E263" s="24"/>
      <c r="F263" s="24"/>
      <c r="G263" s="24"/>
      <c r="H263" s="24"/>
      <c r="I263" s="24"/>
      <c r="J263" s="24"/>
      <c r="K263" s="24"/>
      <c r="L263" s="24"/>
      <c r="M263" s="24"/>
      <c r="N263" s="35"/>
      <c r="O263" s="24"/>
      <c r="P263" s="35"/>
      <c r="Q263" s="24"/>
      <c r="R263" s="24"/>
      <c r="S263" s="24"/>
      <c r="T263" s="24"/>
      <c r="U263" s="54"/>
      <c r="V263" s="54"/>
      <c r="W263" s="54"/>
      <c r="X263" s="54"/>
      <c r="Y263" s="54"/>
      <c r="Z263" s="54"/>
      <c r="AA263" s="54"/>
      <c r="AB263" s="54"/>
      <c r="AC263" s="54"/>
      <c r="AD263" s="54"/>
      <c r="AE263" s="54"/>
      <c r="AF263" s="54"/>
      <c r="AG263" s="54"/>
      <c r="AH263" s="54"/>
      <c r="AI263" s="54"/>
      <c r="AJ263" s="54"/>
      <c r="AK263" s="54"/>
      <c r="AL263" s="54"/>
      <c r="AM263" s="54"/>
      <c r="AN263" s="54"/>
      <c r="AO263" s="54"/>
      <c r="AP263" s="54"/>
      <c r="AQ263" s="54"/>
      <c r="AR263" s="54"/>
      <c r="AS263" s="54"/>
      <c r="AT263" s="54"/>
      <c r="AU263" s="54"/>
      <c r="AV263" s="54"/>
      <c r="AW263" s="54"/>
      <c r="AX263" s="54"/>
      <c r="AY263" s="54"/>
      <c r="AZ263" s="54"/>
    </row>
    <row r="264" spans="1:52" ht="14.25" customHeight="1">
      <c r="A264" s="24"/>
      <c r="B264" s="24"/>
      <c r="C264" s="24"/>
      <c r="D264" s="24"/>
      <c r="E264" s="24"/>
      <c r="F264" s="24"/>
      <c r="G264" s="24"/>
      <c r="H264" s="24"/>
      <c r="I264" s="24"/>
      <c r="J264" s="24"/>
      <c r="K264" s="24"/>
      <c r="L264" s="24"/>
      <c r="M264" s="24"/>
      <c r="N264" s="35"/>
      <c r="O264" s="24"/>
      <c r="P264" s="35"/>
      <c r="Q264" s="24"/>
      <c r="R264" s="24"/>
      <c r="S264" s="24"/>
      <c r="T264" s="24"/>
      <c r="U264" s="54"/>
      <c r="V264" s="54"/>
      <c r="W264" s="54"/>
      <c r="X264" s="54"/>
      <c r="Y264" s="54"/>
      <c r="Z264" s="54"/>
      <c r="AA264" s="54"/>
      <c r="AB264" s="54"/>
      <c r="AC264" s="54"/>
      <c r="AD264" s="54"/>
      <c r="AE264" s="54"/>
      <c r="AF264" s="54"/>
      <c r="AG264" s="54"/>
      <c r="AH264" s="54"/>
      <c r="AI264" s="54"/>
      <c r="AJ264" s="54"/>
      <c r="AK264" s="54"/>
      <c r="AL264" s="54"/>
      <c r="AM264" s="54"/>
      <c r="AN264" s="54"/>
      <c r="AO264" s="54"/>
      <c r="AP264" s="54"/>
      <c r="AQ264" s="54"/>
      <c r="AR264" s="54"/>
      <c r="AS264" s="54"/>
      <c r="AT264" s="54"/>
      <c r="AU264" s="54"/>
      <c r="AV264" s="54"/>
      <c r="AW264" s="54"/>
      <c r="AX264" s="54"/>
      <c r="AY264" s="54"/>
      <c r="AZ264" s="54"/>
    </row>
    <row r="265" spans="1:52" ht="14.25" customHeight="1">
      <c r="A265" s="24"/>
      <c r="B265" s="24"/>
      <c r="C265" s="24"/>
      <c r="D265" s="24"/>
      <c r="E265" s="24"/>
      <c r="F265" s="24"/>
      <c r="G265" s="24"/>
      <c r="H265" s="24"/>
      <c r="I265" s="24"/>
      <c r="J265" s="24"/>
      <c r="K265" s="24"/>
      <c r="L265" s="24"/>
      <c r="M265" s="24"/>
      <c r="N265" s="35"/>
      <c r="O265" s="24"/>
      <c r="P265" s="35"/>
      <c r="Q265" s="24"/>
      <c r="R265" s="24"/>
      <c r="S265" s="24"/>
      <c r="T265" s="24"/>
      <c r="U265" s="54"/>
      <c r="V265" s="54"/>
      <c r="W265" s="54"/>
      <c r="X265" s="54"/>
      <c r="Y265" s="54"/>
      <c r="Z265" s="54"/>
      <c r="AA265" s="54"/>
      <c r="AB265" s="54"/>
      <c r="AC265" s="54"/>
      <c r="AD265" s="54"/>
      <c r="AE265" s="54"/>
      <c r="AF265" s="54"/>
      <c r="AG265" s="54"/>
      <c r="AH265" s="54"/>
      <c r="AI265" s="54"/>
      <c r="AJ265" s="54"/>
      <c r="AK265" s="54"/>
      <c r="AL265" s="54"/>
      <c r="AM265" s="54"/>
      <c r="AN265" s="54"/>
      <c r="AO265" s="54"/>
      <c r="AP265" s="54"/>
      <c r="AQ265" s="54"/>
      <c r="AR265" s="54"/>
      <c r="AS265" s="54"/>
      <c r="AT265" s="54"/>
      <c r="AU265" s="54"/>
      <c r="AV265" s="54"/>
      <c r="AW265" s="54"/>
      <c r="AX265" s="54"/>
      <c r="AY265" s="54"/>
      <c r="AZ265" s="54"/>
    </row>
    <row r="266" spans="1:52" ht="14.25" customHeight="1">
      <c r="A266" s="24"/>
      <c r="B266" s="24"/>
      <c r="C266" s="24"/>
      <c r="D266" s="24"/>
      <c r="E266" s="24"/>
      <c r="F266" s="24"/>
      <c r="G266" s="24"/>
      <c r="H266" s="24"/>
      <c r="I266" s="24"/>
      <c r="J266" s="24"/>
      <c r="K266" s="24"/>
      <c r="L266" s="24"/>
      <c r="M266" s="24"/>
      <c r="N266" s="35"/>
      <c r="O266" s="24"/>
      <c r="P266" s="35"/>
      <c r="Q266" s="24"/>
      <c r="R266" s="24"/>
      <c r="S266" s="24"/>
      <c r="T266" s="24"/>
      <c r="U266" s="54"/>
      <c r="V266" s="54"/>
      <c r="W266" s="54"/>
      <c r="X266" s="54"/>
      <c r="Y266" s="54"/>
      <c r="Z266" s="54"/>
      <c r="AA266" s="54"/>
      <c r="AB266" s="54"/>
      <c r="AC266" s="54"/>
      <c r="AD266" s="54"/>
      <c r="AE266" s="54"/>
      <c r="AF266" s="54"/>
      <c r="AG266" s="54"/>
      <c r="AH266" s="54"/>
      <c r="AI266" s="54"/>
      <c r="AJ266" s="54"/>
      <c r="AK266" s="54"/>
      <c r="AL266" s="54"/>
      <c r="AM266" s="54"/>
      <c r="AN266" s="54"/>
      <c r="AO266" s="54"/>
      <c r="AP266" s="54"/>
      <c r="AQ266" s="54"/>
      <c r="AR266" s="54"/>
      <c r="AS266" s="54"/>
      <c r="AT266" s="54"/>
      <c r="AU266" s="54"/>
      <c r="AV266" s="54"/>
      <c r="AW266" s="54"/>
      <c r="AX266" s="54"/>
      <c r="AY266" s="54"/>
      <c r="AZ266" s="54"/>
    </row>
    <row r="267" spans="1:52" ht="14.25" customHeight="1">
      <c r="A267" s="24"/>
      <c r="B267" s="24"/>
      <c r="C267" s="24"/>
      <c r="D267" s="24"/>
      <c r="E267" s="24"/>
      <c r="F267" s="24"/>
      <c r="G267" s="24"/>
      <c r="H267" s="24"/>
      <c r="I267" s="24"/>
      <c r="J267" s="24"/>
      <c r="K267" s="24"/>
      <c r="L267" s="24"/>
      <c r="M267" s="24"/>
      <c r="N267" s="35"/>
      <c r="O267" s="24"/>
      <c r="P267" s="35"/>
      <c r="Q267" s="24"/>
      <c r="R267" s="24"/>
      <c r="S267" s="24"/>
      <c r="T267" s="24"/>
      <c r="U267" s="54"/>
      <c r="V267" s="54"/>
      <c r="W267" s="54"/>
      <c r="X267" s="54"/>
      <c r="Y267" s="54"/>
      <c r="Z267" s="54"/>
      <c r="AA267" s="54"/>
      <c r="AB267" s="54"/>
      <c r="AC267" s="54"/>
      <c r="AD267" s="54"/>
      <c r="AE267" s="54"/>
      <c r="AF267" s="54"/>
      <c r="AG267" s="54"/>
      <c r="AH267" s="54"/>
      <c r="AI267" s="54"/>
      <c r="AJ267" s="54"/>
      <c r="AK267" s="54"/>
      <c r="AL267" s="54"/>
      <c r="AM267" s="54"/>
      <c r="AN267" s="54"/>
      <c r="AO267" s="54"/>
      <c r="AP267" s="54"/>
      <c r="AQ267" s="54"/>
      <c r="AR267" s="54"/>
      <c r="AS267" s="54"/>
      <c r="AT267" s="54"/>
      <c r="AU267" s="54"/>
      <c r="AV267" s="54"/>
      <c r="AW267" s="54"/>
      <c r="AX267" s="54"/>
      <c r="AY267" s="54"/>
      <c r="AZ267" s="54"/>
    </row>
    <row r="268" spans="1:52" ht="14.25" customHeight="1">
      <c r="A268" s="24"/>
      <c r="B268" s="24"/>
      <c r="C268" s="24"/>
      <c r="D268" s="24"/>
      <c r="E268" s="24"/>
      <c r="F268" s="24"/>
      <c r="G268" s="24"/>
      <c r="H268" s="24"/>
      <c r="I268" s="24"/>
      <c r="J268" s="24"/>
      <c r="K268" s="24"/>
      <c r="L268" s="24"/>
      <c r="M268" s="24"/>
      <c r="N268" s="35"/>
      <c r="O268" s="24"/>
      <c r="P268" s="35"/>
      <c r="Q268" s="24"/>
      <c r="R268" s="24"/>
      <c r="S268" s="24"/>
      <c r="T268" s="24"/>
      <c r="U268" s="54"/>
      <c r="V268" s="54"/>
      <c r="W268" s="54"/>
      <c r="X268" s="54"/>
      <c r="Y268" s="54"/>
      <c r="Z268" s="54"/>
      <c r="AA268" s="54"/>
      <c r="AB268" s="54"/>
      <c r="AC268" s="54"/>
      <c r="AD268" s="54"/>
      <c r="AE268" s="54"/>
      <c r="AF268" s="54"/>
      <c r="AG268" s="54"/>
      <c r="AH268" s="54"/>
      <c r="AI268" s="54"/>
      <c r="AJ268" s="54"/>
      <c r="AK268" s="54"/>
      <c r="AL268" s="54"/>
      <c r="AM268" s="54"/>
      <c r="AN268" s="54"/>
      <c r="AO268" s="54"/>
      <c r="AP268" s="54"/>
      <c r="AQ268" s="54"/>
      <c r="AR268" s="54"/>
      <c r="AS268" s="54"/>
      <c r="AT268" s="54"/>
      <c r="AU268" s="54"/>
      <c r="AV268" s="54"/>
      <c r="AW268" s="54"/>
      <c r="AX268" s="54"/>
      <c r="AY268" s="54"/>
      <c r="AZ268" s="54"/>
    </row>
    <row r="269" spans="1:52" ht="14.25" customHeight="1">
      <c r="A269" s="24"/>
      <c r="B269" s="24"/>
      <c r="C269" s="24"/>
      <c r="D269" s="24"/>
      <c r="E269" s="24"/>
      <c r="F269" s="24"/>
      <c r="G269" s="24"/>
      <c r="H269" s="24"/>
      <c r="I269" s="24"/>
      <c r="J269" s="24"/>
      <c r="K269" s="24"/>
      <c r="L269" s="24"/>
      <c r="M269" s="24"/>
      <c r="N269" s="35"/>
      <c r="O269" s="24"/>
      <c r="P269" s="35"/>
      <c r="Q269" s="24"/>
      <c r="R269" s="24"/>
      <c r="S269" s="24"/>
      <c r="T269" s="24"/>
      <c r="U269" s="54"/>
      <c r="V269" s="54"/>
      <c r="W269" s="54"/>
      <c r="X269" s="54"/>
      <c r="Y269" s="54"/>
      <c r="Z269" s="54"/>
      <c r="AA269" s="54"/>
      <c r="AB269" s="54"/>
      <c r="AC269" s="54"/>
      <c r="AD269" s="54"/>
      <c r="AE269" s="54"/>
      <c r="AF269" s="54"/>
      <c r="AG269" s="54"/>
      <c r="AH269" s="54"/>
      <c r="AI269" s="54"/>
      <c r="AJ269" s="54"/>
      <c r="AK269" s="54"/>
      <c r="AL269" s="54"/>
      <c r="AM269" s="54"/>
      <c r="AN269" s="54"/>
      <c r="AO269" s="54"/>
      <c r="AP269" s="54"/>
      <c r="AQ269" s="54"/>
      <c r="AR269" s="54"/>
      <c r="AS269" s="54"/>
      <c r="AT269" s="54"/>
      <c r="AU269" s="54"/>
      <c r="AV269" s="54"/>
      <c r="AW269" s="54"/>
      <c r="AX269" s="54"/>
      <c r="AY269" s="54"/>
      <c r="AZ269" s="54"/>
    </row>
    <row r="270" spans="1:52" ht="14.25" customHeight="1">
      <c r="A270" s="24"/>
      <c r="B270" s="24"/>
      <c r="C270" s="24"/>
      <c r="D270" s="24"/>
      <c r="E270" s="24"/>
      <c r="F270" s="24"/>
      <c r="G270" s="24"/>
      <c r="H270" s="24"/>
      <c r="I270" s="24"/>
      <c r="J270" s="24"/>
      <c r="K270" s="24"/>
      <c r="L270" s="24"/>
      <c r="M270" s="24"/>
      <c r="N270" s="35"/>
      <c r="O270" s="24"/>
      <c r="P270" s="35"/>
      <c r="Q270" s="24"/>
      <c r="R270" s="24"/>
      <c r="S270" s="24"/>
      <c r="T270" s="24"/>
      <c r="U270" s="54"/>
      <c r="V270" s="54"/>
      <c r="W270" s="54"/>
      <c r="X270" s="54"/>
      <c r="Y270" s="54"/>
      <c r="Z270" s="54"/>
      <c r="AA270" s="54"/>
      <c r="AB270" s="54"/>
      <c r="AC270" s="54"/>
      <c r="AD270" s="54"/>
      <c r="AE270" s="54"/>
      <c r="AF270" s="54"/>
      <c r="AG270" s="54"/>
      <c r="AH270" s="54"/>
      <c r="AI270" s="54"/>
      <c r="AJ270" s="54"/>
      <c r="AK270" s="54"/>
      <c r="AL270" s="54"/>
      <c r="AM270" s="54"/>
      <c r="AN270" s="54"/>
      <c r="AO270" s="54"/>
      <c r="AP270" s="54"/>
      <c r="AQ270" s="54"/>
      <c r="AR270" s="54"/>
      <c r="AS270" s="54"/>
      <c r="AT270" s="54"/>
      <c r="AU270" s="54"/>
      <c r="AV270" s="54"/>
      <c r="AW270" s="54"/>
      <c r="AX270" s="54"/>
      <c r="AY270" s="54"/>
      <c r="AZ270" s="54"/>
    </row>
    <row r="271" spans="1:52" ht="14.25" customHeight="1">
      <c r="A271" s="24"/>
      <c r="B271" s="24"/>
      <c r="C271" s="24"/>
      <c r="D271" s="24"/>
      <c r="E271" s="24"/>
      <c r="F271" s="24"/>
      <c r="G271" s="24"/>
      <c r="H271" s="24"/>
      <c r="I271" s="24"/>
      <c r="J271" s="24"/>
      <c r="K271" s="24"/>
      <c r="L271" s="24"/>
      <c r="M271" s="24"/>
      <c r="N271" s="35"/>
      <c r="O271" s="24"/>
      <c r="P271" s="35"/>
      <c r="Q271" s="24"/>
      <c r="R271" s="24"/>
      <c r="S271" s="24"/>
      <c r="T271" s="24"/>
      <c r="U271" s="54"/>
      <c r="V271" s="54"/>
      <c r="W271" s="54"/>
      <c r="X271" s="54"/>
      <c r="Y271" s="54"/>
      <c r="Z271" s="54"/>
      <c r="AA271" s="54"/>
      <c r="AB271" s="54"/>
      <c r="AC271" s="54"/>
      <c r="AD271" s="54"/>
      <c r="AE271" s="54"/>
      <c r="AF271" s="54"/>
      <c r="AG271" s="54"/>
      <c r="AH271" s="54"/>
      <c r="AI271" s="54"/>
      <c r="AJ271" s="54"/>
      <c r="AK271" s="54"/>
      <c r="AL271" s="54"/>
      <c r="AM271" s="54"/>
      <c r="AN271" s="54"/>
      <c r="AO271" s="54"/>
      <c r="AP271" s="54"/>
      <c r="AQ271" s="54"/>
      <c r="AR271" s="54"/>
      <c r="AS271" s="54"/>
      <c r="AT271" s="54"/>
      <c r="AU271" s="54"/>
      <c r="AV271" s="54"/>
      <c r="AW271" s="54"/>
      <c r="AX271" s="54"/>
      <c r="AY271" s="54"/>
      <c r="AZ271" s="54"/>
    </row>
    <row r="272" spans="1:52" ht="14.25" customHeight="1">
      <c r="A272" s="24"/>
      <c r="B272" s="24"/>
      <c r="C272" s="24"/>
      <c r="D272" s="24"/>
      <c r="E272" s="24"/>
      <c r="F272" s="24"/>
      <c r="G272" s="24"/>
      <c r="H272" s="24"/>
      <c r="I272" s="24"/>
      <c r="J272" s="24"/>
      <c r="K272" s="24"/>
      <c r="L272" s="24"/>
      <c r="M272" s="24"/>
      <c r="N272" s="35"/>
      <c r="O272" s="24"/>
      <c r="P272" s="35"/>
      <c r="Q272" s="24"/>
      <c r="R272" s="24"/>
      <c r="S272" s="24"/>
      <c r="T272" s="24"/>
      <c r="U272" s="54"/>
      <c r="V272" s="54"/>
      <c r="W272" s="54"/>
      <c r="X272" s="54"/>
      <c r="Y272" s="54"/>
      <c r="Z272" s="54"/>
      <c r="AA272" s="54"/>
      <c r="AB272" s="54"/>
      <c r="AC272" s="54"/>
      <c r="AD272" s="54"/>
      <c r="AE272" s="54"/>
      <c r="AF272" s="54"/>
      <c r="AG272" s="54"/>
      <c r="AH272" s="54"/>
      <c r="AI272" s="54"/>
      <c r="AJ272" s="54"/>
      <c r="AK272" s="54"/>
      <c r="AL272" s="54"/>
      <c r="AM272" s="54"/>
      <c r="AN272" s="54"/>
      <c r="AO272" s="54"/>
      <c r="AP272" s="54"/>
      <c r="AQ272" s="54"/>
      <c r="AR272" s="54"/>
      <c r="AS272" s="54"/>
      <c r="AT272" s="54"/>
      <c r="AU272" s="54"/>
      <c r="AV272" s="54"/>
      <c r="AW272" s="54"/>
      <c r="AX272" s="54"/>
      <c r="AY272" s="54"/>
      <c r="AZ272" s="54"/>
    </row>
    <row r="273" spans="1:52" ht="14.25" customHeight="1">
      <c r="A273" s="24"/>
      <c r="B273" s="24"/>
      <c r="C273" s="24"/>
      <c r="D273" s="24"/>
      <c r="E273" s="24"/>
      <c r="F273" s="24"/>
      <c r="G273" s="24"/>
      <c r="H273" s="24"/>
      <c r="I273" s="24"/>
      <c r="J273" s="24"/>
      <c r="K273" s="24"/>
      <c r="L273" s="24"/>
      <c r="M273" s="24"/>
      <c r="N273" s="35"/>
      <c r="O273" s="24"/>
      <c r="P273" s="35"/>
      <c r="Q273" s="24"/>
      <c r="R273" s="24"/>
      <c r="S273" s="24"/>
      <c r="T273" s="24"/>
      <c r="U273" s="54"/>
      <c r="V273" s="54"/>
      <c r="W273" s="54"/>
      <c r="X273" s="54"/>
      <c r="Y273" s="54"/>
      <c r="Z273" s="54"/>
      <c r="AA273" s="54"/>
      <c r="AB273" s="54"/>
      <c r="AC273" s="54"/>
      <c r="AD273" s="54"/>
      <c r="AE273" s="54"/>
      <c r="AF273" s="54"/>
      <c r="AG273" s="54"/>
      <c r="AH273" s="54"/>
      <c r="AI273" s="54"/>
      <c r="AJ273" s="54"/>
      <c r="AK273" s="54"/>
      <c r="AL273" s="54"/>
      <c r="AM273" s="54"/>
      <c r="AN273" s="54"/>
      <c r="AO273" s="54"/>
      <c r="AP273" s="54"/>
      <c r="AQ273" s="54"/>
      <c r="AR273" s="54"/>
      <c r="AS273" s="54"/>
      <c r="AT273" s="54"/>
      <c r="AU273" s="54"/>
      <c r="AV273" s="54"/>
      <c r="AW273" s="54"/>
      <c r="AX273" s="54"/>
      <c r="AY273" s="54"/>
      <c r="AZ273" s="54"/>
    </row>
    <row r="274" spans="1:52" ht="14.25" customHeight="1">
      <c r="A274" s="24"/>
      <c r="B274" s="24"/>
      <c r="C274" s="24"/>
      <c r="D274" s="24"/>
      <c r="E274" s="24"/>
      <c r="F274" s="24"/>
      <c r="G274" s="24"/>
      <c r="H274" s="24"/>
      <c r="I274" s="24"/>
      <c r="J274" s="24"/>
      <c r="K274" s="24"/>
      <c r="L274" s="24"/>
      <c r="M274" s="24"/>
      <c r="N274" s="35"/>
      <c r="O274" s="24"/>
      <c r="P274" s="35"/>
      <c r="Q274" s="24"/>
      <c r="R274" s="24"/>
      <c r="S274" s="24"/>
      <c r="T274" s="24"/>
      <c r="U274" s="54"/>
      <c r="V274" s="54"/>
      <c r="W274" s="54"/>
      <c r="X274" s="54"/>
      <c r="Y274" s="54"/>
      <c r="Z274" s="54"/>
      <c r="AA274" s="54"/>
      <c r="AB274" s="54"/>
      <c r="AC274" s="54"/>
      <c r="AD274" s="54"/>
      <c r="AE274" s="54"/>
      <c r="AF274" s="54"/>
      <c r="AG274" s="54"/>
      <c r="AH274" s="54"/>
      <c r="AI274" s="54"/>
      <c r="AJ274" s="54"/>
      <c r="AK274" s="54"/>
      <c r="AL274" s="54"/>
      <c r="AM274" s="54"/>
      <c r="AN274" s="54"/>
      <c r="AO274" s="54"/>
      <c r="AP274" s="54"/>
      <c r="AQ274" s="54"/>
      <c r="AR274" s="54"/>
      <c r="AS274" s="54"/>
      <c r="AT274" s="54"/>
      <c r="AU274" s="54"/>
      <c r="AV274" s="54"/>
      <c r="AW274" s="54"/>
      <c r="AX274" s="54"/>
      <c r="AY274" s="54"/>
      <c r="AZ274" s="54"/>
    </row>
    <row r="275" spans="1:52" ht="14.25" customHeight="1">
      <c r="A275" s="24"/>
      <c r="B275" s="24"/>
      <c r="C275" s="24"/>
      <c r="D275" s="24"/>
      <c r="E275" s="24"/>
      <c r="F275" s="24"/>
      <c r="G275" s="24"/>
      <c r="H275" s="24"/>
      <c r="I275" s="24"/>
      <c r="J275" s="24"/>
      <c r="K275" s="24"/>
      <c r="L275" s="24"/>
      <c r="M275" s="24"/>
      <c r="N275" s="35"/>
      <c r="O275" s="24"/>
      <c r="P275" s="35"/>
      <c r="Q275" s="24"/>
      <c r="R275" s="24"/>
      <c r="S275" s="24"/>
      <c r="T275" s="24"/>
      <c r="U275" s="54"/>
      <c r="V275" s="54"/>
      <c r="W275" s="54"/>
      <c r="X275" s="54"/>
      <c r="Y275" s="54"/>
      <c r="Z275" s="54"/>
      <c r="AA275" s="54"/>
      <c r="AB275" s="54"/>
      <c r="AC275" s="54"/>
      <c r="AD275" s="54"/>
      <c r="AE275" s="54"/>
      <c r="AF275" s="54"/>
      <c r="AG275" s="54"/>
      <c r="AH275" s="54"/>
      <c r="AI275" s="54"/>
      <c r="AJ275" s="54"/>
      <c r="AK275" s="54"/>
      <c r="AL275" s="54"/>
      <c r="AM275" s="54"/>
      <c r="AN275" s="54"/>
      <c r="AO275" s="54"/>
      <c r="AP275" s="54"/>
      <c r="AQ275" s="54"/>
      <c r="AR275" s="54"/>
      <c r="AS275" s="54"/>
      <c r="AT275" s="54"/>
      <c r="AU275" s="54"/>
      <c r="AV275" s="54"/>
      <c r="AW275" s="54"/>
      <c r="AX275" s="54"/>
      <c r="AY275" s="54"/>
      <c r="AZ275" s="54"/>
    </row>
    <row r="276" spans="1:52" ht="14.25" customHeight="1">
      <c r="A276" s="24"/>
      <c r="B276" s="24"/>
      <c r="C276" s="24"/>
      <c r="D276" s="24"/>
      <c r="E276" s="24"/>
      <c r="F276" s="24"/>
      <c r="G276" s="24"/>
      <c r="H276" s="24"/>
      <c r="I276" s="24"/>
      <c r="J276" s="24"/>
      <c r="K276" s="24"/>
      <c r="L276" s="24"/>
      <c r="M276" s="24"/>
      <c r="N276" s="35"/>
      <c r="O276" s="24"/>
      <c r="P276" s="35"/>
      <c r="Q276" s="24"/>
      <c r="R276" s="24"/>
      <c r="S276" s="24"/>
      <c r="T276" s="24"/>
      <c r="U276" s="54"/>
      <c r="V276" s="54"/>
      <c r="W276" s="54"/>
      <c r="X276" s="54"/>
      <c r="Y276" s="54"/>
      <c r="Z276" s="54"/>
      <c r="AA276" s="54"/>
      <c r="AB276" s="54"/>
      <c r="AC276" s="54"/>
      <c r="AD276" s="54"/>
      <c r="AE276" s="54"/>
      <c r="AF276" s="54"/>
      <c r="AG276" s="54"/>
      <c r="AH276" s="54"/>
      <c r="AI276" s="54"/>
      <c r="AJ276" s="54"/>
      <c r="AK276" s="54"/>
      <c r="AL276" s="54"/>
      <c r="AM276" s="54"/>
      <c r="AN276" s="54"/>
      <c r="AO276" s="54"/>
      <c r="AP276" s="54"/>
      <c r="AQ276" s="54"/>
      <c r="AR276" s="54"/>
      <c r="AS276" s="54"/>
      <c r="AT276" s="54"/>
      <c r="AU276" s="54"/>
      <c r="AV276" s="54"/>
      <c r="AW276" s="54"/>
      <c r="AX276" s="54"/>
      <c r="AY276" s="54"/>
      <c r="AZ276" s="54"/>
    </row>
    <row r="277" spans="1:52" ht="14.25" customHeight="1">
      <c r="A277" s="24"/>
      <c r="B277" s="24"/>
      <c r="C277" s="24"/>
      <c r="D277" s="24"/>
      <c r="E277" s="24"/>
      <c r="F277" s="24"/>
      <c r="G277" s="24"/>
      <c r="H277" s="24"/>
      <c r="I277" s="24"/>
      <c r="J277" s="24"/>
      <c r="K277" s="24"/>
      <c r="L277" s="24"/>
      <c r="M277" s="24"/>
      <c r="N277" s="35"/>
      <c r="O277" s="24"/>
      <c r="P277" s="35"/>
      <c r="Q277" s="24"/>
      <c r="R277" s="24"/>
      <c r="S277" s="24"/>
      <c r="T277" s="24"/>
      <c r="U277" s="54"/>
      <c r="V277" s="54"/>
      <c r="W277" s="54"/>
      <c r="X277" s="54"/>
      <c r="Y277" s="54"/>
      <c r="Z277" s="54"/>
      <c r="AA277" s="54"/>
      <c r="AB277" s="54"/>
      <c r="AC277" s="54"/>
      <c r="AD277" s="54"/>
      <c r="AE277" s="54"/>
      <c r="AF277" s="54"/>
      <c r="AG277" s="54"/>
      <c r="AH277" s="54"/>
      <c r="AI277" s="54"/>
      <c r="AJ277" s="54"/>
      <c r="AK277" s="54"/>
      <c r="AL277" s="54"/>
      <c r="AM277" s="54"/>
      <c r="AN277" s="54"/>
      <c r="AO277" s="54"/>
      <c r="AP277" s="54"/>
      <c r="AQ277" s="54"/>
      <c r="AR277" s="54"/>
      <c r="AS277" s="54"/>
      <c r="AT277" s="54"/>
      <c r="AU277" s="54"/>
      <c r="AV277" s="54"/>
      <c r="AW277" s="54"/>
      <c r="AX277" s="54"/>
      <c r="AY277" s="54"/>
      <c r="AZ277" s="54"/>
    </row>
    <row r="278" spans="1:52" ht="14.25" customHeight="1">
      <c r="A278" s="24"/>
      <c r="B278" s="24"/>
      <c r="C278" s="24"/>
      <c r="D278" s="24"/>
      <c r="E278" s="24"/>
      <c r="F278" s="24"/>
      <c r="G278" s="24"/>
      <c r="H278" s="24"/>
      <c r="I278" s="24"/>
      <c r="J278" s="24"/>
      <c r="K278" s="24"/>
      <c r="L278" s="24"/>
      <c r="M278" s="24"/>
      <c r="N278" s="35"/>
      <c r="O278" s="24"/>
      <c r="P278" s="35"/>
      <c r="Q278" s="24"/>
      <c r="R278" s="24"/>
      <c r="S278" s="24"/>
      <c r="T278" s="24"/>
      <c r="U278" s="54"/>
      <c r="V278" s="54"/>
      <c r="W278" s="54"/>
      <c r="X278" s="54"/>
      <c r="Y278" s="54"/>
      <c r="Z278" s="54"/>
      <c r="AA278" s="54"/>
      <c r="AB278" s="54"/>
      <c r="AC278" s="54"/>
      <c r="AD278" s="54"/>
      <c r="AE278" s="54"/>
      <c r="AF278" s="54"/>
      <c r="AG278" s="54"/>
      <c r="AH278" s="54"/>
      <c r="AI278" s="54"/>
      <c r="AJ278" s="54"/>
      <c r="AK278" s="54"/>
      <c r="AL278" s="54"/>
      <c r="AM278" s="54"/>
      <c r="AN278" s="54"/>
      <c r="AO278" s="54"/>
      <c r="AP278" s="54"/>
      <c r="AQ278" s="54"/>
      <c r="AR278" s="54"/>
      <c r="AS278" s="54"/>
      <c r="AT278" s="54"/>
      <c r="AU278" s="54"/>
      <c r="AV278" s="54"/>
      <c r="AW278" s="54"/>
      <c r="AX278" s="54"/>
      <c r="AY278" s="54"/>
      <c r="AZ278" s="54"/>
    </row>
    <row r="279" spans="1:52" ht="14.25" customHeight="1">
      <c r="A279" s="24"/>
      <c r="B279" s="24"/>
      <c r="C279" s="24"/>
      <c r="D279" s="24"/>
      <c r="E279" s="24"/>
      <c r="F279" s="24"/>
      <c r="G279" s="24"/>
      <c r="H279" s="24"/>
      <c r="I279" s="24"/>
      <c r="J279" s="24"/>
      <c r="K279" s="24"/>
      <c r="L279" s="24"/>
      <c r="M279" s="24"/>
      <c r="N279" s="35"/>
      <c r="O279" s="24"/>
      <c r="P279" s="35"/>
      <c r="Q279" s="24"/>
      <c r="R279" s="24"/>
      <c r="S279" s="24"/>
      <c r="T279" s="24"/>
      <c r="U279" s="54"/>
      <c r="V279" s="54"/>
      <c r="W279" s="54"/>
      <c r="X279" s="54"/>
      <c r="Y279" s="54"/>
      <c r="Z279" s="54"/>
      <c r="AA279" s="54"/>
      <c r="AB279" s="54"/>
      <c r="AC279" s="54"/>
      <c r="AD279" s="54"/>
      <c r="AE279" s="54"/>
      <c r="AF279" s="54"/>
      <c r="AG279" s="54"/>
      <c r="AH279" s="54"/>
      <c r="AI279" s="54"/>
      <c r="AJ279" s="54"/>
      <c r="AK279" s="54"/>
      <c r="AL279" s="54"/>
      <c r="AM279" s="54"/>
      <c r="AN279" s="54"/>
      <c r="AO279" s="54"/>
      <c r="AP279" s="54"/>
      <c r="AQ279" s="54"/>
      <c r="AR279" s="54"/>
      <c r="AS279" s="54"/>
      <c r="AT279" s="54"/>
      <c r="AU279" s="54"/>
      <c r="AV279" s="54"/>
      <c r="AW279" s="54"/>
      <c r="AX279" s="54"/>
      <c r="AY279" s="54"/>
      <c r="AZ279" s="54"/>
    </row>
    <row r="280" spans="1:52" ht="14.25" customHeight="1">
      <c r="A280" s="24"/>
      <c r="B280" s="24"/>
      <c r="C280" s="24"/>
      <c r="D280" s="24"/>
      <c r="E280" s="24"/>
      <c r="F280" s="24"/>
      <c r="G280" s="24"/>
      <c r="H280" s="24"/>
      <c r="I280" s="24"/>
      <c r="J280" s="24"/>
      <c r="K280" s="24"/>
      <c r="L280" s="24"/>
      <c r="M280" s="24"/>
      <c r="N280" s="35"/>
      <c r="O280" s="24"/>
      <c r="P280" s="35"/>
      <c r="Q280" s="24"/>
      <c r="R280" s="24"/>
      <c r="S280" s="24"/>
      <c r="T280" s="24"/>
      <c r="U280" s="54"/>
      <c r="V280" s="54"/>
      <c r="W280" s="54"/>
      <c r="X280" s="54"/>
      <c r="Y280" s="54"/>
      <c r="Z280" s="54"/>
    </row>
    <row r="281" spans="1:52" ht="14.25" customHeight="1">
      <c r="A281" s="24"/>
      <c r="B281" s="24"/>
      <c r="C281" s="24"/>
      <c r="D281" s="24"/>
      <c r="E281" s="24"/>
      <c r="F281" s="24"/>
      <c r="G281" s="24"/>
      <c r="H281" s="24"/>
      <c r="I281" s="24"/>
      <c r="J281" s="24"/>
      <c r="K281" s="24"/>
      <c r="L281" s="24"/>
      <c r="M281" s="24"/>
      <c r="N281" s="35"/>
      <c r="O281" s="24"/>
      <c r="P281" s="35"/>
      <c r="Q281" s="24"/>
      <c r="R281" s="24"/>
      <c r="S281" s="24"/>
      <c r="T281" s="24"/>
      <c r="U281" s="54"/>
      <c r="V281" s="54"/>
      <c r="W281" s="54"/>
      <c r="X281" s="54"/>
      <c r="Y281" s="54"/>
      <c r="Z281" s="54"/>
    </row>
    <row r="282" spans="1:52" ht="14.25" customHeight="1">
      <c r="A282" s="24"/>
      <c r="B282" s="24"/>
      <c r="C282" s="24"/>
      <c r="D282" s="24"/>
      <c r="E282" s="24"/>
      <c r="F282" s="24"/>
      <c r="G282" s="24"/>
      <c r="H282" s="24"/>
      <c r="I282" s="24"/>
      <c r="J282" s="24"/>
      <c r="K282" s="24"/>
      <c r="L282" s="24"/>
      <c r="M282" s="24"/>
      <c r="N282" s="35"/>
      <c r="O282" s="24"/>
      <c r="P282" s="35"/>
      <c r="Q282" s="24"/>
      <c r="R282" s="24"/>
      <c r="S282" s="24"/>
      <c r="T282" s="24"/>
      <c r="U282" s="54"/>
      <c r="V282" s="54"/>
      <c r="W282" s="54"/>
      <c r="X282" s="54"/>
      <c r="Y282" s="54"/>
      <c r="Z282" s="54"/>
    </row>
    <row r="283" spans="1:52" ht="14.25" customHeight="1">
      <c r="A283" s="24"/>
      <c r="B283" s="24"/>
      <c r="C283" s="24"/>
      <c r="D283" s="24"/>
      <c r="E283" s="24"/>
      <c r="F283" s="24"/>
      <c r="G283" s="24"/>
      <c r="H283" s="24"/>
      <c r="I283" s="24"/>
      <c r="J283" s="24"/>
      <c r="K283" s="24"/>
      <c r="L283" s="24"/>
      <c r="M283" s="24"/>
      <c r="N283" s="35"/>
      <c r="O283" s="24"/>
      <c r="P283" s="35"/>
      <c r="Q283" s="24"/>
      <c r="R283" s="24"/>
      <c r="S283" s="24"/>
      <c r="T283" s="24"/>
      <c r="U283" s="54"/>
      <c r="V283" s="54"/>
      <c r="W283" s="54"/>
      <c r="X283" s="54"/>
      <c r="Y283" s="54"/>
      <c r="Z283" s="54"/>
    </row>
    <row r="284" spans="1:52" ht="14.25" customHeight="1">
      <c r="A284" s="24"/>
      <c r="B284" s="24"/>
      <c r="C284" s="24"/>
      <c r="D284" s="24"/>
      <c r="E284" s="24"/>
      <c r="F284" s="24"/>
      <c r="G284" s="24"/>
      <c r="H284" s="24"/>
      <c r="I284" s="24"/>
      <c r="J284" s="24"/>
      <c r="K284" s="24"/>
      <c r="L284" s="24"/>
      <c r="M284" s="24"/>
      <c r="N284" s="35"/>
      <c r="O284" s="24"/>
      <c r="P284" s="35"/>
      <c r="Q284" s="24"/>
      <c r="R284" s="24"/>
      <c r="S284" s="24"/>
      <c r="T284" s="24"/>
      <c r="U284" s="54"/>
      <c r="V284" s="54"/>
      <c r="W284" s="54"/>
      <c r="X284" s="54"/>
      <c r="Y284" s="54"/>
      <c r="Z284" s="54"/>
    </row>
    <row r="285" spans="1:52" ht="14.25" customHeight="1">
      <c r="A285" s="24"/>
      <c r="B285" s="24"/>
      <c r="C285" s="24"/>
      <c r="D285" s="24"/>
      <c r="E285" s="24"/>
      <c r="F285" s="24"/>
      <c r="G285" s="24"/>
      <c r="H285" s="24"/>
      <c r="I285" s="24"/>
      <c r="J285" s="24"/>
      <c r="K285" s="24"/>
      <c r="L285" s="24"/>
      <c r="M285" s="24"/>
      <c r="N285" s="35"/>
      <c r="O285" s="24"/>
      <c r="P285" s="35"/>
      <c r="Q285" s="24"/>
      <c r="R285" s="24"/>
      <c r="S285" s="24"/>
      <c r="T285" s="24"/>
      <c r="U285" s="54"/>
      <c r="V285" s="54"/>
      <c r="W285" s="54"/>
      <c r="X285" s="54"/>
      <c r="Y285" s="54"/>
      <c r="Z285" s="54"/>
    </row>
    <row r="286" spans="1:52" ht="14.25" customHeight="1">
      <c r="A286" s="24"/>
      <c r="B286" s="24"/>
      <c r="C286" s="24"/>
      <c r="D286" s="24"/>
      <c r="E286" s="24"/>
      <c r="F286" s="24"/>
      <c r="G286" s="24"/>
      <c r="H286" s="24"/>
      <c r="I286" s="24"/>
      <c r="J286" s="24"/>
      <c r="K286" s="24"/>
      <c r="L286" s="24"/>
      <c r="M286" s="24"/>
      <c r="N286" s="35"/>
      <c r="O286" s="24"/>
      <c r="P286" s="35"/>
      <c r="Q286" s="24"/>
      <c r="R286" s="24"/>
      <c r="S286" s="24"/>
      <c r="T286" s="24"/>
      <c r="U286" s="54"/>
      <c r="V286" s="54"/>
      <c r="W286" s="54"/>
      <c r="X286" s="54"/>
      <c r="Y286" s="54"/>
      <c r="Z286" s="54"/>
    </row>
    <row r="287" spans="1:52" ht="14.25" customHeight="1">
      <c r="A287" s="24"/>
      <c r="B287" s="24"/>
      <c r="C287" s="24"/>
      <c r="D287" s="24"/>
      <c r="E287" s="24"/>
      <c r="F287" s="24"/>
      <c r="G287" s="24"/>
      <c r="H287" s="24"/>
      <c r="I287" s="24"/>
      <c r="J287" s="24"/>
      <c r="K287" s="24"/>
      <c r="L287" s="24"/>
      <c r="M287" s="24"/>
      <c r="N287" s="35"/>
      <c r="O287" s="24"/>
      <c r="P287" s="35"/>
      <c r="Q287" s="24"/>
      <c r="R287" s="24"/>
      <c r="S287" s="24"/>
      <c r="T287" s="24"/>
      <c r="U287" s="54"/>
      <c r="V287" s="54"/>
      <c r="W287" s="54"/>
      <c r="X287" s="54"/>
      <c r="Y287" s="54"/>
      <c r="Z287" s="54"/>
    </row>
    <row r="288" spans="1:52" ht="14.25" customHeight="1">
      <c r="A288" s="24"/>
      <c r="B288" s="24"/>
      <c r="C288" s="24"/>
      <c r="D288" s="24"/>
      <c r="E288" s="24"/>
      <c r="F288" s="24"/>
      <c r="G288" s="24"/>
      <c r="H288" s="24"/>
      <c r="I288" s="24"/>
      <c r="J288" s="24"/>
      <c r="K288" s="24"/>
      <c r="L288" s="24"/>
      <c r="M288" s="24"/>
      <c r="N288" s="35"/>
      <c r="O288" s="24"/>
      <c r="P288" s="35"/>
      <c r="Q288" s="24"/>
      <c r="R288" s="24"/>
      <c r="S288" s="24"/>
      <c r="T288" s="24"/>
      <c r="U288" s="54"/>
      <c r="V288" s="54"/>
      <c r="W288" s="54"/>
      <c r="X288" s="54"/>
      <c r="Y288" s="54"/>
      <c r="Z288" s="54"/>
    </row>
    <row r="289" spans="1:26" ht="14.25" customHeight="1">
      <c r="A289" s="24"/>
      <c r="B289" s="24"/>
      <c r="C289" s="24"/>
      <c r="D289" s="24"/>
      <c r="E289" s="24"/>
      <c r="F289" s="24"/>
      <c r="G289" s="24"/>
      <c r="H289" s="24"/>
      <c r="I289" s="24"/>
      <c r="J289" s="24"/>
      <c r="K289" s="24"/>
      <c r="L289" s="24"/>
      <c r="M289" s="24"/>
      <c r="N289" s="35"/>
      <c r="O289" s="24"/>
      <c r="P289" s="35"/>
      <c r="Q289" s="24"/>
      <c r="R289" s="24"/>
      <c r="S289" s="24"/>
      <c r="T289" s="24"/>
      <c r="U289" s="54"/>
      <c r="V289" s="54"/>
      <c r="W289" s="54"/>
      <c r="X289" s="54"/>
      <c r="Y289" s="54"/>
      <c r="Z289" s="54"/>
    </row>
    <row r="290" spans="1:26" ht="14.25" customHeight="1">
      <c r="A290" s="24"/>
      <c r="B290" s="24"/>
      <c r="C290" s="24"/>
      <c r="D290" s="24"/>
      <c r="E290" s="24"/>
      <c r="F290" s="24"/>
      <c r="G290" s="24"/>
      <c r="H290" s="24"/>
      <c r="I290" s="24"/>
      <c r="J290" s="24"/>
      <c r="K290" s="24"/>
      <c r="L290" s="24"/>
      <c r="M290" s="24"/>
      <c r="N290" s="35"/>
      <c r="O290" s="24"/>
      <c r="P290" s="35"/>
      <c r="Q290" s="24"/>
      <c r="R290" s="24"/>
      <c r="S290" s="24"/>
      <c r="T290" s="24"/>
      <c r="U290" s="54"/>
      <c r="V290" s="54"/>
      <c r="W290" s="54"/>
      <c r="X290" s="54"/>
      <c r="Y290" s="54"/>
      <c r="Z290" s="54"/>
    </row>
    <row r="291" spans="1:26" ht="14.25" customHeight="1">
      <c r="A291" s="24"/>
      <c r="B291" s="24"/>
      <c r="C291" s="24"/>
      <c r="D291" s="24"/>
      <c r="E291" s="24"/>
      <c r="F291" s="24"/>
      <c r="G291" s="24"/>
      <c r="H291" s="24"/>
      <c r="I291" s="24"/>
      <c r="J291" s="24"/>
      <c r="K291" s="24"/>
      <c r="L291" s="24"/>
      <c r="M291" s="24"/>
      <c r="N291" s="35"/>
      <c r="O291" s="24"/>
      <c r="P291" s="35"/>
      <c r="Q291" s="24"/>
      <c r="R291" s="24"/>
      <c r="S291" s="24"/>
      <c r="T291" s="24"/>
      <c r="U291" s="54"/>
      <c r="V291" s="54"/>
      <c r="W291" s="54"/>
      <c r="X291" s="54"/>
      <c r="Y291" s="54"/>
      <c r="Z291" s="54"/>
    </row>
    <row r="292" spans="1:26" ht="14.25" customHeight="1">
      <c r="A292" s="24"/>
      <c r="B292" s="24"/>
      <c r="C292" s="24"/>
      <c r="D292" s="24"/>
      <c r="E292" s="24"/>
      <c r="F292" s="24"/>
      <c r="G292" s="24"/>
      <c r="H292" s="24"/>
      <c r="I292" s="24"/>
      <c r="J292" s="24"/>
      <c r="K292" s="24"/>
      <c r="L292" s="24"/>
      <c r="M292" s="24"/>
      <c r="N292" s="35"/>
      <c r="O292" s="24"/>
      <c r="P292" s="35"/>
      <c r="Q292" s="24"/>
      <c r="R292" s="24"/>
      <c r="S292" s="24"/>
      <c r="T292" s="24"/>
      <c r="U292" s="54"/>
      <c r="V292" s="54"/>
      <c r="W292" s="54"/>
      <c r="X292" s="54"/>
      <c r="Y292" s="54"/>
      <c r="Z292" s="54"/>
    </row>
    <row r="293" spans="1:26" ht="14.25" customHeight="1">
      <c r="A293" s="24"/>
      <c r="B293" s="24"/>
      <c r="C293" s="24"/>
      <c r="D293" s="24"/>
      <c r="E293" s="24"/>
      <c r="F293" s="24"/>
      <c r="G293" s="24"/>
      <c r="H293" s="24"/>
      <c r="I293" s="24"/>
      <c r="J293" s="24"/>
      <c r="K293" s="24"/>
      <c r="L293" s="24"/>
      <c r="M293" s="24"/>
      <c r="N293" s="35"/>
      <c r="O293" s="24"/>
      <c r="P293" s="35"/>
      <c r="Q293" s="24"/>
      <c r="R293" s="24"/>
      <c r="S293" s="24"/>
      <c r="T293" s="24"/>
      <c r="U293" s="54"/>
      <c r="V293" s="54"/>
      <c r="W293" s="54"/>
      <c r="X293" s="54"/>
      <c r="Y293" s="54"/>
      <c r="Z293" s="54"/>
    </row>
    <row r="294" spans="1:26" ht="14.25" customHeight="1">
      <c r="A294" s="24"/>
      <c r="B294" s="24"/>
      <c r="C294" s="24"/>
      <c r="D294" s="24"/>
      <c r="E294" s="24"/>
      <c r="F294" s="24"/>
      <c r="G294" s="24"/>
      <c r="H294" s="24"/>
      <c r="I294" s="24"/>
      <c r="J294" s="24"/>
      <c r="K294" s="24"/>
      <c r="L294" s="24"/>
      <c r="M294" s="24"/>
      <c r="N294" s="35"/>
      <c r="O294" s="24"/>
      <c r="P294" s="35"/>
      <c r="Q294" s="24"/>
      <c r="R294" s="24"/>
      <c r="S294" s="24"/>
      <c r="T294" s="24"/>
      <c r="U294" s="54"/>
      <c r="V294" s="54"/>
      <c r="W294" s="54"/>
      <c r="X294" s="54"/>
      <c r="Y294" s="54"/>
      <c r="Z294" s="54"/>
    </row>
    <row r="295" spans="1:26" ht="14.25" customHeight="1">
      <c r="A295" s="24"/>
      <c r="B295" s="24"/>
      <c r="C295" s="24"/>
      <c r="D295" s="24"/>
      <c r="E295" s="24"/>
      <c r="F295" s="24"/>
      <c r="G295" s="24"/>
      <c r="H295" s="24"/>
      <c r="I295" s="24"/>
      <c r="J295" s="24"/>
      <c r="K295" s="24"/>
      <c r="L295" s="24"/>
      <c r="M295" s="24"/>
      <c r="N295" s="35"/>
      <c r="O295" s="24"/>
      <c r="P295" s="35"/>
      <c r="Q295" s="24"/>
      <c r="R295" s="24"/>
      <c r="S295" s="24"/>
      <c r="T295" s="24"/>
      <c r="U295" s="54"/>
      <c r="V295" s="54"/>
      <c r="W295" s="54"/>
      <c r="X295" s="54"/>
      <c r="Y295" s="54"/>
      <c r="Z295" s="54"/>
    </row>
    <row r="296" spans="1:26" ht="14.25" customHeight="1">
      <c r="A296" s="24"/>
      <c r="B296" s="24"/>
      <c r="C296" s="24"/>
      <c r="D296" s="24"/>
      <c r="E296" s="24"/>
      <c r="F296" s="24"/>
      <c r="G296" s="24"/>
      <c r="H296" s="24"/>
      <c r="I296" s="24"/>
      <c r="J296" s="24"/>
      <c r="K296" s="24"/>
      <c r="L296" s="24"/>
      <c r="M296" s="24"/>
      <c r="N296" s="35"/>
      <c r="O296" s="24"/>
      <c r="P296" s="35"/>
      <c r="Q296" s="24"/>
      <c r="R296" s="24"/>
      <c r="S296" s="24"/>
      <c r="T296" s="24"/>
      <c r="U296" s="54"/>
      <c r="V296" s="54"/>
      <c r="W296" s="54"/>
      <c r="X296" s="54"/>
      <c r="Y296" s="54"/>
      <c r="Z296" s="54"/>
    </row>
    <row r="297" spans="1:26" ht="14.25" customHeight="1">
      <c r="A297" s="24"/>
      <c r="B297" s="24"/>
      <c r="C297" s="24"/>
      <c r="D297" s="24"/>
      <c r="E297" s="24"/>
      <c r="F297" s="24"/>
      <c r="G297" s="24"/>
      <c r="H297" s="24"/>
      <c r="I297" s="24"/>
      <c r="J297" s="24"/>
      <c r="K297" s="24"/>
      <c r="L297" s="24"/>
      <c r="M297" s="24"/>
      <c r="N297" s="35"/>
      <c r="O297" s="24"/>
      <c r="P297" s="35"/>
      <c r="Q297" s="24"/>
      <c r="R297" s="24"/>
      <c r="S297" s="24"/>
      <c r="T297" s="24"/>
      <c r="U297" s="54"/>
      <c r="V297" s="54"/>
      <c r="W297" s="54"/>
      <c r="X297" s="54"/>
      <c r="Y297" s="54"/>
      <c r="Z297" s="54"/>
    </row>
    <row r="298" spans="1:26" ht="14.25" customHeight="1">
      <c r="A298" s="24"/>
      <c r="B298" s="24"/>
      <c r="C298" s="24"/>
      <c r="D298" s="24"/>
      <c r="E298" s="24"/>
      <c r="F298" s="24"/>
      <c r="G298" s="24"/>
      <c r="H298" s="24"/>
      <c r="I298" s="24"/>
      <c r="J298" s="24"/>
      <c r="K298" s="24"/>
      <c r="L298" s="24"/>
      <c r="M298" s="24"/>
      <c r="N298" s="35"/>
      <c r="O298" s="24"/>
      <c r="P298" s="35"/>
      <c r="Q298" s="24"/>
      <c r="R298" s="24"/>
      <c r="S298" s="24"/>
      <c r="T298" s="24"/>
      <c r="U298" s="54"/>
      <c r="V298" s="54"/>
      <c r="W298" s="54"/>
      <c r="X298" s="54"/>
      <c r="Y298" s="54"/>
      <c r="Z298" s="54"/>
    </row>
    <row r="299" spans="1:26" ht="14.25" customHeight="1">
      <c r="A299" s="24"/>
      <c r="B299" s="24"/>
      <c r="C299" s="24"/>
      <c r="D299" s="24"/>
      <c r="E299" s="24"/>
      <c r="F299" s="24"/>
      <c r="G299" s="24"/>
      <c r="H299" s="24"/>
      <c r="I299" s="24"/>
      <c r="J299" s="24"/>
      <c r="K299" s="24"/>
      <c r="L299" s="24"/>
      <c r="M299" s="24"/>
      <c r="N299" s="35"/>
      <c r="O299" s="24"/>
      <c r="P299" s="35"/>
      <c r="Q299" s="24"/>
      <c r="R299" s="24"/>
      <c r="S299" s="24"/>
      <c r="T299" s="24"/>
      <c r="U299" s="54"/>
      <c r="V299" s="54"/>
      <c r="W299" s="54"/>
      <c r="X299" s="54"/>
      <c r="Y299" s="54"/>
      <c r="Z299" s="54"/>
    </row>
    <row r="300" spans="1:26" ht="14.25" customHeight="1">
      <c r="A300" s="24"/>
      <c r="B300" s="24"/>
      <c r="C300" s="24"/>
      <c r="D300" s="24"/>
      <c r="E300" s="24"/>
      <c r="F300" s="24"/>
      <c r="G300" s="24"/>
      <c r="H300" s="24"/>
      <c r="I300" s="24"/>
      <c r="J300" s="24"/>
      <c r="K300" s="24"/>
      <c r="L300" s="24"/>
      <c r="M300" s="24"/>
      <c r="N300" s="35"/>
      <c r="O300" s="24"/>
      <c r="P300" s="35"/>
      <c r="Q300" s="24"/>
      <c r="R300" s="24"/>
      <c r="S300" s="24"/>
      <c r="T300" s="24"/>
      <c r="U300" s="54"/>
      <c r="V300" s="54"/>
      <c r="W300" s="54"/>
      <c r="X300" s="54"/>
      <c r="Y300" s="54"/>
      <c r="Z300" s="54"/>
    </row>
    <row r="301" spans="1:26" ht="14.25" customHeight="1">
      <c r="A301" s="24"/>
      <c r="B301" s="24"/>
      <c r="C301" s="24"/>
      <c r="D301" s="24"/>
      <c r="E301" s="24"/>
      <c r="F301" s="24"/>
      <c r="G301" s="24"/>
      <c r="H301" s="24"/>
      <c r="I301" s="24"/>
      <c r="J301" s="24"/>
      <c r="K301" s="24"/>
      <c r="L301" s="24"/>
      <c r="M301" s="24"/>
      <c r="N301" s="35"/>
      <c r="O301" s="24"/>
      <c r="P301" s="35"/>
      <c r="Q301" s="24"/>
      <c r="R301" s="24"/>
      <c r="S301" s="24"/>
      <c r="T301" s="24"/>
      <c r="U301" s="54"/>
      <c r="V301" s="54"/>
      <c r="W301" s="54"/>
      <c r="X301" s="54"/>
      <c r="Y301" s="54"/>
      <c r="Z301" s="54"/>
    </row>
    <row r="302" spans="1:26" ht="14.25" customHeight="1">
      <c r="A302" s="24"/>
      <c r="B302" s="24"/>
      <c r="C302" s="24"/>
      <c r="D302" s="24"/>
      <c r="E302" s="24"/>
      <c r="F302" s="24"/>
      <c r="G302" s="24"/>
      <c r="H302" s="24"/>
      <c r="I302" s="24"/>
      <c r="J302" s="24"/>
      <c r="K302" s="24"/>
      <c r="L302" s="24"/>
      <c r="M302" s="24"/>
      <c r="N302" s="35"/>
      <c r="O302" s="24"/>
      <c r="P302" s="35"/>
      <c r="Q302" s="24"/>
      <c r="R302" s="24"/>
      <c r="S302" s="24"/>
      <c r="T302" s="24"/>
      <c r="U302" s="54"/>
      <c r="V302" s="54"/>
      <c r="W302" s="54"/>
      <c r="X302" s="54"/>
      <c r="Y302" s="54"/>
      <c r="Z302" s="54"/>
    </row>
    <row r="303" spans="1:26" ht="14.25" customHeight="1">
      <c r="A303" s="24"/>
      <c r="B303" s="24"/>
      <c r="C303" s="24"/>
      <c r="D303" s="24"/>
      <c r="E303" s="24"/>
      <c r="F303" s="24"/>
      <c r="G303" s="24"/>
      <c r="H303" s="24"/>
      <c r="I303" s="24"/>
      <c r="J303" s="24"/>
      <c r="K303" s="24"/>
      <c r="L303" s="24"/>
      <c r="M303" s="24"/>
      <c r="N303" s="35"/>
      <c r="O303" s="24"/>
      <c r="P303" s="35"/>
      <c r="Q303" s="24"/>
      <c r="R303" s="24"/>
      <c r="S303" s="24"/>
      <c r="T303" s="24"/>
      <c r="U303" s="54"/>
      <c r="V303" s="54"/>
      <c r="W303" s="54"/>
      <c r="X303" s="54"/>
      <c r="Y303" s="54"/>
      <c r="Z303" s="54"/>
    </row>
    <row r="304" spans="1:26" ht="14.25" customHeight="1">
      <c r="A304" s="24"/>
      <c r="B304" s="24"/>
      <c r="C304" s="24"/>
      <c r="D304" s="24"/>
      <c r="E304" s="24"/>
      <c r="F304" s="24"/>
      <c r="G304" s="24"/>
      <c r="H304" s="24"/>
      <c r="I304" s="24"/>
      <c r="J304" s="24"/>
      <c r="K304" s="24"/>
      <c r="L304" s="24"/>
      <c r="M304" s="24"/>
      <c r="N304" s="35"/>
      <c r="O304" s="24"/>
      <c r="P304" s="35"/>
      <c r="Q304" s="24"/>
      <c r="R304" s="24"/>
      <c r="S304" s="24"/>
      <c r="T304" s="24"/>
      <c r="U304" s="54"/>
      <c r="V304" s="54"/>
      <c r="W304" s="54"/>
      <c r="X304" s="54"/>
      <c r="Y304" s="54"/>
      <c r="Z304" s="54"/>
    </row>
    <row r="305" spans="1:26" ht="14.25" customHeight="1">
      <c r="A305" s="24"/>
      <c r="B305" s="24"/>
      <c r="C305" s="24"/>
      <c r="D305" s="24"/>
      <c r="E305" s="24"/>
      <c r="F305" s="24"/>
      <c r="G305" s="24"/>
      <c r="H305" s="24"/>
      <c r="I305" s="24"/>
      <c r="J305" s="24"/>
      <c r="K305" s="24"/>
      <c r="L305" s="24"/>
      <c r="M305" s="24"/>
      <c r="N305" s="35"/>
      <c r="O305" s="24"/>
      <c r="P305" s="35"/>
      <c r="Q305" s="24"/>
      <c r="R305" s="24"/>
      <c r="S305" s="24"/>
      <c r="T305" s="24"/>
      <c r="U305" s="54"/>
      <c r="V305" s="54"/>
      <c r="W305" s="54"/>
      <c r="X305" s="54"/>
      <c r="Y305" s="54"/>
      <c r="Z305" s="54"/>
    </row>
    <row r="306" spans="1:26" ht="14.25" customHeight="1">
      <c r="A306" s="24"/>
      <c r="B306" s="24"/>
      <c r="C306" s="24"/>
      <c r="D306" s="24"/>
      <c r="E306" s="24"/>
      <c r="F306" s="24"/>
      <c r="G306" s="24"/>
      <c r="H306" s="24"/>
      <c r="I306" s="24"/>
      <c r="J306" s="24"/>
      <c r="K306" s="24"/>
      <c r="L306" s="24"/>
      <c r="M306" s="24"/>
      <c r="N306" s="35"/>
      <c r="O306" s="24"/>
      <c r="P306" s="35"/>
      <c r="Q306" s="24"/>
      <c r="R306" s="24"/>
      <c r="S306" s="24"/>
      <c r="T306" s="24"/>
      <c r="U306" s="54"/>
      <c r="V306" s="54"/>
      <c r="W306" s="54"/>
      <c r="X306" s="54"/>
      <c r="Y306" s="54"/>
      <c r="Z306" s="54"/>
    </row>
    <row r="307" spans="1:26" ht="14.25" customHeight="1">
      <c r="A307" s="24"/>
      <c r="B307" s="24"/>
      <c r="C307" s="24"/>
      <c r="D307" s="24"/>
      <c r="E307" s="24"/>
      <c r="F307" s="24"/>
      <c r="G307" s="24"/>
      <c r="H307" s="24"/>
      <c r="I307" s="24"/>
      <c r="J307" s="24"/>
      <c r="K307" s="24"/>
      <c r="L307" s="24"/>
      <c r="M307" s="24"/>
      <c r="N307" s="35"/>
      <c r="O307" s="24"/>
      <c r="P307" s="35"/>
      <c r="Q307" s="24"/>
      <c r="R307" s="24"/>
      <c r="S307" s="24"/>
      <c r="T307" s="24"/>
      <c r="U307" s="54"/>
      <c r="V307" s="54"/>
      <c r="W307" s="54"/>
      <c r="X307" s="54"/>
      <c r="Y307" s="54"/>
      <c r="Z307" s="54"/>
    </row>
    <row r="308" spans="1:26" ht="14.25" customHeight="1">
      <c r="A308" s="24"/>
      <c r="B308" s="24"/>
      <c r="C308" s="24"/>
      <c r="D308" s="24"/>
      <c r="E308" s="24"/>
      <c r="F308" s="24"/>
      <c r="G308" s="24"/>
      <c r="H308" s="24"/>
      <c r="I308" s="24"/>
      <c r="J308" s="24"/>
      <c r="K308" s="24"/>
      <c r="L308" s="24"/>
      <c r="M308" s="24"/>
      <c r="N308" s="35"/>
      <c r="O308" s="24"/>
      <c r="P308" s="35"/>
      <c r="Q308" s="24"/>
      <c r="R308" s="24"/>
      <c r="S308" s="24"/>
      <c r="T308" s="24"/>
      <c r="U308" s="54"/>
      <c r="V308" s="54"/>
      <c r="W308" s="54"/>
      <c r="X308" s="54"/>
      <c r="Y308" s="54"/>
      <c r="Z308" s="54"/>
    </row>
    <row r="309" spans="1:26" ht="14.25" customHeight="1">
      <c r="A309" s="24"/>
      <c r="B309" s="24"/>
      <c r="C309" s="24"/>
      <c r="D309" s="24"/>
      <c r="E309" s="24"/>
      <c r="F309" s="24"/>
      <c r="G309" s="24"/>
      <c r="H309" s="24"/>
      <c r="I309" s="24"/>
      <c r="J309" s="24"/>
      <c r="K309" s="24"/>
      <c r="L309" s="24"/>
      <c r="M309" s="24"/>
      <c r="N309" s="35"/>
      <c r="O309" s="24"/>
      <c r="P309" s="35"/>
      <c r="Q309" s="24"/>
      <c r="R309" s="24"/>
      <c r="S309" s="24"/>
      <c r="T309" s="24"/>
      <c r="U309" s="54"/>
      <c r="V309" s="54"/>
      <c r="W309" s="54"/>
      <c r="X309" s="54"/>
      <c r="Y309" s="54"/>
      <c r="Z309" s="54"/>
    </row>
    <row r="310" spans="1:26" ht="14.25" customHeight="1">
      <c r="A310" s="24"/>
      <c r="B310" s="24"/>
      <c r="C310" s="24"/>
      <c r="D310" s="24"/>
      <c r="E310" s="24"/>
      <c r="F310" s="24"/>
      <c r="G310" s="24"/>
      <c r="H310" s="24"/>
      <c r="I310" s="24"/>
      <c r="J310" s="24"/>
      <c r="K310" s="24"/>
      <c r="L310" s="24"/>
      <c r="M310" s="24"/>
      <c r="N310" s="35"/>
      <c r="O310" s="24"/>
      <c r="P310" s="35"/>
      <c r="Q310" s="24"/>
      <c r="R310" s="24"/>
      <c r="S310" s="24"/>
      <c r="T310" s="24"/>
      <c r="U310" s="54"/>
      <c r="V310" s="54"/>
      <c r="W310" s="54"/>
      <c r="X310" s="54"/>
      <c r="Y310" s="54"/>
      <c r="Z310" s="54"/>
    </row>
    <row r="311" spans="1:26" ht="14.25" customHeight="1">
      <c r="A311" s="24"/>
      <c r="B311" s="24"/>
      <c r="C311" s="24"/>
      <c r="D311" s="24"/>
      <c r="E311" s="24"/>
      <c r="F311" s="24"/>
      <c r="G311" s="24"/>
      <c r="H311" s="24"/>
      <c r="I311" s="24"/>
      <c r="J311" s="24"/>
      <c r="K311" s="24"/>
      <c r="L311" s="24"/>
      <c r="M311" s="24"/>
      <c r="N311" s="35"/>
      <c r="O311" s="24"/>
      <c r="P311" s="35"/>
      <c r="Q311" s="24"/>
      <c r="R311" s="24"/>
      <c r="S311" s="24"/>
      <c r="T311" s="24"/>
      <c r="U311" s="54"/>
      <c r="V311" s="54"/>
      <c r="W311" s="54"/>
      <c r="X311" s="54"/>
      <c r="Y311" s="54"/>
      <c r="Z311" s="54"/>
    </row>
    <row r="312" spans="1:26" ht="14.25" customHeight="1">
      <c r="A312" s="24"/>
      <c r="B312" s="24"/>
      <c r="C312" s="24"/>
      <c r="D312" s="24"/>
      <c r="E312" s="24"/>
      <c r="F312" s="24"/>
      <c r="G312" s="24"/>
      <c r="H312" s="24"/>
      <c r="I312" s="24"/>
      <c r="J312" s="24"/>
      <c r="K312" s="24"/>
      <c r="L312" s="24"/>
      <c r="M312" s="24"/>
      <c r="N312" s="35"/>
      <c r="O312" s="24"/>
      <c r="P312" s="35"/>
      <c r="Q312" s="24"/>
      <c r="R312" s="24"/>
      <c r="S312" s="24"/>
      <c r="T312" s="24"/>
      <c r="U312" s="54"/>
      <c r="V312" s="54"/>
      <c r="W312" s="54"/>
      <c r="X312" s="54"/>
      <c r="Y312" s="54"/>
      <c r="Z312" s="54"/>
    </row>
    <row r="313" spans="1:26" ht="14.25" customHeight="1">
      <c r="A313" s="24"/>
      <c r="B313" s="24"/>
      <c r="C313" s="24"/>
      <c r="D313" s="24"/>
      <c r="E313" s="24"/>
      <c r="F313" s="24"/>
      <c r="G313" s="24"/>
      <c r="H313" s="24"/>
      <c r="I313" s="24"/>
      <c r="J313" s="24"/>
      <c r="K313" s="24"/>
      <c r="L313" s="24"/>
      <c r="M313" s="24"/>
      <c r="N313" s="35"/>
      <c r="O313" s="24"/>
      <c r="P313" s="35"/>
      <c r="Q313" s="24"/>
      <c r="R313" s="24"/>
      <c r="S313" s="24"/>
      <c r="T313" s="24"/>
      <c r="U313" s="54"/>
      <c r="V313" s="54"/>
      <c r="W313" s="54"/>
      <c r="X313" s="54"/>
      <c r="Y313" s="54"/>
      <c r="Z313" s="54"/>
    </row>
    <row r="314" spans="1:26" ht="14.25" customHeight="1">
      <c r="A314" s="24"/>
      <c r="B314" s="24"/>
      <c r="C314" s="24"/>
      <c r="D314" s="24"/>
      <c r="E314" s="24"/>
      <c r="F314" s="24"/>
      <c r="G314" s="24"/>
      <c r="H314" s="24"/>
      <c r="I314" s="24"/>
      <c r="J314" s="24"/>
      <c r="K314" s="24"/>
      <c r="L314" s="24"/>
      <c r="M314" s="24"/>
      <c r="N314" s="35"/>
      <c r="O314" s="24"/>
      <c r="P314" s="35"/>
      <c r="Q314" s="24"/>
      <c r="R314" s="24"/>
      <c r="S314" s="24"/>
      <c r="T314" s="24"/>
      <c r="U314" s="54"/>
      <c r="V314" s="54"/>
      <c r="W314" s="54"/>
      <c r="X314" s="54"/>
      <c r="Y314" s="54"/>
      <c r="Z314" s="54"/>
    </row>
    <row r="315" spans="1:26" ht="14.25" customHeight="1">
      <c r="A315" s="24"/>
      <c r="B315" s="24"/>
      <c r="C315" s="24"/>
      <c r="D315" s="24"/>
      <c r="E315" s="24"/>
      <c r="F315" s="24"/>
      <c r="G315" s="24"/>
      <c r="H315" s="24"/>
      <c r="I315" s="24"/>
      <c r="J315" s="24"/>
      <c r="K315" s="24"/>
      <c r="L315" s="24"/>
      <c r="M315" s="24"/>
      <c r="N315" s="35"/>
      <c r="O315" s="24"/>
      <c r="P315" s="35"/>
      <c r="Q315" s="24"/>
      <c r="R315" s="24"/>
      <c r="S315" s="24"/>
      <c r="T315" s="24"/>
      <c r="U315" s="54"/>
      <c r="V315" s="54"/>
      <c r="W315" s="54"/>
      <c r="X315" s="54"/>
      <c r="Y315" s="54"/>
      <c r="Z315" s="54"/>
    </row>
    <row r="316" spans="1:26" ht="14.25" customHeight="1">
      <c r="A316" s="24"/>
      <c r="B316" s="24"/>
      <c r="C316" s="24"/>
      <c r="D316" s="24"/>
      <c r="E316" s="24"/>
      <c r="F316" s="24"/>
      <c r="G316" s="24"/>
      <c r="H316" s="24"/>
      <c r="I316" s="24"/>
      <c r="J316" s="24"/>
      <c r="K316" s="24"/>
      <c r="L316" s="24"/>
      <c r="M316" s="24"/>
      <c r="N316" s="35"/>
      <c r="O316" s="24"/>
      <c r="P316" s="35"/>
      <c r="Q316" s="24"/>
      <c r="R316" s="24"/>
      <c r="S316" s="24"/>
      <c r="T316" s="24"/>
      <c r="U316" s="54"/>
      <c r="V316" s="54"/>
      <c r="W316" s="54"/>
      <c r="X316" s="54"/>
      <c r="Y316" s="54"/>
      <c r="Z316" s="54"/>
    </row>
    <row r="317" spans="1:26" ht="14.25" customHeight="1">
      <c r="A317" s="24"/>
      <c r="B317" s="24"/>
      <c r="C317" s="24"/>
      <c r="D317" s="24"/>
      <c r="E317" s="24"/>
      <c r="F317" s="24"/>
      <c r="G317" s="24"/>
      <c r="H317" s="24"/>
      <c r="I317" s="24"/>
      <c r="J317" s="24"/>
      <c r="K317" s="24"/>
      <c r="L317" s="24"/>
      <c r="M317" s="24"/>
      <c r="N317" s="35"/>
      <c r="O317" s="24"/>
      <c r="P317" s="35"/>
      <c r="Q317" s="24"/>
      <c r="R317" s="24"/>
      <c r="S317" s="24"/>
      <c r="T317" s="24"/>
      <c r="U317" s="54"/>
      <c r="V317" s="54"/>
      <c r="W317" s="54"/>
      <c r="X317" s="54"/>
      <c r="Y317" s="54"/>
      <c r="Z317" s="54"/>
    </row>
    <row r="318" spans="1:26" ht="14.25" customHeight="1">
      <c r="A318" s="24"/>
      <c r="B318" s="24"/>
      <c r="C318" s="24"/>
      <c r="D318" s="24"/>
      <c r="E318" s="24"/>
      <c r="F318" s="24"/>
      <c r="G318" s="24"/>
      <c r="H318" s="24"/>
      <c r="I318" s="24"/>
      <c r="J318" s="24"/>
      <c r="K318" s="24"/>
      <c r="L318" s="24"/>
      <c r="M318" s="24"/>
      <c r="N318" s="35"/>
      <c r="O318" s="24"/>
      <c r="P318" s="35"/>
      <c r="Q318" s="24"/>
      <c r="R318" s="24"/>
      <c r="S318" s="24"/>
      <c r="T318" s="24"/>
      <c r="U318" s="54"/>
      <c r="V318" s="54"/>
      <c r="W318" s="54"/>
      <c r="X318" s="54"/>
      <c r="Y318" s="54"/>
      <c r="Z318" s="54"/>
    </row>
    <row r="319" spans="1:26" ht="14.25" customHeight="1">
      <c r="A319" s="24"/>
      <c r="B319" s="24"/>
      <c r="C319" s="24"/>
      <c r="D319" s="24"/>
      <c r="E319" s="24"/>
      <c r="F319" s="24"/>
      <c r="G319" s="24"/>
      <c r="H319" s="24"/>
      <c r="I319" s="24"/>
      <c r="J319" s="24"/>
      <c r="K319" s="24"/>
      <c r="L319" s="24"/>
      <c r="M319" s="24"/>
      <c r="N319" s="35"/>
      <c r="O319" s="24"/>
      <c r="P319" s="35"/>
      <c r="Q319" s="24"/>
      <c r="R319" s="24"/>
      <c r="S319" s="24"/>
      <c r="T319" s="24"/>
      <c r="U319" s="54"/>
      <c r="V319" s="54"/>
      <c r="W319" s="54"/>
      <c r="X319" s="54"/>
      <c r="Y319" s="54"/>
      <c r="Z319" s="54"/>
    </row>
    <row r="320" spans="1:26" ht="14.25" customHeight="1">
      <c r="A320" s="24"/>
      <c r="B320" s="24"/>
      <c r="C320" s="24"/>
      <c r="D320" s="24"/>
      <c r="E320" s="24"/>
      <c r="F320" s="24"/>
      <c r="G320" s="24"/>
      <c r="H320" s="24"/>
      <c r="I320" s="24"/>
      <c r="J320" s="24"/>
      <c r="K320" s="24"/>
      <c r="L320" s="24"/>
      <c r="M320" s="24"/>
      <c r="N320" s="35"/>
      <c r="O320" s="24"/>
      <c r="P320" s="35"/>
      <c r="Q320" s="24"/>
      <c r="R320" s="24"/>
      <c r="S320" s="24"/>
      <c r="T320" s="24"/>
      <c r="U320" s="54"/>
      <c r="V320" s="54"/>
      <c r="W320" s="54"/>
      <c r="X320" s="54"/>
      <c r="Y320" s="54"/>
      <c r="Z320" s="54"/>
    </row>
    <row r="321" spans="1:26" ht="14.25" customHeight="1">
      <c r="A321" s="24"/>
      <c r="B321" s="24"/>
      <c r="C321" s="24"/>
      <c r="D321" s="24"/>
      <c r="E321" s="24"/>
      <c r="F321" s="24"/>
      <c r="G321" s="24"/>
      <c r="H321" s="24"/>
      <c r="I321" s="24"/>
      <c r="J321" s="24"/>
      <c r="K321" s="24"/>
      <c r="L321" s="24"/>
      <c r="M321" s="24"/>
      <c r="N321" s="35"/>
      <c r="O321" s="24"/>
      <c r="P321" s="35"/>
      <c r="Q321" s="24"/>
      <c r="R321" s="24"/>
      <c r="S321" s="24"/>
      <c r="T321" s="24"/>
      <c r="U321" s="54"/>
      <c r="V321" s="54"/>
      <c r="W321" s="54"/>
      <c r="X321" s="54"/>
      <c r="Y321" s="54"/>
      <c r="Z321" s="54"/>
    </row>
    <row r="322" spans="1:26" ht="14.25" customHeight="1">
      <c r="A322" s="24"/>
      <c r="B322" s="24"/>
      <c r="C322" s="24"/>
      <c r="D322" s="24"/>
      <c r="E322" s="24"/>
      <c r="F322" s="24"/>
      <c r="G322" s="24"/>
      <c r="H322" s="24"/>
      <c r="I322" s="24"/>
      <c r="J322" s="24"/>
      <c r="K322" s="24"/>
      <c r="L322" s="24"/>
      <c r="M322" s="24"/>
      <c r="N322" s="35"/>
      <c r="O322" s="24"/>
      <c r="P322" s="35"/>
      <c r="Q322" s="24"/>
      <c r="R322" s="24"/>
      <c r="S322" s="24"/>
      <c r="T322" s="24"/>
      <c r="U322" s="54"/>
      <c r="V322" s="54"/>
      <c r="W322" s="54"/>
      <c r="X322" s="54"/>
      <c r="Y322" s="54"/>
      <c r="Z322" s="54"/>
    </row>
    <row r="323" spans="1:26" ht="14.25" customHeight="1">
      <c r="A323" s="24"/>
      <c r="B323" s="24"/>
      <c r="C323" s="24"/>
      <c r="D323" s="24"/>
      <c r="E323" s="24"/>
      <c r="F323" s="24"/>
      <c r="G323" s="24"/>
      <c r="H323" s="24"/>
      <c r="I323" s="24"/>
      <c r="J323" s="24"/>
      <c r="K323" s="24"/>
      <c r="L323" s="24"/>
      <c r="M323" s="24"/>
      <c r="N323" s="35"/>
      <c r="O323" s="24"/>
      <c r="P323" s="35"/>
      <c r="Q323" s="24"/>
      <c r="R323" s="24"/>
      <c r="S323" s="24"/>
      <c r="T323" s="24"/>
      <c r="U323" s="54"/>
      <c r="V323" s="54"/>
      <c r="W323" s="54"/>
      <c r="X323" s="54"/>
      <c r="Y323" s="54"/>
      <c r="Z323" s="54"/>
    </row>
    <row r="324" spans="1:26" ht="14.25" customHeight="1">
      <c r="A324" s="24"/>
      <c r="B324" s="24"/>
      <c r="C324" s="24"/>
      <c r="D324" s="24"/>
      <c r="E324" s="24"/>
      <c r="F324" s="24"/>
      <c r="G324" s="24"/>
      <c r="H324" s="24"/>
      <c r="I324" s="24"/>
      <c r="J324" s="24"/>
      <c r="K324" s="24"/>
      <c r="L324" s="24"/>
      <c r="M324" s="24"/>
      <c r="N324" s="35"/>
      <c r="O324" s="24"/>
      <c r="P324" s="35"/>
      <c r="Q324" s="24"/>
      <c r="R324" s="24"/>
      <c r="S324" s="24"/>
      <c r="T324" s="24"/>
      <c r="U324" s="54"/>
      <c r="V324" s="54"/>
      <c r="W324" s="54"/>
      <c r="X324" s="54"/>
      <c r="Y324" s="54"/>
      <c r="Z324" s="54"/>
    </row>
    <row r="325" spans="1:26" ht="14.25" customHeight="1">
      <c r="A325" s="24"/>
      <c r="B325" s="24"/>
      <c r="C325" s="24"/>
      <c r="D325" s="24"/>
      <c r="E325" s="24"/>
      <c r="F325" s="24"/>
      <c r="G325" s="24"/>
      <c r="H325" s="24"/>
      <c r="I325" s="24"/>
      <c r="J325" s="24"/>
      <c r="K325" s="24"/>
      <c r="L325" s="24"/>
      <c r="M325" s="24"/>
      <c r="N325" s="35"/>
      <c r="O325" s="24"/>
      <c r="P325" s="35"/>
      <c r="Q325" s="24"/>
      <c r="R325" s="24"/>
      <c r="S325" s="24"/>
      <c r="T325" s="24"/>
      <c r="U325" s="54"/>
      <c r="V325" s="54"/>
      <c r="W325" s="54"/>
      <c r="X325" s="54"/>
      <c r="Y325" s="54"/>
      <c r="Z325" s="54"/>
    </row>
    <row r="326" spans="1:26" ht="14.25" customHeight="1">
      <c r="A326" s="24"/>
      <c r="B326" s="24"/>
      <c r="C326" s="24"/>
      <c r="D326" s="24"/>
      <c r="E326" s="24"/>
      <c r="F326" s="24"/>
      <c r="G326" s="24"/>
      <c r="H326" s="24"/>
      <c r="I326" s="24"/>
      <c r="J326" s="24"/>
      <c r="K326" s="24"/>
      <c r="L326" s="24"/>
      <c r="M326" s="24"/>
      <c r="N326" s="35"/>
      <c r="O326" s="24"/>
      <c r="P326" s="35"/>
      <c r="Q326" s="24"/>
      <c r="R326" s="24"/>
      <c r="S326" s="24"/>
      <c r="T326" s="24"/>
      <c r="U326" s="54"/>
      <c r="V326" s="54"/>
      <c r="W326" s="54"/>
      <c r="X326" s="54"/>
      <c r="Y326" s="54"/>
      <c r="Z326" s="54"/>
    </row>
    <row r="327" spans="1:26" ht="14.25" customHeight="1">
      <c r="A327" s="24"/>
      <c r="B327" s="24"/>
      <c r="C327" s="24"/>
      <c r="D327" s="24"/>
      <c r="E327" s="24"/>
      <c r="F327" s="24"/>
      <c r="G327" s="24"/>
      <c r="H327" s="24"/>
      <c r="I327" s="24"/>
      <c r="J327" s="24"/>
      <c r="K327" s="24"/>
      <c r="L327" s="24"/>
      <c r="M327" s="24"/>
      <c r="N327" s="35"/>
      <c r="O327" s="24"/>
      <c r="P327" s="35"/>
      <c r="Q327" s="24"/>
      <c r="R327" s="24"/>
      <c r="S327" s="24"/>
      <c r="T327" s="24"/>
      <c r="U327" s="54"/>
      <c r="V327" s="54"/>
      <c r="W327" s="54"/>
      <c r="X327" s="54"/>
      <c r="Y327" s="54"/>
      <c r="Z327" s="54"/>
    </row>
    <row r="328" spans="1:26" ht="14.25" customHeight="1">
      <c r="A328" s="24"/>
      <c r="B328" s="24"/>
      <c r="C328" s="24"/>
      <c r="D328" s="24"/>
      <c r="E328" s="24"/>
      <c r="F328" s="24"/>
      <c r="G328" s="24"/>
      <c r="H328" s="24"/>
      <c r="I328" s="24"/>
      <c r="J328" s="24"/>
      <c r="K328" s="24"/>
      <c r="L328" s="24"/>
      <c r="M328" s="24"/>
      <c r="N328" s="35"/>
      <c r="O328" s="24"/>
      <c r="P328" s="35"/>
      <c r="Q328" s="24"/>
      <c r="R328" s="24"/>
      <c r="S328" s="24"/>
      <c r="T328" s="24"/>
      <c r="U328" s="54"/>
      <c r="V328" s="54"/>
      <c r="W328" s="54"/>
      <c r="X328" s="54"/>
      <c r="Y328" s="54"/>
      <c r="Z328" s="54"/>
    </row>
    <row r="329" spans="1:26" ht="14.25" customHeight="1">
      <c r="A329" s="24"/>
      <c r="B329" s="24"/>
      <c r="C329" s="24"/>
      <c r="D329" s="24"/>
      <c r="E329" s="24"/>
      <c r="F329" s="24"/>
      <c r="G329" s="24"/>
      <c r="H329" s="24"/>
      <c r="I329" s="24"/>
      <c r="J329" s="24"/>
      <c r="K329" s="24"/>
      <c r="L329" s="24"/>
      <c r="M329" s="24"/>
      <c r="N329" s="35"/>
      <c r="O329" s="24"/>
      <c r="P329" s="35"/>
      <c r="Q329" s="24"/>
      <c r="R329" s="24"/>
      <c r="S329" s="24"/>
      <c r="T329" s="24"/>
      <c r="U329" s="54"/>
      <c r="V329" s="54"/>
      <c r="W329" s="54"/>
      <c r="X329" s="54"/>
      <c r="Y329" s="54"/>
      <c r="Z329" s="54"/>
    </row>
    <row r="330" spans="1:26" ht="14.25" customHeight="1">
      <c r="A330" s="24"/>
      <c r="B330" s="24"/>
      <c r="C330" s="24"/>
      <c r="D330" s="24"/>
      <c r="E330" s="24"/>
      <c r="F330" s="24"/>
      <c r="G330" s="24"/>
      <c r="H330" s="24"/>
      <c r="I330" s="24"/>
      <c r="J330" s="24"/>
      <c r="K330" s="24"/>
      <c r="L330" s="24"/>
      <c r="M330" s="24"/>
      <c r="N330" s="35"/>
      <c r="O330" s="24"/>
      <c r="P330" s="35"/>
      <c r="Q330" s="24"/>
      <c r="R330" s="24"/>
      <c r="S330" s="24"/>
      <c r="T330" s="24"/>
      <c r="U330" s="54"/>
      <c r="V330" s="54"/>
      <c r="W330" s="54"/>
      <c r="X330" s="54"/>
      <c r="Y330" s="54"/>
      <c r="Z330" s="54"/>
    </row>
    <row r="331" spans="1:26" ht="14.25" customHeight="1">
      <c r="A331" s="24"/>
      <c r="B331" s="24"/>
      <c r="C331" s="24"/>
      <c r="D331" s="24"/>
      <c r="E331" s="24"/>
      <c r="F331" s="24"/>
      <c r="G331" s="24"/>
      <c r="H331" s="24"/>
      <c r="I331" s="24"/>
      <c r="J331" s="24"/>
      <c r="K331" s="24"/>
      <c r="L331" s="24"/>
      <c r="M331" s="24"/>
      <c r="N331" s="35"/>
      <c r="O331" s="24"/>
      <c r="P331" s="35"/>
      <c r="Q331" s="24"/>
      <c r="R331" s="24"/>
      <c r="S331" s="24"/>
      <c r="T331" s="24"/>
      <c r="U331" s="54"/>
      <c r="V331" s="54"/>
      <c r="W331" s="54"/>
      <c r="X331" s="54"/>
      <c r="Y331" s="54"/>
      <c r="Z331" s="54"/>
    </row>
    <row r="332" spans="1:26" ht="14.25" customHeight="1">
      <c r="A332" s="24"/>
      <c r="B332" s="24"/>
      <c r="C332" s="24"/>
      <c r="D332" s="24"/>
      <c r="E332" s="24"/>
      <c r="F332" s="24"/>
      <c r="G332" s="24"/>
      <c r="H332" s="24"/>
      <c r="I332" s="24"/>
      <c r="J332" s="24"/>
      <c r="K332" s="24"/>
      <c r="L332" s="24"/>
      <c r="M332" s="24"/>
      <c r="N332" s="35"/>
      <c r="O332" s="24"/>
      <c r="P332" s="35"/>
      <c r="Q332" s="24"/>
      <c r="R332" s="24"/>
      <c r="S332" s="24"/>
      <c r="T332" s="24"/>
      <c r="U332" s="54"/>
      <c r="V332" s="54"/>
      <c r="W332" s="54"/>
      <c r="X332" s="54"/>
      <c r="Y332" s="54"/>
      <c r="Z332" s="54"/>
    </row>
    <row r="333" spans="1:26" ht="14.25" customHeight="1">
      <c r="A333" s="24"/>
      <c r="B333" s="24"/>
      <c r="C333" s="24"/>
      <c r="D333" s="24"/>
      <c r="E333" s="24"/>
      <c r="F333" s="24"/>
      <c r="G333" s="24"/>
      <c r="H333" s="24"/>
      <c r="I333" s="24"/>
      <c r="J333" s="24"/>
      <c r="K333" s="24"/>
      <c r="L333" s="24"/>
      <c r="M333" s="24"/>
      <c r="N333" s="35"/>
      <c r="O333" s="24"/>
      <c r="P333" s="35"/>
      <c r="Q333" s="24"/>
      <c r="R333" s="24"/>
      <c r="S333" s="24"/>
      <c r="T333" s="24"/>
      <c r="U333" s="54"/>
      <c r="V333" s="54"/>
      <c r="W333" s="54"/>
      <c r="X333" s="54"/>
      <c r="Y333" s="54"/>
      <c r="Z333" s="54"/>
    </row>
    <row r="334" spans="1:26" ht="14.25" customHeight="1">
      <c r="A334" s="24"/>
      <c r="B334" s="24"/>
      <c r="C334" s="24"/>
      <c r="D334" s="24"/>
      <c r="E334" s="24"/>
      <c r="F334" s="24"/>
      <c r="G334" s="24"/>
      <c r="H334" s="24"/>
      <c r="I334" s="24"/>
      <c r="J334" s="24"/>
      <c r="K334" s="24"/>
      <c r="L334" s="24"/>
      <c r="M334" s="24"/>
      <c r="N334" s="35"/>
      <c r="O334" s="24"/>
      <c r="P334" s="35"/>
      <c r="Q334" s="24"/>
      <c r="R334" s="24"/>
      <c r="S334" s="24"/>
      <c r="T334" s="24"/>
      <c r="U334" s="54"/>
      <c r="V334" s="54"/>
      <c r="W334" s="54"/>
      <c r="X334" s="54"/>
      <c r="Y334" s="54"/>
      <c r="Z334" s="54"/>
    </row>
    <row r="335" spans="1:26" ht="14.25" customHeight="1">
      <c r="A335" s="24"/>
      <c r="B335" s="24"/>
      <c r="C335" s="24"/>
      <c r="D335" s="24"/>
      <c r="E335" s="24"/>
      <c r="F335" s="24"/>
      <c r="G335" s="24"/>
      <c r="H335" s="24"/>
      <c r="I335" s="24"/>
      <c r="J335" s="24"/>
      <c r="K335" s="24"/>
      <c r="L335" s="24"/>
      <c r="M335" s="24"/>
      <c r="N335" s="35"/>
      <c r="O335" s="24"/>
      <c r="P335" s="35"/>
      <c r="Q335" s="24"/>
      <c r="R335" s="24"/>
      <c r="S335" s="24"/>
      <c r="T335" s="24"/>
      <c r="U335" s="54"/>
      <c r="V335" s="54"/>
      <c r="W335" s="54"/>
      <c r="X335" s="54"/>
      <c r="Y335" s="54"/>
      <c r="Z335" s="54"/>
    </row>
    <row r="336" spans="1:26" ht="14.25" customHeight="1">
      <c r="A336" s="24"/>
      <c r="B336" s="24"/>
      <c r="C336" s="24"/>
      <c r="D336" s="24"/>
      <c r="E336" s="24"/>
      <c r="F336" s="24"/>
      <c r="G336" s="24"/>
      <c r="H336" s="24"/>
      <c r="I336" s="24"/>
      <c r="J336" s="24"/>
      <c r="K336" s="24"/>
      <c r="L336" s="24"/>
      <c r="M336" s="24"/>
      <c r="N336" s="35"/>
      <c r="O336" s="24"/>
      <c r="P336" s="35"/>
      <c r="Q336" s="24"/>
      <c r="R336" s="24"/>
      <c r="S336" s="24"/>
      <c r="T336" s="24"/>
      <c r="U336" s="54"/>
      <c r="V336" s="54"/>
      <c r="W336" s="54"/>
      <c r="X336" s="54"/>
      <c r="Y336" s="54"/>
      <c r="Z336" s="54"/>
    </row>
    <row r="337" spans="1:26" ht="14.25" customHeight="1">
      <c r="A337" s="24"/>
      <c r="B337" s="24"/>
      <c r="C337" s="24"/>
      <c r="D337" s="24"/>
      <c r="E337" s="24"/>
      <c r="F337" s="24"/>
      <c r="G337" s="24"/>
      <c r="H337" s="24"/>
      <c r="I337" s="24"/>
      <c r="J337" s="24"/>
      <c r="K337" s="24"/>
      <c r="L337" s="24"/>
      <c r="M337" s="24"/>
      <c r="N337" s="35"/>
      <c r="O337" s="24"/>
      <c r="P337" s="35"/>
      <c r="Q337" s="24"/>
      <c r="R337" s="24"/>
      <c r="S337" s="24"/>
      <c r="T337" s="24"/>
      <c r="U337" s="54"/>
      <c r="V337" s="54"/>
      <c r="W337" s="54"/>
      <c r="X337" s="54"/>
      <c r="Y337" s="54"/>
      <c r="Z337" s="54"/>
    </row>
    <row r="338" spans="1:26" ht="14.25" customHeight="1">
      <c r="A338" s="24"/>
      <c r="B338" s="24"/>
      <c r="C338" s="24"/>
      <c r="D338" s="24"/>
      <c r="E338" s="24"/>
      <c r="F338" s="24"/>
      <c r="G338" s="24"/>
      <c r="H338" s="24"/>
      <c r="I338" s="24"/>
      <c r="J338" s="24"/>
      <c r="K338" s="24"/>
      <c r="L338" s="24"/>
      <c r="M338" s="24"/>
      <c r="N338" s="35"/>
      <c r="O338" s="24"/>
      <c r="P338" s="35"/>
      <c r="Q338" s="24"/>
      <c r="R338" s="24"/>
      <c r="S338" s="24"/>
      <c r="T338" s="24"/>
      <c r="U338" s="54"/>
      <c r="V338" s="54"/>
      <c r="W338" s="54"/>
      <c r="X338" s="54"/>
      <c r="Y338" s="54"/>
      <c r="Z338" s="54"/>
    </row>
    <row r="339" spans="1:26" ht="14.25" customHeight="1">
      <c r="A339" s="24"/>
      <c r="B339" s="24"/>
      <c r="C339" s="24"/>
      <c r="D339" s="24"/>
      <c r="E339" s="24"/>
      <c r="F339" s="24"/>
      <c r="G339" s="24"/>
      <c r="H339" s="24"/>
      <c r="I339" s="24"/>
      <c r="J339" s="24"/>
      <c r="K339" s="24"/>
      <c r="L339" s="24"/>
      <c r="M339" s="24"/>
      <c r="N339" s="35"/>
      <c r="O339" s="24"/>
      <c r="P339" s="35"/>
      <c r="Q339" s="24"/>
      <c r="R339" s="24"/>
      <c r="S339" s="24"/>
      <c r="T339" s="24"/>
      <c r="U339" s="54"/>
      <c r="V339" s="54"/>
      <c r="W339" s="54"/>
      <c r="X339" s="54"/>
      <c r="Y339" s="54"/>
      <c r="Z339" s="54"/>
    </row>
    <row r="340" spans="1:26" ht="14.25" customHeight="1">
      <c r="A340" s="24"/>
      <c r="B340" s="24"/>
      <c r="C340" s="24"/>
      <c r="D340" s="24"/>
      <c r="E340" s="24"/>
      <c r="F340" s="24"/>
      <c r="G340" s="24"/>
      <c r="H340" s="24"/>
      <c r="I340" s="24"/>
      <c r="J340" s="24"/>
      <c r="K340" s="24"/>
      <c r="L340" s="24"/>
      <c r="M340" s="24"/>
      <c r="N340" s="35"/>
      <c r="O340" s="24"/>
      <c r="P340" s="35"/>
      <c r="Q340" s="24"/>
      <c r="R340" s="24"/>
      <c r="S340" s="24"/>
      <c r="T340" s="24"/>
      <c r="U340" s="54"/>
      <c r="V340" s="54"/>
      <c r="W340" s="54"/>
      <c r="X340" s="54"/>
      <c r="Y340" s="54"/>
      <c r="Z340" s="54"/>
    </row>
    <row r="341" spans="1:26" ht="14.25" customHeight="1">
      <c r="A341" s="24"/>
      <c r="B341" s="24"/>
      <c r="C341" s="24"/>
      <c r="D341" s="24"/>
      <c r="E341" s="24"/>
      <c r="F341" s="24"/>
      <c r="G341" s="24"/>
      <c r="H341" s="24"/>
      <c r="I341" s="24"/>
      <c r="J341" s="24"/>
      <c r="K341" s="24"/>
      <c r="L341" s="24"/>
      <c r="M341" s="24"/>
      <c r="N341" s="35"/>
      <c r="O341" s="24"/>
      <c r="P341" s="35"/>
      <c r="Q341" s="24"/>
      <c r="R341" s="24"/>
      <c r="S341" s="24"/>
      <c r="T341" s="24"/>
      <c r="U341" s="54"/>
      <c r="V341" s="54"/>
      <c r="W341" s="54"/>
      <c r="X341" s="54"/>
      <c r="Y341" s="54"/>
      <c r="Z341" s="54"/>
    </row>
    <row r="342" spans="1:26" ht="14.25" customHeight="1">
      <c r="A342" s="24"/>
      <c r="B342" s="24"/>
      <c r="C342" s="24"/>
      <c r="D342" s="24"/>
      <c r="E342" s="24"/>
      <c r="F342" s="24"/>
      <c r="G342" s="24"/>
      <c r="H342" s="24"/>
      <c r="I342" s="24"/>
      <c r="J342" s="24"/>
      <c r="K342" s="24"/>
      <c r="L342" s="24"/>
      <c r="M342" s="24"/>
      <c r="N342" s="35"/>
      <c r="O342" s="24"/>
      <c r="P342" s="35"/>
      <c r="Q342" s="24"/>
      <c r="R342" s="24"/>
      <c r="S342" s="24"/>
      <c r="T342" s="24"/>
      <c r="U342" s="54"/>
      <c r="V342" s="54"/>
      <c r="W342" s="54"/>
      <c r="X342" s="54"/>
      <c r="Y342" s="54"/>
      <c r="Z342" s="54"/>
    </row>
    <row r="343" spans="1:26" ht="14.25" customHeight="1">
      <c r="A343" s="24"/>
      <c r="B343" s="24"/>
      <c r="C343" s="24"/>
      <c r="D343" s="24"/>
      <c r="E343" s="24"/>
      <c r="F343" s="24"/>
      <c r="G343" s="24"/>
      <c r="H343" s="24"/>
      <c r="I343" s="24"/>
      <c r="J343" s="24"/>
      <c r="K343" s="24"/>
      <c r="L343" s="24"/>
      <c r="M343" s="24"/>
      <c r="N343" s="35"/>
      <c r="O343" s="24"/>
      <c r="P343" s="35"/>
      <c r="Q343" s="24"/>
      <c r="R343" s="24"/>
      <c r="S343" s="24"/>
      <c r="T343" s="24"/>
      <c r="U343" s="54"/>
      <c r="V343" s="54"/>
      <c r="W343" s="54"/>
      <c r="X343" s="54"/>
      <c r="Y343" s="54"/>
      <c r="Z343" s="54"/>
    </row>
    <row r="344" spans="1:26" ht="14.25" customHeight="1">
      <c r="A344" s="24"/>
      <c r="B344" s="24"/>
      <c r="C344" s="24"/>
      <c r="D344" s="24"/>
      <c r="E344" s="24"/>
      <c r="F344" s="24"/>
      <c r="G344" s="24"/>
      <c r="H344" s="24"/>
      <c r="I344" s="24"/>
      <c r="J344" s="24"/>
      <c r="K344" s="24"/>
      <c r="L344" s="24"/>
      <c r="M344" s="24"/>
      <c r="N344" s="35"/>
      <c r="O344" s="24"/>
      <c r="P344" s="35"/>
      <c r="Q344" s="24"/>
      <c r="R344" s="24"/>
      <c r="S344" s="24"/>
      <c r="T344" s="24"/>
      <c r="U344" s="54"/>
      <c r="V344" s="54"/>
      <c r="W344" s="54"/>
      <c r="X344" s="54"/>
      <c r="Y344" s="54"/>
      <c r="Z344" s="54"/>
    </row>
    <row r="345" spans="1:26" ht="14.25" customHeight="1">
      <c r="A345" s="24"/>
      <c r="B345" s="24"/>
      <c r="C345" s="24"/>
      <c r="D345" s="24"/>
      <c r="E345" s="24"/>
      <c r="F345" s="24"/>
      <c r="G345" s="24"/>
      <c r="H345" s="24"/>
      <c r="I345" s="24"/>
      <c r="J345" s="24"/>
      <c r="K345" s="24"/>
      <c r="L345" s="24"/>
      <c r="M345" s="24"/>
      <c r="N345" s="35"/>
      <c r="O345" s="24"/>
      <c r="P345" s="35"/>
      <c r="Q345" s="24"/>
      <c r="R345" s="24"/>
      <c r="S345" s="24"/>
      <c r="T345" s="24"/>
      <c r="U345" s="54"/>
      <c r="V345" s="54"/>
      <c r="W345" s="54"/>
      <c r="X345" s="54"/>
      <c r="Y345" s="54"/>
      <c r="Z345" s="54"/>
    </row>
    <row r="346" spans="1:26" ht="14.25" customHeight="1">
      <c r="A346" s="24"/>
      <c r="B346" s="24"/>
      <c r="C346" s="24"/>
      <c r="D346" s="24"/>
      <c r="E346" s="24"/>
      <c r="F346" s="24"/>
      <c r="G346" s="24"/>
      <c r="H346" s="24"/>
      <c r="I346" s="24"/>
      <c r="J346" s="24"/>
      <c r="K346" s="24"/>
      <c r="L346" s="24"/>
      <c r="M346" s="24"/>
      <c r="N346" s="35"/>
      <c r="O346" s="24"/>
      <c r="P346" s="35"/>
      <c r="Q346" s="24"/>
      <c r="R346" s="24"/>
      <c r="S346" s="24"/>
      <c r="T346" s="24"/>
      <c r="U346" s="54"/>
      <c r="V346" s="54"/>
      <c r="W346" s="54"/>
      <c r="X346" s="54"/>
      <c r="Y346" s="54"/>
      <c r="Z346" s="54"/>
    </row>
    <row r="347" spans="1:26" ht="14.25" customHeight="1">
      <c r="A347" s="24"/>
      <c r="B347" s="24"/>
      <c r="C347" s="24"/>
      <c r="D347" s="24"/>
      <c r="E347" s="24"/>
      <c r="F347" s="24"/>
      <c r="G347" s="24"/>
      <c r="H347" s="24"/>
      <c r="I347" s="24"/>
      <c r="J347" s="24"/>
      <c r="K347" s="24"/>
      <c r="L347" s="24"/>
      <c r="M347" s="24"/>
      <c r="N347" s="35"/>
      <c r="O347" s="24"/>
      <c r="P347" s="35"/>
      <c r="Q347" s="24"/>
      <c r="R347" s="24"/>
      <c r="S347" s="24"/>
      <c r="T347" s="24"/>
      <c r="U347" s="54"/>
      <c r="V347" s="54"/>
      <c r="W347" s="54"/>
      <c r="X347" s="54"/>
      <c r="Y347" s="54"/>
      <c r="Z347" s="54"/>
    </row>
    <row r="348" spans="1:26" ht="14.25" customHeight="1">
      <c r="A348" s="24"/>
      <c r="B348" s="24"/>
      <c r="C348" s="24"/>
      <c r="D348" s="24"/>
      <c r="E348" s="24"/>
      <c r="F348" s="24"/>
      <c r="G348" s="24"/>
      <c r="H348" s="24"/>
      <c r="I348" s="24"/>
      <c r="J348" s="24"/>
      <c r="K348" s="24"/>
      <c r="L348" s="24"/>
      <c r="M348" s="24"/>
      <c r="N348" s="35"/>
      <c r="O348" s="24"/>
      <c r="P348" s="35"/>
      <c r="Q348" s="24"/>
      <c r="R348" s="24"/>
      <c r="S348" s="24"/>
      <c r="T348" s="24"/>
      <c r="U348" s="54"/>
      <c r="V348" s="54"/>
      <c r="W348" s="54"/>
      <c r="X348" s="54"/>
      <c r="Y348" s="54"/>
      <c r="Z348" s="54"/>
    </row>
    <row r="349" spans="1:26" ht="14.25" customHeight="1">
      <c r="A349" s="24"/>
      <c r="B349" s="24"/>
      <c r="C349" s="24"/>
      <c r="D349" s="24"/>
      <c r="E349" s="24"/>
      <c r="F349" s="24"/>
      <c r="G349" s="24"/>
      <c r="H349" s="24"/>
      <c r="I349" s="24"/>
      <c r="J349" s="24"/>
      <c r="K349" s="24"/>
      <c r="L349" s="24"/>
      <c r="M349" s="24"/>
      <c r="N349" s="35"/>
      <c r="O349" s="24"/>
      <c r="P349" s="35"/>
      <c r="Q349" s="24"/>
      <c r="R349" s="24"/>
      <c r="S349" s="24"/>
      <c r="T349" s="24"/>
      <c r="U349" s="54"/>
      <c r="V349" s="54"/>
      <c r="W349" s="54"/>
      <c r="X349" s="54"/>
      <c r="Y349" s="54"/>
      <c r="Z349" s="54"/>
    </row>
    <row r="350" spans="1:26" ht="14.25" customHeight="1">
      <c r="A350" s="24"/>
      <c r="B350" s="24"/>
      <c r="C350" s="24"/>
      <c r="D350" s="24"/>
      <c r="E350" s="24"/>
      <c r="F350" s="24"/>
      <c r="G350" s="24"/>
      <c r="H350" s="24"/>
      <c r="I350" s="24"/>
      <c r="J350" s="24"/>
      <c r="K350" s="24"/>
      <c r="L350" s="24"/>
      <c r="M350" s="24"/>
      <c r="N350" s="35"/>
      <c r="O350" s="24"/>
      <c r="P350" s="35"/>
      <c r="Q350" s="24"/>
      <c r="R350" s="24"/>
      <c r="S350" s="24"/>
      <c r="T350" s="24"/>
      <c r="U350" s="54"/>
      <c r="V350" s="54"/>
      <c r="W350" s="54"/>
      <c r="X350" s="54"/>
      <c r="Y350" s="54"/>
      <c r="Z350" s="54"/>
    </row>
    <row r="351" spans="1:26" ht="14.25" customHeight="1">
      <c r="A351" s="24"/>
      <c r="B351" s="24"/>
      <c r="C351" s="24"/>
      <c r="D351" s="24"/>
      <c r="E351" s="24"/>
      <c r="F351" s="24"/>
      <c r="G351" s="24"/>
      <c r="H351" s="24"/>
      <c r="I351" s="24"/>
      <c r="J351" s="24"/>
      <c r="K351" s="24"/>
      <c r="L351" s="24"/>
      <c r="M351" s="24"/>
      <c r="N351" s="35"/>
      <c r="O351" s="24"/>
      <c r="P351" s="35"/>
      <c r="Q351" s="24"/>
      <c r="R351" s="24"/>
      <c r="S351" s="24"/>
      <c r="T351" s="24"/>
      <c r="U351" s="54"/>
      <c r="V351" s="54"/>
      <c r="W351" s="54"/>
      <c r="X351" s="54"/>
      <c r="Y351" s="54"/>
      <c r="Z351" s="54"/>
    </row>
    <row r="352" spans="1:26" ht="14.25" customHeight="1">
      <c r="A352" s="24"/>
      <c r="B352" s="24"/>
      <c r="C352" s="24"/>
      <c r="D352" s="24"/>
      <c r="E352" s="24"/>
      <c r="F352" s="24"/>
      <c r="G352" s="24"/>
      <c r="H352" s="24"/>
      <c r="I352" s="24"/>
      <c r="J352" s="24"/>
      <c r="K352" s="24"/>
      <c r="L352" s="24"/>
      <c r="M352" s="24"/>
      <c r="N352" s="35"/>
      <c r="O352" s="24"/>
      <c r="P352" s="35"/>
      <c r="Q352" s="24"/>
      <c r="R352" s="24"/>
      <c r="S352" s="24"/>
      <c r="T352" s="24"/>
      <c r="U352" s="54"/>
      <c r="V352" s="54"/>
      <c r="W352" s="54"/>
      <c r="X352" s="54"/>
      <c r="Y352" s="54"/>
      <c r="Z352" s="54"/>
    </row>
    <row r="353" spans="1:26" ht="14.25" customHeight="1">
      <c r="A353" s="24"/>
      <c r="B353" s="24"/>
      <c r="C353" s="24"/>
      <c r="D353" s="24"/>
      <c r="E353" s="24"/>
      <c r="F353" s="24"/>
      <c r="G353" s="24"/>
      <c r="H353" s="24"/>
      <c r="I353" s="24"/>
      <c r="J353" s="24"/>
      <c r="K353" s="24"/>
      <c r="L353" s="24"/>
      <c r="M353" s="24"/>
      <c r="N353" s="35"/>
      <c r="O353" s="24"/>
      <c r="P353" s="35"/>
      <c r="Q353" s="24"/>
      <c r="R353" s="24"/>
      <c r="S353" s="24"/>
      <c r="T353" s="24"/>
      <c r="U353" s="54"/>
      <c r="V353" s="54"/>
      <c r="W353" s="54"/>
      <c r="X353" s="54"/>
      <c r="Y353" s="54"/>
      <c r="Z353" s="54"/>
    </row>
    <row r="354" spans="1:26" ht="14.25" customHeight="1">
      <c r="A354" s="24"/>
      <c r="B354" s="24"/>
      <c r="C354" s="24"/>
      <c r="D354" s="24"/>
      <c r="E354" s="24"/>
      <c r="F354" s="24"/>
      <c r="G354" s="24"/>
      <c r="H354" s="24"/>
      <c r="I354" s="24"/>
      <c r="J354" s="24"/>
      <c r="K354" s="24"/>
      <c r="L354" s="24"/>
      <c r="M354" s="24"/>
      <c r="N354" s="35"/>
      <c r="O354" s="24"/>
      <c r="P354" s="35"/>
      <c r="Q354" s="24"/>
      <c r="R354" s="24"/>
      <c r="S354" s="24"/>
      <c r="T354" s="24"/>
      <c r="U354" s="54"/>
      <c r="V354" s="54"/>
      <c r="W354" s="54"/>
      <c r="X354" s="54"/>
      <c r="Y354" s="54"/>
      <c r="Z354" s="54"/>
    </row>
    <row r="355" spans="1:26" ht="14.25" customHeight="1">
      <c r="A355" s="24"/>
      <c r="B355" s="24"/>
      <c r="C355" s="24"/>
      <c r="D355" s="24"/>
      <c r="E355" s="24"/>
      <c r="F355" s="24"/>
      <c r="G355" s="24"/>
      <c r="H355" s="24"/>
      <c r="I355" s="24"/>
      <c r="J355" s="24"/>
      <c r="K355" s="24"/>
      <c r="L355" s="24"/>
      <c r="M355" s="24"/>
      <c r="N355" s="35"/>
      <c r="O355" s="24"/>
      <c r="P355" s="35"/>
      <c r="Q355" s="24"/>
      <c r="R355" s="24"/>
      <c r="S355" s="24"/>
      <c r="T355" s="24"/>
      <c r="U355" s="54"/>
      <c r="V355" s="54"/>
      <c r="W355" s="54"/>
      <c r="X355" s="54"/>
      <c r="Y355" s="54"/>
      <c r="Z355" s="54"/>
    </row>
    <row r="356" spans="1:26" ht="14.25" customHeight="1">
      <c r="A356" s="24"/>
      <c r="B356" s="24"/>
      <c r="C356" s="24"/>
      <c r="D356" s="24"/>
      <c r="E356" s="24"/>
      <c r="F356" s="24"/>
      <c r="G356" s="24"/>
      <c r="H356" s="24"/>
      <c r="I356" s="24"/>
      <c r="J356" s="24"/>
      <c r="K356" s="24"/>
      <c r="L356" s="24"/>
      <c r="M356" s="24"/>
      <c r="N356" s="35"/>
      <c r="O356" s="24"/>
      <c r="P356" s="35"/>
      <c r="Q356" s="24"/>
      <c r="R356" s="24"/>
      <c r="S356" s="24"/>
      <c r="T356" s="24"/>
      <c r="U356" s="54"/>
      <c r="V356" s="54"/>
      <c r="W356" s="54"/>
      <c r="X356" s="54"/>
      <c r="Y356" s="54"/>
      <c r="Z356" s="54"/>
    </row>
    <row r="357" spans="1:26" ht="14.25" customHeight="1">
      <c r="A357" s="24"/>
      <c r="B357" s="24"/>
      <c r="C357" s="24"/>
      <c r="D357" s="24"/>
      <c r="E357" s="24"/>
      <c r="F357" s="24"/>
      <c r="G357" s="24"/>
      <c r="H357" s="24"/>
      <c r="I357" s="24"/>
      <c r="J357" s="24"/>
      <c r="K357" s="24"/>
      <c r="L357" s="24"/>
      <c r="M357" s="24"/>
      <c r="N357" s="35"/>
      <c r="O357" s="24"/>
      <c r="P357" s="35"/>
      <c r="Q357" s="24"/>
      <c r="R357" s="24"/>
      <c r="S357" s="24"/>
      <c r="T357" s="24"/>
      <c r="U357" s="54"/>
      <c r="V357" s="54"/>
      <c r="W357" s="54"/>
      <c r="X357" s="54"/>
      <c r="Y357" s="54"/>
      <c r="Z357" s="54"/>
    </row>
    <row r="358" spans="1:26" ht="14.25" customHeight="1">
      <c r="A358" s="24"/>
      <c r="B358" s="24"/>
      <c r="C358" s="24"/>
      <c r="D358" s="24"/>
      <c r="E358" s="24"/>
      <c r="F358" s="24"/>
      <c r="G358" s="24"/>
      <c r="H358" s="24"/>
      <c r="I358" s="24"/>
      <c r="J358" s="24"/>
      <c r="K358" s="24"/>
      <c r="L358" s="24"/>
      <c r="M358" s="24"/>
      <c r="N358" s="35"/>
      <c r="O358" s="24"/>
      <c r="P358" s="35"/>
      <c r="Q358" s="24"/>
      <c r="R358" s="24"/>
      <c r="S358" s="24"/>
      <c r="T358" s="24"/>
      <c r="U358" s="54"/>
      <c r="V358" s="54"/>
      <c r="W358" s="54"/>
      <c r="X358" s="54"/>
      <c r="Y358" s="54"/>
      <c r="Z358" s="54"/>
    </row>
    <row r="359" spans="1:26" ht="14.25" customHeight="1">
      <c r="A359" s="24"/>
      <c r="B359" s="24"/>
      <c r="C359" s="24"/>
      <c r="D359" s="24"/>
      <c r="E359" s="24"/>
      <c r="F359" s="24"/>
      <c r="G359" s="24"/>
      <c r="H359" s="24"/>
      <c r="I359" s="24"/>
      <c r="J359" s="24"/>
      <c r="K359" s="24"/>
      <c r="L359" s="24"/>
      <c r="M359" s="24"/>
      <c r="N359" s="35"/>
      <c r="O359" s="24"/>
      <c r="P359" s="35"/>
      <c r="Q359" s="24"/>
      <c r="R359" s="24"/>
      <c r="S359" s="24"/>
      <c r="T359" s="24"/>
      <c r="U359" s="54"/>
      <c r="V359" s="54"/>
      <c r="W359" s="54"/>
      <c r="X359" s="54"/>
      <c r="Y359" s="54"/>
      <c r="Z359" s="54"/>
    </row>
    <row r="360" spans="1:26" ht="14.25" customHeight="1">
      <c r="A360" s="24"/>
      <c r="B360" s="24"/>
      <c r="C360" s="24"/>
      <c r="D360" s="24"/>
      <c r="E360" s="24"/>
      <c r="F360" s="24"/>
      <c r="G360" s="24"/>
      <c r="H360" s="24"/>
      <c r="I360" s="24"/>
      <c r="J360" s="24"/>
      <c r="K360" s="24"/>
      <c r="L360" s="24"/>
      <c r="M360" s="24"/>
      <c r="N360" s="35"/>
      <c r="O360" s="24"/>
      <c r="P360" s="35"/>
      <c r="Q360" s="24"/>
      <c r="R360" s="24"/>
      <c r="S360" s="24"/>
      <c r="T360" s="24"/>
      <c r="U360" s="54"/>
      <c r="V360" s="54"/>
      <c r="W360" s="54"/>
      <c r="X360" s="54"/>
      <c r="Y360" s="54"/>
      <c r="Z360" s="54"/>
    </row>
    <row r="361" spans="1:26" ht="14.25" customHeight="1">
      <c r="A361" s="24"/>
      <c r="B361" s="24"/>
      <c r="C361" s="24"/>
      <c r="D361" s="24"/>
      <c r="E361" s="24"/>
      <c r="F361" s="24"/>
      <c r="G361" s="24"/>
      <c r="H361" s="24"/>
      <c r="I361" s="24"/>
      <c r="J361" s="24"/>
      <c r="K361" s="24"/>
      <c r="L361" s="24"/>
      <c r="M361" s="24"/>
      <c r="N361" s="35"/>
      <c r="O361" s="24"/>
      <c r="P361" s="35"/>
      <c r="Q361" s="24"/>
      <c r="R361" s="24"/>
      <c r="S361" s="24"/>
      <c r="T361" s="24"/>
      <c r="U361" s="54"/>
      <c r="V361" s="54"/>
      <c r="W361" s="54"/>
      <c r="X361" s="54"/>
      <c r="Y361" s="54"/>
      <c r="Z361" s="54"/>
    </row>
    <row r="362" spans="1:26" ht="14.25" customHeight="1">
      <c r="A362" s="24"/>
      <c r="B362" s="24"/>
      <c r="C362" s="24"/>
      <c r="D362" s="24"/>
      <c r="E362" s="24"/>
      <c r="F362" s="24"/>
      <c r="G362" s="24"/>
      <c r="H362" s="24"/>
      <c r="I362" s="24"/>
      <c r="J362" s="24"/>
      <c r="K362" s="24"/>
      <c r="L362" s="24"/>
      <c r="M362" s="24"/>
      <c r="N362" s="35"/>
      <c r="O362" s="24"/>
      <c r="P362" s="35"/>
      <c r="Q362" s="24"/>
      <c r="R362" s="24"/>
      <c r="S362" s="24"/>
      <c r="T362" s="24"/>
      <c r="U362" s="54"/>
      <c r="V362" s="54"/>
      <c r="W362" s="54"/>
      <c r="X362" s="54"/>
      <c r="Y362" s="54"/>
      <c r="Z362" s="54"/>
    </row>
    <row r="363" spans="1:26" ht="14.25" customHeight="1">
      <c r="A363" s="24"/>
      <c r="B363" s="24"/>
      <c r="C363" s="24"/>
      <c r="D363" s="24"/>
      <c r="E363" s="24"/>
      <c r="F363" s="24"/>
      <c r="G363" s="24"/>
      <c r="H363" s="24"/>
      <c r="I363" s="24"/>
      <c r="J363" s="24"/>
      <c r="K363" s="24"/>
      <c r="L363" s="24"/>
      <c r="M363" s="24"/>
      <c r="N363" s="35"/>
      <c r="O363" s="24"/>
      <c r="P363" s="35"/>
      <c r="Q363" s="24"/>
      <c r="R363" s="24"/>
      <c r="S363" s="24"/>
      <c r="T363" s="24"/>
      <c r="U363" s="54"/>
      <c r="V363" s="54"/>
      <c r="W363" s="54"/>
      <c r="X363" s="54"/>
      <c r="Y363" s="54"/>
      <c r="Z363" s="54"/>
    </row>
    <row r="364" spans="1:26" ht="14.25" customHeight="1">
      <c r="A364" s="24"/>
      <c r="B364" s="24"/>
      <c r="C364" s="24"/>
      <c r="D364" s="24"/>
      <c r="E364" s="24"/>
      <c r="F364" s="24"/>
      <c r="G364" s="24"/>
      <c r="H364" s="24"/>
      <c r="I364" s="24"/>
      <c r="J364" s="24"/>
      <c r="K364" s="24"/>
      <c r="L364" s="24"/>
      <c r="M364" s="24"/>
      <c r="N364" s="35"/>
      <c r="O364" s="24"/>
      <c r="P364" s="35"/>
      <c r="Q364" s="24"/>
      <c r="R364" s="24"/>
      <c r="S364" s="24"/>
      <c r="T364" s="24"/>
      <c r="U364" s="54"/>
      <c r="V364" s="54"/>
      <c r="W364" s="54"/>
      <c r="X364" s="54"/>
      <c r="Y364" s="54"/>
      <c r="Z364" s="54"/>
    </row>
    <row r="365" spans="1:26" ht="14.25" customHeight="1">
      <c r="A365" s="24"/>
      <c r="B365" s="24"/>
      <c r="C365" s="24"/>
      <c r="D365" s="24"/>
      <c r="E365" s="24"/>
      <c r="F365" s="24"/>
      <c r="G365" s="24"/>
      <c r="H365" s="24"/>
      <c r="I365" s="24"/>
      <c r="J365" s="24"/>
      <c r="K365" s="24"/>
      <c r="L365" s="24"/>
      <c r="M365" s="24"/>
      <c r="N365" s="35"/>
      <c r="O365" s="24"/>
      <c r="P365" s="35"/>
      <c r="Q365" s="24"/>
      <c r="R365" s="24"/>
      <c r="S365" s="24"/>
      <c r="T365" s="24"/>
      <c r="U365" s="54"/>
      <c r="V365" s="54"/>
      <c r="W365" s="54"/>
      <c r="X365" s="54"/>
      <c r="Y365" s="54"/>
      <c r="Z365" s="54"/>
    </row>
    <row r="366" spans="1:26" ht="14.25" customHeight="1">
      <c r="A366" s="24"/>
      <c r="B366" s="24"/>
      <c r="C366" s="24"/>
      <c r="D366" s="24"/>
      <c r="E366" s="24"/>
      <c r="F366" s="24"/>
      <c r="G366" s="24"/>
      <c r="H366" s="24"/>
      <c r="I366" s="24"/>
      <c r="J366" s="24"/>
      <c r="K366" s="24"/>
      <c r="L366" s="24"/>
      <c r="M366" s="24"/>
      <c r="N366" s="35"/>
      <c r="O366" s="24"/>
      <c r="P366" s="35"/>
      <c r="Q366" s="24"/>
      <c r="R366" s="24"/>
      <c r="S366" s="24"/>
      <c r="T366" s="24"/>
      <c r="U366" s="54"/>
      <c r="V366" s="54"/>
      <c r="W366" s="54"/>
      <c r="X366" s="54"/>
      <c r="Y366" s="54"/>
      <c r="Z366" s="54"/>
    </row>
    <row r="367" spans="1:26" ht="14.25" customHeight="1">
      <c r="A367" s="24"/>
      <c r="B367" s="24"/>
      <c r="C367" s="24"/>
      <c r="D367" s="24"/>
      <c r="E367" s="24"/>
      <c r="F367" s="24"/>
      <c r="G367" s="24"/>
      <c r="H367" s="24"/>
      <c r="I367" s="24"/>
      <c r="J367" s="24"/>
      <c r="K367" s="24"/>
      <c r="L367" s="24"/>
      <c r="M367" s="24"/>
      <c r="N367" s="35"/>
      <c r="O367" s="24"/>
      <c r="P367" s="35"/>
      <c r="Q367" s="24"/>
      <c r="R367" s="24"/>
      <c r="S367" s="24"/>
      <c r="T367" s="24"/>
      <c r="U367" s="54"/>
      <c r="V367" s="54"/>
      <c r="W367" s="54"/>
      <c r="X367" s="54"/>
      <c r="Y367" s="54"/>
      <c r="Z367" s="54"/>
    </row>
    <row r="368" spans="1:26" ht="14.25" customHeight="1">
      <c r="A368" s="24"/>
      <c r="B368" s="24"/>
      <c r="C368" s="24"/>
      <c r="D368" s="24"/>
      <c r="E368" s="24"/>
      <c r="F368" s="24"/>
      <c r="G368" s="24"/>
      <c r="H368" s="24"/>
      <c r="I368" s="24"/>
      <c r="J368" s="24"/>
      <c r="K368" s="24"/>
      <c r="L368" s="24"/>
      <c r="M368" s="24"/>
      <c r="N368" s="35"/>
      <c r="O368" s="24"/>
      <c r="P368" s="35"/>
      <c r="Q368" s="24"/>
      <c r="R368" s="24"/>
      <c r="S368" s="24"/>
      <c r="T368" s="24"/>
      <c r="U368" s="54"/>
      <c r="V368" s="54"/>
      <c r="W368" s="54"/>
      <c r="X368" s="54"/>
      <c r="Y368" s="54"/>
      <c r="Z368" s="54"/>
    </row>
    <row r="369" spans="1:26" ht="14.25" customHeight="1">
      <c r="A369" s="24"/>
      <c r="B369" s="24"/>
      <c r="C369" s="24"/>
      <c r="D369" s="24"/>
      <c r="E369" s="24"/>
      <c r="F369" s="24"/>
      <c r="G369" s="24"/>
      <c r="H369" s="24"/>
      <c r="I369" s="24"/>
      <c r="J369" s="24"/>
      <c r="K369" s="24"/>
      <c r="L369" s="24"/>
      <c r="M369" s="24"/>
      <c r="N369" s="35"/>
      <c r="O369" s="24"/>
      <c r="P369" s="35"/>
      <c r="Q369" s="24"/>
      <c r="R369" s="24"/>
      <c r="S369" s="24"/>
      <c r="T369" s="24"/>
      <c r="U369" s="54"/>
      <c r="V369" s="54"/>
      <c r="W369" s="54"/>
      <c r="X369" s="54"/>
      <c r="Y369" s="54"/>
      <c r="Z369" s="54"/>
    </row>
    <row r="370" spans="1:26" ht="14.25" customHeight="1">
      <c r="A370" s="24"/>
      <c r="B370" s="24"/>
      <c r="C370" s="24"/>
      <c r="D370" s="24"/>
      <c r="E370" s="24"/>
      <c r="F370" s="24"/>
      <c r="G370" s="24"/>
      <c r="H370" s="24"/>
      <c r="I370" s="24"/>
      <c r="J370" s="24"/>
      <c r="K370" s="24"/>
      <c r="L370" s="24"/>
      <c r="M370" s="24"/>
      <c r="N370" s="35"/>
      <c r="O370" s="24"/>
      <c r="P370" s="35"/>
      <c r="Q370" s="24"/>
      <c r="R370" s="24"/>
      <c r="S370" s="24"/>
      <c r="T370" s="24"/>
      <c r="U370" s="54"/>
      <c r="V370" s="54"/>
      <c r="W370" s="54"/>
      <c r="X370" s="54"/>
      <c r="Y370" s="54"/>
      <c r="Z370" s="54"/>
    </row>
    <row r="371" spans="1:26" ht="14.25" customHeight="1">
      <c r="A371" s="24"/>
      <c r="B371" s="24"/>
      <c r="C371" s="24"/>
      <c r="D371" s="24"/>
      <c r="E371" s="24"/>
      <c r="F371" s="24"/>
      <c r="G371" s="24"/>
      <c r="H371" s="24"/>
      <c r="I371" s="24"/>
      <c r="J371" s="24"/>
      <c r="K371" s="24"/>
      <c r="L371" s="24"/>
      <c r="M371" s="24"/>
      <c r="N371" s="35"/>
      <c r="O371" s="24"/>
      <c r="P371" s="35"/>
      <c r="Q371" s="24"/>
      <c r="R371" s="24"/>
      <c r="S371" s="24"/>
      <c r="T371" s="24"/>
      <c r="U371" s="54"/>
      <c r="V371" s="54"/>
      <c r="W371" s="54"/>
      <c r="X371" s="54"/>
      <c r="Y371" s="54"/>
      <c r="Z371" s="54"/>
    </row>
    <row r="372" spans="1:26" ht="14.25" customHeight="1">
      <c r="A372" s="24"/>
      <c r="B372" s="24"/>
      <c r="C372" s="24"/>
      <c r="D372" s="24"/>
      <c r="E372" s="24"/>
      <c r="F372" s="24"/>
      <c r="G372" s="24"/>
      <c r="H372" s="24"/>
      <c r="I372" s="24"/>
      <c r="J372" s="24"/>
      <c r="K372" s="24"/>
      <c r="L372" s="24"/>
      <c r="M372" s="24"/>
      <c r="N372" s="35"/>
      <c r="O372" s="24"/>
      <c r="P372" s="35"/>
      <c r="Q372" s="24"/>
      <c r="R372" s="24"/>
      <c r="S372" s="24"/>
      <c r="T372" s="24"/>
      <c r="U372" s="54"/>
      <c r="V372" s="54"/>
      <c r="W372" s="54"/>
      <c r="X372" s="54"/>
      <c r="Y372" s="54"/>
      <c r="Z372" s="54"/>
    </row>
    <row r="373" spans="1:26" ht="14.25" customHeight="1">
      <c r="A373" s="24"/>
      <c r="B373" s="24"/>
      <c r="C373" s="24"/>
      <c r="D373" s="24"/>
      <c r="E373" s="24"/>
      <c r="F373" s="24"/>
      <c r="G373" s="24"/>
      <c r="H373" s="24"/>
      <c r="I373" s="24"/>
      <c r="J373" s="24"/>
      <c r="K373" s="24"/>
      <c r="L373" s="24"/>
      <c r="M373" s="24"/>
      <c r="N373" s="35"/>
      <c r="O373" s="24"/>
      <c r="P373" s="35"/>
      <c r="Q373" s="24"/>
      <c r="R373" s="24"/>
      <c r="S373" s="24"/>
      <c r="T373" s="24"/>
      <c r="U373" s="54"/>
      <c r="V373" s="54"/>
      <c r="W373" s="54"/>
      <c r="X373" s="54"/>
      <c r="Y373" s="54"/>
      <c r="Z373" s="54"/>
    </row>
    <row r="374" spans="1:26" ht="14.25" customHeight="1">
      <c r="A374" s="24"/>
      <c r="B374" s="24"/>
      <c r="C374" s="24"/>
      <c r="D374" s="24"/>
      <c r="E374" s="24"/>
      <c r="F374" s="24"/>
      <c r="G374" s="24"/>
      <c r="H374" s="24"/>
      <c r="I374" s="24"/>
      <c r="J374" s="24"/>
      <c r="K374" s="24"/>
      <c r="L374" s="24"/>
      <c r="M374" s="24"/>
      <c r="N374" s="35"/>
      <c r="O374" s="24"/>
      <c r="P374" s="35"/>
      <c r="Q374" s="24"/>
      <c r="R374" s="24"/>
      <c r="S374" s="24"/>
      <c r="T374" s="24"/>
      <c r="U374" s="54"/>
      <c r="V374" s="54"/>
      <c r="W374" s="54"/>
      <c r="X374" s="54"/>
      <c r="Y374" s="54"/>
      <c r="Z374" s="54"/>
    </row>
    <row r="375" spans="1:26" ht="14.25" customHeight="1">
      <c r="A375" s="24"/>
      <c r="B375" s="24"/>
      <c r="C375" s="24"/>
      <c r="D375" s="24"/>
      <c r="E375" s="24"/>
      <c r="F375" s="24"/>
      <c r="G375" s="24"/>
      <c r="H375" s="24"/>
      <c r="I375" s="24"/>
      <c r="J375" s="24"/>
      <c r="K375" s="24"/>
      <c r="L375" s="24"/>
      <c r="M375" s="24"/>
      <c r="N375" s="35"/>
      <c r="O375" s="24"/>
      <c r="P375" s="35"/>
      <c r="Q375" s="24"/>
      <c r="R375" s="24"/>
      <c r="S375" s="24"/>
      <c r="T375" s="24"/>
      <c r="U375" s="54"/>
      <c r="V375" s="54"/>
      <c r="W375" s="54"/>
      <c r="X375" s="54"/>
      <c r="Y375" s="54"/>
      <c r="Z375" s="54"/>
    </row>
    <row r="376" spans="1:26" ht="14.25" customHeight="1">
      <c r="A376" s="24"/>
      <c r="B376" s="24"/>
      <c r="C376" s="24"/>
      <c r="D376" s="24"/>
      <c r="E376" s="24"/>
      <c r="F376" s="24"/>
      <c r="G376" s="24"/>
      <c r="H376" s="24"/>
      <c r="I376" s="24"/>
      <c r="J376" s="24"/>
      <c r="K376" s="24"/>
      <c r="L376" s="24"/>
      <c r="M376" s="24"/>
      <c r="N376" s="35"/>
      <c r="O376" s="24"/>
      <c r="P376" s="35"/>
      <c r="Q376" s="24"/>
      <c r="R376" s="24"/>
      <c r="S376" s="24"/>
      <c r="T376" s="24"/>
      <c r="U376" s="54"/>
      <c r="V376" s="54"/>
      <c r="W376" s="54"/>
      <c r="X376" s="54"/>
      <c r="Y376" s="54"/>
      <c r="Z376" s="54"/>
    </row>
    <row r="377" spans="1:26" ht="14.25" customHeight="1">
      <c r="A377" s="24"/>
      <c r="B377" s="24"/>
      <c r="C377" s="24"/>
      <c r="D377" s="24"/>
      <c r="E377" s="24"/>
      <c r="F377" s="24"/>
      <c r="G377" s="24"/>
      <c r="H377" s="24"/>
      <c r="I377" s="24"/>
      <c r="J377" s="24"/>
      <c r="K377" s="24"/>
      <c r="L377" s="24"/>
      <c r="M377" s="24"/>
      <c r="N377" s="35"/>
      <c r="O377" s="24"/>
      <c r="P377" s="35"/>
      <c r="Q377" s="24"/>
      <c r="R377" s="24"/>
      <c r="S377" s="24"/>
      <c r="T377" s="24"/>
      <c r="U377" s="54"/>
      <c r="V377" s="54"/>
      <c r="W377" s="54"/>
      <c r="X377" s="54"/>
      <c r="Y377" s="54"/>
      <c r="Z377" s="54"/>
    </row>
    <row r="378" spans="1:26" ht="14.25" customHeight="1">
      <c r="A378" s="24"/>
      <c r="B378" s="24"/>
      <c r="C378" s="24"/>
      <c r="D378" s="24"/>
      <c r="E378" s="24"/>
      <c r="F378" s="24"/>
      <c r="G378" s="24"/>
      <c r="H378" s="24"/>
      <c r="I378" s="24"/>
      <c r="J378" s="24"/>
      <c r="K378" s="24"/>
      <c r="L378" s="24"/>
      <c r="M378" s="24"/>
      <c r="N378" s="35"/>
      <c r="O378" s="24"/>
      <c r="P378" s="35"/>
      <c r="Q378" s="24"/>
      <c r="R378" s="24"/>
      <c r="S378" s="24"/>
      <c r="T378" s="24"/>
      <c r="U378" s="54"/>
      <c r="V378" s="54"/>
      <c r="W378" s="54"/>
      <c r="X378" s="54"/>
      <c r="Y378" s="54"/>
      <c r="Z378" s="54"/>
    </row>
    <row r="379" spans="1:26" ht="14.25" customHeight="1">
      <c r="A379" s="24"/>
      <c r="B379" s="24"/>
      <c r="C379" s="24"/>
      <c r="D379" s="24"/>
      <c r="E379" s="24"/>
      <c r="F379" s="24"/>
      <c r="G379" s="24"/>
      <c r="H379" s="24"/>
      <c r="I379" s="24"/>
      <c r="J379" s="24"/>
      <c r="K379" s="24"/>
      <c r="L379" s="24"/>
      <c r="M379" s="24"/>
      <c r="N379" s="35"/>
      <c r="O379" s="24"/>
      <c r="P379" s="35"/>
      <c r="Q379" s="24"/>
      <c r="R379" s="24"/>
      <c r="S379" s="24"/>
      <c r="T379" s="24"/>
      <c r="U379" s="54"/>
      <c r="V379" s="54"/>
      <c r="W379" s="54"/>
      <c r="X379" s="54"/>
      <c r="Y379" s="54"/>
      <c r="Z379" s="54"/>
    </row>
    <row r="380" spans="1:26" ht="14.25" customHeight="1">
      <c r="A380" s="24"/>
      <c r="B380" s="24"/>
      <c r="C380" s="24"/>
      <c r="D380" s="24"/>
      <c r="E380" s="24"/>
      <c r="F380" s="24"/>
      <c r="G380" s="24"/>
      <c r="H380" s="24"/>
      <c r="I380" s="24"/>
      <c r="J380" s="24"/>
      <c r="K380" s="24"/>
      <c r="L380" s="24"/>
      <c r="M380" s="24"/>
      <c r="N380" s="35"/>
      <c r="O380" s="24"/>
      <c r="P380" s="35"/>
      <c r="Q380" s="24"/>
      <c r="R380" s="24"/>
      <c r="S380" s="24"/>
      <c r="T380" s="24"/>
      <c r="U380" s="54"/>
      <c r="V380" s="54"/>
      <c r="W380" s="54"/>
      <c r="X380" s="54"/>
      <c r="Y380" s="54"/>
      <c r="Z380" s="54"/>
    </row>
    <row r="381" spans="1:26" ht="14.25" customHeight="1">
      <c r="A381" s="24"/>
      <c r="B381" s="24"/>
      <c r="C381" s="24"/>
      <c r="D381" s="24"/>
      <c r="E381" s="24"/>
      <c r="F381" s="24"/>
      <c r="G381" s="24"/>
      <c r="H381" s="24"/>
      <c r="I381" s="24"/>
      <c r="J381" s="24"/>
      <c r="K381" s="24"/>
      <c r="L381" s="24"/>
      <c r="M381" s="24"/>
      <c r="N381" s="35"/>
      <c r="O381" s="24"/>
      <c r="P381" s="35"/>
      <c r="Q381" s="24"/>
      <c r="R381" s="24"/>
      <c r="S381" s="24"/>
      <c r="T381" s="24"/>
      <c r="U381" s="54"/>
      <c r="V381" s="54"/>
      <c r="W381" s="54"/>
      <c r="X381" s="54"/>
      <c r="Y381" s="54"/>
      <c r="Z381" s="54"/>
    </row>
    <row r="382" spans="1:26" ht="14.25" customHeight="1">
      <c r="A382" s="24"/>
      <c r="B382" s="24"/>
      <c r="C382" s="24"/>
      <c r="D382" s="24"/>
      <c r="E382" s="24"/>
      <c r="F382" s="24"/>
      <c r="G382" s="24"/>
      <c r="H382" s="24"/>
      <c r="I382" s="24"/>
      <c r="J382" s="24"/>
      <c r="K382" s="24"/>
      <c r="L382" s="24"/>
      <c r="M382" s="24"/>
      <c r="N382" s="35"/>
      <c r="O382" s="24"/>
      <c r="P382" s="35"/>
      <c r="Q382" s="24"/>
      <c r="R382" s="24"/>
      <c r="S382" s="24"/>
      <c r="T382" s="24"/>
      <c r="U382" s="54"/>
      <c r="V382" s="54"/>
      <c r="W382" s="54"/>
      <c r="X382" s="54"/>
      <c r="Y382" s="54"/>
      <c r="Z382" s="54"/>
    </row>
    <row r="383" spans="1:26" ht="14.25" customHeight="1">
      <c r="A383" s="24"/>
      <c r="B383" s="24"/>
      <c r="C383" s="24"/>
      <c r="D383" s="24"/>
      <c r="E383" s="24"/>
      <c r="F383" s="24"/>
      <c r="G383" s="24"/>
      <c r="H383" s="24"/>
      <c r="I383" s="24"/>
      <c r="J383" s="24"/>
      <c r="K383" s="24"/>
      <c r="L383" s="24"/>
      <c r="M383" s="24"/>
      <c r="N383" s="35"/>
      <c r="O383" s="24"/>
      <c r="P383" s="35"/>
      <c r="Q383" s="24"/>
      <c r="R383" s="24"/>
      <c r="S383" s="24"/>
      <c r="T383" s="24"/>
      <c r="U383" s="54"/>
      <c r="V383" s="54"/>
      <c r="W383" s="54"/>
      <c r="X383" s="54"/>
      <c r="Y383" s="54"/>
      <c r="Z383" s="54"/>
    </row>
    <row r="384" spans="1:26" ht="14.25" customHeight="1">
      <c r="A384" s="24"/>
      <c r="B384" s="24"/>
      <c r="C384" s="24"/>
      <c r="D384" s="24"/>
      <c r="E384" s="24"/>
      <c r="F384" s="24"/>
      <c r="G384" s="24"/>
      <c r="H384" s="24"/>
      <c r="I384" s="24"/>
      <c r="J384" s="24"/>
      <c r="K384" s="24"/>
      <c r="L384" s="24"/>
      <c r="M384" s="24"/>
      <c r="N384" s="35"/>
      <c r="O384" s="24"/>
      <c r="P384" s="35"/>
      <c r="Q384" s="24"/>
      <c r="R384" s="24"/>
      <c r="S384" s="24"/>
      <c r="T384" s="24"/>
      <c r="U384" s="54"/>
      <c r="V384" s="54"/>
      <c r="W384" s="54"/>
      <c r="X384" s="54"/>
      <c r="Y384" s="54"/>
      <c r="Z384" s="54"/>
    </row>
    <row r="385" spans="1:26" ht="14.25" customHeight="1">
      <c r="A385" s="24"/>
      <c r="B385" s="24"/>
      <c r="C385" s="24"/>
      <c r="D385" s="24"/>
      <c r="E385" s="24"/>
      <c r="F385" s="24"/>
      <c r="G385" s="24"/>
      <c r="H385" s="24"/>
      <c r="I385" s="24"/>
      <c r="J385" s="24"/>
      <c r="K385" s="24"/>
      <c r="L385" s="24"/>
      <c r="M385" s="24"/>
      <c r="N385" s="35"/>
      <c r="O385" s="24"/>
      <c r="P385" s="35"/>
      <c r="Q385" s="24"/>
      <c r="R385" s="24"/>
      <c r="S385" s="24"/>
      <c r="T385" s="24"/>
      <c r="U385" s="54"/>
      <c r="V385" s="54"/>
      <c r="W385" s="54"/>
      <c r="X385" s="54"/>
      <c r="Y385" s="54"/>
      <c r="Z385" s="54"/>
    </row>
    <row r="386" spans="1:26" ht="14.25" customHeight="1">
      <c r="A386" s="24"/>
      <c r="B386" s="24"/>
      <c r="C386" s="24"/>
      <c r="D386" s="24"/>
      <c r="E386" s="24"/>
      <c r="F386" s="24"/>
      <c r="G386" s="24"/>
      <c r="H386" s="24"/>
      <c r="I386" s="24"/>
      <c r="J386" s="24"/>
      <c r="K386" s="24"/>
      <c r="L386" s="24"/>
      <c r="M386" s="24"/>
      <c r="N386" s="35"/>
      <c r="O386" s="24"/>
      <c r="P386" s="35"/>
      <c r="Q386" s="24"/>
      <c r="R386" s="24"/>
      <c r="S386" s="24"/>
      <c r="T386" s="24"/>
      <c r="U386" s="54"/>
      <c r="V386" s="54"/>
      <c r="W386" s="54"/>
      <c r="X386" s="54"/>
      <c r="Y386" s="54"/>
      <c r="Z386" s="54"/>
    </row>
    <row r="387" spans="1:26" ht="14.25" customHeight="1">
      <c r="A387" s="24"/>
      <c r="B387" s="24"/>
      <c r="C387" s="24"/>
      <c r="D387" s="24"/>
      <c r="E387" s="24"/>
      <c r="F387" s="24"/>
      <c r="G387" s="24"/>
      <c r="H387" s="24"/>
      <c r="I387" s="24"/>
      <c r="J387" s="24"/>
      <c r="K387" s="24"/>
      <c r="L387" s="24"/>
      <c r="M387" s="24"/>
      <c r="N387" s="35"/>
      <c r="O387" s="24"/>
      <c r="P387" s="35"/>
      <c r="Q387" s="24"/>
      <c r="R387" s="24"/>
      <c r="S387" s="24"/>
      <c r="T387" s="24"/>
      <c r="U387" s="54"/>
      <c r="V387" s="54"/>
      <c r="W387" s="54"/>
      <c r="X387" s="54"/>
      <c r="Y387" s="54"/>
      <c r="Z387" s="54"/>
    </row>
    <row r="388" spans="1:26" ht="14.25" customHeight="1">
      <c r="A388" s="24"/>
      <c r="B388" s="24"/>
      <c r="C388" s="24"/>
      <c r="D388" s="24"/>
      <c r="E388" s="24"/>
      <c r="F388" s="24"/>
      <c r="G388" s="24"/>
      <c r="H388" s="24"/>
      <c r="I388" s="24"/>
      <c r="J388" s="24"/>
      <c r="K388" s="24"/>
      <c r="L388" s="24"/>
      <c r="M388" s="24"/>
      <c r="N388" s="35"/>
      <c r="O388" s="24"/>
      <c r="P388" s="35"/>
      <c r="Q388" s="24"/>
      <c r="R388" s="24"/>
      <c r="S388" s="24"/>
      <c r="T388" s="24"/>
      <c r="U388" s="54"/>
      <c r="V388" s="54"/>
      <c r="W388" s="54"/>
      <c r="X388" s="54"/>
      <c r="Y388" s="54"/>
      <c r="Z388" s="54"/>
    </row>
    <row r="389" spans="1:26" ht="14.25" customHeight="1">
      <c r="A389" s="24"/>
      <c r="B389" s="24"/>
      <c r="C389" s="24"/>
      <c r="D389" s="24"/>
      <c r="E389" s="24"/>
      <c r="F389" s="24"/>
      <c r="G389" s="24"/>
      <c r="H389" s="24"/>
      <c r="I389" s="24"/>
      <c r="J389" s="24"/>
      <c r="K389" s="24"/>
      <c r="L389" s="24"/>
      <c r="M389" s="24"/>
      <c r="N389" s="35"/>
      <c r="O389" s="24"/>
      <c r="P389" s="35"/>
      <c r="Q389" s="24"/>
      <c r="R389" s="24"/>
      <c r="S389" s="24"/>
      <c r="T389" s="24"/>
      <c r="U389" s="54"/>
      <c r="V389" s="54"/>
      <c r="W389" s="54"/>
      <c r="X389" s="54"/>
      <c r="Y389" s="54"/>
      <c r="Z389" s="54"/>
    </row>
    <row r="390" spans="1:26" ht="14.25" customHeight="1">
      <c r="A390" s="24"/>
      <c r="B390" s="24"/>
      <c r="C390" s="24"/>
      <c r="D390" s="24"/>
      <c r="E390" s="24"/>
      <c r="F390" s="24"/>
      <c r="G390" s="24"/>
      <c r="H390" s="24"/>
      <c r="I390" s="24"/>
      <c r="J390" s="24"/>
      <c r="K390" s="24"/>
      <c r="L390" s="24"/>
      <c r="M390" s="24"/>
      <c r="N390" s="35"/>
      <c r="O390" s="24"/>
      <c r="P390" s="35"/>
      <c r="Q390" s="24"/>
      <c r="R390" s="24"/>
      <c r="S390" s="24"/>
      <c r="T390" s="24"/>
      <c r="U390" s="54"/>
      <c r="V390" s="54"/>
      <c r="W390" s="54"/>
      <c r="X390" s="54"/>
      <c r="Y390" s="54"/>
      <c r="Z390" s="54"/>
    </row>
    <row r="391" spans="1:26" ht="14.25" customHeight="1">
      <c r="A391" s="24"/>
      <c r="B391" s="24"/>
      <c r="C391" s="24"/>
      <c r="D391" s="24"/>
      <c r="E391" s="24"/>
      <c r="F391" s="24"/>
      <c r="G391" s="24"/>
      <c r="H391" s="24"/>
      <c r="I391" s="24"/>
      <c r="J391" s="24"/>
      <c r="K391" s="24"/>
      <c r="L391" s="24"/>
      <c r="M391" s="24"/>
      <c r="N391" s="35"/>
      <c r="O391" s="24"/>
      <c r="P391" s="35"/>
      <c r="Q391" s="24"/>
      <c r="R391" s="24"/>
      <c r="S391" s="24"/>
      <c r="T391" s="24"/>
      <c r="U391" s="54"/>
      <c r="V391" s="54"/>
      <c r="W391" s="54"/>
      <c r="X391" s="54"/>
      <c r="Y391" s="54"/>
      <c r="Z391" s="54"/>
    </row>
    <row r="392" spans="1:26" ht="14.25" customHeight="1">
      <c r="A392" s="24"/>
      <c r="B392" s="24"/>
      <c r="C392" s="24"/>
      <c r="D392" s="24"/>
      <c r="E392" s="24"/>
      <c r="F392" s="24"/>
      <c r="G392" s="24"/>
      <c r="H392" s="24"/>
      <c r="I392" s="24"/>
      <c r="J392" s="24"/>
      <c r="K392" s="24"/>
      <c r="L392" s="24"/>
      <c r="M392" s="24"/>
      <c r="N392" s="35"/>
      <c r="O392" s="24"/>
      <c r="P392" s="35"/>
      <c r="Q392" s="24"/>
      <c r="R392" s="24"/>
      <c r="S392" s="24"/>
      <c r="T392" s="24"/>
      <c r="U392" s="54"/>
      <c r="V392" s="54"/>
      <c r="W392" s="54"/>
      <c r="X392" s="54"/>
      <c r="Y392" s="54"/>
      <c r="Z392" s="54"/>
    </row>
    <row r="393" spans="1:26" ht="14.25" customHeight="1">
      <c r="A393" s="24"/>
      <c r="B393" s="24"/>
      <c r="C393" s="24"/>
      <c r="D393" s="24"/>
      <c r="E393" s="24"/>
      <c r="F393" s="24"/>
      <c r="G393" s="24"/>
      <c r="H393" s="24"/>
      <c r="I393" s="24"/>
      <c r="J393" s="24"/>
      <c r="K393" s="24"/>
      <c r="L393" s="24"/>
      <c r="M393" s="24"/>
      <c r="N393" s="35"/>
      <c r="O393" s="24"/>
      <c r="P393" s="35"/>
      <c r="Q393" s="24"/>
      <c r="R393" s="24"/>
      <c r="S393" s="24"/>
      <c r="T393" s="24"/>
      <c r="U393" s="54"/>
      <c r="V393" s="54"/>
      <c r="W393" s="54"/>
      <c r="X393" s="54"/>
      <c r="Y393" s="54"/>
      <c r="Z393" s="54"/>
    </row>
    <row r="394" spans="1:26" ht="14.25" customHeight="1">
      <c r="A394" s="24"/>
      <c r="B394" s="24"/>
      <c r="C394" s="24"/>
      <c r="D394" s="24"/>
      <c r="E394" s="24"/>
      <c r="F394" s="24"/>
      <c r="G394" s="24"/>
      <c r="H394" s="24"/>
      <c r="I394" s="24"/>
      <c r="J394" s="24"/>
      <c r="K394" s="24"/>
      <c r="L394" s="24"/>
      <c r="M394" s="24"/>
      <c r="N394" s="35"/>
      <c r="O394" s="24"/>
      <c r="P394" s="35"/>
      <c r="Q394" s="24"/>
      <c r="R394" s="24"/>
      <c r="S394" s="24"/>
      <c r="T394" s="24"/>
      <c r="U394" s="54"/>
      <c r="V394" s="54"/>
      <c r="W394" s="54"/>
      <c r="X394" s="54"/>
      <c r="Y394" s="54"/>
      <c r="Z394" s="54"/>
    </row>
    <row r="395" spans="1:26" ht="14.25" customHeight="1">
      <c r="A395" s="24"/>
      <c r="B395" s="24"/>
      <c r="C395" s="24"/>
      <c r="D395" s="24"/>
      <c r="E395" s="24"/>
      <c r="F395" s="24"/>
      <c r="G395" s="24"/>
      <c r="H395" s="24"/>
      <c r="I395" s="24"/>
      <c r="J395" s="24"/>
      <c r="K395" s="24"/>
      <c r="L395" s="24"/>
      <c r="M395" s="24"/>
      <c r="N395" s="35"/>
      <c r="O395" s="24"/>
      <c r="P395" s="35"/>
      <c r="Q395" s="24"/>
      <c r="R395" s="24"/>
      <c r="S395" s="24"/>
      <c r="T395" s="24"/>
      <c r="U395" s="54"/>
      <c r="V395" s="54"/>
      <c r="W395" s="54"/>
      <c r="X395" s="54"/>
      <c r="Y395" s="54"/>
      <c r="Z395" s="54"/>
    </row>
    <row r="396" spans="1:26" ht="14.25" customHeight="1">
      <c r="A396" s="24"/>
      <c r="B396" s="24"/>
      <c r="C396" s="24"/>
      <c r="D396" s="24"/>
      <c r="E396" s="24"/>
      <c r="F396" s="24"/>
      <c r="G396" s="24"/>
      <c r="H396" s="24"/>
      <c r="I396" s="24"/>
      <c r="J396" s="24"/>
      <c r="K396" s="24"/>
      <c r="L396" s="24"/>
      <c r="M396" s="24"/>
      <c r="N396" s="35"/>
      <c r="O396" s="24"/>
      <c r="P396" s="35"/>
      <c r="Q396" s="24"/>
      <c r="R396" s="24"/>
      <c r="S396" s="24"/>
      <c r="T396" s="24"/>
      <c r="U396" s="54"/>
      <c r="V396" s="54"/>
      <c r="W396" s="54"/>
      <c r="X396" s="54"/>
      <c r="Y396" s="54"/>
      <c r="Z396" s="54"/>
    </row>
    <row r="397" spans="1:26" ht="14.25" customHeight="1">
      <c r="A397" s="24"/>
      <c r="B397" s="24"/>
      <c r="C397" s="24"/>
      <c r="D397" s="24"/>
      <c r="E397" s="24"/>
      <c r="F397" s="24"/>
      <c r="G397" s="24"/>
      <c r="H397" s="24"/>
      <c r="I397" s="24"/>
      <c r="J397" s="24"/>
      <c r="K397" s="24"/>
      <c r="L397" s="24"/>
      <c r="M397" s="24"/>
      <c r="N397" s="35"/>
      <c r="O397" s="24"/>
      <c r="P397" s="35"/>
      <c r="Q397" s="24"/>
      <c r="R397" s="24"/>
      <c r="S397" s="24"/>
      <c r="T397" s="24"/>
      <c r="U397" s="54"/>
      <c r="V397" s="54"/>
      <c r="W397" s="54"/>
      <c r="X397" s="54"/>
      <c r="Y397" s="54"/>
      <c r="Z397" s="54"/>
    </row>
    <row r="398" spans="1:26" ht="14.25" customHeight="1">
      <c r="A398" s="24"/>
      <c r="B398" s="24"/>
      <c r="C398" s="24"/>
      <c r="D398" s="24"/>
      <c r="E398" s="24"/>
      <c r="F398" s="24"/>
      <c r="G398" s="24"/>
      <c r="H398" s="24"/>
      <c r="I398" s="24"/>
      <c r="J398" s="24"/>
      <c r="K398" s="24"/>
      <c r="L398" s="24"/>
      <c r="M398" s="24"/>
      <c r="N398" s="35"/>
      <c r="O398" s="24"/>
      <c r="P398" s="35"/>
      <c r="Q398" s="24"/>
      <c r="R398" s="24"/>
      <c r="S398" s="24"/>
      <c r="T398" s="24"/>
      <c r="U398" s="54"/>
      <c r="V398" s="54"/>
      <c r="W398" s="54"/>
      <c r="X398" s="54"/>
      <c r="Y398" s="54"/>
      <c r="Z398" s="54"/>
    </row>
    <row r="399" spans="1:26" ht="14.25" customHeight="1">
      <c r="A399" s="24"/>
      <c r="B399" s="24"/>
      <c r="C399" s="24"/>
      <c r="D399" s="24"/>
      <c r="E399" s="24"/>
      <c r="F399" s="24"/>
      <c r="G399" s="24"/>
      <c r="H399" s="24"/>
      <c r="I399" s="24"/>
      <c r="J399" s="24"/>
      <c r="K399" s="24"/>
      <c r="L399" s="24"/>
      <c r="M399" s="24"/>
      <c r="N399" s="35"/>
      <c r="O399" s="24"/>
      <c r="P399" s="35"/>
      <c r="Q399" s="24"/>
      <c r="R399" s="24"/>
      <c r="S399" s="24"/>
      <c r="T399" s="24"/>
      <c r="U399" s="54"/>
      <c r="V399" s="54"/>
      <c r="W399" s="54"/>
      <c r="X399" s="54"/>
      <c r="Y399" s="54"/>
      <c r="Z399" s="54"/>
    </row>
    <row r="400" spans="1:26" ht="14.25" customHeight="1">
      <c r="A400" s="24"/>
      <c r="B400" s="24"/>
      <c r="C400" s="24"/>
      <c r="D400" s="24"/>
      <c r="E400" s="24"/>
      <c r="F400" s="24"/>
      <c r="G400" s="24"/>
      <c r="H400" s="24"/>
      <c r="I400" s="24"/>
      <c r="J400" s="24"/>
      <c r="K400" s="24"/>
      <c r="L400" s="24"/>
      <c r="M400" s="24"/>
      <c r="N400" s="35"/>
      <c r="O400" s="24"/>
      <c r="P400" s="35"/>
      <c r="Q400" s="24"/>
      <c r="R400" s="24"/>
      <c r="S400" s="24"/>
      <c r="T400" s="24"/>
      <c r="U400" s="54"/>
      <c r="V400" s="54"/>
      <c r="W400" s="54"/>
      <c r="X400" s="54"/>
      <c r="Y400" s="54"/>
      <c r="Z400" s="54"/>
    </row>
    <row r="401" spans="1:26" ht="14.25" customHeight="1">
      <c r="A401" s="24"/>
      <c r="B401" s="24"/>
      <c r="C401" s="24"/>
      <c r="D401" s="24"/>
      <c r="E401" s="24"/>
      <c r="F401" s="24"/>
      <c r="G401" s="24"/>
      <c r="H401" s="24"/>
      <c r="I401" s="24"/>
      <c r="J401" s="24"/>
      <c r="K401" s="24"/>
      <c r="L401" s="24"/>
      <c r="M401" s="24"/>
      <c r="N401" s="35"/>
      <c r="O401" s="24"/>
      <c r="P401" s="35"/>
      <c r="Q401" s="24"/>
      <c r="R401" s="24"/>
      <c r="S401" s="24"/>
      <c r="T401" s="24"/>
      <c r="U401" s="54"/>
      <c r="V401" s="54"/>
      <c r="W401" s="54"/>
      <c r="X401" s="54"/>
      <c r="Y401" s="54"/>
      <c r="Z401" s="54"/>
    </row>
    <row r="402" spans="1:26" ht="14.25" customHeight="1">
      <c r="A402" s="24"/>
      <c r="B402" s="24"/>
      <c r="C402" s="24"/>
      <c r="D402" s="24"/>
      <c r="E402" s="24"/>
      <c r="F402" s="24"/>
      <c r="G402" s="24"/>
      <c r="H402" s="24"/>
      <c r="I402" s="24"/>
      <c r="J402" s="24"/>
      <c r="K402" s="24"/>
      <c r="L402" s="24"/>
      <c r="M402" s="24"/>
      <c r="N402" s="35"/>
      <c r="O402" s="24"/>
      <c r="P402" s="35"/>
      <c r="Q402" s="24"/>
      <c r="R402" s="24"/>
      <c r="S402" s="24"/>
      <c r="T402" s="24"/>
      <c r="U402" s="54"/>
      <c r="V402" s="54"/>
      <c r="W402" s="54"/>
      <c r="X402" s="54"/>
      <c r="Y402" s="54"/>
      <c r="Z402" s="54"/>
    </row>
    <row r="403" spans="1:26" ht="14.25" customHeight="1">
      <c r="A403" s="24"/>
      <c r="B403" s="24"/>
      <c r="C403" s="24"/>
      <c r="D403" s="24"/>
      <c r="E403" s="24"/>
      <c r="F403" s="24"/>
      <c r="G403" s="24"/>
      <c r="H403" s="24"/>
      <c r="I403" s="24"/>
      <c r="J403" s="24"/>
      <c r="K403" s="24"/>
      <c r="L403" s="24"/>
      <c r="M403" s="24"/>
      <c r="N403" s="35"/>
      <c r="O403" s="24"/>
      <c r="P403" s="35"/>
      <c r="Q403" s="24"/>
      <c r="R403" s="24"/>
      <c r="S403" s="24"/>
      <c r="T403" s="24"/>
      <c r="U403" s="54"/>
      <c r="V403" s="54"/>
      <c r="W403" s="54"/>
      <c r="X403" s="54"/>
      <c r="Y403" s="54"/>
      <c r="Z403" s="54"/>
    </row>
    <row r="404" spans="1:26" ht="14.25" customHeight="1">
      <c r="A404" s="24"/>
      <c r="B404" s="24"/>
      <c r="C404" s="24"/>
      <c r="D404" s="24"/>
      <c r="E404" s="24"/>
      <c r="F404" s="24"/>
      <c r="G404" s="24"/>
      <c r="H404" s="24"/>
      <c r="I404" s="24"/>
      <c r="J404" s="24"/>
      <c r="K404" s="24"/>
      <c r="L404" s="24"/>
      <c r="M404" s="24"/>
      <c r="N404" s="35"/>
      <c r="O404" s="24"/>
      <c r="P404" s="35"/>
      <c r="Q404" s="24"/>
      <c r="R404" s="24"/>
      <c r="S404" s="24"/>
      <c r="T404" s="24"/>
      <c r="U404" s="54"/>
      <c r="V404" s="54"/>
      <c r="W404" s="54"/>
      <c r="X404" s="54"/>
      <c r="Y404" s="54"/>
      <c r="Z404" s="54"/>
    </row>
    <row r="405" spans="1:26" ht="14.25" customHeight="1">
      <c r="A405" s="24"/>
      <c r="B405" s="24"/>
      <c r="C405" s="24"/>
      <c r="D405" s="24"/>
      <c r="E405" s="24"/>
      <c r="F405" s="24"/>
      <c r="G405" s="24"/>
      <c r="H405" s="24"/>
      <c r="I405" s="24"/>
      <c r="J405" s="24"/>
      <c r="K405" s="24"/>
      <c r="L405" s="24"/>
      <c r="M405" s="24"/>
      <c r="N405" s="35"/>
      <c r="O405" s="24"/>
      <c r="P405" s="35"/>
      <c r="Q405" s="24"/>
      <c r="R405" s="24"/>
      <c r="S405" s="24"/>
      <c r="T405" s="24"/>
      <c r="U405" s="54"/>
      <c r="V405" s="54"/>
      <c r="W405" s="54"/>
      <c r="X405" s="54"/>
      <c r="Y405" s="54"/>
      <c r="Z405" s="54"/>
    </row>
    <row r="406" spans="1:26" ht="14.25" customHeight="1">
      <c r="A406" s="24"/>
      <c r="B406" s="24"/>
      <c r="C406" s="24"/>
      <c r="D406" s="24"/>
      <c r="E406" s="24"/>
      <c r="F406" s="24"/>
      <c r="G406" s="24"/>
      <c r="H406" s="24"/>
      <c r="I406" s="24"/>
      <c r="J406" s="24"/>
      <c r="K406" s="24"/>
      <c r="L406" s="24"/>
      <c r="M406" s="24"/>
      <c r="N406" s="35"/>
      <c r="O406" s="24"/>
      <c r="P406" s="35"/>
      <c r="Q406" s="24"/>
      <c r="R406" s="24"/>
      <c r="S406" s="24"/>
      <c r="T406" s="24"/>
      <c r="U406" s="54"/>
      <c r="V406" s="54"/>
      <c r="W406" s="54"/>
      <c r="X406" s="54"/>
      <c r="Y406" s="54"/>
      <c r="Z406" s="54"/>
    </row>
    <row r="407" spans="1:26" ht="14.25" customHeight="1">
      <c r="A407" s="24"/>
      <c r="B407" s="24"/>
      <c r="C407" s="24"/>
      <c r="D407" s="24"/>
      <c r="E407" s="24"/>
      <c r="F407" s="24"/>
      <c r="G407" s="24"/>
      <c r="H407" s="24"/>
      <c r="I407" s="24"/>
      <c r="J407" s="24"/>
      <c r="K407" s="24"/>
      <c r="L407" s="24"/>
      <c r="M407" s="24"/>
      <c r="N407" s="35"/>
      <c r="O407" s="24"/>
      <c r="P407" s="35"/>
      <c r="Q407" s="24"/>
      <c r="R407" s="24"/>
      <c r="S407" s="24"/>
      <c r="T407" s="24"/>
      <c r="U407" s="54"/>
      <c r="V407" s="54"/>
      <c r="W407" s="54"/>
      <c r="X407" s="54"/>
      <c r="Y407" s="54"/>
      <c r="Z407" s="54"/>
    </row>
    <row r="408" spans="1:26" ht="14.25" customHeight="1">
      <c r="A408" s="24"/>
      <c r="B408" s="24"/>
      <c r="C408" s="24"/>
      <c r="D408" s="24"/>
      <c r="E408" s="24"/>
      <c r="F408" s="24"/>
      <c r="G408" s="24"/>
      <c r="H408" s="24"/>
      <c r="I408" s="24"/>
      <c r="J408" s="24"/>
      <c r="K408" s="24"/>
      <c r="L408" s="24"/>
      <c r="M408" s="24"/>
      <c r="N408" s="35"/>
      <c r="O408" s="24"/>
      <c r="P408" s="35"/>
      <c r="Q408" s="24"/>
      <c r="R408" s="24"/>
      <c r="S408" s="24"/>
      <c r="T408" s="24"/>
      <c r="U408" s="54"/>
      <c r="V408" s="54"/>
      <c r="W408" s="54"/>
      <c r="X408" s="54"/>
      <c r="Y408" s="54"/>
      <c r="Z408" s="54"/>
    </row>
    <row r="409" spans="1:26" ht="14.25" customHeight="1">
      <c r="A409" s="24"/>
      <c r="B409" s="24"/>
      <c r="C409" s="24"/>
      <c r="D409" s="24"/>
      <c r="E409" s="24"/>
      <c r="F409" s="24"/>
      <c r="G409" s="24"/>
      <c r="H409" s="24"/>
      <c r="I409" s="24"/>
      <c r="J409" s="24"/>
      <c r="K409" s="24"/>
      <c r="L409" s="24"/>
      <c r="M409" s="24"/>
      <c r="N409" s="35"/>
      <c r="O409" s="24"/>
      <c r="P409" s="35"/>
      <c r="Q409" s="24"/>
      <c r="R409" s="24"/>
      <c r="S409" s="24"/>
      <c r="T409" s="24"/>
      <c r="U409" s="54"/>
      <c r="V409" s="54"/>
      <c r="W409" s="54"/>
      <c r="X409" s="54"/>
      <c r="Y409" s="54"/>
      <c r="Z409" s="54"/>
    </row>
    <row r="410" spans="1:26" ht="14.25" customHeight="1">
      <c r="A410" s="24"/>
      <c r="B410" s="24"/>
      <c r="C410" s="24"/>
      <c r="D410" s="24"/>
      <c r="E410" s="24"/>
      <c r="F410" s="24"/>
      <c r="G410" s="24"/>
      <c r="H410" s="24"/>
      <c r="I410" s="24"/>
      <c r="J410" s="24"/>
      <c r="K410" s="24"/>
      <c r="L410" s="24"/>
      <c r="M410" s="24"/>
      <c r="N410" s="35"/>
      <c r="O410" s="24"/>
      <c r="P410" s="35"/>
      <c r="Q410" s="24"/>
      <c r="R410" s="24"/>
      <c r="S410" s="24"/>
      <c r="T410" s="24"/>
      <c r="U410" s="54"/>
      <c r="V410" s="54"/>
      <c r="W410" s="54"/>
      <c r="X410" s="54"/>
      <c r="Y410" s="54"/>
      <c r="Z410" s="54"/>
    </row>
    <row r="411" spans="1:26" ht="14.25" customHeight="1">
      <c r="A411" s="24"/>
      <c r="B411" s="24"/>
      <c r="C411" s="24"/>
      <c r="D411" s="24"/>
      <c r="E411" s="24"/>
      <c r="F411" s="24"/>
      <c r="G411" s="24"/>
      <c r="H411" s="24"/>
      <c r="I411" s="24"/>
      <c r="J411" s="24"/>
      <c r="K411" s="24"/>
      <c r="L411" s="24"/>
      <c r="M411" s="24"/>
      <c r="N411" s="35"/>
      <c r="O411" s="24"/>
      <c r="P411" s="35"/>
      <c r="Q411" s="24"/>
      <c r="R411" s="24"/>
      <c r="S411" s="24"/>
      <c r="T411" s="24"/>
      <c r="U411" s="54"/>
      <c r="V411" s="54"/>
      <c r="W411" s="54"/>
      <c r="X411" s="54"/>
      <c r="Y411" s="54"/>
      <c r="Z411" s="54"/>
    </row>
    <row r="412" spans="1:26" ht="14.25" customHeight="1">
      <c r="A412" s="24"/>
      <c r="B412" s="24"/>
      <c r="C412" s="24"/>
      <c r="D412" s="24"/>
      <c r="E412" s="24"/>
      <c r="F412" s="24"/>
      <c r="G412" s="24"/>
      <c r="H412" s="24"/>
      <c r="I412" s="24"/>
      <c r="J412" s="24"/>
      <c r="K412" s="24"/>
      <c r="L412" s="24"/>
      <c r="M412" s="24"/>
      <c r="N412" s="35"/>
      <c r="O412" s="24"/>
      <c r="P412" s="35"/>
      <c r="Q412" s="24"/>
      <c r="R412" s="24"/>
      <c r="S412" s="24"/>
      <c r="T412" s="24"/>
      <c r="U412" s="54"/>
      <c r="V412" s="54"/>
      <c r="W412" s="54"/>
      <c r="X412" s="54"/>
      <c r="Y412" s="54"/>
      <c r="Z412" s="54"/>
    </row>
    <row r="413" spans="1:26" ht="14.25" customHeight="1">
      <c r="A413" s="24"/>
      <c r="B413" s="24"/>
      <c r="C413" s="24"/>
      <c r="D413" s="24"/>
      <c r="E413" s="24"/>
      <c r="F413" s="24"/>
      <c r="G413" s="24"/>
      <c r="H413" s="24"/>
      <c r="I413" s="24"/>
      <c r="J413" s="24"/>
      <c r="K413" s="24"/>
      <c r="L413" s="24"/>
      <c r="M413" s="24"/>
      <c r="N413" s="35"/>
      <c r="O413" s="24"/>
      <c r="P413" s="35"/>
      <c r="Q413" s="24"/>
      <c r="R413" s="24"/>
      <c r="S413" s="24"/>
      <c r="T413" s="24"/>
      <c r="U413" s="54"/>
      <c r="V413" s="54"/>
      <c r="W413" s="54"/>
      <c r="X413" s="54"/>
      <c r="Y413" s="54"/>
      <c r="Z413" s="54"/>
    </row>
    <row r="414" spans="1:26" ht="14.25" customHeight="1">
      <c r="A414" s="24"/>
      <c r="B414" s="24"/>
      <c r="C414" s="24"/>
      <c r="D414" s="24"/>
      <c r="E414" s="24"/>
      <c r="F414" s="24"/>
      <c r="G414" s="24"/>
      <c r="H414" s="24"/>
      <c r="I414" s="24"/>
      <c r="J414" s="24"/>
      <c r="K414" s="24"/>
      <c r="L414" s="24"/>
      <c r="M414" s="24"/>
      <c r="N414" s="35"/>
      <c r="O414" s="24"/>
      <c r="P414" s="35"/>
      <c r="Q414" s="24"/>
      <c r="R414" s="24"/>
      <c r="S414" s="24"/>
      <c r="T414" s="24"/>
      <c r="U414" s="54"/>
      <c r="V414" s="54"/>
      <c r="W414" s="54"/>
      <c r="X414" s="54"/>
      <c r="Y414" s="54"/>
      <c r="Z414" s="54"/>
    </row>
    <row r="415" spans="1:26" ht="14.25" customHeight="1">
      <c r="A415" s="24"/>
      <c r="B415" s="24"/>
      <c r="C415" s="24"/>
      <c r="D415" s="24"/>
      <c r="E415" s="24"/>
      <c r="F415" s="24"/>
      <c r="G415" s="24"/>
      <c r="H415" s="24"/>
      <c r="I415" s="24"/>
      <c r="J415" s="24"/>
      <c r="K415" s="24"/>
      <c r="L415" s="24"/>
      <c r="M415" s="24"/>
      <c r="N415" s="35"/>
      <c r="O415" s="24"/>
      <c r="P415" s="35"/>
      <c r="Q415" s="24"/>
      <c r="R415" s="24"/>
      <c r="S415" s="24"/>
      <c r="T415" s="24"/>
      <c r="U415" s="54"/>
      <c r="V415" s="54"/>
      <c r="W415" s="54"/>
      <c r="X415" s="54"/>
      <c r="Y415" s="54"/>
      <c r="Z415" s="54"/>
    </row>
    <row r="416" spans="1:26" ht="14.25" customHeight="1">
      <c r="A416" s="24"/>
      <c r="B416" s="24"/>
      <c r="C416" s="24"/>
      <c r="D416" s="24"/>
      <c r="E416" s="24"/>
      <c r="F416" s="24"/>
      <c r="G416" s="24"/>
      <c r="H416" s="24"/>
      <c r="I416" s="24"/>
      <c r="J416" s="24"/>
      <c r="K416" s="24"/>
      <c r="L416" s="24"/>
      <c r="M416" s="24"/>
      <c r="N416" s="35"/>
      <c r="O416" s="24"/>
      <c r="P416" s="35"/>
      <c r="Q416" s="24"/>
      <c r="R416" s="24"/>
      <c r="S416" s="24"/>
      <c r="T416" s="24"/>
      <c r="U416" s="54"/>
      <c r="V416" s="54"/>
      <c r="W416" s="54"/>
      <c r="X416" s="54"/>
      <c r="Y416" s="54"/>
      <c r="Z416" s="54"/>
    </row>
    <row r="417" spans="1:26" ht="14.25" customHeight="1">
      <c r="A417" s="24"/>
      <c r="B417" s="24"/>
      <c r="C417" s="24"/>
      <c r="D417" s="24"/>
      <c r="E417" s="24"/>
      <c r="F417" s="24"/>
      <c r="G417" s="24"/>
      <c r="H417" s="24"/>
      <c r="I417" s="24"/>
      <c r="J417" s="24"/>
      <c r="K417" s="24"/>
      <c r="L417" s="24"/>
      <c r="M417" s="24"/>
      <c r="N417" s="35"/>
      <c r="O417" s="24"/>
      <c r="P417" s="35"/>
      <c r="Q417" s="24"/>
      <c r="R417" s="24"/>
      <c r="S417" s="24"/>
      <c r="T417" s="24"/>
      <c r="U417" s="54"/>
      <c r="V417" s="54"/>
      <c r="W417" s="54"/>
      <c r="X417" s="54"/>
      <c r="Y417" s="54"/>
      <c r="Z417" s="54"/>
    </row>
    <row r="418" spans="1:26" ht="14.25" customHeight="1">
      <c r="A418" s="24"/>
      <c r="B418" s="24"/>
      <c r="C418" s="24"/>
      <c r="D418" s="24"/>
      <c r="E418" s="24"/>
      <c r="F418" s="24"/>
      <c r="G418" s="24"/>
      <c r="H418" s="24"/>
      <c r="I418" s="24"/>
      <c r="J418" s="24"/>
      <c r="K418" s="24"/>
      <c r="L418" s="24"/>
      <c r="M418" s="24"/>
      <c r="N418" s="35"/>
      <c r="O418" s="24"/>
      <c r="P418" s="35"/>
      <c r="Q418" s="24"/>
      <c r="R418" s="24"/>
      <c r="S418" s="24"/>
      <c r="T418" s="24"/>
      <c r="U418" s="54"/>
      <c r="V418" s="54"/>
      <c r="W418" s="54"/>
      <c r="X418" s="54"/>
      <c r="Y418" s="54"/>
      <c r="Z418" s="54"/>
    </row>
    <row r="419" spans="1:26" ht="14.25" customHeight="1">
      <c r="A419" s="24"/>
      <c r="B419" s="24"/>
      <c r="C419" s="24"/>
      <c r="D419" s="24"/>
      <c r="E419" s="24"/>
      <c r="F419" s="24"/>
      <c r="G419" s="24"/>
      <c r="H419" s="24"/>
      <c r="I419" s="24"/>
      <c r="J419" s="24"/>
      <c r="K419" s="24"/>
      <c r="L419" s="24"/>
      <c r="M419" s="24"/>
      <c r="N419" s="35"/>
      <c r="O419" s="24"/>
      <c r="P419" s="35"/>
      <c r="Q419" s="24"/>
      <c r="R419" s="24"/>
      <c r="S419" s="24"/>
      <c r="T419" s="24"/>
      <c r="U419" s="54"/>
      <c r="V419" s="54"/>
      <c r="W419" s="54"/>
      <c r="X419" s="54"/>
      <c r="Y419" s="54"/>
      <c r="Z419" s="54"/>
    </row>
    <row r="420" spans="1:26" ht="14.25" customHeight="1">
      <c r="A420" s="24"/>
      <c r="B420" s="24"/>
      <c r="C420" s="24"/>
      <c r="D420" s="24"/>
      <c r="E420" s="24"/>
      <c r="F420" s="24"/>
      <c r="G420" s="24"/>
      <c r="H420" s="24"/>
      <c r="I420" s="24"/>
      <c r="J420" s="24"/>
      <c r="K420" s="24"/>
      <c r="L420" s="24"/>
      <c r="M420" s="24"/>
      <c r="N420" s="35"/>
      <c r="O420" s="24"/>
      <c r="P420" s="35"/>
      <c r="Q420" s="24"/>
      <c r="R420" s="24"/>
      <c r="S420" s="24"/>
      <c r="T420" s="24"/>
      <c r="U420" s="54"/>
      <c r="V420" s="54"/>
      <c r="W420" s="54"/>
      <c r="X420" s="54"/>
      <c r="Y420" s="54"/>
      <c r="Z420" s="54"/>
    </row>
    <row r="421" spans="1:26" ht="14.25" customHeight="1">
      <c r="A421" s="24"/>
      <c r="B421" s="24"/>
      <c r="C421" s="24"/>
      <c r="D421" s="24"/>
      <c r="E421" s="24"/>
      <c r="F421" s="24"/>
      <c r="G421" s="24"/>
      <c r="H421" s="24"/>
      <c r="I421" s="24"/>
      <c r="J421" s="24"/>
      <c r="K421" s="24"/>
      <c r="L421" s="24"/>
      <c r="M421" s="24"/>
      <c r="N421" s="35"/>
      <c r="O421" s="24"/>
      <c r="P421" s="35"/>
      <c r="Q421" s="24"/>
      <c r="R421" s="24"/>
      <c r="S421" s="24"/>
      <c r="T421" s="24"/>
      <c r="U421" s="54"/>
      <c r="V421" s="54"/>
      <c r="W421" s="54"/>
      <c r="X421" s="54"/>
      <c r="Y421" s="54"/>
      <c r="Z421" s="54"/>
    </row>
    <row r="422" spans="1:26" ht="14.25" customHeight="1">
      <c r="A422" s="24"/>
      <c r="B422" s="24"/>
      <c r="C422" s="24"/>
      <c r="D422" s="24"/>
      <c r="E422" s="24"/>
      <c r="F422" s="24"/>
      <c r="G422" s="24"/>
      <c r="H422" s="24"/>
      <c r="I422" s="24"/>
      <c r="J422" s="24"/>
      <c r="K422" s="24"/>
      <c r="L422" s="24"/>
      <c r="M422" s="24"/>
      <c r="N422" s="35"/>
      <c r="O422" s="24"/>
      <c r="P422" s="35"/>
      <c r="Q422" s="24"/>
      <c r="R422" s="24"/>
      <c r="S422" s="24"/>
      <c r="T422" s="24"/>
      <c r="U422" s="54"/>
      <c r="V422" s="54"/>
      <c r="W422" s="54"/>
      <c r="X422" s="54"/>
      <c r="Y422" s="54"/>
      <c r="Z422" s="54"/>
    </row>
    <row r="423" spans="1:26" ht="14.25" customHeight="1">
      <c r="A423" s="24"/>
      <c r="B423" s="24"/>
      <c r="C423" s="24"/>
      <c r="D423" s="24"/>
      <c r="E423" s="24"/>
      <c r="F423" s="24"/>
      <c r="G423" s="24"/>
      <c r="H423" s="24"/>
      <c r="I423" s="24"/>
      <c r="J423" s="24"/>
      <c r="K423" s="24"/>
      <c r="L423" s="24"/>
      <c r="M423" s="24"/>
      <c r="N423" s="35"/>
      <c r="O423" s="24"/>
      <c r="P423" s="35"/>
      <c r="Q423" s="24"/>
      <c r="R423" s="24"/>
      <c r="S423" s="24"/>
      <c r="T423" s="24"/>
      <c r="U423" s="54"/>
      <c r="V423" s="54"/>
      <c r="W423" s="54"/>
      <c r="X423" s="54"/>
      <c r="Y423" s="54"/>
      <c r="Z423" s="54"/>
    </row>
    <row r="424" spans="1:26" ht="14.25" customHeight="1">
      <c r="A424" s="24"/>
      <c r="B424" s="24"/>
      <c r="C424" s="24"/>
      <c r="D424" s="24"/>
      <c r="E424" s="24"/>
      <c r="F424" s="24"/>
      <c r="G424" s="24"/>
      <c r="H424" s="24"/>
      <c r="I424" s="24"/>
      <c r="J424" s="24"/>
      <c r="K424" s="24"/>
      <c r="L424" s="24"/>
      <c r="M424" s="24"/>
      <c r="N424" s="35"/>
      <c r="O424" s="24"/>
      <c r="P424" s="35"/>
      <c r="Q424" s="24"/>
      <c r="R424" s="24"/>
      <c r="S424" s="24"/>
      <c r="T424" s="24"/>
      <c r="U424" s="54"/>
      <c r="V424" s="54"/>
      <c r="W424" s="54"/>
      <c r="X424" s="54"/>
      <c r="Y424" s="54"/>
      <c r="Z424" s="54"/>
    </row>
    <row r="425" spans="1:26" ht="14.25" customHeight="1">
      <c r="A425" s="24"/>
      <c r="B425" s="24"/>
      <c r="C425" s="24"/>
      <c r="D425" s="24"/>
      <c r="E425" s="24"/>
      <c r="F425" s="24"/>
      <c r="G425" s="24"/>
      <c r="H425" s="24"/>
      <c r="I425" s="24"/>
      <c r="J425" s="24"/>
      <c r="K425" s="24"/>
      <c r="L425" s="24"/>
      <c r="M425" s="24"/>
      <c r="N425" s="35"/>
      <c r="O425" s="24"/>
      <c r="P425" s="35"/>
      <c r="Q425" s="24"/>
      <c r="R425" s="24"/>
      <c r="S425" s="24"/>
      <c r="T425" s="24"/>
      <c r="U425" s="54"/>
      <c r="V425" s="54"/>
      <c r="W425" s="54"/>
      <c r="X425" s="54"/>
      <c r="Y425" s="54"/>
      <c r="Z425" s="54"/>
    </row>
    <row r="426" spans="1:26" ht="14.25" customHeight="1">
      <c r="A426" s="24"/>
      <c r="B426" s="24"/>
      <c r="C426" s="24"/>
      <c r="D426" s="24"/>
      <c r="E426" s="24"/>
      <c r="F426" s="24"/>
      <c r="G426" s="24"/>
      <c r="H426" s="24"/>
      <c r="I426" s="24"/>
      <c r="J426" s="24"/>
      <c r="K426" s="24"/>
      <c r="L426" s="24"/>
      <c r="M426" s="24"/>
      <c r="N426" s="35"/>
      <c r="O426" s="24"/>
      <c r="P426" s="35"/>
      <c r="Q426" s="24"/>
      <c r="R426" s="24"/>
      <c r="S426" s="24"/>
      <c r="T426" s="24"/>
      <c r="U426" s="54"/>
      <c r="V426" s="54"/>
      <c r="W426" s="54"/>
      <c r="X426" s="54"/>
      <c r="Y426" s="54"/>
      <c r="Z426" s="54"/>
    </row>
    <row r="427" spans="1:26" ht="14.25" customHeight="1">
      <c r="A427" s="24"/>
      <c r="B427" s="24"/>
      <c r="C427" s="24"/>
      <c r="D427" s="24"/>
      <c r="E427" s="24"/>
      <c r="F427" s="24"/>
      <c r="G427" s="24"/>
      <c r="H427" s="24"/>
      <c r="I427" s="24"/>
      <c r="J427" s="24"/>
      <c r="K427" s="24"/>
      <c r="L427" s="24"/>
      <c r="M427" s="24"/>
      <c r="N427" s="35"/>
      <c r="O427" s="24"/>
      <c r="P427" s="35"/>
      <c r="Q427" s="24"/>
      <c r="R427" s="24"/>
      <c r="S427" s="24"/>
      <c r="T427" s="24"/>
      <c r="U427" s="54"/>
      <c r="V427" s="54"/>
      <c r="W427" s="54"/>
      <c r="X427" s="54"/>
      <c r="Y427" s="54"/>
      <c r="Z427" s="54"/>
    </row>
    <row r="428" spans="1:26" ht="14.25" customHeight="1">
      <c r="A428" s="24"/>
      <c r="B428" s="24"/>
      <c r="C428" s="24"/>
      <c r="D428" s="24"/>
      <c r="E428" s="24"/>
      <c r="F428" s="24"/>
      <c r="G428" s="24"/>
      <c r="H428" s="24"/>
      <c r="I428" s="24"/>
      <c r="J428" s="24"/>
      <c r="K428" s="24"/>
      <c r="L428" s="24"/>
      <c r="M428" s="24"/>
      <c r="N428" s="35"/>
      <c r="O428" s="24"/>
      <c r="P428" s="35"/>
      <c r="Q428" s="24"/>
      <c r="R428" s="24"/>
      <c r="S428" s="24"/>
      <c r="T428" s="24"/>
      <c r="U428" s="54"/>
      <c r="V428" s="54"/>
      <c r="W428" s="54"/>
      <c r="X428" s="54"/>
      <c r="Y428" s="54"/>
      <c r="Z428" s="54"/>
    </row>
    <row r="429" spans="1:26" ht="14.25" customHeight="1">
      <c r="A429" s="24"/>
      <c r="B429" s="24"/>
      <c r="C429" s="24"/>
      <c r="D429" s="24"/>
      <c r="E429" s="24"/>
      <c r="F429" s="24"/>
      <c r="G429" s="24"/>
      <c r="H429" s="24"/>
      <c r="I429" s="24"/>
      <c r="J429" s="24"/>
      <c r="K429" s="24"/>
      <c r="L429" s="24"/>
      <c r="M429" s="24"/>
      <c r="N429" s="35"/>
      <c r="O429" s="24"/>
      <c r="P429" s="35"/>
      <c r="Q429" s="24"/>
      <c r="R429" s="24"/>
      <c r="S429" s="24"/>
      <c r="T429" s="24"/>
      <c r="U429" s="54"/>
      <c r="V429" s="54"/>
      <c r="W429" s="54"/>
      <c r="X429" s="54"/>
      <c r="Y429" s="54"/>
      <c r="Z429" s="54"/>
    </row>
    <row r="430" spans="1:26" ht="14.25" customHeight="1">
      <c r="A430" s="24"/>
      <c r="B430" s="24"/>
      <c r="C430" s="24"/>
      <c r="D430" s="24"/>
      <c r="E430" s="24"/>
      <c r="F430" s="24"/>
      <c r="G430" s="24"/>
      <c r="H430" s="24"/>
      <c r="I430" s="24"/>
      <c r="J430" s="24"/>
      <c r="K430" s="24"/>
      <c r="L430" s="24"/>
      <c r="M430" s="24"/>
      <c r="N430" s="35"/>
      <c r="O430" s="24"/>
      <c r="P430" s="35"/>
      <c r="Q430" s="24"/>
      <c r="R430" s="24"/>
      <c r="S430" s="24"/>
      <c r="T430" s="24"/>
      <c r="U430" s="54"/>
      <c r="V430" s="54"/>
      <c r="W430" s="54"/>
      <c r="X430" s="54"/>
      <c r="Y430" s="54"/>
      <c r="Z430" s="54"/>
    </row>
    <row r="431" spans="1:26" ht="14.25" customHeight="1">
      <c r="A431" s="24"/>
      <c r="B431" s="24"/>
      <c r="C431" s="24"/>
      <c r="D431" s="24"/>
      <c r="E431" s="24"/>
      <c r="F431" s="24"/>
      <c r="G431" s="24"/>
      <c r="H431" s="24"/>
      <c r="I431" s="24"/>
      <c r="J431" s="24"/>
      <c r="K431" s="24"/>
      <c r="L431" s="24"/>
      <c r="M431" s="24"/>
      <c r="N431" s="35"/>
      <c r="O431" s="24"/>
      <c r="P431" s="35"/>
      <c r="Q431" s="24"/>
      <c r="R431" s="24"/>
      <c r="S431" s="24"/>
      <c r="T431" s="24"/>
      <c r="U431" s="54"/>
      <c r="V431" s="54"/>
      <c r="W431" s="54"/>
      <c r="X431" s="54"/>
      <c r="Y431" s="54"/>
      <c r="Z431" s="54"/>
    </row>
    <row r="432" spans="1:26" ht="14.25" customHeight="1">
      <c r="A432" s="24"/>
      <c r="B432" s="24"/>
      <c r="C432" s="24"/>
      <c r="D432" s="24"/>
      <c r="E432" s="24"/>
      <c r="F432" s="24"/>
      <c r="G432" s="24"/>
      <c r="H432" s="24"/>
      <c r="I432" s="24"/>
      <c r="J432" s="24"/>
      <c r="K432" s="24"/>
      <c r="L432" s="24"/>
      <c r="M432" s="24"/>
      <c r="N432" s="35"/>
      <c r="O432" s="24"/>
      <c r="P432" s="35"/>
      <c r="Q432" s="24"/>
      <c r="R432" s="24"/>
      <c r="S432" s="24"/>
      <c r="T432" s="24"/>
      <c r="U432" s="54"/>
      <c r="V432" s="54"/>
      <c r="W432" s="54"/>
      <c r="X432" s="54"/>
      <c r="Y432" s="54"/>
      <c r="Z432" s="54"/>
    </row>
    <row r="433" spans="1:26" ht="14.25" customHeight="1">
      <c r="A433" s="24"/>
      <c r="B433" s="24"/>
      <c r="C433" s="24"/>
      <c r="D433" s="24"/>
      <c r="E433" s="24"/>
      <c r="F433" s="24"/>
      <c r="G433" s="24"/>
      <c r="H433" s="24"/>
      <c r="I433" s="24"/>
      <c r="J433" s="24"/>
      <c r="K433" s="24"/>
      <c r="L433" s="24"/>
      <c r="M433" s="24"/>
      <c r="N433" s="35"/>
      <c r="O433" s="24"/>
      <c r="P433" s="35"/>
      <c r="Q433" s="24"/>
      <c r="R433" s="24"/>
      <c r="S433" s="24"/>
      <c r="T433" s="24"/>
      <c r="U433" s="54"/>
      <c r="V433" s="54"/>
      <c r="W433" s="54"/>
      <c r="X433" s="54"/>
      <c r="Y433" s="54"/>
      <c r="Z433" s="54"/>
    </row>
    <row r="434" spans="1:26" ht="14.25" customHeight="1">
      <c r="A434" s="24"/>
      <c r="B434" s="24"/>
      <c r="C434" s="24"/>
      <c r="D434" s="24"/>
      <c r="E434" s="24"/>
      <c r="F434" s="24"/>
      <c r="G434" s="24"/>
      <c r="H434" s="24"/>
      <c r="I434" s="24"/>
      <c r="J434" s="24"/>
      <c r="K434" s="24"/>
      <c r="L434" s="24"/>
      <c r="M434" s="24"/>
      <c r="N434" s="35"/>
      <c r="O434" s="24"/>
      <c r="P434" s="35"/>
      <c r="Q434" s="24"/>
      <c r="R434" s="24"/>
      <c r="S434" s="24"/>
      <c r="T434" s="24"/>
      <c r="U434" s="54"/>
      <c r="V434" s="54"/>
      <c r="W434" s="54"/>
      <c r="X434" s="54"/>
      <c r="Y434" s="54"/>
      <c r="Z434" s="54"/>
    </row>
    <row r="435" spans="1:26" ht="14.25" customHeight="1">
      <c r="A435" s="24"/>
      <c r="B435" s="24"/>
      <c r="C435" s="24"/>
      <c r="D435" s="24"/>
      <c r="E435" s="24"/>
      <c r="F435" s="24"/>
      <c r="G435" s="24"/>
      <c r="H435" s="24"/>
      <c r="I435" s="24"/>
      <c r="J435" s="24"/>
      <c r="K435" s="24"/>
      <c r="L435" s="24"/>
      <c r="M435" s="24"/>
      <c r="N435" s="35"/>
      <c r="O435" s="24"/>
      <c r="P435" s="35"/>
      <c r="Q435" s="24"/>
      <c r="R435" s="24"/>
      <c r="S435" s="24"/>
      <c r="T435" s="24"/>
      <c r="U435" s="54"/>
      <c r="V435" s="54"/>
      <c r="W435" s="54"/>
      <c r="X435" s="54"/>
      <c r="Y435" s="54"/>
      <c r="Z435" s="54"/>
    </row>
    <row r="436" spans="1:26" ht="14.25" customHeight="1">
      <c r="A436" s="24"/>
      <c r="B436" s="24"/>
      <c r="C436" s="24"/>
      <c r="D436" s="24"/>
      <c r="E436" s="24"/>
      <c r="F436" s="24"/>
      <c r="G436" s="24"/>
      <c r="H436" s="24"/>
      <c r="I436" s="24"/>
      <c r="J436" s="24"/>
      <c r="K436" s="24"/>
      <c r="L436" s="24"/>
      <c r="M436" s="24"/>
      <c r="N436" s="35"/>
      <c r="O436" s="24"/>
      <c r="P436" s="35"/>
      <c r="Q436" s="24"/>
      <c r="R436" s="24"/>
      <c r="S436" s="24"/>
      <c r="T436" s="24"/>
      <c r="U436" s="54"/>
      <c r="V436" s="54"/>
      <c r="W436" s="54"/>
      <c r="X436" s="54"/>
      <c r="Y436" s="54"/>
      <c r="Z436" s="54"/>
    </row>
    <row r="437" spans="1:26" ht="14.25" customHeight="1">
      <c r="A437" s="24"/>
      <c r="B437" s="24"/>
      <c r="C437" s="24"/>
      <c r="D437" s="24"/>
      <c r="E437" s="24"/>
      <c r="F437" s="24"/>
      <c r="G437" s="24"/>
      <c r="H437" s="24"/>
      <c r="I437" s="24"/>
      <c r="J437" s="24"/>
      <c r="K437" s="24"/>
      <c r="L437" s="24"/>
      <c r="M437" s="24"/>
      <c r="N437" s="35"/>
      <c r="O437" s="24"/>
      <c r="P437" s="35"/>
      <c r="Q437" s="24"/>
      <c r="R437" s="24"/>
      <c r="S437" s="24"/>
      <c r="T437" s="24"/>
      <c r="U437" s="54"/>
      <c r="V437" s="54"/>
      <c r="W437" s="54"/>
      <c r="X437" s="54"/>
      <c r="Y437" s="54"/>
      <c r="Z437" s="54"/>
    </row>
    <row r="438" spans="1:26" ht="14.25" customHeight="1">
      <c r="A438" s="24"/>
      <c r="B438" s="24"/>
      <c r="C438" s="24"/>
      <c r="D438" s="24"/>
      <c r="E438" s="24"/>
      <c r="F438" s="24"/>
      <c r="G438" s="24"/>
      <c r="H438" s="24"/>
      <c r="I438" s="24"/>
      <c r="J438" s="24"/>
      <c r="K438" s="24"/>
      <c r="L438" s="24"/>
      <c r="M438" s="24"/>
      <c r="N438" s="35"/>
      <c r="O438" s="24"/>
      <c r="P438" s="35"/>
      <c r="Q438" s="24"/>
      <c r="R438" s="24"/>
      <c r="S438" s="24"/>
      <c r="T438" s="24"/>
      <c r="U438" s="54"/>
      <c r="V438" s="54"/>
      <c r="W438" s="54"/>
      <c r="X438" s="54"/>
      <c r="Y438" s="54"/>
      <c r="Z438" s="54"/>
    </row>
    <row r="439" spans="1:26" ht="14.25" customHeight="1">
      <c r="A439" s="24"/>
      <c r="B439" s="24"/>
      <c r="C439" s="24"/>
      <c r="D439" s="24"/>
      <c r="E439" s="24"/>
      <c r="F439" s="24"/>
      <c r="G439" s="24"/>
      <c r="H439" s="24"/>
      <c r="I439" s="24"/>
      <c r="J439" s="24"/>
      <c r="K439" s="24"/>
      <c r="L439" s="24"/>
      <c r="M439" s="24"/>
      <c r="N439" s="35"/>
      <c r="O439" s="24"/>
      <c r="P439" s="35"/>
      <c r="Q439" s="24"/>
      <c r="R439" s="24"/>
      <c r="S439" s="24"/>
      <c r="T439" s="24"/>
      <c r="U439" s="54"/>
      <c r="V439" s="54"/>
      <c r="W439" s="54"/>
      <c r="X439" s="54"/>
      <c r="Y439" s="54"/>
      <c r="Z439" s="54"/>
    </row>
    <row r="440" spans="1:26" ht="14.25" customHeight="1">
      <c r="A440" s="24"/>
      <c r="B440" s="24"/>
      <c r="C440" s="24"/>
      <c r="D440" s="24"/>
      <c r="E440" s="24"/>
      <c r="F440" s="24"/>
      <c r="G440" s="24"/>
      <c r="H440" s="24"/>
      <c r="I440" s="24"/>
      <c r="J440" s="24"/>
      <c r="K440" s="24"/>
      <c r="L440" s="24"/>
      <c r="M440" s="24"/>
      <c r="N440" s="35"/>
      <c r="O440" s="24"/>
      <c r="P440" s="35"/>
      <c r="Q440" s="24"/>
      <c r="R440" s="24"/>
      <c r="S440" s="24"/>
      <c r="T440" s="24"/>
      <c r="U440" s="54"/>
      <c r="V440" s="54"/>
      <c r="W440" s="54"/>
      <c r="X440" s="54"/>
      <c r="Y440" s="54"/>
      <c r="Z440" s="54"/>
    </row>
    <row r="441" spans="1:26" ht="14.25" customHeight="1">
      <c r="A441" s="24"/>
      <c r="B441" s="24"/>
      <c r="C441" s="24"/>
      <c r="D441" s="24"/>
      <c r="E441" s="24"/>
      <c r="F441" s="24"/>
      <c r="G441" s="24"/>
      <c r="H441" s="24"/>
      <c r="I441" s="24"/>
      <c r="J441" s="24"/>
      <c r="K441" s="24"/>
      <c r="L441" s="24"/>
      <c r="M441" s="24"/>
      <c r="N441" s="35"/>
      <c r="O441" s="24"/>
      <c r="P441" s="35"/>
      <c r="Q441" s="24"/>
      <c r="R441" s="24"/>
      <c r="S441" s="24"/>
      <c r="T441" s="24"/>
      <c r="U441" s="54"/>
      <c r="V441" s="54"/>
      <c r="W441" s="54"/>
      <c r="X441" s="54"/>
      <c r="Y441" s="54"/>
      <c r="Z441" s="54"/>
    </row>
    <row r="442" spans="1:26" ht="14.25" customHeight="1">
      <c r="A442" s="24"/>
      <c r="B442" s="24"/>
      <c r="C442" s="24"/>
      <c r="D442" s="24"/>
      <c r="E442" s="24"/>
      <c r="F442" s="24"/>
      <c r="G442" s="24"/>
      <c r="H442" s="24"/>
      <c r="I442" s="24"/>
      <c r="J442" s="24"/>
      <c r="K442" s="24"/>
      <c r="L442" s="24"/>
      <c r="M442" s="24"/>
      <c r="N442" s="35"/>
      <c r="O442" s="24"/>
      <c r="P442" s="35"/>
      <c r="Q442" s="24"/>
      <c r="R442" s="24"/>
      <c r="S442" s="24"/>
      <c r="T442" s="24"/>
      <c r="U442" s="54"/>
      <c r="V442" s="54"/>
      <c r="W442" s="54"/>
      <c r="X442" s="54"/>
      <c r="Y442" s="54"/>
      <c r="Z442" s="54"/>
    </row>
    <row r="443" spans="1:26" ht="14.25" customHeight="1">
      <c r="A443" s="24"/>
      <c r="B443" s="24"/>
      <c r="C443" s="24"/>
      <c r="D443" s="24"/>
      <c r="E443" s="24"/>
      <c r="F443" s="24"/>
      <c r="G443" s="24"/>
      <c r="H443" s="24"/>
      <c r="I443" s="24"/>
      <c r="J443" s="24"/>
      <c r="K443" s="24"/>
      <c r="L443" s="24"/>
      <c r="M443" s="24"/>
      <c r="N443" s="35"/>
      <c r="O443" s="24"/>
      <c r="P443" s="35"/>
      <c r="Q443" s="24"/>
      <c r="R443" s="24"/>
      <c r="S443" s="24"/>
      <c r="T443" s="24"/>
      <c r="U443" s="54"/>
      <c r="V443" s="54"/>
      <c r="W443" s="54"/>
      <c r="X443" s="54"/>
      <c r="Y443" s="54"/>
      <c r="Z443" s="54"/>
    </row>
    <row r="444" spans="1:26" ht="14.25" customHeight="1">
      <c r="A444" s="24"/>
      <c r="B444" s="24"/>
      <c r="C444" s="24"/>
      <c r="D444" s="24"/>
      <c r="E444" s="24"/>
      <c r="F444" s="24"/>
      <c r="G444" s="24"/>
      <c r="H444" s="24"/>
      <c r="I444" s="24"/>
      <c r="J444" s="24"/>
      <c r="K444" s="24"/>
      <c r="L444" s="24"/>
      <c r="M444" s="24"/>
      <c r="N444" s="35"/>
      <c r="O444" s="24"/>
      <c r="P444" s="35"/>
      <c r="Q444" s="24"/>
      <c r="R444" s="24"/>
      <c r="S444" s="24"/>
      <c r="T444" s="24"/>
      <c r="U444" s="54"/>
      <c r="V444" s="54"/>
      <c r="W444" s="54"/>
      <c r="X444" s="54"/>
      <c r="Y444" s="54"/>
      <c r="Z444" s="54"/>
    </row>
    <row r="445" spans="1:26" ht="14.25" customHeight="1">
      <c r="A445" s="24"/>
      <c r="B445" s="24"/>
      <c r="C445" s="24"/>
      <c r="D445" s="24"/>
      <c r="E445" s="24"/>
      <c r="F445" s="24"/>
      <c r="G445" s="24"/>
      <c r="H445" s="24"/>
      <c r="I445" s="24"/>
      <c r="J445" s="24"/>
      <c r="K445" s="24"/>
      <c r="L445" s="24"/>
      <c r="M445" s="24"/>
      <c r="N445" s="35"/>
      <c r="O445" s="24"/>
      <c r="P445" s="35"/>
      <c r="Q445" s="24"/>
      <c r="R445" s="24"/>
      <c r="S445" s="24"/>
      <c r="T445" s="24"/>
      <c r="U445" s="54"/>
      <c r="V445" s="54"/>
      <c r="W445" s="54"/>
      <c r="X445" s="54"/>
      <c r="Y445" s="54"/>
      <c r="Z445" s="54"/>
    </row>
    <row r="446" spans="1:26" ht="14.25" customHeight="1">
      <c r="A446" s="24"/>
      <c r="B446" s="24"/>
      <c r="C446" s="24"/>
      <c r="D446" s="24"/>
      <c r="E446" s="24"/>
      <c r="F446" s="24"/>
      <c r="G446" s="24"/>
      <c r="H446" s="24"/>
      <c r="I446" s="24"/>
      <c r="J446" s="24"/>
      <c r="K446" s="24"/>
      <c r="L446" s="24"/>
      <c r="M446" s="24"/>
      <c r="N446" s="35"/>
      <c r="O446" s="24"/>
      <c r="P446" s="35"/>
      <c r="Q446" s="24"/>
      <c r="R446" s="24"/>
      <c r="S446" s="24"/>
      <c r="T446" s="24"/>
      <c r="U446" s="54"/>
      <c r="V446" s="54"/>
      <c r="W446" s="54"/>
      <c r="X446" s="54"/>
      <c r="Y446" s="54"/>
      <c r="Z446" s="54"/>
    </row>
    <row r="447" spans="1:26" ht="14.25" customHeight="1">
      <c r="A447" s="24"/>
      <c r="B447" s="24"/>
      <c r="C447" s="24"/>
      <c r="D447" s="24"/>
      <c r="E447" s="24"/>
      <c r="F447" s="24"/>
      <c r="G447" s="24"/>
      <c r="H447" s="24"/>
      <c r="I447" s="24"/>
      <c r="J447" s="24"/>
      <c r="K447" s="24"/>
      <c r="L447" s="24"/>
      <c r="M447" s="24"/>
      <c r="N447" s="35"/>
      <c r="O447" s="24"/>
      <c r="P447" s="35"/>
      <c r="Q447" s="24"/>
      <c r="R447" s="24"/>
      <c r="S447" s="24"/>
      <c r="T447" s="24"/>
      <c r="U447" s="54"/>
      <c r="V447" s="54"/>
      <c r="W447" s="54"/>
      <c r="X447" s="54"/>
      <c r="Y447" s="54"/>
      <c r="Z447" s="54"/>
    </row>
    <row r="448" spans="1:26" ht="14.25" customHeight="1">
      <c r="A448" s="24"/>
      <c r="B448" s="24"/>
      <c r="C448" s="24"/>
      <c r="D448" s="24"/>
      <c r="E448" s="24"/>
      <c r="F448" s="24"/>
      <c r="G448" s="24"/>
      <c r="H448" s="24"/>
      <c r="I448" s="24"/>
      <c r="J448" s="24"/>
      <c r="K448" s="24"/>
      <c r="L448" s="24"/>
      <c r="M448" s="24"/>
      <c r="N448" s="35"/>
      <c r="O448" s="24"/>
      <c r="P448" s="35"/>
      <c r="Q448" s="24"/>
      <c r="R448" s="24"/>
      <c r="S448" s="24"/>
      <c r="T448" s="24"/>
      <c r="U448" s="54"/>
      <c r="V448" s="54"/>
      <c r="W448" s="54"/>
      <c r="X448" s="54"/>
      <c r="Y448" s="54"/>
      <c r="Z448" s="54"/>
    </row>
    <row r="449" spans="1:26" ht="14.25" customHeight="1">
      <c r="A449" s="24"/>
      <c r="B449" s="24"/>
      <c r="C449" s="24"/>
      <c r="D449" s="24"/>
      <c r="E449" s="24"/>
      <c r="F449" s="24"/>
      <c r="G449" s="24"/>
      <c r="H449" s="24"/>
      <c r="I449" s="24"/>
      <c r="J449" s="24"/>
      <c r="K449" s="24"/>
      <c r="L449" s="24"/>
      <c r="M449" s="24"/>
      <c r="N449" s="35"/>
      <c r="O449" s="24"/>
      <c r="P449" s="35"/>
      <c r="Q449" s="24"/>
      <c r="R449" s="24"/>
      <c r="S449" s="24"/>
      <c r="T449" s="24"/>
      <c r="U449" s="54"/>
      <c r="V449" s="54"/>
      <c r="W449" s="54"/>
      <c r="X449" s="54"/>
      <c r="Y449" s="54"/>
      <c r="Z449" s="54"/>
    </row>
    <row r="450" spans="1:26" ht="14.25" customHeight="1">
      <c r="A450" s="24"/>
      <c r="B450" s="24"/>
      <c r="C450" s="24"/>
      <c r="D450" s="24"/>
      <c r="E450" s="24"/>
      <c r="F450" s="24"/>
      <c r="G450" s="24"/>
      <c r="H450" s="24"/>
      <c r="I450" s="24"/>
      <c r="J450" s="24"/>
      <c r="K450" s="24"/>
      <c r="L450" s="24"/>
      <c r="M450" s="24"/>
      <c r="N450" s="35"/>
      <c r="O450" s="24"/>
      <c r="P450" s="35"/>
      <c r="Q450" s="24"/>
      <c r="R450" s="24"/>
      <c r="S450" s="24"/>
      <c r="T450" s="24"/>
      <c r="U450" s="54"/>
      <c r="V450" s="54"/>
      <c r="W450" s="54"/>
      <c r="X450" s="54"/>
      <c r="Y450" s="54"/>
      <c r="Z450" s="54"/>
    </row>
    <row r="451" spans="1:26" ht="14.25" customHeight="1">
      <c r="A451" s="24"/>
      <c r="B451" s="24"/>
      <c r="C451" s="24"/>
      <c r="D451" s="24"/>
      <c r="E451" s="24"/>
      <c r="F451" s="24"/>
      <c r="G451" s="24"/>
      <c r="H451" s="24"/>
      <c r="I451" s="24"/>
      <c r="J451" s="24"/>
      <c r="K451" s="24"/>
      <c r="L451" s="24"/>
      <c r="M451" s="24"/>
      <c r="N451" s="35"/>
      <c r="O451" s="24"/>
      <c r="P451" s="35"/>
      <c r="Q451" s="24"/>
      <c r="R451" s="24"/>
      <c r="S451" s="24"/>
      <c r="T451" s="24"/>
      <c r="U451" s="54"/>
      <c r="V451" s="54"/>
      <c r="W451" s="54"/>
      <c r="X451" s="54"/>
      <c r="Y451" s="54"/>
      <c r="Z451" s="54"/>
    </row>
    <row r="452" spans="1:26" ht="14.25" customHeight="1">
      <c r="A452" s="24"/>
      <c r="B452" s="24"/>
      <c r="C452" s="24"/>
      <c r="D452" s="24"/>
      <c r="E452" s="24"/>
      <c r="F452" s="24"/>
      <c r="G452" s="24"/>
      <c r="H452" s="24"/>
      <c r="I452" s="24"/>
      <c r="J452" s="24"/>
      <c r="K452" s="24"/>
      <c r="L452" s="24"/>
      <c r="M452" s="24"/>
      <c r="N452" s="35"/>
      <c r="O452" s="24"/>
      <c r="P452" s="35"/>
      <c r="Q452" s="24"/>
      <c r="R452" s="24"/>
      <c r="S452" s="24"/>
      <c r="T452" s="24"/>
      <c r="U452" s="54"/>
      <c r="V452" s="54"/>
      <c r="W452" s="54"/>
      <c r="X452" s="54"/>
      <c r="Y452" s="54"/>
      <c r="Z452" s="54"/>
    </row>
    <row r="453" spans="1:26" ht="14.25" customHeight="1">
      <c r="A453" s="24"/>
      <c r="B453" s="24"/>
      <c r="C453" s="24"/>
      <c r="D453" s="24"/>
      <c r="E453" s="24"/>
      <c r="F453" s="24"/>
      <c r="G453" s="24"/>
      <c r="H453" s="24"/>
      <c r="I453" s="24"/>
      <c r="J453" s="24"/>
      <c r="K453" s="24"/>
      <c r="L453" s="24"/>
      <c r="M453" s="24"/>
      <c r="N453" s="35"/>
      <c r="O453" s="24"/>
      <c r="P453" s="35"/>
      <c r="Q453" s="24"/>
      <c r="R453" s="24"/>
      <c r="S453" s="24"/>
      <c r="T453" s="24"/>
      <c r="U453" s="54"/>
      <c r="V453" s="54"/>
      <c r="W453" s="54"/>
      <c r="X453" s="54"/>
      <c r="Y453" s="54"/>
      <c r="Z453" s="54"/>
    </row>
    <row r="454" spans="1:26" ht="14.25" customHeight="1">
      <c r="A454" s="24"/>
      <c r="B454" s="24"/>
      <c r="C454" s="24"/>
      <c r="D454" s="24"/>
      <c r="E454" s="24"/>
      <c r="F454" s="24"/>
      <c r="G454" s="24"/>
      <c r="H454" s="24"/>
      <c r="I454" s="24"/>
      <c r="J454" s="24"/>
      <c r="K454" s="24"/>
      <c r="L454" s="24"/>
      <c r="M454" s="24"/>
      <c r="N454" s="35"/>
      <c r="O454" s="24"/>
      <c r="P454" s="35"/>
      <c r="Q454" s="24"/>
      <c r="R454" s="24"/>
      <c r="S454" s="24"/>
      <c r="T454" s="24"/>
      <c r="U454" s="54"/>
      <c r="V454" s="54"/>
      <c r="W454" s="54"/>
      <c r="X454" s="54"/>
      <c r="Y454" s="54"/>
      <c r="Z454" s="54"/>
    </row>
    <row r="455" spans="1:26" ht="14.25" customHeight="1">
      <c r="A455" s="24"/>
      <c r="B455" s="24"/>
      <c r="C455" s="24"/>
      <c r="D455" s="24"/>
      <c r="E455" s="24"/>
      <c r="F455" s="24"/>
      <c r="G455" s="24"/>
      <c r="H455" s="24"/>
      <c r="I455" s="24"/>
      <c r="J455" s="24"/>
      <c r="K455" s="24"/>
      <c r="L455" s="24"/>
      <c r="M455" s="24"/>
      <c r="N455" s="35"/>
      <c r="O455" s="24"/>
      <c r="P455" s="35"/>
      <c r="Q455" s="24"/>
      <c r="R455" s="24"/>
      <c r="S455" s="24"/>
      <c r="T455" s="24"/>
      <c r="U455" s="54"/>
      <c r="V455" s="54"/>
      <c r="W455" s="54"/>
      <c r="X455" s="54"/>
      <c r="Y455" s="54"/>
      <c r="Z455" s="54"/>
    </row>
    <row r="456" spans="1:26" ht="14.25" customHeight="1">
      <c r="A456" s="24"/>
      <c r="B456" s="24"/>
      <c r="C456" s="24"/>
      <c r="D456" s="24"/>
      <c r="E456" s="24"/>
      <c r="F456" s="24"/>
      <c r="G456" s="24"/>
      <c r="H456" s="24"/>
      <c r="I456" s="24"/>
      <c r="J456" s="24"/>
      <c r="K456" s="24"/>
      <c r="L456" s="24"/>
      <c r="M456" s="24"/>
      <c r="N456" s="35"/>
      <c r="O456" s="24"/>
      <c r="P456" s="35"/>
      <c r="Q456" s="24"/>
      <c r="R456" s="24"/>
      <c r="S456" s="24"/>
      <c r="T456" s="24"/>
      <c r="U456" s="54"/>
      <c r="V456" s="54"/>
      <c r="W456" s="54"/>
      <c r="X456" s="54"/>
      <c r="Y456" s="54"/>
      <c r="Z456" s="54"/>
    </row>
    <row r="457" spans="1:26" ht="14.25" customHeight="1">
      <c r="A457" s="24"/>
      <c r="B457" s="24"/>
      <c r="C457" s="24"/>
      <c r="D457" s="24"/>
      <c r="E457" s="24"/>
      <c r="F457" s="24"/>
      <c r="G457" s="24"/>
      <c r="H457" s="24"/>
      <c r="I457" s="24"/>
      <c r="J457" s="24"/>
      <c r="K457" s="24"/>
      <c r="L457" s="24"/>
      <c r="M457" s="24"/>
      <c r="N457" s="35"/>
      <c r="O457" s="24"/>
      <c r="P457" s="35"/>
      <c r="Q457" s="24"/>
      <c r="R457" s="24"/>
      <c r="S457" s="24"/>
      <c r="T457" s="24"/>
      <c r="U457" s="54"/>
      <c r="V457" s="54"/>
      <c r="W457" s="54"/>
      <c r="X457" s="54"/>
      <c r="Y457" s="54"/>
      <c r="Z457" s="54"/>
    </row>
    <row r="458" spans="1:26" ht="14.25" customHeight="1">
      <c r="A458" s="24"/>
      <c r="B458" s="24"/>
      <c r="C458" s="24"/>
      <c r="D458" s="24"/>
      <c r="E458" s="24"/>
      <c r="F458" s="24"/>
      <c r="G458" s="24"/>
      <c r="H458" s="24"/>
      <c r="I458" s="24"/>
      <c r="J458" s="24"/>
      <c r="K458" s="24"/>
      <c r="L458" s="24"/>
      <c r="M458" s="24"/>
      <c r="N458" s="35"/>
      <c r="O458" s="24"/>
      <c r="P458" s="35"/>
      <c r="Q458" s="24"/>
      <c r="R458" s="24"/>
      <c r="S458" s="24"/>
      <c r="T458" s="24"/>
      <c r="U458" s="54"/>
      <c r="V458" s="54"/>
      <c r="W458" s="54"/>
      <c r="X458" s="54"/>
      <c r="Y458" s="54"/>
      <c r="Z458" s="54"/>
    </row>
    <row r="459" spans="1:26" ht="14.25" customHeight="1">
      <c r="A459" s="24"/>
      <c r="B459" s="24"/>
      <c r="C459" s="24"/>
      <c r="D459" s="24"/>
      <c r="E459" s="24"/>
      <c r="F459" s="24"/>
      <c r="G459" s="24"/>
      <c r="H459" s="24"/>
      <c r="I459" s="24"/>
      <c r="J459" s="24"/>
      <c r="K459" s="24"/>
      <c r="L459" s="24"/>
      <c r="M459" s="24"/>
      <c r="N459" s="35"/>
      <c r="O459" s="24"/>
      <c r="P459" s="35"/>
      <c r="Q459" s="24"/>
      <c r="R459" s="24"/>
      <c r="S459" s="24"/>
      <c r="T459" s="24"/>
      <c r="U459" s="54"/>
      <c r="V459" s="54"/>
      <c r="W459" s="54"/>
      <c r="X459" s="54"/>
      <c r="Y459" s="54"/>
      <c r="Z459" s="54"/>
    </row>
    <row r="460" spans="1:26" ht="14.25" customHeight="1">
      <c r="A460" s="24"/>
      <c r="B460" s="24"/>
      <c r="C460" s="24"/>
      <c r="D460" s="24"/>
      <c r="E460" s="24"/>
      <c r="F460" s="24"/>
      <c r="G460" s="24"/>
      <c r="H460" s="24"/>
      <c r="I460" s="24"/>
      <c r="J460" s="24"/>
      <c r="K460" s="24"/>
      <c r="L460" s="24"/>
      <c r="M460" s="24"/>
      <c r="N460" s="35"/>
      <c r="O460" s="24"/>
      <c r="P460" s="35"/>
      <c r="Q460" s="24"/>
      <c r="R460" s="24"/>
      <c r="S460" s="24"/>
      <c r="T460" s="24"/>
      <c r="U460" s="54"/>
      <c r="V460" s="54"/>
      <c r="W460" s="54"/>
      <c r="X460" s="54"/>
      <c r="Y460" s="54"/>
      <c r="Z460" s="54"/>
    </row>
    <row r="461" spans="1:26" ht="14.25" customHeight="1">
      <c r="A461" s="24"/>
      <c r="B461" s="24"/>
      <c r="C461" s="24"/>
      <c r="D461" s="24"/>
      <c r="E461" s="24"/>
      <c r="F461" s="24"/>
      <c r="G461" s="24"/>
      <c r="H461" s="24"/>
      <c r="I461" s="24"/>
      <c r="J461" s="24"/>
      <c r="K461" s="24"/>
      <c r="L461" s="24"/>
      <c r="M461" s="24"/>
      <c r="N461" s="35"/>
      <c r="O461" s="24"/>
      <c r="P461" s="35"/>
      <c r="Q461" s="24"/>
      <c r="R461" s="24"/>
      <c r="S461" s="24"/>
      <c r="T461" s="24"/>
      <c r="U461" s="54"/>
      <c r="V461" s="54"/>
      <c r="W461" s="54"/>
      <c r="X461" s="54"/>
      <c r="Y461" s="54"/>
      <c r="Z461" s="54"/>
    </row>
    <row r="462" spans="1:26" ht="14.25" customHeight="1">
      <c r="A462" s="24"/>
      <c r="B462" s="24"/>
      <c r="C462" s="24"/>
      <c r="D462" s="24"/>
      <c r="E462" s="24"/>
      <c r="F462" s="24"/>
      <c r="G462" s="24"/>
      <c r="H462" s="24"/>
      <c r="I462" s="24"/>
      <c r="J462" s="24"/>
      <c r="K462" s="24"/>
      <c r="L462" s="24"/>
      <c r="M462" s="24"/>
      <c r="N462" s="35"/>
      <c r="O462" s="24"/>
      <c r="P462" s="35"/>
      <c r="Q462" s="24"/>
      <c r="R462" s="24"/>
      <c r="S462" s="24"/>
      <c r="T462" s="24"/>
      <c r="U462" s="54"/>
      <c r="V462" s="54"/>
      <c r="W462" s="54"/>
      <c r="X462" s="54"/>
      <c r="Y462" s="54"/>
      <c r="Z462" s="54"/>
    </row>
    <row r="463" spans="1:26" ht="14.25" customHeight="1">
      <c r="A463" s="24"/>
      <c r="B463" s="24"/>
      <c r="C463" s="24"/>
      <c r="D463" s="24"/>
      <c r="E463" s="24"/>
      <c r="F463" s="24"/>
      <c r="G463" s="24"/>
      <c r="H463" s="24"/>
      <c r="I463" s="24"/>
      <c r="J463" s="24"/>
      <c r="K463" s="24"/>
      <c r="L463" s="24"/>
      <c r="M463" s="24"/>
      <c r="N463" s="35"/>
      <c r="O463" s="24"/>
      <c r="P463" s="35"/>
      <c r="Q463" s="24"/>
      <c r="R463" s="24"/>
      <c r="S463" s="24"/>
      <c r="T463" s="24"/>
      <c r="U463" s="54"/>
      <c r="V463" s="54"/>
      <c r="W463" s="54"/>
      <c r="X463" s="54"/>
      <c r="Y463" s="54"/>
      <c r="Z463" s="54"/>
    </row>
    <row r="464" spans="1:26" ht="14.25" customHeight="1">
      <c r="A464" s="24"/>
      <c r="B464" s="24"/>
      <c r="C464" s="24"/>
      <c r="D464" s="24"/>
      <c r="E464" s="24"/>
      <c r="F464" s="24"/>
      <c r="G464" s="24"/>
      <c r="H464" s="24"/>
      <c r="I464" s="24"/>
      <c r="J464" s="24"/>
      <c r="K464" s="24"/>
      <c r="L464" s="24"/>
      <c r="M464" s="24"/>
      <c r="N464" s="35"/>
      <c r="O464" s="24"/>
      <c r="P464" s="35"/>
      <c r="Q464" s="24"/>
      <c r="R464" s="24"/>
      <c r="S464" s="24"/>
      <c r="T464" s="24"/>
      <c r="U464" s="54"/>
      <c r="V464" s="54"/>
      <c r="W464" s="54"/>
      <c r="X464" s="54"/>
      <c r="Y464" s="54"/>
      <c r="Z464" s="54"/>
    </row>
    <row r="465" spans="1:26" ht="14.25" customHeight="1">
      <c r="A465" s="24"/>
      <c r="B465" s="24"/>
      <c r="C465" s="24"/>
      <c r="D465" s="24"/>
      <c r="E465" s="24"/>
      <c r="F465" s="24"/>
      <c r="G465" s="24"/>
      <c r="H465" s="24"/>
      <c r="I465" s="24"/>
      <c r="J465" s="24"/>
      <c r="K465" s="24"/>
      <c r="L465" s="24"/>
      <c r="M465" s="24"/>
      <c r="N465" s="35"/>
      <c r="O465" s="24"/>
      <c r="P465" s="35"/>
      <c r="Q465" s="24"/>
      <c r="R465" s="24"/>
      <c r="S465" s="24"/>
      <c r="T465" s="24"/>
      <c r="U465" s="54"/>
      <c r="V465" s="54"/>
      <c r="W465" s="54"/>
      <c r="X465" s="54"/>
      <c r="Y465" s="54"/>
      <c r="Z465" s="54"/>
    </row>
    <row r="466" spans="1:26" ht="14.25" customHeight="1">
      <c r="A466" s="24"/>
      <c r="B466" s="24"/>
      <c r="C466" s="24"/>
      <c r="D466" s="24"/>
      <c r="E466" s="24"/>
      <c r="F466" s="24"/>
      <c r="G466" s="24"/>
      <c r="H466" s="24"/>
      <c r="I466" s="24"/>
      <c r="J466" s="24"/>
      <c r="K466" s="24"/>
      <c r="L466" s="24"/>
      <c r="M466" s="24"/>
      <c r="N466" s="35"/>
      <c r="O466" s="24"/>
      <c r="P466" s="35"/>
      <c r="Q466" s="24"/>
      <c r="R466" s="24"/>
      <c r="S466" s="24"/>
      <c r="T466" s="24"/>
      <c r="U466" s="54"/>
      <c r="V466" s="54"/>
      <c r="W466" s="54"/>
      <c r="X466" s="54"/>
      <c r="Y466" s="54"/>
      <c r="Z466" s="54"/>
    </row>
    <row r="467" spans="1:26" ht="14.25" customHeight="1">
      <c r="A467" s="24"/>
      <c r="B467" s="24"/>
      <c r="C467" s="24"/>
      <c r="D467" s="24"/>
      <c r="E467" s="24"/>
      <c r="F467" s="24"/>
      <c r="G467" s="24"/>
      <c r="H467" s="24"/>
      <c r="I467" s="24"/>
      <c r="J467" s="24"/>
      <c r="K467" s="24"/>
      <c r="L467" s="24"/>
      <c r="M467" s="24"/>
      <c r="N467" s="35"/>
      <c r="O467" s="24"/>
      <c r="P467" s="35"/>
      <c r="Q467" s="24"/>
      <c r="R467" s="24"/>
      <c r="S467" s="24"/>
      <c r="T467" s="24"/>
      <c r="U467" s="54"/>
      <c r="V467" s="54"/>
      <c r="W467" s="54"/>
      <c r="X467" s="54"/>
      <c r="Y467" s="54"/>
      <c r="Z467" s="54"/>
    </row>
    <row r="468" spans="1:26" ht="14.25" customHeight="1">
      <c r="A468" s="24"/>
      <c r="B468" s="24"/>
      <c r="C468" s="24"/>
      <c r="D468" s="24"/>
      <c r="E468" s="24"/>
      <c r="F468" s="24"/>
      <c r="G468" s="24"/>
      <c r="H468" s="24"/>
      <c r="I468" s="24"/>
      <c r="J468" s="24"/>
      <c r="K468" s="24"/>
      <c r="L468" s="24"/>
      <c r="M468" s="24"/>
      <c r="N468" s="35"/>
      <c r="O468" s="24"/>
      <c r="P468" s="35"/>
      <c r="Q468" s="24"/>
      <c r="R468" s="24"/>
      <c r="S468" s="24"/>
      <c r="T468" s="24"/>
      <c r="U468" s="54"/>
      <c r="V468" s="54"/>
      <c r="W468" s="54"/>
      <c r="X468" s="54"/>
      <c r="Y468" s="54"/>
      <c r="Z468" s="54"/>
    </row>
    <row r="469" spans="1:26" ht="14.25" customHeight="1">
      <c r="A469" s="24"/>
      <c r="B469" s="24"/>
      <c r="C469" s="24"/>
      <c r="D469" s="24"/>
      <c r="E469" s="24"/>
      <c r="F469" s="24"/>
      <c r="G469" s="24"/>
      <c r="H469" s="24"/>
      <c r="I469" s="24"/>
      <c r="J469" s="24"/>
      <c r="K469" s="24"/>
      <c r="L469" s="24"/>
      <c r="M469" s="24"/>
      <c r="N469" s="35"/>
      <c r="O469" s="24"/>
      <c r="P469" s="35"/>
      <c r="Q469" s="24"/>
      <c r="R469" s="24"/>
      <c r="S469" s="24"/>
      <c r="T469" s="24"/>
      <c r="U469" s="54"/>
      <c r="V469" s="54"/>
      <c r="W469" s="54"/>
      <c r="X469" s="54"/>
      <c r="Y469" s="54"/>
      <c r="Z469" s="54"/>
    </row>
    <row r="470" spans="1:26" ht="14.25" customHeight="1">
      <c r="A470" s="24"/>
      <c r="B470" s="24"/>
      <c r="C470" s="24"/>
      <c r="D470" s="24"/>
      <c r="E470" s="24"/>
      <c r="F470" s="24"/>
      <c r="G470" s="24"/>
      <c r="H470" s="24"/>
      <c r="I470" s="24"/>
      <c r="J470" s="24"/>
      <c r="K470" s="24"/>
      <c r="L470" s="24"/>
      <c r="M470" s="24"/>
      <c r="N470" s="35"/>
      <c r="O470" s="24"/>
      <c r="P470" s="35"/>
      <c r="Q470" s="24"/>
      <c r="R470" s="24"/>
      <c r="S470" s="24"/>
      <c r="T470" s="24"/>
      <c r="U470" s="54"/>
      <c r="V470" s="54"/>
      <c r="W470" s="54"/>
      <c r="X470" s="54"/>
      <c r="Y470" s="54"/>
      <c r="Z470" s="54"/>
    </row>
    <row r="471" spans="1:26" ht="14.25" customHeight="1">
      <c r="A471" s="24"/>
      <c r="B471" s="24"/>
      <c r="C471" s="24"/>
      <c r="D471" s="24"/>
      <c r="E471" s="24"/>
      <c r="F471" s="24"/>
      <c r="G471" s="24"/>
      <c r="H471" s="24"/>
      <c r="I471" s="24"/>
      <c r="J471" s="24"/>
      <c r="K471" s="24"/>
      <c r="L471" s="24"/>
      <c r="M471" s="24"/>
      <c r="N471" s="35"/>
      <c r="O471" s="24"/>
      <c r="P471" s="35"/>
      <c r="Q471" s="24"/>
      <c r="R471" s="24"/>
      <c r="S471" s="24"/>
      <c r="T471" s="24"/>
      <c r="U471" s="54"/>
      <c r="V471" s="54"/>
      <c r="W471" s="54"/>
      <c r="X471" s="54"/>
      <c r="Y471" s="54"/>
      <c r="Z471" s="54"/>
    </row>
    <row r="472" spans="1:26" ht="14.25" customHeight="1">
      <c r="A472" s="24"/>
      <c r="B472" s="24"/>
      <c r="C472" s="24"/>
      <c r="D472" s="24"/>
      <c r="E472" s="24"/>
      <c r="F472" s="24"/>
      <c r="G472" s="24"/>
      <c r="H472" s="24"/>
      <c r="I472" s="24"/>
      <c r="J472" s="24"/>
      <c r="K472" s="24"/>
      <c r="L472" s="24"/>
      <c r="M472" s="24"/>
      <c r="N472" s="35"/>
      <c r="O472" s="24"/>
      <c r="P472" s="35"/>
      <c r="Q472" s="24"/>
      <c r="R472" s="24"/>
      <c r="S472" s="24"/>
      <c r="T472" s="24"/>
      <c r="U472" s="54"/>
      <c r="V472" s="54"/>
      <c r="W472" s="54"/>
      <c r="X472" s="54"/>
      <c r="Y472" s="54"/>
      <c r="Z472" s="54"/>
    </row>
    <row r="473" spans="1:26" ht="14.25" customHeight="1">
      <c r="A473" s="24"/>
      <c r="B473" s="24"/>
      <c r="C473" s="24"/>
      <c r="D473" s="24"/>
      <c r="E473" s="24"/>
      <c r="F473" s="24"/>
      <c r="G473" s="24"/>
      <c r="H473" s="24"/>
      <c r="I473" s="24"/>
      <c r="J473" s="24"/>
      <c r="K473" s="24"/>
      <c r="L473" s="24"/>
      <c r="M473" s="24"/>
      <c r="N473" s="35"/>
      <c r="O473" s="24"/>
      <c r="P473" s="35"/>
      <c r="Q473" s="24"/>
      <c r="R473" s="24"/>
      <c r="S473" s="24"/>
      <c r="T473" s="24"/>
      <c r="U473" s="54"/>
      <c r="V473" s="54"/>
      <c r="W473" s="54"/>
      <c r="X473" s="54"/>
      <c r="Y473" s="54"/>
      <c r="Z473" s="54"/>
    </row>
    <row r="474" spans="1:26" ht="14.25" customHeight="1">
      <c r="A474" s="24"/>
      <c r="B474" s="24"/>
      <c r="C474" s="24"/>
      <c r="D474" s="24"/>
      <c r="E474" s="24"/>
      <c r="F474" s="24"/>
      <c r="G474" s="24"/>
      <c r="H474" s="24"/>
      <c r="I474" s="24"/>
      <c r="J474" s="24"/>
      <c r="K474" s="24"/>
      <c r="L474" s="24"/>
      <c r="M474" s="24"/>
      <c r="N474" s="35"/>
      <c r="O474" s="24"/>
      <c r="P474" s="35"/>
      <c r="Q474" s="24"/>
      <c r="R474" s="24"/>
      <c r="S474" s="24"/>
      <c r="T474" s="24"/>
      <c r="U474" s="54"/>
      <c r="V474" s="54"/>
      <c r="W474" s="54"/>
      <c r="X474" s="54"/>
      <c r="Y474" s="54"/>
      <c r="Z474" s="54"/>
    </row>
    <row r="475" spans="1:26" ht="14.25" customHeight="1">
      <c r="A475" s="24"/>
      <c r="B475" s="24"/>
      <c r="C475" s="24"/>
      <c r="D475" s="24"/>
      <c r="E475" s="24"/>
      <c r="F475" s="24"/>
      <c r="G475" s="24"/>
      <c r="H475" s="24"/>
      <c r="I475" s="24"/>
      <c r="J475" s="24"/>
      <c r="K475" s="24"/>
      <c r="L475" s="24"/>
      <c r="M475" s="24"/>
      <c r="N475" s="35"/>
      <c r="O475" s="24"/>
      <c r="P475" s="35"/>
      <c r="Q475" s="24"/>
      <c r="R475" s="24"/>
      <c r="S475" s="24"/>
      <c r="T475" s="24"/>
      <c r="U475" s="54"/>
      <c r="V475" s="54"/>
      <c r="W475" s="54"/>
      <c r="X475" s="54"/>
      <c r="Y475" s="54"/>
      <c r="Z475" s="54"/>
    </row>
    <row r="476" spans="1:26" ht="14.25" customHeight="1">
      <c r="A476" s="24"/>
      <c r="B476" s="24"/>
      <c r="C476" s="24"/>
      <c r="D476" s="24"/>
      <c r="E476" s="24"/>
      <c r="F476" s="24"/>
      <c r="G476" s="24"/>
      <c r="H476" s="24"/>
      <c r="I476" s="24"/>
      <c r="J476" s="24"/>
      <c r="K476" s="24"/>
      <c r="L476" s="24"/>
      <c r="M476" s="24"/>
      <c r="N476" s="35"/>
      <c r="O476" s="24"/>
      <c r="P476" s="35"/>
      <c r="Q476" s="24"/>
      <c r="R476" s="24"/>
      <c r="S476" s="24"/>
      <c r="T476" s="24"/>
      <c r="U476" s="54"/>
      <c r="V476" s="54"/>
      <c r="W476" s="54"/>
      <c r="X476" s="54"/>
      <c r="Y476" s="54"/>
      <c r="Z476" s="54"/>
    </row>
    <row r="477" spans="1:26" ht="14.25" customHeight="1">
      <c r="A477" s="24"/>
      <c r="B477" s="24"/>
      <c r="C477" s="24"/>
      <c r="D477" s="24"/>
      <c r="E477" s="24"/>
      <c r="F477" s="24"/>
      <c r="G477" s="24"/>
      <c r="H477" s="24"/>
      <c r="I477" s="24"/>
      <c r="J477" s="24"/>
      <c r="K477" s="24"/>
      <c r="L477" s="24"/>
      <c r="M477" s="24"/>
      <c r="N477" s="35"/>
      <c r="O477" s="24"/>
      <c r="P477" s="35"/>
      <c r="Q477" s="24"/>
      <c r="R477" s="24"/>
      <c r="S477" s="24"/>
      <c r="T477" s="24"/>
      <c r="U477" s="54"/>
      <c r="V477" s="54"/>
      <c r="W477" s="54"/>
      <c r="X477" s="54"/>
      <c r="Y477" s="54"/>
      <c r="Z477" s="54"/>
    </row>
    <row r="478" spans="1:26" ht="14.25" customHeight="1">
      <c r="A478" s="24"/>
      <c r="B478" s="24"/>
      <c r="C478" s="24"/>
      <c r="D478" s="24"/>
      <c r="E478" s="24"/>
      <c r="F478" s="24"/>
      <c r="G478" s="24"/>
      <c r="H478" s="24"/>
      <c r="I478" s="24"/>
      <c r="J478" s="24"/>
      <c r="K478" s="24"/>
      <c r="L478" s="24"/>
      <c r="M478" s="24"/>
      <c r="N478" s="35"/>
      <c r="O478" s="24"/>
      <c r="P478" s="35"/>
      <c r="Q478" s="24"/>
      <c r="R478" s="24"/>
      <c r="S478" s="24"/>
      <c r="T478" s="24"/>
      <c r="U478" s="54"/>
      <c r="V478" s="54"/>
      <c r="W478" s="54"/>
      <c r="X478" s="54"/>
      <c r="Y478" s="54"/>
      <c r="Z478" s="54"/>
    </row>
    <row r="479" spans="1:26" ht="14.25" customHeight="1">
      <c r="A479" s="24"/>
      <c r="B479" s="24"/>
      <c r="C479" s="24"/>
      <c r="D479" s="24"/>
      <c r="E479" s="24"/>
      <c r="F479" s="24"/>
      <c r="G479" s="24"/>
      <c r="H479" s="24"/>
      <c r="I479" s="24"/>
      <c r="J479" s="24"/>
      <c r="K479" s="24"/>
      <c r="L479" s="24"/>
      <c r="M479" s="24"/>
      <c r="N479" s="35"/>
      <c r="O479" s="24"/>
      <c r="P479" s="35"/>
      <c r="Q479" s="24"/>
      <c r="R479" s="24"/>
      <c r="S479" s="24"/>
      <c r="T479" s="24"/>
      <c r="U479" s="54"/>
      <c r="V479" s="54"/>
      <c r="W479" s="54"/>
      <c r="X479" s="54"/>
      <c r="Y479" s="54"/>
      <c r="Z479" s="54"/>
    </row>
    <row r="480" spans="1:26" ht="14.25" customHeight="1">
      <c r="A480" s="24"/>
      <c r="B480" s="24"/>
      <c r="C480" s="24"/>
      <c r="D480" s="24"/>
      <c r="E480" s="24"/>
      <c r="F480" s="24"/>
      <c r="G480" s="24"/>
      <c r="H480" s="24"/>
      <c r="I480" s="24"/>
      <c r="J480" s="24"/>
      <c r="K480" s="24"/>
      <c r="L480" s="24"/>
      <c r="M480" s="24"/>
      <c r="N480" s="35"/>
      <c r="O480" s="24"/>
      <c r="P480" s="35"/>
      <c r="Q480" s="24"/>
      <c r="R480" s="24"/>
      <c r="S480" s="24"/>
      <c r="T480" s="24"/>
      <c r="U480" s="54"/>
      <c r="V480" s="54"/>
      <c r="W480" s="54"/>
      <c r="X480" s="54"/>
      <c r="Y480" s="54"/>
      <c r="Z480" s="54"/>
    </row>
    <row r="481" spans="1:26" ht="14.25" customHeight="1">
      <c r="A481" s="24"/>
      <c r="B481" s="24"/>
      <c r="C481" s="24"/>
      <c r="D481" s="24"/>
      <c r="E481" s="24"/>
      <c r="F481" s="24"/>
      <c r="G481" s="24"/>
      <c r="H481" s="24"/>
      <c r="I481" s="24"/>
      <c r="J481" s="24"/>
      <c r="K481" s="24"/>
      <c r="L481" s="24"/>
      <c r="M481" s="24"/>
      <c r="N481" s="35"/>
      <c r="O481" s="24"/>
      <c r="P481" s="35"/>
      <c r="Q481" s="24"/>
      <c r="R481" s="24"/>
      <c r="S481" s="24"/>
      <c r="T481" s="24"/>
      <c r="U481" s="54"/>
      <c r="V481" s="54"/>
      <c r="W481" s="54"/>
      <c r="X481" s="54"/>
      <c r="Y481" s="54"/>
      <c r="Z481" s="54"/>
    </row>
    <row r="482" spans="1:26" ht="14.25" customHeight="1">
      <c r="A482" s="24"/>
      <c r="B482" s="24"/>
      <c r="C482" s="24"/>
      <c r="D482" s="24"/>
      <c r="E482" s="24"/>
      <c r="F482" s="24"/>
      <c r="G482" s="24"/>
      <c r="H482" s="24"/>
      <c r="I482" s="24"/>
      <c r="J482" s="24"/>
      <c r="K482" s="24"/>
      <c r="L482" s="24"/>
      <c r="M482" s="24"/>
      <c r="N482" s="35"/>
      <c r="O482" s="24"/>
      <c r="P482" s="35"/>
      <c r="Q482" s="24"/>
      <c r="R482" s="24"/>
      <c r="S482" s="24"/>
      <c r="T482" s="24"/>
      <c r="U482" s="54"/>
      <c r="V482" s="54"/>
      <c r="W482" s="54"/>
      <c r="X482" s="54"/>
      <c r="Y482" s="54"/>
      <c r="Z482" s="54"/>
    </row>
    <row r="483" spans="1:26" ht="14.25" customHeight="1">
      <c r="A483" s="24"/>
      <c r="B483" s="24"/>
      <c r="C483" s="24"/>
      <c r="D483" s="24"/>
      <c r="E483" s="24"/>
      <c r="F483" s="24"/>
      <c r="G483" s="24"/>
      <c r="H483" s="24"/>
      <c r="I483" s="24"/>
      <c r="J483" s="24"/>
      <c r="K483" s="24"/>
      <c r="L483" s="24"/>
      <c r="M483" s="24"/>
      <c r="N483" s="35"/>
      <c r="O483" s="24"/>
      <c r="P483" s="35"/>
      <c r="Q483" s="24"/>
      <c r="R483" s="24"/>
      <c r="S483" s="24"/>
      <c r="T483" s="24"/>
      <c r="U483" s="54"/>
      <c r="V483" s="54"/>
      <c r="W483" s="54"/>
      <c r="X483" s="54"/>
      <c r="Y483" s="54"/>
      <c r="Z483" s="54"/>
    </row>
    <row r="484" spans="1:26" ht="14.25" customHeight="1">
      <c r="A484" s="24"/>
      <c r="B484" s="24"/>
      <c r="C484" s="24"/>
      <c r="D484" s="24"/>
      <c r="E484" s="24"/>
      <c r="F484" s="24"/>
      <c r="G484" s="24"/>
      <c r="H484" s="24"/>
      <c r="I484" s="24"/>
      <c r="J484" s="24"/>
      <c r="K484" s="24"/>
      <c r="L484" s="24"/>
      <c r="M484" s="24"/>
      <c r="N484" s="35"/>
      <c r="O484" s="24"/>
      <c r="P484" s="35"/>
      <c r="Q484" s="24"/>
      <c r="R484" s="24"/>
      <c r="S484" s="24"/>
      <c r="T484" s="24"/>
      <c r="U484" s="54"/>
      <c r="V484" s="54"/>
      <c r="W484" s="54"/>
      <c r="X484" s="54"/>
      <c r="Y484" s="54"/>
      <c r="Z484" s="54"/>
    </row>
    <row r="485" spans="1:26" ht="14.25" customHeight="1">
      <c r="A485" s="24"/>
      <c r="B485" s="24"/>
      <c r="C485" s="24"/>
      <c r="D485" s="24"/>
      <c r="E485" s="24"/>
      <c r="F485" s="24"/>
      <c r="G485" s="24"/>
      <c r="H485" s="24"/>
      <c r="I485" s="24"/>
      <c r="J485" s="24"/>
      <c r="K485" s="24"/>
      <c r="L485" s="24"/>
      <c r="M485" s="24"/>
      <c r="N485" s="35"/>
      <c r="O485" s="24"/>
      <c r="P485" s="35"/>
      <c r="Q485" s="24"/>
      <c r="R485" s="24"/>
      <c r="S485" s="24"/>
      <c r="T485" s="24"/>
      <c r="U485" s="54"/>
      <c r="V485" s="54"/>
      <c r="W485" s="54"/>
      <c r="X485" s="54"/>
      <c r="Y485" s="54"/>
      <c r="Z485" s="54"/>
    </row>
    <row r="486" spans="1:26" ht="14.25" customHeight="1">
      <c r="A486" s="24"/>
      <c r="B486" s="24"/>
      <c r="C486" s="24"/>
      <c r="D486" s="24"/>
      <c r="E486" s="24"/>
      <c r="F486" s="24"/>
      <c r="G486" s="24"/>
      <c r="H486" s="24"/>
      <c r="I486" s="24"/>
      <c r="J486" s="24"/>
      <c r="K486" s="24"/>
      <c r="L486" s="24"/>
      <c r="M486" s="24"/>
      <c r="N486" s="35"/>
      <c r="O486" s="24"/>
      <c r="P486" s="35"/>
      <c r="Q486" s="24"/>
      <c r="R486" s="24"/>
      <c r="S486" s="24"/>
      <c r="T486" s="24"/>
      <c r="U486" s="54"/>
      <c r="V486" s="54"/>
      <c r="W486" s="54"/>
      <c r="X486" s="54"/>
      <c r="Y486" s="54"/>
      <c r="Z486" s="54"/>
    </row>
    <row r="487" spans="1:26" ht="14.25" customHeight="1">
      <c r="A487" s="24"/>
      <c r="B487" s="24"/>
      <c r="C487" s="24"/>
      <c r="D487" s="24"/>
      <c r="E487" s="24"/>
      <c r="F487" s="24"/>
      <c r="G487" s="24"/>
      <c r="H487" s="24"/>
      <c r="I487" s="24"/>
      <c r="J487" s="24"/>
      <c r="K487" s="24"/>
      <c r="L487" s="24"/>
      <c r="M487" s="24"/>
      <c r="N487" s="35"/>
      <c r="O487" s="24"/>
      <c r="P487" s="35"/>
      <c r="Q487" s="24"/>
      <c r="R487" s="24"/>
      <c r="S487" s="24"/>
      <c r="T487" s="24"/>
      <c r="U487" s="54"/>
      <c r="V487" s="54"/>
      <c r="W487" s="54"/>
      <c r="X487" s="54"/>
      <c r="Y487" s="54"/>
      <c r="Z487" s="54"/>
    </row>
    <row r="488" spans="1:26" ht="14.25" customHeight="1">
      <c r="A488" s="24"/>
      <c r="B488" s="24"/>
      <c r="C488" s="24"/>
      <c r="D488" s="24"/>
      <c r="E488" s="24"/>
      <c r="F488" s="24"/>
      <c r="G488" s="24"/>
      <c r="H488" s="24"/>
      <c r="I488" s="24"/>
      <c r="J488" s="24"/>
      <c r="K488" s="24"/>
      <c r="L488" s="24"/>
      <c r="M488" s="24"/>
      <c r="N488" s="35"/>
      <c r="O488" s="24"/>
      <c r="P488" s="35"/>
      <c r="Q488" s="24"/>
      <c r="R488" s="24"/>
      <c r="S488" s="24"/>
      <c r="T488" s="24"/>
      <c r="U488" s="54"/>
      <c r="V488" s="54"/>
      <c r="W488" s="54"/>
      <c r="X488" s="54"/>
      <c r="Y488" s="54"/>
      <c r="Z488" s="54"/>
    </row>
    <row r="489" spans="1:26" ht="14.25" customHeight="1">
      <c r="A489" s="24"/>
      <c r="B489" s="24"/>
      <c r="C489" s="24"/>
      <c r="D489" s="24"/>
      <c r="E489" s="24"/>
      <c r="F489" s="24"/>
      <c r="G489" s="24"/>
      <c r="H489" s="24"/>
      <c r="I489" s="24"/>
      <c r="J489" s="24"/>
      <c r="K489" s="24"/>
      <c r="L489" s="24"/>
      <c r="M489" s="24"/>
      <c r="N489" s="35"/>
      <c r="O489" s="24"/>
      <c r="P489" s="35"/>
      <c r="Q489" s="24"/>
      <c r="R489" s="24"/>
      <c r="S489" s="24"/>
      <c r="T489" s="24"/>
      <c r="U489" s="54"/>
      <c r="V489" s="54"/>
      <c r="W489" s="54"/>
      <c r="X489" s="54"/>
      <c r="Y489" s="54"/>
      <c r="Z489" s="54"/>
    </row>
    <row r="490" spans="1:26" ht="14.25" customHeight="1">
      <c r="A490" s="24"/>
      <c r="B490" s="24"/>
      <c r="C490" s="24"/>
      <c r="D490" s="24"/>
      <c r="E490" s="24"/>
      <c r="F490" s="24"/>
      <c r="G490" s="24"/>
      <c r="H490" s="24"/>
      <c r="I490" s="24"/>
      <c r="J490" s="24"/>
      <c r="K490" s="24"/>
      <c r="L490" s="24"/>
      <c r="M490" s="24"/>
      <c r="N490" s="35"/>
      <c r="O490" s="24"/>
      <c r="P490" s="35"/>
      <c r="Q490" s="24"/>
      <c r="R490" s="24"/>
      <c r="S490" s="24"/>
      <c r="T490" s="24"/>
      <c r="U490" s="54"/>
      <c r="V490" s="54"/>
      <c r="W490" s="54"/>
      <c r="X490" s="54"/>
      <c r="Y490" s="54"/>
      <c r="Z490" s="54"/>
    </row>
    <row r="491" spans="1:26" ht="14.25" customHeight="1">
      <c r="A491" s="24"/>
      <c r="B491" s="24"/>
      <c r="C491" s="24"/>
      <c r="D491" s="24"/>
      <c r="E491" s="24"/>
      <c r="F491" s="24"/>
      <c r="G491" s="24"/>
      <c r="H491" s="24"/>
      <c r="I491" s="24"/>
      <c r="J491" s="24"/>
      <c r="K491" s="24"/>
      <c r="L491" s="24"/>
      <c r="M491" s="24"/>
      <c r="N491" s="35"/>
      <c r="O491" s="24"/>
      <c r="P491" s="35"/>
      <c r="Q491" s="24"/>
      <c r="R491" s="24"/>
      <c r="S491" s="24"/>
      <c r="T491" s="24"/>
      <c r="U491" s="54"/>
      <c r="V491" s="54"/>
      <c r="W491" s="54"/>
      <c r="X491" s="54"/>
      <c r="Y491" s="54"/>
      <c r="Z491" s="54"/>
    </row>
    <row r="492" spans="1:26" ht="14.25" customHeight="1">
      <c r="A492" s="24"/>
      <c r="B492" s="24"/>
      <c r="C492" s="24"/>
      <c r="D492" s="24"/>
      <c r="E492" s="24"/>
      <c r="F492" s="24"/>
      <c r="G492" s="24"/>
      <c r="H492" s="24"/>
      <c r="I492" s="24"/>
      <c r="J492" s="24"/>
      <c r="K492" s="24"/>
      <c r="L492" s="24"/>
      <c r="M492" s="24"/>
      <c r="N492" s="35"/>
      <c r="O492" s="24"/>
      <c r="P492" s="35"/>
      <c r="Q492" s="24"/>
      <c r="R492" s="24"/>
      <c r="S492" s="24"/>
      <c r="T492" s="24"/>
      <c r="U492" s="54"/>
      <c r="V492" s="54"/>
      <c r="W492" s="54"/>
      <c r="X492" s="54"/>
      <c r="Y492" s="54"/>
      <c r="Z492" s="54"/>
    </row>
    <row r="493" spans="1:26" ht="14.25" customHeight="1">
      <c r="A493" s="24"/>
      <c r="B493" s="24"/>
      <c r="C493" s="24"/>
      <c r="D493" s="24"/>
      <c r="E493" s="24"/>
      <c r="F493" s="24"/>
      <c r="G493" s="24"/>
      <c r="H493" s="24"/>
      <c r="I493" s="24"/>
      <c r="J493" s="24"/>
      <c r="K493" s="24"/>
      <c r="L493" s="24"/>
      <c r="M493" s="24"/>
      <c r="N493" s="35"/>
      <c r="O493" s="24"/>
      <c r="P493" s="35"/>
      <c r="Q493" s="24"/>
      <c r="R493" s="24"/>
      <c r="S493" s="24"/>
      <c r="T493" s="24"/>
      <c r="U493" s="54"/>
      <c r="V493" s="54"/>
      <c r="W493" s="54"/>
      <c r="X493" s="54"/>
      <c r="Y493" s="54"/>
      <c r="Z493" s="54"/>
    </row>
    <row r="494" spans="1:26" ht="14.25" customHeight="1">
      <c r="A494" s="24"/>
      <c r="B494" s="24"/>
      <c r="C494" s="24"/>
      <c r="D494" s="24"/>
      <c r="E494" s="24"/>
      <c r="F494" s="24"/>
      <c r="G494" s="24"/>
      <c r="H494" s="24"/>
      <c r="I494" s="24"/>
      <c r="J494" s="24"/>
      <c r="K494" s="24"/>
      <c r="L494" s="24"/>
      <c r="M494" s="24"/>
      <c r="N494" s="35"/>
      <c r="O494" s="24"/>
      <c r="P494" s="35"/>
      <c r="Q494" s="24"/>
      <c r="R494" s="24"/>
      <c r="S494" s="24"/>
      <c r="T494" s="24"/>
      <c r="U494" s="54"/>
      <c r="V494" s="54"/>
      <c r="W494" s="54"/>
      <c r="X494" s="54"/>
      <c r="Y494" s="54"/>
      <c r="Z494" s="54"/>
    </row>
    <row r="495" spans="1:26" ht="14.25" customHeight="1">
      <c r="A495" s="24"/>
      <c r="B495" s="24"/>
      <c r="C495" s="24"/>
      <c r="D495" s="24"/>
      <c r="E495" s="24"/>
      <c r="F495" s="24"/>
      <c r="G495" s="24"/>
      <c r="H495" s="24"/>
      <c r="I495" s="24"/>
      <c r="J495" s="24"/>
      <c r="K495" s="24"/>
      <c r="L495" s="24"/>
      <c r="M495" s="24"/>
      <c r="N495" s="35"/>
      <c r="O495" s="24"/>
      <c r="P495" s="35"/>
      <c r="Q495" s="24"/>
      <c r="R495" s="24"/>
      <c r="S495" s="24"/>
      <c r="T495" s="24"/>
      <c r="U495" s="54"/>
      <c r="V495" s="54"/>
      <c r="W495" s="54"/>
      <c r="X495" s="54"/>
      <c r="Y495" s="54"/>
      <c r="Z495" s="54"/>
    </row>
    <row r="496" spans="1:26" ht="14.25" customHeight="1">
      <c r="A496" s="24"/>
      <c r="B496" s="24"/>
      <c r="C496" s="24"/>
      <c r="D496" s="24"/>
      <c r="E496" s="24"/>
      <c r="F496" s="24"/>
      <c r="G496" s="24"/>
      <c r="H496" s="24"/>
      <c r="I496" s="24"/>
      <c r="J496" s="24"/>
      <c r="K496" s="24"/>
      <c r="L496" s="24"/>
      <c r="M496" s="24"/>
      <c r="N496" s="35"/>
      <c r="O496" s="24"/>
      <c r="P496" s="35"/>
      <c r="Q496" s="24"/>
      <c r="R496" s="24"/>
      <c r="S496" s="24"/>
      <c r="T496" s="24"/>
      <c r="U496" s="54"/>
      <c r="V496" s="54"/>
      <c r="W496" s="54"/>
      <c r="X496" s="54"/>
      <c r="Y496" s="54"/>
      <c r="Z496" s="54"/>
    </row>
    <row r="497" spans="1:26" ht="14.25" customHeight="1">
      <c r="A497" s="24"/>
      <c r="B497" s="24"/>
      <c r="C497" s="24"/>
      <c r="D497" s="24"/>
      <c r="E497" s="24"/>
      <c r="F497" s="24"/>
      <c r="G497" s="24"/>
      <c r="H497" s="24"/>
      <c r="I497" s="24"/>
      <c r="J497" s="24"/>
      <c r="K497" s="24"/>
      <c r="L497" s="24"/>
      <c r="M497" s="24"/>
      <c r="N497" s="35"/>
      <c r="O497" s="24"/>
      <c r="P497" s="35"/>
      <c r="Q497" s="24"/>
      <c r="R497" s="24"/>
      <c r="S497" s="24"/>
      <c r="T497" s="24"/>
      <c r="U497" s="54"/>
      <c r="V497" s="54"/>
      <c r="W497" s="54"/>
      <c r="X497" s="54"/>
      <c r="Y497" s="54"/>
      <c r="Z497" s="54"/>
    </row>
    <row r="498" spans="1:26" ht="14.25" customHeight="1">
      <c r="A498" s="24"/>
      <c r="B498" s="24"/>
      <c r="C498" s="24"/>
      <c r="D498" s="24"/>
      <c r="E498" s="24"/>
      <c r="F498" s="24"/>
      <c r="G498" s="24"/>
      <c r="H498" s="24"/>
      <c r="I498" s="24"/>
      <c r="J498" s="24"/>
      <c r="K498" s="24"/>
      <c r="L498" s="24"/>
      <c r="M498" s="24"/>
      <c r="N498" s="35"/>
      <c r="O498" s="24"/>
      <c r="P498" s="35"/>
      <c r="Q498" s="24"/>
      <c r="R498" s="24"/>
      <c r="S498" s="24"/>
      <c r="T498" s="24"/>
      <c r="U498" s="54"/>
      <c r="V498" s="54"/>
      <c r="W498" s="54"/>
      <c r="X498" s="54"/>
      <c r="Y498" s="54"/>
      <c r="Z498" s="54"/>
    </row>
    <row r="499" spans="1:26" ht="14.25" customHeight="1">
      <c r="A499" s="24"/>
      <c r="B499" s="24"/>
      <c r="C499" s="24"/>
      <c r="D499" s="24"/>
      <c r="E499" s="24"/>
      <c r="F499" s="24"/>
      <c r="G499" s="24"/>
      <c r="H499" s="24"/>
      <c r="I499" s="24"/>
      <c r="J499" s="24"/>
      <c r="K499" s="24"/>
      <c r="L499" s="24"/>
      <c r="M499" s="24"/>
      <c r="N499" s="35"/>
      <c r="O499" s="24"/>
      <c r="P499" s="35"/>
      <c r="Q499" s="24"/>
      <c r="R499" s="24"/>
      <c r="S499" s="24"/>
      <c r="T499" s="24"/>
      <c r="U499" s="54"/>
      <c r="V499" s="54"/>
      <c r="W499" s="54"/>
      <c r="X499" s="54"/>
      <c r="Y499" s="54"/>
      <c r="Z499" s="54"/>
    </row>
    <row r="500" spans="1:26" ht="14.25" customHeight="1">
      <c r="A500" s="24"/>
      <c r="B500" s="24"/>
      <c r="C500" s="24"/>
      <c r="D500" s="24"/>
      <c r="E500" s="24"/>
      <c r="F500" s="24"/>
      <c r="G500" s="24"/>
      <c r="H500" s="24"/>
      <c r="I500" s="24"/>
      <c r="J500" s="24"/>
      <c r="K500" s="24"/>
      <c r="L500" s="24"/>
      <c r="M500" s="24"/>
      <c r="N500" s="35"/>
      <c r="O500" s="24"/>
      <c r="P500" s="35"/>
      <c r="Q500" s="24"/>
      <c r="R500" s="24"/>
      <c r="S500" s="24"/>
      <c r="T500" s="24"/>
      <c r="U500" s="54"/>
      <c r="V500" s="54"/>
      <c r="W500" s="54"/>
      <c r="X500" s="54"/>
      <c r="Y500" s="54"/>
      <c r="Z500" s="54"/>
    </row>
    <row r="501" spans="1:26" ht="14.25" customHeight="1">
      <c r="A501" s="24"/>
      <c r="B501" s="24"/>
      <c r="C501" s="24"/>
      <c r="D501" s="24"/>
      <c r="E501" s="24"/>
      <c r="F501" s="24"/>
      <c r="G501" s="24"/>
      <c r="H501" s="24"/>
      <c r="I501" s="24"/>
      <c r="J501" s="24"/>
      <c r="K501" s="24"/>
      <c r="L501" s="24"/>
      <c r="M501" s="24"/>
      <c r="N501" s="35"/>
      <c r="O501" s="24"/>
      <c r="P501" s="35"/>
      <c r="Q501" s="24"/>
      <c r="R501" s="24"/>
      <c r="S501" s="24"/>
      <c r="T501" s="24"/>
      <c r="U501" s="54"/>
      <c r="V501" s="54"/>
      <c r="W501" s="54"/>
      <c r="X501" s="54"/>
      <c r="Y501" s="54"/>
      <c r="Z501" s="54"/>
    </row>
    <row r="502" spans="1:26" ht="14.25" customHeight="1">
      <c r="A502" s="24"/>
      <c r="B502" s="24"/>
      <c r="C502" s="24"/>
      <c r="D502" s="24"/>
      <c r="E502" s="24"/>
      <c r="F502" s="24"/>
      <c r="G502" s="24"/>
      <c r="H502" s="24"/>
      <c r="I502" s="24"/>
      <c r="J502" s="24"/>
      <c r="K502" s="24"/>
      <c r="L502" s="24"/>
      <c r="M502" s="24"/>
      <c r="N502" s="35"/>
      <c r="O502" s="24"/>
      <c r="P502" s="35"/>
      <c r="Q502" s="24"/>
      <c r="R502" s="24"/>
      <c r="S502" s="24"/>
      <c r="T502" s="24"/>
      <c r="U502" s="54"/>
      <c r="V502" s="54"/>
      <c r="W502" s="54"/>
      <c r="X502" s="54"/>
      <c r="Y502" s="54"/>
      <c r="Z502" s="54"/>
    </row>
    <row r="503" spans="1:26" ht="14.25" customHeight="1">
      <c r="A503" s="24"/>
      <c r="B503" s="24"/>
      <c r="C503" s="24"/>
      <c r="D503" s="24"/>
      <c r="E503" s="24"/>
      <c r="F503" s="24"/>
      <c r="G503" s="24"/>
      <c r="H503" s="24"/>
      <c r="I503" s="24"/>
      <c r="J503" s="24"/>
      <c r="K503" s="24"/>
      <c r="L503" s="24"/>
      <c r="M503" s="24"/>
      <c r="N503" s="35"/>
      <c r="O503" s="24"/>
      <c r="P503" s="35"/>
      <c r="Q503" s="24"/>
      <c r="R503" s="24"/>
      <c r="S503" s="24"/>
      <c r="T503" s="24"/>
      <c r="U503" s="54"/>
      <c r="V503" s="54"/>
      <c r="W503" s="54"/>
      <c r="X503" s="54"/>
      <c r="Y503" s="54"/>
      <c r="Z503" s="54"/>
    </row>
    <row r="504" spans="1:26" ht="14.25" customHeight="1">
      <c r="A504" s="24"/>
      <c r="B504" s="24"/>
      <c r="C504" s="24"/>
      <c r="D504" s="24"/>
      <c r="E504" s="24"/>
      <c r="F504" s="24"/>
      <c r="G504" s="24"/>
      <c r="H504" s="24"/>
      <c r="I504" s="24"/>
      <c r="J504" s="24"/>
      <c r="K504" s="24"/>
      <c r="L504" s="24"/>
      <c r="M504" s="24"/>
      <c r="N504" s="35"/>
      <c r="O504" s="24"/>
      <c r="P504" s="35"/>
      <c r="Q504" s="24"/>
      <c r="R504" s="24"/>
      <c r="S504" s="24"/>
      <c r="T504" s="24"/>
      <c r="U504" s="54"/>
      <c r="V504" s="54"/>
      <c r="W504" s="54"/>
      <c r="X504" s="54"/>
      <c r="Y504" s="54"/>
      <c r="Z504" s="54"/>
    </row>
    <row r="505" spans="1:26" ht="14.25" customHeight="1">
      <c r="A505" s="24"/>
      <c r="B505" s="24"/>
      <c r="C505" s="24"/>
      <c r="D505" s="24"/>
      <c r="E505" s="24"/>
      <c r="F505" s="24"/>
      <c r="G505" s="24"/>
      <c r="H505" s="24"/>
      <c r="I505" s="24"/>
      <c r="J505" s="24"/>
      <c r="K505" s="24"/>
      <c r="L505" s="24"/>
      <c r="M505" s="24"/>
      <c r="N505" s="35"/>
      <c r="O505" s="24"/>
      <c r="P505" s="35"/>
      <c r="Q505" s="24"/>
      <c r="R505" s="24"/>
      <c r="S505" s="24"/>
      <c r="T505" s="24"/>
      <c r="U505" s="54"/>
      <c r="V505" s="54"/>
      <c r="W505" s="54"/>
      <c r="X505" s="54"/>
      <c r="Y505" s="54"/>
      <c r="Z505" s="54"/>
    </row>
    <row r="506" spans="1:26" ht="14.25" customHeight="1">
      <c r="A506" s="24"/>
      <c r="B506" s="24"/>
      <c r="C506" s="24"/>
      <c r="D506" s="24"/>
      <c r="E506" s="24"/>
      <c r="F506" s="24"/>
      <c r="G506" s="24"/>
      <c r="H506" s="24"/>
      <c r="I506" s="24"/>
      <c r="J506" s="24"/>
      <c r="K506" s="24"/>
      <c r="L506" s="24"/>
      <c r="M506" s="24"/>
      <c r="N506" s="35"/>
      <c r="O506" s="24"/>
      <c r="P506" s="35"/>
      <c r="Q506" s="24"/>
      <c r="R506" s="24"/>
      <c r="S506" s="24"/>
      <c r="T506" s="24"/>
      <c r="U506" s="54"/>
      <c r="V506" s="54"/>
      <c r="W506" s="54"/>
      <c r="X506" s="54"/>
      <c r="Y506" s="54"/>
      <c r="Z506" s="54"/>
    </row>
    <row r="507" spans="1:26" ht="14.25" customHeight="1">
      <c r="A507" s="24"/>
      <c r="B507" s="24"/>
      <c r="C507" s="24"/>
      <c r="D507" s="24"/>
      <c r="E507" s="24"/>
      <c r="F507" s="24"/>
      <c r="G507" s="24"/>
      <c r="H507" s="24"/>
      <c r="I507" s="24"/>
      <c r="J507" s="24"/>
      <c r="K507" s="24"/>
      <c r="L507" s="24"/>
      <c r="M507" s="24"/>
      <c r="N507" s="35"/>
      <c r="O507" s="24"/>
      <c r="P507" s="35"/>
      <c r="Q507" s="24"/>
      <c r="R507" s="24"/>
      <c r="S507" s="24"/>
      <c r="T507" s="24"/>
      <c r="U507" s="54"/>
      <c r="V507" s="54"/>
      <c r="W507" s="54"/>
      <c r="X507" s="54"/>
      <c r="Y507" s="54"/>
      <c r="Z507" s="54"/>
    </row>
    <row r="508" spans="1:26" ht="14.25" customHeight="1">
      <c r="A508" s="24"/>
      <c r="B508" s="24"/>
      <c r="C508" s="24"/>
      <c r="D508" s="24"/>
      <c r="E508" s="24"/>
      <c r="F508" s="24"/>
      <c r="G508" s="24"/>
      <c r="H508" s="24"/>
      <c r="I508" s="24"/>
      <c r="J508" s="24"/>
      <c r="K508" s="24"/>
      <c r="L508" s="24"/>
      <c r="M508" s="24"/>
      <c r="N508" s="35"/>
      <c r="O508" s="24"/>
      <c r="P508" s="35"/>
      <c r="Q508" s="24"/>
      <c r="R508" s="24"/>
      <c r="S508" s="24"/>
      <c r="T508" s="24"/>
      <c r="U508" s="54"/>
      <c r="V508" s="54"/>
      <c r="W508" s="54"/>
      <c r="X508" s="54"/>
      <c r="Y508" s="54"/>
      <c r="Z508" s="54"/>
    </row>
    <row r="509" spans="1:26" ht="14.25" customHeight="1">
      <c r="A509" s="24"/>
      <c r="B509" s="24"/>
      <c r="C509" s="24"/>
      <c r="D509" s="24"/>
      <c r="E509" s="24"/>
      <c r="F509" s="24"/>
      <c r="G509" s="24"/>
      <c r="H509" s="24"/>
      <c r="I509" s="24"/>
      <c r="J509" s="24"/>
      <c r="K509" s="24"/>
      <c r="L509" s="24"/>
      <c r="M509" s="24"/>
      <c r="N509" s="35"/>
      <c r="O509" s="24"/>
      <c r="P509" s="35"/>
      <c r="Q509" s="24"/>
      <c r="R509" s="24"/>
      <c r="S509" s="24"/>
      <c r="T509" s="24"/>
      <c r="U509" s="54"/>
      <c r="V509" s="54"/>
      <c r="W509" s="54"/>
      <c r="X509" s="54"/>
      <c r="Y509" s="54"/>
      <c r="Z509" s="54"/>
    </row>
    <row r="510" spans="1:26" ht="14.25" customHeight="1">
      <c r="A510" s="24"/>
      <c r="B510" s="24"/>
      <c r="C510" s="24"/>
      <c r="D510" s="24"/>
      <c r="E510" s="24"/>
      <c r="F510" s="24"/>
      <c r="G510" s="24"/>
      <c r="H510" s="24"/>
      <c r="I510" s="24"/>
      <c r="J510" s="24"/>
      <c r="K510" s="24"/>
      <c r="L510" s="24"/>
      <c r="M510" s="24"/>
      <c r="N510" s="35"/>
      <c r="O510" s="24"/>
      <c r="P510" s="35"/>
      <c r="Q510" s="24"/>
      <c r="R510" s="24"/>
      <c r="S510" s="24"/>
      <c r="T510" s="24"/>
      <c r="U510" s="54"/>
      <c r="V510" s="54"/>
      <c r="W510" s="54"/>
      <c r="X510" s="54"/>
      <c r="Y510" s="54"/>
      <c r="Z510" s="54"/>
    </row>
    <row r="511" spans="1:26" ht="14.25" customHeight="1">
      <c r="A511" s="24"/>
      <c r="B511" s="24"/>
      <c r="C511" s="24"/>
      <c r="D511" s="24"/>
      <c r="E511" s="24"/>
      <c r="F511" s="24"/>
      <c r="G511" s="24"/>
      <c r="H511" s="24"/>
      <c r="I511" s="24"/>
      <c r="J511" s="24"/>
      <c r="K511" s="24"/>
      <c r="L511" s="24"/>
      <c r="M511" s="24"/>
      <c r="N511" s="35"/>
      <c r="O511" s="24"/>
      <c r="P511" s="35"/>
      <c r="Q511" s="24"/>
      <c r="R511" s="24"/>
      <c r="S511" s="24"/>
      <c r="T511" s="24"/>
      <c r="U511" s="54"/>
      <c r="V511" s="54"/>
      <c r="W511" s="54"/>
      <c r="X511" s="54"/>
      <c r="Y511" s="54"/>
      <c r="Z511" s="54"/>
    </row>
    <row r="512" spans="1:26" ht="14.25" customHeight="1">
      <c r="A512" s="24"/>
      <c r="B512" s="24"/>
      <c r="C512" s="24"/>
      <c r="D512" s="24"/>
      <c r="E512" s="24"/>
      <c r="F512" s="24"/>
      <c r="G512" s="24"/>
      <c r="H512" s="24"/>
      <c r="I512" s="24"/>
      <c r="J512" s="24"/>
      <c r="K512" s="24"/>
      <c r="L512" s="24"/>
      <c r="M512" s="24"/>
      <c r="N512" s="35"/>
      <c r="O512" s="24"/>
      <c r="P512" s="35"/>
      <c r="Q512" s="24"/>
      <c r="R512" s="24"/>
      <c r="S512" s="24"/>
      <c r="T512" s="24"/>
      <c r="U512" s="54"/>
      <c r="V512" s="54"/>
      <c r="W512" s="54"/>
      <c r="X512" s="54"/>
      <c r="Y512" s="54"/>
      <c r="Z512" s="54"/>
    </row>
    <row r="513" spans="1:26" ht="14.25" customHeight="1">
      <c r="A513" s="24"/>
      <c r="B513" s="24"/>
      <c r="C513" s="24"/>
      <c r="D513" s="24"/>
      <c r="E513" s="24"/>
      <c r="F513" s="24"/>
      <c r="G513" s="24"/>
      <c r="H513" s="24"/>
      <c r="I513" s="24"/>
      <c r="J513" s="24"/>
      <c r="K513" s="24"/>
      <c r="L513" s="24"/>
      <c r="M513" s="24"/>
      <c r="N513" s="35"/>
      <c r="O513" s="24"/>
      <c r="P513" s="35"/>
      <c r="Q513" s="24"/>
      <c r="R513" s="24"/>
      <c r="S513" s="24"/>
      <c r="T513" s="24"/>
      <c r="U513" s="54"/>
      <c r="V513" s="54"/>
      <c r="W513" s="54"/>
      <c r="X513" s="54"/>
      <c r="Y513" s="54"/>
      <c r="Z513" s="54"/>
    </row>
    <row r="514" spans="1:26" ht="14.25" customHeight="1">
      <c r="A514" s="24"/>
      <c r="B514" s="24"/>
      <c r="C514" s="24"/>
      <c r="D514" s="24"/>
      <c r="E514" s="24"/>
      <c r="F514" s="24"/>
      <c r="G514" s="24"/>
      <c r="H514" s="24"/>
      <c r="I514" s="24"/>
      <c r="J514" s="24"/>
      <c r="K514" s="24"/>
      <c r="L514" s="24"/>
      <c r="M514" s="24"/>
      <c r="N514" s="35"/>
      <c r="O514" s="24"/>
      <c r="P514" s="35"/>
      <c r="Q514" s="24"/>
      <c r="R514" s="24"/>
      <c r="S514" s="24"/>
      <c r="T514" s="24"/>
      <c r="U514" s="54"/>
      <c r="V514" s="54"/>
      <c r="W514" s="54"/>
      <c r="X514" s="54"/>
      <c r="Y514" s="54"/>
      <c r="Z514" s="54"/>
    </row>
    <row r="515" spans="1:26" ht="14.25" customHeight="1">
      <c r="A515" s="24"/>
      <c r="B515" s="24"/>
      <c r="C515" s="24"/>
      <c r="D515" s="24"/>
      <c r="E515" s="24"/>
      <c r="F515" s="24"/>
      <c r="G515" s="24"/>
      <c r="H515" s="24"/>
      <c r="I515" s="24"/>
      <c r="J515" s="24"/>
      <c r="K515" s="24"/>
      <c r="L515" s="24"/>
      <c r="M515" s="24"/>
      <c r="N515" s="35"/>
      <c r="O515" s="24"/>
      <c r="P515" s="35"/>
      <c r="Q515" s="24"/>
      <c r="R515" s="24"/>
      <c r="S515" s="24"/>
      <c r="T515" s="24"/>
      <c r="U515" s="54"/>
      <c r="V515" s="54"/>
      <c r="W515" s="54"/>
      <c r="X515" s="54"/>
      <c r="Y515" s="54"/>
      <c r="Z515" s="54"/>
    </row>
    <row r="516" spans="1:26" ht="14.25" customHeight="1">
      <c r="A516" s="24"/>
      <c r="B516" s="24"/>
      <c r="C516" s="24"/>
      <c r="D516" s="24"/>
      <c r="E516" s="24"/>
      <c r="F516" s="24"/>
      <c r="G516" s="24"/>
      <c r="H516" s="24"/>
      <c r="I516" s="24"/>
      <c r="J516" s="24"/>
      <c r="K516" s="24"/>
      <c r="L516" s="24"/>
      <c r="M516" s="24"/>
      <c r="N516" s="35"/>
      <c r="O516" s="24"/>
      <c r="P516" s="35"/>
      <c r="Q516" s="24"/>
      <c r="R516" s="24"/>
      <c r="S516" s="24"/>
      <c r="T516" s="24"/>
      <c r="U516" s="54"/>
      <c r="V516" s="54"/>
      <c r="W516" s="54"/>
      <c r="X516" s="54"/>
      <c r="Y516" s="54"/>
      <c r="Z516" s="54"/>
    </row>
    <row r="517" spans="1:26" ht="14.25" customHeight="1">
      <c r="A517" s="24"/>
      <c r="B517" s="24"/>
      <c r="C517" s="24"/>
      <c r="D517" s="24"/>
      <c r="E517" s="24"/>
      <c r="F517" s="24"/>
      <c r="G517" s="24"/>
      <c r="H517" s="24"/>
      <c r="I517" s="24"/>
      <c r="J517" s="24"/>
      <c r="K517" s="24"/>
      <c r="L517" s="24"/>
      <c r="M517" s="24"/>
      <c r="N517" s="35"/>
      <c r="O517" s="24"/>
      <c r="P517" s="35"/>
      <c r="Q517" s="24"/>
      <c r="R517" s="24"/>
      <c r="S517" s="24"/>
      <c r="T517" s="24"/>
      <c r="U517" s="54"/>
      <c r="V517" s="54"/>
      <c r="W517" s="54"/>
      <c r="X517" s="54"/>
      <c r="Y517" s="54"/>
      <c r="Z517" s="54"/>
    </row>
    <row r="518" spans="1:26" ht="14.25" customHeight="1">
      <c r="A518" s="24"/>
      <c r="B518" s="24"/>
      <c r="C518" s="24"/>
      <c r="D518" s="24"/>
      <c r="E518" s="24"/>
      <c r="F518" s="24"/>
      <c r="G518" s="24"/>
      <c r="H518" s="24"/>
      <c r="I518" s="24"/>
      <c r="J518" s="24"/>
      <c r="K518" s="24"/>
      <c r="L518" s="24"/>
      <c r="M518" s="24"/>
      <c r="N518" s="35"/>
      <c r="O518" s="24"/>
      <c r="P518" s="35"/>
      <c r="Q518" s="24"/>
      <c r="R518" s="24"/>
      <c r="S518" s="24"/>
      <c r="T518" s="24"/>
      <c r="U518" s="54"/>
      <c r="V518" s="54"/>
      <c r="W518" s="54"/>
      <c r="X518" s="54"/>
      <c r="Y518" s="54"/>
      <c r="Z518" s="54"/>
    </row>
    <row r="519" spans="1:26" ht="14.25" customHeight="1">
      <c r="A519" s="24"/>
      <c r="B519" s="24"/>
      <c r="C519" s="24"/>
      <c r="D519" s="24"/>
      <c r="E519" s="24"/>
      <c r="F519" s="24"/>
      <c r="G519" s="24"/>
      <c r="H519" s="24"/>
      <c r="I519" s="24"/>
      <c r="J519" s="24"/>
      <c r="K519" s="24"/>
      <c r="L519" s="24"/>
      <c r="M519" s="24"/>
      <c r="N519" s="35"/>
      <c r="O519" s="24"/>
      <c r="P519" s="35"/>
      <c r="Q519" s="24"/>
      <c r="R519" s="24"/>
      <c r="S519" s="24"/>
      <c r="T519" s="24"/>
      <c r="U519" s="54"/>
      <c r="V519" s="54"/>
      <c r="W519" s="54"/>
      <c r="X519" s="54"/>
      <c r="Y519" s="54"/>
      <c r="Z519" s="54"/>
    </row>
    <row r="520" spans="1:26" ht="14.25" customHeight="1">
      <c r="A520" s="24"/>
      <c r="B520" s="24"/>
      <c r="C520" s="24"/>
      <c r="D520" s="24"/>
      <c r="E520" s="24"/>
      <c r="F520" s="24"/>
      <c r="G520" s="24"/>
      <c r="H520" s="24"/>
      <c r="I520" s="24"/>
      <c r="J520" s="24"/>
      <c r="K520" s="24"/>
      <c r="L520" s="24"/>
      <c r="M520" s="24"/>
      <c r="N520" s="35"/>
      <c r="O520" s="24"/>
      <c r="P520" s="35"/>
      <c r="Q520" s="24"/>
      <c r="R520" s="24"/>
      <c r="S520" s="24"/>
      <c r="T520" s="24"/>
      <c r="U520" s="54"/>
      <c r="V520" s="54"/>
      <c r="W520" s="54"/>
      <c r="X520" s="54"/>
      <c r="Y520" s="54"/>
      <c r="Z520" s="54"/>
    </row>
    <row r="521" spans="1:26" ht="14.25" customHeight="1">
      <c r="A521" s="24"/>
      <c r="B521" s="24"/>
      <c r="C521" s="24"/>
      <c r="D521" s="24"/>
      <c r="E521" s="24"/>
      <c r="F521" s="24"/>
      <c r="G521" s="24"/>
      <c r="H521" s="24"/>
      <c r="I521" s="24"/>
      <c r="J521" s="24"/>
      <c r="K521" s="24"/>
      <c r="L521" s="24"/>
      <c r="M521" s="24"/>
      <c r="N521" s="35"/>
      <c r="O521" s="24"/>
      <c r="P521" s="35"/>
      <c r="Q521" s="24"/>
      <c r="R521" s="24"/>
      <c r="S521" s="24"/>
      <c r="T521" s="24"/>
      <c r="U521" s="54"/>
      <c r="V521" s="54"/>
      <c r="W521" s="54"/>
      <c r="X521" s="54"/>
      <c r="Y521" s="54"/>
      <c r="Z521" s="54"/>
    </row>
    <row r="522" spans="1:26" ht="14.25" customHeight="1">
      <c r="A522" s="24"/>
      <c r="B522" s="24"/>
      <c r="C522" s="24"/>
      <c r="D522" s="24"/>
      <c r="E522" s="24"/>
      <c r="F522" s="24"/>
      <c r="G522" s="24"/>
      <c r="H522" s="24"/>
      <c r="I522" s="24"/>
      <c r="J522" s="24"/>
      <c r="K522" s="24"/>
      <c r="L522" s="24"/>
      <c r="M522" s="24"/>
      <c r="N522" s="35"/>
      <c r="O522" s="24"/>
      <c r="P522" s="35"/>
      <c r="Q522" s="24"/>
      <c r="R522" s="24"/>
      <c r="S522" s="24"/>
      <c r="T522" s="24"/>
      <c r="U522" s="54"/>
      <c r="V522" s="54"/>
      <c r="W522" s="54"/>
      <c r="X522" s="54"/>
      <c r="Y522" s="54"/>
      <c r="Z522" s="54"/>
    </row>
    <row r="523" spans="1:26" ht="14.25" customHeight="1">
      <c r="A523" s="24"/>
      <c r="B523" s="24"/>
      <c r="C523" s="24"/>
      <c r="D523" s="24"/>
      <c r="E523" s="24"/>
      <c r="F523" s="24"/>
      <c r="G523" s="24"/>
      <c r="H523" s="24"/>
      <c r="I523" s="24"/>
      <c r="J523" s="24"/>
      <c r="K523" s="24"/>
      <c r="L523" s="24"/>
      <c r="M523" s="24"/>
      <c r="N523" s="35"/>
      <c r="O523" s="24"/>
      <c r="P523" s="35"/>
      <c r="Q523" s="24"/>
      <c r="R523" s="24"/>
      <c r="S523" s="24"/>
      <c r="T523" s="24"/>
      <c r="U523" s="54"/>
      <c r="V523" s="54"/>
      <c r="W523" s="54"/>
      <c r="X523" s="54"/>
      <c r="Y523" s="54"/>
      <c r="Z523" s="54"/>
    </row>
    <row r="524" spans="1:26" ht="14.25" customHeight="1">
      <c r="A524" s="24"/>
      <c r="B524" s="24"/>
      <c r="C524" s="24"/>
      <c r="D524" s="24"/>
      <c r="E524" s="24"/>
      <c r="F524" s="24"/>
      <c r="G524" s="24"/>
      <c r="H524" s="24"/>
      <c r="I524" s="24"/>
      <c r="J524" s="24"/>
      <c r="K524" s="24"/>
      <c r="L524" s="24"/>
      <c r="M524" s="24"/>
      <c r="N524" s="35"/>
      <c r="O524" s="24"/>
      <c r="P524" s="35"/>
      <c r="Q524" s="24"/>
      <c r="R524" s="24"/>
      <c r="S524" s="24"/>
      <c r="T524" s="24"/>
      <c r="U524" s="54"/>
      <c r="V524" s="54"/>
      <c r="W524" s="54"/>
      <c r="X524" s="54"/>
      <c r="Y524" s="54"/>
      <c r="Z524" s="54"/>
    </row>
    <row r="525" spans="1:26" ht="14.25" customHeight="1">
      <c r="A525" s="24"/>
      <c r="B525" s="24"/>
      <c r="C525" s="24"/>
      <c r="D525" s="24"/>
      <c r="E525" s="24"/>
      <c r="F525" s="24"/>
      <c r="G525" s="24"/>
      <c r="H525" s="24"/>
      <c r="I525" s="24"/>
      <c r="J525" s="24"/>
      <c r="K525" s="24"/>
      <c r="L525" s="24"/>
      <c r="M525" s="24"/>
      <c r="N525" s="35"/>
      <c r="O525" s="24"/>
      <c r="P525" s="35"/>
      <c r="Q525" s="24"/>
      <c r="R525" s="24"/>
      <c r="S525" s="24"/>
      <c r="T525" s="24"/>
      <c r="U525" s="54"/>
      <c r="V525" s="54"/>
      <c r="W525" s="54"/>
      <c r="X525" s="54"/>
      <c r="Y525" s="54"/>
      <c r="Z525" s="54"/>
    </row>
    <row r="526" spans="1:26" ht="14.25" customHeight="1">
      <c r="A526" s="24"/>
      <c r="B526" s="24"/>
      <c r="C526" s="24"/>
      <c r="D526" s="24"/>
      <c r="E526" s="24"/>
      <c r="F526" s="24"/>
      <c r="G526" s="24"/>
      <c r="H526" s="24"/>
      <c r="I526" s="24"/>
      <c r="J526" s="24"/>
      <c r="K526" s="24"/>
      <c r="L526" s="24"/>
      <c r="M526" s="24"/>
      <c r="N526" s="35"/>
      <c r="O526" s="24"/>
      <c r="P526" s="35"/>
      <c r="Q526" s="24"/>
      <c r="R526" s="24"/>
      <c r="S526" s="24"/>
      <c r="T526" s="24"/>
      <c r="U526" s="54"/>
      <c r="V526" s="54"/>
      <c r="W526" s="54"/>
      <c r="X526" s="54"/>
      <c r="Y526" s="54"/>
      <c r="Z526" s="54"/>
    </row>
    <row r="527" spans="1:26" ht="14.25" customHeight="1">
      <c r="A527" s="24"/>
      <c r="B527" s="24"/>
      <c r="C527" s="24"/>
      <c r="D527" s="24"/>
      <c r="E527" s="24"/>
      <c r="F527" s="24"/>
      <c r="G527" s="24"/>
      <c r="H527" s="24"/>
      <c r="I527" s="24"/>
      <c r="J527" s="24"/>
      <c r="K527" s="24"/>
      <c r="L527" s="24"/>
      <c r="M527" s="24"/>
      <c r="N527" s="35"/>
      <c r="O527" s="24"/>
      <c r="P527" s="35"/>
      <c r="Q527" s="24"/>
      <c r="R527" s="24"/>
      <c r="S527" s="24"/>
      <c r="T527" s="24"/>
      <c r="U527" s="54"/>
      <c r="V527" s="54"/>
      <c r="W527" s="54"/>
      <c r="X527" s="54"/>
      <c r="Y527" s="54"/>
      <c r="Z527" s="54"/>
    </row>
    <row r="528" spans="1:26" ht="14.25" customHeight="1">
      <c r="A528" s="24"/>
      <c r="B528" s="24"/>
      <c r="C528" s="24"/>
      <c r="D528" s="24"/>
      <c r="E528" s="24"/>
      <c r="F528" s="24"/>
      <c r="G528" s="24"/>
      <c r="H528" s="24"/>
      <c r="I528" s="24"/>
      <c r="J528" s="24"/>
      <c r="K528" s="24"/>
      <c r="L528" s="24"/>
      <c r="M528" s="24"/>
      <c r="N528" s="35"/>
      <c r="O528" s="24"/>
      <c r="P528" s="35"/>
      <c r="Q528" s="24"/>
      <c r="R528" s="24"/>
      <c r="S528" s="24"/>
      <c r="T528" s="24"/>
      <c r="U528" s="54"/>
      <c r="V528" s="54"/>
      <c r="W528" s="54"/>
      <c r="X528" s="54"/>
      <c r="Y528" s="54"/>
      <c r="Z528" s="54"/>
    </row>
    <row r="529" spans="1:26" ht="14.25" customHeight="1">
      <c r="A529" s="24"/>
      <c r="B529" s="24"/>
      <c r="C529" s="24"/>
      <c r="D529" s="24"/>
      <c r="E529" s="24"/>
      <c r="F529" s="24"/>
      <c r="G529" s="24"/>
      <c r="H529" s="24"/>
      <c r="I529" s="24"/>
      <c r="J529" s="24"/>
      <c r="K529" s="24"/>
      <c r="L529" s="24"/>
      <c r="M529" s="24"/>
      <c r="N529" s="35"/>
      <c r="O529" s="24"/>
      <c r="P529" s="35"/>
      <c r="Q529" s="24"/>
      <c r="R529" s="24"/>
      <c r="S529" s="24"/>
      <c r="T529" s="24"/>
      <c r="U529" s="54"/>
      <c r="V529" s="54"/>
      <c r="W529" s="54"/>
      <c r="X529" s="54"/>
      <c r="Y529" s="54"/>
      <c r="Z529" s="54"/>
    </row>
    <row r="530" spans="1:26" ht="14.25" customHeight="1">
      <c r="A530" s="24"/>
      <c r="B530" s="24"/>
      <c r="C530" s="24"/>
      <c r="D530" s="24"/>
      <c r="E530" s="24"/>
      <c r="F530" s="24"/>
      <c r="G530" s="24"/>
      <c r="H530" s="24"/>
      <c r="I530" s="24"/>
      <c r="J530" s="24"/>
      <c r="K530" s="24"/>
      <c r="L530" s="24"/>
      <c r="M530" s="24"/>
      <c r="N530" s="35"/>
      <c r="O530" s="24"/>
      <c r="P530" s="35"/>
      <c r="Q530" s="24"/>
      <c r="R530" s="24"/>
      <c r="S530" s="24"/>
      <c r="T530" s="24"/>
      <c r="U530" s="54"/>
      <c r="V530" s="54"/>
      <c r="W530" s="54"/>
      <c r="X530" s="54"/>
      <c r="Y530" s="54"/>
      <c r="Z530" s="54"/>
    </row>
    <row r="531" spans="1:26" ht="14.25" customHeight="1">
      <c r="A531" s="24"/>
      <c r="B531" s="24"/>
      <c r="C531" s="24"/>
      <c r="D531" s="24"/>
      <c r="E531" s="24"/>
      <c r="F531" s="24"/>
      <c r="G531" s="24"/>
      <c r="H531" s="24"/>
      <c r="I531" s="24"/>
      <c r="J531" s="24"/>
      <c r="K531" s="24"/>
      <c r="L531" s="24"/>
      <c r="M531" s="24"/>
      <c r="N531" s="35"/>
      <c r="O531" s="24"/>
      <c r="P531" s="35"/>
      <c r="Q531" s="24"/>
      <c r="R531" s="24"/>
      <c r="S531" s="24"/>
      <c r="T531" s="24"/>
      <c r="U531" s="54"/>
      <c r="V531" s="54"/>
      <c r="W531" s="54"/>
      <c r="X531" s="54"/>
      <c r="Y531" s="54"/>
      <c r="Z531" s="54"/>
    </row>
    <row r="532" spans="1:26" ht="14.25" customHeight="1">
      <c r="A532" s="24"/>
      <c r="B532" s="24"/>
      <c r="C532" s="24"/>
      <c r="D532" s="24"/>
      <c r="E532" s="24"/>
      <c r="F532" s="24"/>
      <c r="G532" s="24"/>
      <c r="H532" s="24"/>
      <c r="I532" s="24"/>
      <c r="J532" s="24"/>
      <c r="K532" s="24"/>
      <c r="L532" s="24"/>
      <c r="M532" s="24"/>
      <c r="N532" s="35"/>
      <c r="O532" s="24"/>
      <c r="P532" s="35"/>
      <c r="Q532" s="24"/>
      <c r="R532" s="24"/>
      <c r="S532" s="24"/>
      <c r="T532" s="24"/>
      <c r="U532" s="54"/>
      <c r="V532" s="54"/>
      <c r="W532" s="54"/>
      <c r="X532" s="54"/>
      <c r="Y532" s="54"/>
      <c r="Z532" s="54"/>
    </row>
    <row r="533" spans="1:26" ht="14.25" customHeight="1">
      <c r="A533" s="24"/>
      <c r="B533" s="24"/>
      <c r="C533" s="24"/>
      <c r="D533" s="24"/>
      <c r="E533" s="24"/>
      <c r="F533" s="24"/>
      <c r="G533" s="24"/>
      <c r="H533" s="24"/>
      <c r="I533" s="24"/>
      <c r="J533" s="24"/>
      <c r="K533" s="24"/>
      <c r="L533" s="24"/>
      <c r="M533" s="24"/>
      <c r="N533" s="35"/>
      <c r="O533" s="24"/>
      <c r="P533" s="35"/>
      <c r="Q533" s="24"/>
      <c r="R533" s="24"/>
      <c r="S533" s="24"/>
      <c r="T533" s="24"/>
      <c r="U533" s="54"/>
      <c r="V533" s="54"/>
      <c r="W533" s="54"/>
      <c r="X533" s="54"/>
      <c r="Y533" s="54"/>
      <c r="Z533" s="54"/>
    </row>
    <row r="534" spans="1:26" ht="14.25" customHeight="1">
      <c r="A534" s="24"/>
      <c r="B534" s="24"/>
      <c r="C534" s="24"/>
      <c r="D534" s="24"/>
      <c r="E534" s="24"/>
      <c r="F534" s="24"/>
      <c r="G534" s="24"/>
      <c r="H534" s="24"/>
      <c r="I534" s="24"/>
      <c r="J534" s="24"/>
      <c r="K534" s="24"/>
      <c r="L534" s="24"/>
      <c r="M534" s="24"/>
      <c r="N534" s="35"/>
      <c r="O534" s="24"/>
      <c r="P534" s="35"/>
      <c r="Q534" s="24"/>
      <c r="R534" s="24"/>
      <c r="S534" s="24"/>
      <c r="T534" s="24"/>
      <c r="U534" s="54"/>
      <c r="V534" s="54"/>
      <c r="W534" s="54"/>
      <c r="X534" s="54"/>
      <c r="Y534" s="54"/>
      <c r="Z534" s="54"/>
    </row>
    <row r="535" spans="1:26" ht="14.25" customHeight="1">
      <c r="A535" s="24"/>
      <c r="B535" s="24"/>
      <c r="C535" s="24"/>
      <c r="D535" s="24"/>
      <c r="E535" s="24"/>
      <c r="F535" s="24"/>
      <c r="G535" s="24"/>
      <c r="H535" s="24"/>
      <c r="I535" s="24"/>
      <c r="J535" s="24"/>
      <c r="K535" s="24"/>
      <c r="L535" s="24"/>
      <c r="M535" s="24"/>
      <c r="N535" s="35"/>
      <c r="O535" s="24"/>
      <c r="P535" s="35"/>
      <c r="Q535" s="24"/>
      <c r="R535" s="24"/>
      <c r="S535" s="24"/>
      <c r="T535" s="24"/>
      <c r="U535" s="54"/>
      <c r="V535" s="54"/>
      <c r="W535" s="54"/>
      <c r="X535" s="54"/>
      <c r="Y535" s="54"/>
      <c r="Z535" s="54"/>
    </row>
    <row r="536" spans="1:26" ht="14.25" customHeight="1">
      <c r="A536" s="24"/>
      <c r="B536" s="24"/>
      <c r="C536" s="24"/>
      <c r="D536" s="24"/>
      <c r="E536" s="24"/>
      <c r="F536" s="24"/>
      <c r="G536" s="24"/>
      <c r="H536" s="24"/>
      <c r="I536" s="24"/>
      <c r="J536" s="24"/>
      <c r="K536" s="24"/>
      <c r="L536" s="24"/>
      <c r="M536" s="24"/>
      <c r="N536" s="35"/>
      <c r="O536" s="24"/>
      <c r="P536" s="35"/>
      <c r="Q536" s="24"/>
      <c r="R536" s="24"/>
      <c r="S536" s="24"/>
      <c r="T536" s="24"/>
      <c r="U536" s="54"/>
      <c r="V536" s="54"/>
      <c r="W536" s="54"/>
      <c r="X536" s="54"/>
      <c r="Y536" s="54"/>
      <c r="Z536" s="54"/>
    </row>
    <row r="537" spans="1:26" ht="14.25" customHeight="1">
      <c r="A537" s="24"/>
      <c r="B537" s="24"/>
      <c r="C537" s="24"/>
      <c r="D537" s="24"/>
      <c r="E537" s="24"/>
      <c r="F537" s="24"/>
      <c r="G537" s="24"/>
      <c r="H537" s="24"/>
      <c r="I537" s="24"/>
      <c r="J537" s="24"/>
      <c r="K537" s="24"/>
      <c r="L537" s="24"/>
      <c r="M537" s="24"/>
      <c r="N537" s="35"/>
      <c r="O537" s="24"/>
      <c r="P537" s="35"/>
      <c r="Q537" s="24"/>
      <c r="R537" s="24"/>
      <c r="S537" s="24"/>
      <c r="T537" s="24"/>
      <c r="U537" s="54"/>
      <c r="V537" s="54"/>
      <c r="W537" s="54"/>
      <c r="X537" s="54"/>
      <c r="Y537" s="54"/>
      <c r="Z537" s="54"/>
    </row>
    <row r="538" spans="1:26" ht="14.25" customHeight="1">
      <c r="A538" s="24"/>
      <c r="B538" s="24"/>
      <c r="C538" s="24"/>
      <c r="D538" s="24"/>
      <c r="E538" s="24"/>
      <c r="F538" s="24"/>
      <c r="G538" s="24"/>
      <c r="H538" s="24"/>
      <c r="I538" s="24"/>
      <c r="J538" s="24"/>
      <c r="K538" s="24"/>
      <c r="L538" s="24"/>
      <c r="M538" s="24"/>
      <c r="N538" s="35"/>
      <c r="O538" s="24"/>
      <c r="P538" s="35"/>
      <c r="Q538" s="24"/>
      <c r="R538" s="24"/>
      <c r="S538" s="24"/>
      <c r="T538" s="24"/>
      <c r="U538" s="54"/>
      <c r="V538" s="54"/>
      <c r="W538" s="54"/>
      <c r="X538" s="54"/>
      <c r="Y538" s="54"/>
      <c r="Z538" s="54"/>
    </row>
    <row r="539" spans="1:26" ht="14.25" customHeight="1">
      <c r="A539" s="24"/>
      <c r="B539" s="24"/>
      <c r="C539" s="24"/>
      <c r="D539" s="24"/>
      <c r="E539" s="24"/>
      <c r="F539" s="24"/>
      <c r="G539" s="24"/>
      <c r="H539" s="24"/>
      <c r="I539" s="24"/>
      <c r="J539" s="24"/>
      <c r="K539" s="24"/>
      <c r="L539" s="24"/>
      <c r="M539" s="24"/>
      <c r="N539" s="35"/>
      <c r="O539" s="24"/>
      <c r="P539" s="35"/>
      <c r="Q539" s="24"/>
      <c r="R539" s="24"/>
      <c r="S539" s="24"/>
      <c r="T539" s="24"/>
      <c r="U539" s="54"/>
      <c r="V539" s="54"/>
      <c r="W539" s="54"/>
      <c r="X539" s="54"/>
      <c r="Y539" s="54"/>
      <c r="Z539" s="54"/>
    </row>
    <row r="540" spans="1:26" ht="14.25" customHeight="1">
      <c r="A540" s="24"/>
      <c r="B540" s="24"/>
      <c r="C540" s="24"/>
      <c r="D540" s="24"/>
      <c r="E540" s="24"/>
      <c r="F540" s="24"/>
      <c r="G540" s="24"/>
      <c r="H540" s="24"/>
      <c r="I540" s="24"/>
      <c r="J540" s="24"/>
      <c r="K540" s="24"/>
      <c r="L540" s="24"/>
      <c r="M540" s="24"/>
      <c r="N540" s="35"/>
      <c r="O540" s="24"/>
      <c r="P540" s="35"/>
      <c r="Q540" s="24"/>
      <c r="R540" s="24"/>
      <c r="S540" s="24"/>
      <c r="T540" s="24"/>
      <c r="U540" s="54"/>
      <c r="V540" s="54"/>
      <c r="W540" s="54"/>
      <c r="X540" s="54"/>
      <c r="Y540" s="54"/>
      <c r="Z540" s="54"/>
    </row>
    <row r="541" spans="1:26" ht="14.25" customHeight="1">
      <c r="A541" s="24"/>
      <c r="B541" s="24"/>
      <c r="C541" s="24"/>
      <c r="D541" s="24"/>
      <c r="E541" s="24"/>
      <c r="F541" s="24"/>
      <c r="G541" s="24"/>
      <c r="H541" s="24"/>
      <c r="I541" s="24"/>
      <c r="J541" s="24"/>
      <c r="K541" s="24"/>
      <c r="L541" s="24"/>
      <c r="M541" s="24"/>
      <c r="N541" s="35"/>
      <c r="O541" s="24"/>
      <c r="P541" s="35"/>
      <c r="Q541" s="24"/>
      <c r="R541" s="24"/>
      <c r="S541" s="24"/>
      <c r="T541" s="24"/>
      <c r="U541" s="54"/>
      <c r="V541" s="54"/>
      <c r="W541" s="54"/>
      <c r="X541" s="54"/>
      <c r="Y541" s="54"/>
      <c r="Z541" s="54"/>
    </row>
    <row r="542" spans="1:26" ht="14.25" customHeight="1">
      <c r="A542" s="24"/>
      <c r="B542" s="24"/>
      <c r="C542" s="24"/>
      <c r="D542" s="24"/>
      <c r="E542" s="24"/>
      <c r="F542" s="24"/>
      <c r="G542" s="24"/>
      <c r="H542" s="24"/>
      <c r="I542" s="24"/>
      <c r="J542" s="24"/>
      <c r="K542" s="24"/>
      <c r="L542" s="24"/>
      <c r="M542" s="24"/>
      <c r="N542" s="35"/>
      <c r="O542" s="24"/>
      <c r="P542" s="35"/>
      <c r="Q542" s="24"/>
      <c r="R542" s="24"/>
      <c r="S542" s="24"/>
      <c r="T542" s="24"/>
      <c r="U542" s="54"/>
      <c r="V542" s="54"/>
      <c r="W542" s="54"/>
      <c r="X542" s="54"/>
      <c r="Y542" s="54"/>
      <c r="Z542" s="54"/>
    </row>
    <row r="543" spans="1:26" ht="14.25" customHeight="1">
      <c r="A543" s="24"/>
      <c r="B543" s="24"/>
      <c r="C543" s="24"/>
      <c r="D543" s="24"/>
      <c r="E543" s="24"/>
      <c r="F543" s="24"/>
      <c r="G543" s="24"/>
      <c r="H543" s="24"/>
      <c r="I543" s="24"/>
      <c r="J543" s="24"/>
      <c r="K543" s="24"/>
      <c r="L543" s="24"/>
      <c r="M543" s="24"/>
      <c r="N543" s="35"/>
      <c r="O543" s="24"/>
      <c r="P543" s="35"/>
      <c r="Q543" s="24"/>
      <c r="R543" s="24"/>
      <c r="S543" s="24"/>
      <c r="T543" s="24"/>
      <c r="U543" s="54"/>
      <c r="V543" s="54"/>
      <c r="W543" s="54"/>
      <c r="X543" s="54"/>
      <c r="Y543" s="54"/>
      <c r="Z543" s="54"/>
    </row>
    <row r="544" spans="1:26" ht="14.25" customHeight="1">
      <c r="A544" s="24"/>
      <c r="B544" s="24"/>
      <c r="C544" s="24"/>
      <c r="D544" s="24"/>
      <c r="E544" s="24"/>
      <c r="F544" s="24"/>
      <c r="G544" s="24"/>
      <c r="H544" s="24"/>
      <c r="I544" s="24"/>
      <c r="J544" s="24"/>
      <c r="K544" s="24"/>
      <c r="L544" s="24"/>
      <c r="M544" s="24"/>
      <c r="N544" s="35"/>
      <c r="O544" s="24"/>
      <c r="P544" s="35"/>
      <c r="Q544" s="24"/>
      <c r="R544" s="24"/>
      <c r="S544" s="24"/>
      <c r="T544" s="24"/>
      <c r="U544" s="54"/>
      <c r="V544" s="54"/>
      <c r="W544" s="54"/>
      <c r="X544" s="54"/>
      <c r="Y544" s="54"/>
      <c r="Z544" s="54"/>
    </row>
    <row r="545" spans="1:26" ht="14.25" customHeight="1">
      <c r="A545" s="24"/>
      <c r="B545" s="24"/>
      <c r="C545" s="24"/>
      <c r="D545" s="24"/>
      <c r="E545" s="24"/>
      <c r="F545" s="24"/>
      <c r="G545" s="24"/>
      <c r="H545" s="24"/>
      <c r="I545" s="24"/>
      <c r="J545" s="24"/>
      <c r="K545" s="24"/>
      <c r="L545" s="24"/>
      <c r="M545" s="24"/>
      <c r="N545" s="35"/>
      <c r="O545" s="24"/>
      <c r="P545" s="35"/>
      <c r="Q545" s="24"/>
      <c r="R545" s="24"/>
      <c r="S545" s="24"/>
      <c r="T545" s="24"/>
      <c r="U545" s="54"/>
      <c r="V545" s="54"/>
      <c r="W545" s="54"/>
      <c r="X545" s="54"/>
      <c r="Y545" s="54"/>
      <c r="Z545" s="54"/>
    </row>
    <row r="546" spans="1:26" ht="14.25" customHeight="1">
      <c r="A546" s="24"/>
      <c r="B546" s="24"/>
      <c r="C546" s="24"/>
      <c r="D546" s="24"/>
      <c r="E546" s="24"/>
      <c r="F546" s="24"/>
      <c r="G546" s="24"/>
      <c r="H546" s="24"/>
      <c r="I546" s="24"/>
      <c r="J546" s="24"/>
      <c r="K546" s="24"/>
      <c r="L546" s="24"/>
      <c r="M546" s="24"/>
      <c r="N546" s="35"/>
      <c r="O546" s="24"/>
      <c r="P546" s="35"/>
      <c r="Q546" s="24"/>
      <c r="R546" s="24"/>
      <c r="S546" s="24"/>
      <c r="T546" s="24"/>
      <c r="U546" s="54"/>
      <c r="V546" s="54"/>
      <c r="W546" s="54"/>
      <c r="X546" s="54"/>
      <c r="Y546" s="54"/>
      <c r="Z546" s="54"/>
    </row>
    <row r="547" spans="1:26" ht="14.25" customHeight="1">
      <c r="A547" s="24"/>
      <c r="B547" s="24"/>
      <c r="C547" s="24"/>
      <c r="D547" s="24"/>
      <c r="E547" s="24"/>
      <c r="F547" s="24"/>
      <c r="G547" s="24"/>
      <c r="H547" s="24"/>
      <c r="I547" s="24"/>
      <c r="J547" s="24"/>
      <c r="K547" s="24"/>
      <c r="L547" s="24"/>
      <c r="M547" s="24"/>
      <c r="N547" s="35"/>
      <c r="O547" s="24"/>
      <c r="P547" s="35"/>
      <c r="Q547" s="24"/>
      <c r="R547" s="24"/>
      <c r="S547" s="24"/>
      <c r="T547" s="24"/>
      <c r="U547" s="54"/>
      <c r="V547" s="54"/>
      <c r="W547" s="54"/>
      <c r="X547" s="54"/>
      <c r="Y547" s="54"/>
      <c r="Z547" s="54"/>
    </row>
    <row r="548" spans="1:26" ht="14.25" customHeight="1">
      <c r="A548" s="24"/>
      <c r="B548" s="24"/>
      <c r="C548" s="24"/>
      <c r="D548" s="24"/>
      <c r="E548" s="24"/>
      <c r="F548" s="24"/>
      <c r="G548" s="24"/>
      <c r="H548" s="24"/>
      <c r="I548" s="24"/>
      <c r="J548" s="24"/>
      <c r="K548" s="24"/>
      <c r="L548" s="24"/>
      <c r="M548" s="24"/>
      <c r="N548" s="35"/>
      <c r="O548" s="24"/>
      <c r="P548" s="35"/>
      <c r="Q548" s="24"/>
      <c r="R548" s="24"/>
      <c r="S548" s="24"/>
      <c r="T548" s="24"/>
      <c r="U548" s="54"/>
      <c r="V548" s="54"/>
      <c r="W548" s="54"/>
      <c r="X548" s="54"/>
      <c r="Y548" s="54"/>
      <c r="Z548" s="54"/>
    </row>
    <row r="549" spans="1:26" ht="14.25" customHeight="1">
      <c r="A549" s="24"/>
      <c r="B549" s="24"/>
      <c r="C549" s="24"/>
      <c r="D549" s="24"/>
      <c r="E549" s="24"/>
      <c r="F549" s="24"/>
      <c r="G549" s="24"/>
      <c r="H549" s="24"/>
      <c r="I549" s="24"/>
      <c r="J549" s="24"/>
      <c r="K549" s="24"/>
      <c r="L549" s="24"/>
      <c r="M549" s="24"/>
      <c r="N549" s="35"/>
      <c r="O549" s="24"/>
      <c r="P549" s="35"/>
      <c r="Q549" s="24"/>
      <c r="R549" s="24"/>
      <c r="S549" s="24"/>
      <c r="T549" s="24"/>
      <c r="U549" s="54"/>
      <c r="V549" s="54"/>
      <c r="W549" s="54"/>
      <c r="X549" s="54"/>
      <c r="Y549" s="54"/>
      <c r="Z549" s="54"/>
    </row>
    <row r="550" spans="1:26" ht="14.25" customHeight="1">
      <c r="A550" s="24"/>
      <c r="B550" s="24"/>
      <c r="C550" s="24"/>
      <c r="D550" s="24"/>
      <c r="E550" s="24"/>
      <c r="F550" s="24"/>
      <c r="G550" s="24"/>
      <c r="H550" s="24"/>
      <c r="I550" s="24"/>
      <c r="J550" s="24"/>
      <c r="K550" s="24"/>
      <c r="L550" s="24"/>
      <c r="M550" s="24"/>
      <c r="N550" s="35"/>
      <c r="O550" s="24"/>
      <c r="P550" s="35"/>
      <c r="Q550" s="24"/>
      <c r="R550" s="24"/>
      <c r="S550" s="24"/>
      <c r="T550" s="24"/>
      <c r="U550" s="54"/>
      <c r="V550" s="54"/>
      <c r="W550" s="54"/>
      <c r="X550" s="54"/>
      <c r="Y550" s="54"/>
      <c r="Z550" s="54"/>
    </row>
    <row r="551" spans="1:26" ht="14.25" customHeight="1">
      <c r="A551" s="24"/>
      <c r="B551" s="24"/>
      <c r="C551" s="24"/>
      <c r="D551" s="24"/>
      <c r="E551" s="24"/>
      <c r="F551" s="24"/>
      <c r="G551" s="24"/>
      <c r="H551" s="24"/>
      <c r="I551" s="24"/>
      <c r="J551" s="24"/>
      <c r="K551" s="24"/>
      <c r="L551" s="24"/>
      <c r="M551" s="24"/>
      <c r="N551" s="35"/>
      <c r="O551" s="24"/>
      <c r="P551" s="35"/>
      <c r="Q551" s="24"/>
      <c r="R551" s="24"/>
      <c r="S551" s="24"/>
      <c r="T551" s="24"/>
      <c r="U551" s="54"/>
      <c r="V551" s="54"/>
      <c r="W551" s="54"/>
      <c r="X551" s="54"/>
      <c r="Y551" s="54"/>
      <c r="Z551" s="54"/>
    </row>
    <row r="552" spans="1:26" ht="14.25" customHeight="1">
      <c r="A552" s="24"/>
      <c r="B552" s="24"/>
      <c r="C552" s="24"/>
      <c r="D552" s="24"/>
      <c r="E552" s="24"/>
      <c r="F552" s="24"/>
      <c r="G552" s="24"/>
      <c r="H552" s="24"/>
      <c r="I552" s="24"/>
      <c r="J552" s="24"/>
      <c r="K552" s="24"/>
      <c r="L552" s="24"/>
      <c r="M552" s="24"/>
      <c r="N552" s="35"/>
      <c r="O552" s="24"/>
      <c r="P552" s="35"/>
      <c r="Q552" s="24"/>
      <c r="R552" s="24"/>
      <c r="S552" s="24"/>
      <c r="T552" s="24"/>
      <c r="U552" s="54"/>
      <c r="V552" s="54"/>
      <c r="W552" s="54"/>
      <c r="X552" s="54"/>
      <c r="Y552" s="54"/>
      <c r="Z552" s="54"/>
    </row>
    <row r="553" spans="1:26" ht="14.25" customHeight="1">
      <c r="A553" s="24"/>
      <c r="B553" s="24"/>
      <c r="C553" s="24"/>
      <c r="D553" s="24"/>
      <c r="E553" s="24"/>
      <c r="F553" s="24"/>
      <c r="G553" s="24"/>
      <c r="H553" s="24"/>
      <c r="I553" s="24"/>
      <c r="J553" s="24"/>
      <c r="K553" s="24"/>
      <c r="L553" s="24"/>
      <c r="M553" s="24"/>
      <c r="N553" s="35"/>
      <c r="O553" s="24"/>
      <c r="P553" s="35"/>
      <c r="Q553" s="24"/>
      <c r="R553" s="24"/>
      <c r="S553" s="24"/>
      <c r="T553" s="24"/>
      <c r="U553" s="54"/>
      <c r="V553" s="54"/>
      <c r="W553" s="54"/>
      <c r="X553" s="54"/>
      <c r="Y553" s="54"/>
      <c r="Z553" s="54"/>
    </row>
    <row r="554" spans="1:26" ht="14.25" customHeight="1">
      <c r="A554" s="24"/>
      <c r="B554" s="24"/>
      <c r="C554" s="24"/>
      <c r="D554" s="24"/>
      <c r="E554" s="24"/>
      <c r="F554" s="24"/>
      <c r="G554" s="24"/>
      <c r="H554" s="24"/>
      <c r="I554" s="24"/>
      <c r="J554" s="24"/>
      <c r="K554" s="24"/>
      <c r="L554" s="24"/>
      <c r="M554" s="24"/>
      <c r="N554" s="35"/>
      <c r="O554" s="24"/>
      <c r="P554" s="35"/>
      <c r="Q554" s="24"/>
      <c r="R554" s="24"/>
      <c r="S554" s="24"/>
      <c r="T554" s="24"/>
      <c r="U554" s="54"/>
      <c r="V554" s="54"/>
      <c r="W554" s="54"/>
      <c r="X554" s="54"/>
      <c r="Y554" s="54"/>
      <c r="Z554" s="54"/>
    </row>
    <row r="555" spans="1:26" ht="14.25" customHeight="1">
      <c r="A555" s="24"/>
      <c r="B555" s="24"/>
      <c r="C555" s="24"/>
      <c r="D555" s="24"/>
      <c r="E555" s="24"/>
      <c r="F555" s="24"/>
      <c r="G555" s="24"/>
      <c r="H555" s="24"/>
      <c r="I555" s="24"/>
      <c r="J555" s="24"/>
      <c r="K555" s="24"/>
      <c r="L555" s="24"/>
      <c r="M555" s="24"/>
      <c r="N555" s="35"/>
      <c r="O555" s="24"/>
      <c r="P555" s="35"/>
      <c r="Q555" s="24"/>
      <c r="R555" s="24"/>
      <c r="S555" s="24"/>
      <c r="T555" s="24"/>
      <c r="U555" s="54"/>
      <c r="V555" s="54"/>
      <c r="W555" s="54"/>
      <c r="X555" s="54"/>
      <c r="Y555" s="54"/>
      <c r="Z555" s="54"/>
    </row>
    <row r="556" spans="1:26" ht="14.25" customHeight="1">
      <c r="A556" s="24"/>
      <c r="B556" s="24"/>
      <c r="C556" s="24"/>
      <c r="D556" s="24"/>
      <c r="E556" s="24"/>
      <c r="F556" s="24"/>
      <c r="G556" s="24"/>
      <c r="H556" s="24"/>
      <c r="I556" s="24"/>
      <c r="J556" s="24"/>
      <c r="K556" s="24"/>
      <c r="L556" s="24"/>
      <c r="M556" s="24"/>
      <c r="N556" s="35"/>
      <c r="O556" s="24"/>
      <c r="P556" s="35"/>
      <c r="Q556" s="24"/>
      <c r="R556" s="24"/>
      <c r="S556" s="24"/>
      <c r="T556" s="24"/>
      <c r="U556" s="54"/>
      <c r="V556" s="54"/>
      <c r="W556" s="54"/>
      <c r="X556" s="54"/>
      <c r="Y556" s="54"/>
      <c r="Z556" s="54"/>
    </row>
    <row r="557" spans="1:26" ht="14.25" customHeight="1">
      <c r="A557" s="24"/>
      <c r="B557" s="24"/>
      <c r="C557" s="24"/>
      <c r="D557" s="24"/>
      <c r="E557" s="24"/>
      <c r="F557" s="24"/>
      <c r="G557" s="24"/>
      <c r="H557" s="24"/>
      <c r="I557" s="24"/>
      <c r="J557" s="24"/>
      <c r="K557" s="24"/>
      <c r="L557" s="24"/>
      <c r="M557" s="24"/>
      <c r="N557" s="35"/>
      <c r="O557" s="24"/>
      <c r="P557" s="35"/>
      <c r="Q557" s="24"/>
      <c r="R557" s="24"/>
      <c r="S557" s="24"/>
      <c r="T557" s="24"/>
      <c r="U557" s="54"/>
      <c r="V557" s="54"/>
      <c r="W557" s="54"/>
      <c r="X557" s="54"/>
      <c r="Y557" s="54"/>
      <c r="Z557" s="54"/>
    </row>
    <row r="558" spans="1:26" ht="14.25" customHeight="1">
      <c r="A558" s="24"/>
      <c r="B558" s="24"/>
      <c r="C558" s="24"/>
      <c r="D558" s="24"/>
      <c r="E558" s="24"/>
      <c r="F558" s="24"/>
      <c r="G558" s="24"/>
      <c r="H558" s="24"/>
      <c r="I558" s="24"/>
      <c r="J558" s="24"/>
      <c r="K558" s="24"/>
      <c r="L558" s="24"/>
      <c r="M558" s="24"/>
      <c r="N558" s="35"/>
      <c r="O558" s="24"/>
      <c r="P558" s="35"/>
      <c r="Q558" s="24"/>
      <c r="R558" s="24"/>
      <c r="S558" s="24"/>
      <c r="T558" s="24"/>
      <c r="U558" s="54"/>
      <c r="V558" s="54"/>
      <c r="W558" s="54"/>
      <c r="X558" s="54"/>
      <c r="Y558" s="54"/>
      <c r="Z558" s="54"/>
    </row>
    <row r="559" spans="1:26" ht="14.25" customHeight="1">
      <c r="A559" s="24"/>
      <c r="B559" s="24"/>
      <c r="C559" s="24"/>
      <c r="D559" s="24"/>
      <c r="E559" s="24"/>
      <c r="F559" s="24"/>
      <c r="G559" s="24"/>
      <c r="H559" s="24"/>
      <c r="I559" s="24"/>
      <c r="J559" s="24"/>
      <c r="K559" s="24"/>
      <c r="L559" s="24"/>
      <c r="M559" s="24"/>
      <c r="N559" s="35"/>
      <c r="O559" s="24"/>
      <c r="P559" s="35"/>
      <c r="Q559" s="24"/>
      <c r="R559" s="24"/>
      <c r="S559" s="24"/>
      <c r="T559" s="24"/>
      <c r="U559" s="54"/>
      <c r="V559" s="54"/>
      <c r="W559" s="54"/>
      <c r="X559" s="54"/>
      <c r="Y559" s="54"/>
      <c r="Z559" s="54"/>
    </row>
    <row r="560" spans="1:26" ht="14.25" customHeight="1">
      <c r="A560" s="24"/>
      <c r="B560" s="24"/>
      <c r="C560" s="24"/>
      <c r="D560" s="24"/>
      <c r="E560" s="24"/>
      <c r="F560" s="24"/>
      <c r="G560" s="24"/>
      <c r="H560" s="24"/>
      <c r="I560" s="24"/>
      <c r="J560" s="24"/>
      <c r="K560" s="24"/>
      <c r="L560" s="24"/>
      <c r="M560" s="24"/>
      <c r="N560" s="35"/>
      <c r="O560" s="24"/>
      <c r="P560" s="35"/>
      <c r="Q560" s="24"/>
      <c r="R560" s="24"/>
      <c r="S560" s="24"/>
      <c r="T560" s="24"/>
      <c r="U560" s="54"/>
      <c r="V560" s="54"/>
      <c r="W560" s="54"/>
      <c r="X560" s="54"/>
      <c r="Y560" s="54"/>
      <c r="Z560" s="54"/>
    </row>
    <row r="561" spans="1:26" ht="14.25" customHeight="1">
      <c r="A561" s="24"/>
      <c r="B561" s="24"/>
      <c r="C561" s="24"/>
      <c r="D561" s="24"/>
      <c r="E561" s="24"/>
      <c r="F561" s="24"/>
      <c r="G561" s="24"/>
      <c r="H561" s="24"/>
      <c r="I561" s="24"/>
      <c r="J561" s="24"/>
      <c r="K561" s="24"/>
      <c r="L561" s="24"/>
      <c r="M561" s="24"/>
      <c r="N561" s="35"/>
      <c r="O561" s="24"/>
      <c r="P561" s="35"/>
      <c r="Q561" s="24"/>
      <c r="R561" s="24"/>
      <c r="S561" s="24"/>
      <c r="T561" s="24"/>
      <c r="U561" s="54"/>
      <c r="V561" s="54"/>
      <c r="W561" s="54"/>
      <c r="X561" s="54"/>
      <c r="Y561" s="54"/>
      <c r="Z561" s="54"/>
    </row>
    <row r="562" spans="1:26" ht="14.25" customHeight="1">
      <c r="A562" s="24"/>
      <c r="B562" s="24"/>
      <c r="C562" s="24"/>
      <c r="D562" s="24"/>
      <c r="E562" s="24"/>
      <c r="F562" s="24"/>
      <c r="G562" s="24"/>
      <c r="H562" s="24"/>
      <c r="I562" s="24"/>
      <c r="J562" s="24"/>
      <c r="K562" s="24"/>
      <c r="L562" s="24"/>
      <c r="M562" s="24"/>
      <c r="N562" s="35"/>
      <c r="O562" s="24"/>
      <c r="P562" s="35"/>
      <c r="Q562" s="24"/>
      <c r="R562" s="24"/>
      <c r="S562" s="24"/>
      <c r="T562" s="24"/>
      <c r="U562" s="54"/>
      <c r="V562" s="54"/>
      <c r="W562" s="54"/>
      <c r="X562" s="54"/>
      <c r="Y562" s="54"/>
      <c r="Z562" s="54"/>
    </row>
    <row r="563" spans="1:26" ht="14.25" customHeight="1">
      <c r="A563" s="24"/>
      <c r="B563" s="24"/>
      <c r="C563" s="24"/>
      <c r="D563" s="24"/>
      <c r="E563" s="24"/>
      <c r="F563" s="24"/>
      <c r="G563" s="24"/>
      <c r="H563" s="24"/>
      <c r="I563" s="24"/>
      <c r="J563" s="24"/>
      <c r="K563" s="24"/>
      <c r="L563" s="24"/>
      <c r="M563" s="24"/>
      <c r="N563" s="35"/>
      <c r="O563" s="24"/>
      <c r="P563" s="35"/>
      <c r="Q563" s="24"/>
      <c r="R563" s="24"/>
      <c r="S563" s="24"/>
      <c r="T563" s="24"/>
      <c r="U563" s="54"/>
      <c r="V563" s="54"/>
      <c r="W563" s="54"/>
      <c r="X563" s="54"/>
      <c r="Y563" s="54"/>
      <c r="Z563" s="54"/>
    </row>
    <row r="564" spans="1:26" ht="14.25" customHeight="1">
      <c r="A564" s="24"/>
      <c r="B564" s="24"/>
      <c r="C564" s="24"/>
      <c r="D564" s="24"/>
      <c r="E564" s="24"/>
      <c r="F564" s="24"/>
      <c r="G564" s="24"/>
      <c r="H564" s="24"/>
      <c r="I564" s="24"/>
      <c r="J564" s="24"/>
      <c r="K564" s="24"/>
      <c r="L564" s="24"/>
      <c r="M564" s="24"/>
      <c r="N564" s="35"/>
      <c r="O564" s="24"/>
      <c r="P564" s="35"/>
      <c r="Q564" s="24"/>
      <c r="R564" s="24"/>
      <c r="S564" s="24"/>
      <c r="T564" s="24"/>
      <c r="U564" s="54"/>
      <c r="V564" s="54"/>
      <c r="W564" s="54"/>
      <c r="X564" s="54"/>
      <c r="Y564" s="54"/>
      <c r="Z564" s="54"/>
    </row>
    <row r="565" spans="1:26" ht="14.25" customHeight="1">
      <c r="A565" s="24"/>
      <c r="B565" s="24"/>
      <c r="C565" s="24"/>
      <c r="D565" s="24"/>
      <c r="E565" s="24"/>
      <c r="F565" s="24"/>
      <c r="G565" s="24"/>
      <c r="H565" s="24"/>
      <c r="I565" s="24"/>
      <c r="J565" s="24"/>
      <c r="K565" s="24"/>
      <c r="L565" s="24"/>
      <c r="M565" s="24"/>
      <c r="N565" s="35"/>
      <c r="O565" s="24"/>
      <c r="P565" s="35"/>
      <c r="Q565" s="24"/>
      <c r="R565" s="24"/>
      <c r="S565" s="24"/>
      <c r="T565" s="24"/>
      <c r="U565" s="54"/>
      <c r="V565" s="54"/>
      <c r="W565" s="54"/>
      <c r="X565" s="54"/>
      <c r="Y565" s="54"/>
      <c r="Z565" s="54"/>
    </row>
    <row r="566" spans="1:26" ht="14.25" customHeight="1">
      <c r="A566" s="24"/>
      <c r="B566" s="24"/>
      <c r="C566" s="24"/>
      <c r="D566" s="24"/>
      <c r="E566" s="24"/>
      <c r="F566" s="24"/>
      <c r="G566" s="24"/>
      <c r="H566" s="24"/>
      <c r="I566" s="24"/>
      <c r="J566" s="24"/>
      <c r="K566" s="24"/>
      <c r="L566" s="24"/>
      <c r="M566" s="24"/>
      <c r="N566" s="35"/>
      <c r="O566" s="24"/>
      <c r="P566" s="35"/>
      <c r="Q566" s="24"/>
      <c r="R566" s="24"/>
      <c r="S566" s="24"/>
      <c r="T566" s="24"/>
      <c r="U566" s="54"/>
      <c r="V566" s="54"/>
      <c r="W566" s="54"/>
      <c r="X566" s="54"/>
      <c r="Y566" s="54"/>
      <c r="Z566" s="54"/>
    </row>
    <row r="567" spans="1:26" ht="14.25" customHeight="1">
      <c r="A567" s="24"/>
      <c r="B567" s="24"/>
      <c r="C567" s="24"/>
      <c r="D567" s="24"/>
      <c r="E567" s="24"/>
      <c r="F567" s="24"/>
      <c r="G567" s="24"/>
      <c r="H567" s="24"/>
      <c r="I567" s="24"/>
      <c r="J567" s="24"/>
      <c r="K567" s="24"/>
      <c r="L567" s="24"/>
      <c r="M567" s="24"/>
      <c r="N567" s="35"/>
      <c r="O567" s="24"/>
      <c r="P567" s="35"/>
      <c r="Q567" s="24"/>
      <c r="R567" s="24"/>
      <c r="S567" s="24"/>
      <c r="T567" s="24"/>
      <c r="U567" s="54"/>
      <c r="V567" s="54"/>
      <c r="W567" s="54"/>
      <c r="X567" s="54"/>
      <c r="Y567" s="54"/>
      <c r="Z567" s="54"/>
    </row>
    <row r="568" spans="1:26" ht="14.25" customHeight="1">
      <c r="A568" s="24"/>
      <c r="B568" s="24"/>
      <c r="C568" s="24"/>
      <c r="D568" s="24"/>
      <c r="E568" s="24"/>
      <c r="F568" s="24"/>
      <c r="G568" s="24"/>
      <c r="H568" s="24"/>
      <c r="I568" s="24"/>
      <c r="J568" s="24"/>
      <c r="K568" s="24"/>
      <c r="L568" s="24"/>
      <c r="M568" s="24"/>
      <c r="N568" s="35"/>
      <c r="O568" s="24"/>
      <c r="P568" s="35"/>
      <c r="Q568" s="24"/>
      <c r="R568" s="24"/>
      <c r="S568" s="24"/>
      <c r="T568" s="24"/>
      <c r="U568" s="54"/>
      <c r="V568" s="54"/>
      <c r="W568" s="54"/>
      <c r="X568" s="54"/>
      <c r="Y568" s="54"/>
      <c r="Z568" s="54"/>
    </row>
    <row r="569" spans="1:26" ht="14.25" customHeight="1">
      <c r="A569" s="24"/>
      <c r="B569" s="24"/>
      <c r="C569" s="24"/>
      <c r="D569" s="24"/>
      <c r="E569" s="24"/>
      <c r="F569" s="24"/>
      <c r="G569" s="24"/>
      <c r="H569" s="24"/>
      <c r="I569" s="24"/>
      <c r="J569" s="24"/>
      <c r="K569" s="24"/>
      <c r="L569" s="24"/>
      <c r="M569" s="24"/>
      <c r="N569" s="35"/>
      <c r="O569" s="24"/>
      <c r="P569" s="35"/>
      <c r="Q569" s="24"/>
      <c r="R569" s="24"/>
      <c r="S569" s="24"/>
      <c r="T569" s="24"/>
      <c r="U569" s="54"/>
      <c r="V569" s="54"/>
      <c r="W569" s="54"/>
      <c r="X569" s="54"/>
      <c r="Y569" s="54"/>
      <c r="Z569" s="54"/>
    </row>
    <row r="570" spans="1:26" ht="14.25" customHeight="1">
      <c r="A570" s="24"/>
      <c r="B570" s="24"/>
      <c r="C570" s="24"/>
      <c r="D570" s="24"/>
      <c r="E570" s="24"/>
      <c r="F570" s="24"/>
      <c r="G570" s="24"/>
      <c r="H570" s="24"/>
      <c r="I570" s="24"/>
      <c r="J570" s="24"/>
      <c r="K570" s="24"/>
      <c r="L570" s="24"/>
      <c r="M570" s="24"/>
      <c r="N570" s="35"/>
      <c r="O570" s="24"/>
      <c r="P570" s="35"/>
      <c r="Q570" s="24"/>
      <c r="R570" s="24"/>
      <c r="S570" s="24"/>
      <c r="T570" s="24"/>
      <c r="U570" s="54"/>
      <c r="V570" s="54"/>
      <c r="W570" s="54"/>
      <c r="X570" s="54"/>
      <c r="Y570" s="54"/>
      <c r="Z570" s="54"/>
    </row>
    <row r="571" spans="1:26" ht="14.25" customHeight="1">
      <c r="A571" s="24"/>
      <c r="B571" s="24"/>
      <c r="C571" s="24"/>
      <c r="D571" s="24"/>
      <c r="E571" s="24"/>
      <c r="F571" s="24"/>
      <c r="G571" s="24"/>
      <c r="H571" s="24"/>
      <c r="I571" s="24"/>
      <c r="J571" s="24"/>
      <c r="K571" s="24"/>
      <c r="L571" s="24"/>
      <c r="M571" s="24"/>
      <c r="N571" s="35"/>
      <c r="O571" s="24"/>
      <c r="P571" s="35"/>
      <c r="Q571" s="24"/>
      <c r="R571" s="24"/>
      <c r="S571" s="24"/>
      <c r="T571" s="24"/>
      <c r="U571" s="54"/>
      <c r="V571" s="54"/>
      <c r="W571" s="54"/>
      <c r="X571" s="54"/>
      <c r="Y571" s="54"/>
      <c r="Z571" s="54"/>
    </row>
    <row r="572" spans="1:26" ht="14.25" customHeight="1">
      <c r="A572" s="24"/>
      <c r="B572" s="24"/>
      <c r="C572" s="24"/>
      <c r="D572" s="24"/>
      <c r="E572" s="24"/>
      <c r="F572" s="24"/>
      <c r="G572" s="24"/>
      <c r="H572" s="24"/>
      <c r="I572" s="24"/>
      <c r="J572" s="24"/>
      <c r="K572" s="24"/>
      <c r="L572" s="24"/>
      <c r="M572" s="24"/>
      <c r="N572" s="35"/>
      <c r="O572" s="24"/>
      <c r="P572" s="35"/>
      <c r="Q572" s="24"/>
      <c r="R572" s="24"/>
      <c r="S572" s="24"/>
      <c r="T572" s="24"/>
      <c r="U572" s="54"/>
      <c r="V572" s="54"/>
      <c r="W572" s="54"/>
      <c r="X572" s="54"/>
      <c r="Y572" s="54"/>
      <c r="Z572" s="54"/>
    </row>
    <row r="573" spans="1:26" ht="14.25" customHeight="1">
      <c r="A573" s="24"/>
      <c r="B573" s="24"/>
      <c r="C573" s="24"/>
      <c r="D573" s="24"/>
      <c r="E573" s="24"/>
      <c r="F573" s="24"/>
      <c r="G573" s="24"/>
      <c r="H573" s="24"/>
      <c r="I573" s="24"/>
      <c r="J573" s="24"/>
      <c r="K573" s="24"/>
      <c r="L573" s="24"/>
      <c r="M573" s="24"/>
      <c r="N573" s="35"/>
      <c r="O573" s="24"/>
      <c r="P573" s="35"/>
      <c r="Q573" s="24"/>
      <c r="R573" s="24"/>
      <c r="S573" s="24"/>
      <c r="T573" s="24"/>
      <c r="U573" s="54"/>
      <c r="V573" s="54"/>
      <c r="W573" s="54"/>
      <c r="X573" s="54"/>
      <c r="Y573" s="54"/>
      <c r="Z573" s="54"/>
    </row>
    <row r="574" spans="1:26" ht="14.25" customHeight="1">
      <c r="A574" s="24"/>
      <c r="B574" s="24"/>
      <c r="C574" s="24"/>
      <c r="D574" s="24"/>
      <c r="E574" s="24"/>
      <c r="F574" s="24"/>
      <c r="G574" s="24"/>
      <c r="H574" s="24"/>
      <c r="I574" s="24"/>
      <c r="J574" s="24"/>
      <c r="K574" s="24"/>
      <c r="L574" s="24"/>
      <c r="M574" s="24"/>
      <c r="N574" s="35"/>
      <c r="O574" s="24"/>
      <c r="P574" s="35"/>
      <c r="Q574" s="24"/>
      <c r="R574" s="24"/>
      <c r="S574" s="24"/>
      <c r="T574" s="24"/>
      <c r="U574" s="54"/>
      <c r="V574" s="54"/>
      <c r="W574" s="54"/>
      <c r="X574" s="54"/>
      <c r="Y574" s="54"/>
      <c r="Z574" s="54"/>
    </row>
    <row r="575" spans="1:26" ht="14.25" customHeight="1">
      <c r="A575" s="24"/>
      <c r="B575" s="24"/>
      <c r="C575" s="24"/>
      <c r="D575" s="24"/>
      <c r="E575" s="24"/>
      <c r="F575" s="24"/>
      <c r="G575" s="24"/>
      <c r="H575" s="24"/>
      <c r="I575" s="24"/>
      <c r="J575" s="24"/>
      <c r="K575" s="24"/>
      <c r="L575" s="24"/>
      <c r="M575" s="24"/>
      <c r="N575" s="35"/>
      <c r="O575" s="24"/>
      <c r="P575" s="35"/>
      <c r="Q575" s="24"/>
      <c r="R575" s="24"/>
      <c r="S575" s="24"/>
      <c r="T575" s="24"/>
      <c r="U575" s="54"/>
      <c r="V575" s="54"/>
      <c r="W575" s="54"/>
      <c r="X575" s="54"/>
      <c r="Y575" s="54"/>
      <c r="Z575" s="54"/>
    </row>
    <row r="576" spans="1:26" ht="14.25" customHeight="1">
      <c r="A576" s="24"/>
      <c r="B576" s="24"/>
      <c r="C576" s="24"/>
      <c r="D576" s="24"/>
      <c r="E576" s="24"/>
      <c r="F576" s="24"/>
      <c r="G576" s="24"/>
      <c r="H576" s="24"/>
      <c r="I576" s="24"/>
      <c r="J576" s="24"/>
      <c r="K576" s="24"/>
      <c r="L576" s="24"/>
      <c r="M576" s="24"/>
      <c r="N576" s="35"/>
      <c r="O576" s="24"/>
      <c r="P576" s="35"/>
      <c r="Q576" s="24"/>
      <c r="R576" s="24"/>
      <c r="S576" s="24"/>
      <c r="T576" s="24"/>
      <c r="U576" s="54"/>
      <c r="V576" s="54"/>
      <c r="W576" s="54"/>
      <c r="X576" s="54"/>
      <c r="Y576" s="54"/>
      <c r="Z576" s="54"/>
    </row>
    <row r="577" spans="1:26" ht="14.25" customHeight="1">
      <c r="A577" s="24"/>
      <c r="B577" s="24"/>
      <c r="C577" s="24"/>
      <c r="D577" s="24"/>
      <c r="E577" s="24"/>
      <c r="F577" s="24"/>
      <c r="G577" s="24"/>
      <c r="H577" s="24"/>
      <c r="I577" s="24"/>
      <c r="J577" s="24"/>
      <c r="K577" s="24"/>
      <c r="L577" s="24"/>
      <c r="M577" s="24"/>
      <c r="N577" s="35"/>
      <c r="O577" s="24"/>
      <c r="P577" s="35"/>
      <c r="Q577" s="24"/>
      <c r="R577" s="24"/>
      <c r="S577" s="24"/>
      <c r="T577" s="24"/>
      <c r="U577" s="54"/>
      <c r="V577" s="54"/>
      <c r="W577" s="54"/>
      <c r="X577" s="54"/>
      <c r="Y577" s="54"/>
      <c r="Z577" s="54"/>
    </row>
    <row r="578" spans="1:26" ht="14.25" customHeight="1">
      <c r="A578" s="24"/>
      <c r="B578" s="24"/>
      <c r="C578" s="24"/>
      <c r="D578" s="24"/>
      <c r="E578" s="24"/>
      <c r="F578" s="24"/>
      <c r="G578" s="24"/>
      <c r="H578" s="24"/>
      <c r="I578" s="24"/>
      <c r="J578" s="24"/>
      <c r="K578" s="24"/>
      <c r="L578" s="24"/>
      <c r="M578" s="24"/>
      <c r="N578" s="35"/>
      <c r="O578" s="24"/>
      <c r="P578" s="35"/>
      <c r="Q578" s="24"/>
      <c r="R578" s="24"/>
      <c r="S578" s="24"/>
      <c r="T578" s="24"/>
      <c r="U578" s="54"/>
      <c r="V578" s="54"/>
      <c r="W578" s="54"/>
      <c r="X578" s="54"/>
      <c r="Y578" s="54"/>
      <c r="Z578" s="54"/>
    </row>
    <row r="579" spans="1:26" ht="14.25" customHeight="1">
      <c r="A579" s="24"/>
      <c r="B579" s="24"/>
      <c r="C579" s="24"/>
      <c r="D579" s="24"/>
      <c r="E579" s="24"/>
      <c r="F579" s="24"/>
      <c r="G579" s="24"/>
      <c r="H579" s="24"/>
      <c r="I579" s="24"/>
      <c r="J579" s="24"/>
      <c r="K579" s="24"/>
      <c r="L579" s="24"/>
      <c r="M579" s="24"/>
      <c r="N579" s="35"/>
      <c r="O579" s="24"/>
      <c r="P579" s="35"/>
      <c r="Q579" s="24"/>
      <c r="R579" s="24"/>
      <c r="S579" s="24"/>
      <c r="T579" s="24"/>
      <c r="U579" s="54"/>
      <c r="V579" s="54"/>
      <c r="W579" s="54"/>
      <c r="X579" s="54"/>
      <c r="Y579" s="54"/>
      <c r="Z579" s="54"/>
    </row>
    <row r="580" spans="1:26" ht="14.25" customHeight="1">
      <c r="A580" s="24"/>
      <c r="B580" s="24"/>
      <c r="C580" s="24"/>
      <c r="D580" s="24"/>
      <c r="E580" s="24"/>
      <c r="F580" s="24"/>
      <c r="G580" s="24"/>
      <c r="H580" s="24"/>
      <c r="I580" s="24"/>
      <c r="J580" s="24"/>
      <c r="K580" s="24"/>
      <c r="L580" s="24"/>
      <c r="M580" s="24"/>
      <c r="N580" s="35"/>
      <c r="O580" s="24"/>
      <c r="P580" s="35"/>
      <c r="Q580" s="24"/>
      <c r="R580" s="24"/>
      <c r="S580" s="24"/>
      <c r="T580" s="24"/>
      <c r="U580" s="54"/>
      <c r="V580" s="54"/>
      <c r="W580" s="54"/>
      <c r="X580" s="54"/>
      <c r="Y580" s="54"/>
      <c r="Z580" s="54"/>
    </row>
    <row r="581" spans="1:26" ht="14.25" customHeight="1">
      <c r="A581" s="24"/>
      <c r="B581" s="24"/>
      <c r="C581" s="24"/>
      <c r="D581" s="24"/>
      <c r="E581" s="24"/>
      <c r="F581" s="24"/>
      <c r="G581" s="24"/>
      <c r="H581" s="24"/>
      <c r="I581" s="24"/>
      <c r="J581" s="24"/>
      <c r="K581" s="24"/>
      <c r="L581" s="24"/>
      <c r="M581" s="24"/>
      <c r="N581" s="35"/>
      <c r="O581" s="24"/>
      <c r="P581" s="35"/>
      <c r="Q581" s="24"/>
      <c r="R581" s="24"/>
      <c r="S581" s="24"/>
      <c r="T581" s="24"/>
      <c r="U581" s="54"/>
      <c r="V581" s="54"/>
      <c r="W581" s="54"/>
      <c r="X581" s="54"/>
      <c r="Y581" s="54"/>
      <c r="Z581" s="54"/>
    </row>
    <row r="582" spans="1:26" ht="14.25" customHeight="1">
      <c r="A582" s="24"/>
      <c r="B582" s="24"/>
      <c r="C582" s="24"/>
      <c r="D582" s="24"/>
      <c r="E582" s="24"/>
      <c r="F582" s="24"/>
      <c r="G582" s="24"/>
      <c r="H582" s="24"/>
      <c r="I582" s="24"/>
      <c r="J582" s="24"/>
      <c r="K582" s="24"/>
      <c r="L582" s="24"/>
      <c r="M582" s="24"/>
      <c r="N582" s="35"/>
      <c r="O582" s="24"/>
      <c r="P582" s="35"/>
      <c r="Q582" s="24"/>
      <c r="R582" s="24"/>
      <c r="S582" s="24"/>
      <c r="T582" s="24"/>
      <c r="U582" s="54"/>
      <c r="V582" s="54"/>
      <c r="W582" s="54"/>
      <c r="X582" s="54"/>
      <c r="Y582" s="54"/>
      <c r="Z582" s="54"/>
    </row>
    <row r="583" spans="1:26" ht="14.25" customHeight="1">
      <c r="A583" s="24"/>
      <c r="B583" s="24"/>
      <c r="C583" s="24"/>
      <c r="D583" s="24"/>
      <c r="E583" s="24"/>
      <c r="F583" s="24"/>
      <c r="G583" s="24"/>
      <c r="H583" s="24"/>
      <c r="I583" s="24"/>
      <c r="J583" s="24"/>
      <c r="K583" s="24"/>
      <c r="L583" s="24"/>
      <c r="M583" s="24"/>
      <c r="N583" s="35"/>
      <c r="O583" s="24"/>
      <c r="P583" s="35"/>
      <c r="Q583" s="24"/>
      <c r="R583" s="24"/>
      <c r="S583" s="24"/>
      <c r="T583" s="24"/>
      <c r="U583" s="54"/>
      <c r="V583" s="54"/>
      <c r="W583" s="54"/>
      <c r="X583" s="54"/>
      <c r="Y583" s="54"/>
      <c r="Z583" s="54"/>
    </row>
    <row r="584" spans="1:26" ht="14.25" customHeight="1">
      <c r="A584" s="24"/>
      <c r="B584" s="24"/>
      <c r="C584" s="24"/>
      <c r="D584" s="24"/>
      <c r="E584" s="24"/>
      <c r="F584" s="24"/>
      <c r="G584" s="24"/>
      <c r="H584" s="24"/>
      <c r="I584" s="24"/>
      <c r="J584" s="24"/>
      <c r="K584" s="24"/>
      <c r="L584" s="24"/>
      <c r="M584" s="24"/>
      <c r="N584" s="35"/>
      <c r="O584" s="24"/>
      <c r="P584" s="35"/>
      <c r="Q584" s="24"/>
      <c r="R584" s="24"/>
      <c r="S584" s="24"/>
      <c r="T584" s="24"/>
      <c r="U584" s="54"/>
      <c r="V584" s="54"/>
      <c r="W584" s="54"/>
      <c r="X584" s="54"/>
      <c r="Y584" s="54"/>
      <c r="Z584" s="54"/>
    </row>
    <row r="585" spans="1:26" ht="14.25" customHeight="1">
      <c r="A585" s="24"/>
      <c r="B585" s="24"/>
      <c r="C585" s="24"/>
      <c r="D585" s="24"/>
      <c r="E585" s="24"/>
      <c r="F585" s="24"/>
      <c r="G585" s="24"/>
      <c r="H585" s="24"/>
      <c r="I585" s="24"/>
      <c r="J585" s="24"/>
      <c r="K585" s="24"/>
      <c r="L585" s="24"/>
      <c r="M585" s="24"/>
      <c r="N585" s="35"/>
      <c r="O585" s="24"/>
      <c r="P585" s="35"/>
      <c r="Q585" s="24"/>
      <c r="R585" s="24"/>
      <c r="S585" s="24"/>
      <c r="T585" s="24"/>
      <c r="U585" s="54"/>
      <c r="V585" s="54"/>
      <c r="W585" s="54"/>
      <c r="X585" s="54"/>
      <c r="Y585" s="54"/>
      <c r="Z585" s="54"/>
    </row>
    <row r="586" spans="1:26" ht="14.25" customHeight="1">
      <c r="A586" s="24"/>
      <c r="B586" s="24"/>
      <c r="C586" s="24"/>
      <c r="D586" s="24"/>
      <c r="E586" s="24"/>
      <c r="F586" s="24"/>
      <c r="G586" s="24"/>
      <c r="H586" s="24"/>
      <c r="I586" s="24"/>
      <c r="J586" s="24"/>
      <c r="K586" s="24"/>
      <c r="L586" s="24"/>
      <c r="M586" s="24"/>
      <c r="N586" s="35"/>
      <c r="O586" s="24"/>
      <c r="P586" s="35"/>
      <c r="Q586" s="24"/>
      <c r="R586" s="24"/>
      <c r="S586" s="24"/>
      <c r="T586" s="24"/>
      <c r="U586" s="54"/>
      <c r="V586" s="54"/>
      <c r="W586" s="54"/>
      <c r="X586" s="54"/>
      <c r="Y586" s="54"/>
      <c r="Z586" s="54"/>
    </row>
    <row r="587" spans="1:26" ht="14.25" customHeight="1">
      <c r="A587" s="24"/>
      <c r="B587" s="24"/>
      <c r="C587" s="24"/>
      <c r="D587" s="24"/>
      <c r="E587" s="24"/>
      <c r="F587" s="24"/>
      <c r="G587" s="24"/>
      <c r="H587" s="24"/>
      <c r="I587" s="24"/>
      <c r="J587" s="24"/>
      <c r="K587" s="24"/>
      <c r="L587" s="24"/>
      <c r="M587" s="24"/>
      <c r="N587" s="35"/>
      <c r="O587" s="24"/>
      <c r="P587" s="35"/>
      <c r="Q587" s="24"/>
      <c r="R587" s="24"/>
      <c r="S587" s="24"/>
      <c r="T587" s="24"/>
      <c r="U587" s="54"/>
      <c r="V587" s="54"/>
      <c r="W587" s="54"/>
      <c r="X587" s="54"/>
      <c r="Y587" s="54"/>
      <c r="Z587" s="54"/>
    </row>
    <row r="588" spans="1:26" ht="14.25" customHeight="1">
      <c r="A588" s="24"/>
      <c r="B588" s="24"/>
      <c r="C588" s="24"/>
      <c r="D588" s="24"/>
      <c r="E588" s="24"/>
      <c r="F588" s="24"/>
      <c r="G588" s="24"/>
      <c r="H588" s="24"/>
      <c r="I588" s="24"/>
      <c r="J588" s="24"/>
      <c r="K588" s="24"/>
      <c r="L588" s="24"/>
      <c r="M588" s="24"/>
      <c r="N588" s="35"/>
      <c r="O588" s="24"/>
      <c r="P588" s="35"/>
      <c r="Q588" s="24"/>
      <c r="R588" s="24"/>
      <c r="S588" s="24"/>
      <c r="T588" s="24"/>
      <c r="U588" s="54"/>
      <c r="V588" s="54"/>
      <c r="W588" s="54"/>
      <c r="X588" s="54"/>
      <c r="Y588" s="54"/>
      <c r="Z588" s="54"/>
    </row>
    <row r="589" spans="1:26" ht="14.25" customHeight="1">
      <c r="A589" s="24"/>
      <c r="B589" s="24"/>
      <c r="C589" s="24"/>
      <c r="D589" s="24"/>
      <c r="E589" s="24"/>
      <c r="F589" s="24"/>
      <c r="G589" s="24"/>
      <c r="H589" s="24"/>
      <c r="I589" s="24"/>
      <c r="J589" s="24"/>
      <c r="K589" s="24"/>
      <c r="L589" s="24"/>
      <c r="M589" s="24"/>
      <c r="N589" s="35"/>
      <c r="O589" s="24"/>
      <c r="P589" s="35"/>
      <c r="Q589" s="24"/>
      <c r="R589" s="24"/>
      <c r="S589" s="24"/>
      <c r="T589" s="24"/>
      <c r="U589" s="54"/>
      <c r="V589" s="54"/>
      <c r="W589" s="54"/>
      <c r="X589" s="54"/>
      <c r="Y589" s="54"/>
      <c r="Z589" s="54"/>
    </row>
    <row r="590" spans="1:26" ht="14.25" customHeight="1">
      <c r="A590" s="24"/>
      <c r="B590" s="24"/>
      <c r="C590" s="24"/>
      <c r="D590" s="24"/>
      <c r="E590" s="24"/>
      <c r="F590" s="24"/>
      <c r="G590" s="24"/>
      <c r="H590" s="24"/>
      <c r="I590" s="24"/>
      <c r="J590" s="24"/>
      <c r="K590" s="24"/>
      <c r="L590" s="24"/>
      <c r="M590" s="24"/>
      <c r="N590" s="35"/>
      <c r="O590" s="24"/>
      <c r="P590" s="35"/>
      <c r="Q590" s="24"/>
      <c r="R590" s="24"/>
      <c r="S590" s="24"/>
      <c r="T590" s="24"/>
      <c r="U590" s="54"/>
      <c r="V590" s="54"/>
      <c r="W590" s="54"/>
      <c r="X590" s="54"/>
      <c r="Y590" s="54"/>
      <c r="Z590" s="54"/>
    </row>
    <row r="591" spans="1:26" ht="14.25" customHeight="1">
      <c r="A591" s="24"/>
      <c r="B591" s="24"/>
      <c r="C591" s="24"/>
      <c r="D591" s="24"/>
      <c r="E591" s="24"/>
      <c r="F591" s="24"/>
      <c r="G591" s="24"/>
      <c r="H591" s="24"/>
      <c r="I591" s="24"/>
      <c r="J591" s="24"/>
      <c r="K591" s="24"/>
      <c r="L591" s="24"/>
      <c r="M591" s="24"/>
      <c r="N591" s="35"/>
      <c r="O591" s="24"/>
      <c r="P591" s="35"/>
      <c r="Q591" s="24"/>
      <c r="R591" s="24"/>
      <c r="S591" s="24"/>
      <c r="T591" s="24"/>
      <c r="U591" s="54"/>
      <c r="V591" s="54"/>
      <c r="W591" s="54"/>
      <c r="X591" s="54"/>
      <c r="Y591" s="54"/>
      <c r="Z591" s="54"/>
    </row>
    <row r="592" spans="1:26" ht="14.25" customHeight="1">
      <c r="A592" s="24"/>
      <c r="B592" s="24"/>
      <c r="C592" s="24"/>
      <c r="D592" s="24"/>
      <c r="E592" s="24"/>
      <c r="F592" s="24"/>
      <c r="G592" s="24"/>
      <c r="H592" s="24"/>
      <c r="I592" s="24"/>
      <c r="J592" s="24"/>
      <c r="K592" s="24"/>
      <c r="L592" s="24"/>
      <c r="M592" s="24"/>
      <c r="N592" s="35"/>
      <c r="O592" s="24"/>
      <c r="P592" s="35"/>
      <c r="Q592" s="24"/>
      <c r="R592" s="24"/>
      <c r="S592" s="24"/>
      <c r="T592" s="24"/>
      <c r="U592" s="54"/>
      <c r="V592" s="54"/>
      <c r="W592" s="54"/>
      <c r="X592" s="54"/>
      <c r="Y592" s="54"/>
      <c r="Z592" s="54"/>
    </row>
    <row r="593" spans="1:26" ht="14.25" customHeight="1">
      <c r="A593" s="24"/>
      <c r="B593" s="24"/>
      <c r="C593" s="24"/>
      <c r="D593" s="24"/>
      <c r="E593" s="24"/>
      <c r="F593" s="24"/>
      <c r="G593" s="24"/>
      <c r="H593" s="24"/>
      <c r="I593" s="24"/>
      <c r="J593" s="24"/>
      <c r="K593" s="24"/>
      <c r="L593" s="24"/>
      <c r="M593" s="24"/>
      <c r="N593" s="35"/>
      <c r="O593" s="24"/>
      <c r="P593" s="35"/>
      <c r="Q593" s="24"/>
      <c r="R593" s="24"/>
      <c r="S593" s="24"/>
      <c r="T593" s="24"/>
      <c r="U593" s="54"/>
      <c r="V593" s="54"/>
      <c r="W593" s="54"/>
      <c r="X593" s="54"/>
      <c r="Y593" s="54"/>
      <c r="Z593" s="54"/>
    </row>
    <row r="594" spans="1:26" ht="14.25" customHeight="1">
      <c r="A594" s="24"/>
      <c r="B594" s="24"/>
      <c r="C594" s="24"/>
      <c r="D594" s="24"/>
      <c r="E594" s="24"/>
      <c r="F594" s="24"/>
      <c r="G594" s="24"/>
      <c r="H594" s="24"/>
      <c r="I594" s="24"/>
      <c r="J594" s="24"/>
      <c r="K594" s="24"/>
      <c r="L594" s="24"/>
      <c r="M594" s="24"/>
      <c r="N594" s="35"/>
      <c r="O594" s="24"/>
      <c r="P594" s="35"/>
      <c r="Q594" s="24"/>
      <c r="R594" s="24"/>
      <c r="S594" s="24"/>
      <c r="T594" s="24"/>
      <c r="U594" s="54"/>
      <c r="V594" s="54"/>
      <c r="W594" s="54"/>
      <c r="X594" s="54"/>
      <c r="Y594" s="54"/>
      <c r="Z594" s="54"/>
    </row>
    <row r="595" spans="1:26" ht="14.25" customHeight="1">
      <c r="A595" s="24"/>
      <c r="B595" s="24"/>
      <c r="C595" s="24"/>
      <c r="D595" s="24"/>
      <c r="E595" s="24"/>
      <c r="F595" s="24"/>
      <c r="G595" s="24"/>
      <c r="H595" s="24"/>
      <c r="I595" s="24"/>
      <c r="J595" s="24"/>
      <c r="K595" s="24"/>
      <c r="L595" s="24"/>
      <c r="M595" s="24"/>
      <c r="N595" s="35"/>
      <c r="O595" s="24"/>
      <c r="P595" s="35"/>
      <c r="Q595" s="24"/>
      <c r="R595" s="24"/>
      <c r="S595" s="24"/>
      <c r="T595" s="24"/>
      <c r="U595" s="54"/>
      <c r="V595" s="54"/>
      <c r="W595" s="54"/>
      <c r="X595" s="54"/>
      <c r="Y595" s="54"/>
      <c r="Z595" s="54"/>
    </row>
    <row r="596" spans="1:26" ht="14.25" customHeight="1">
      <c r="A596" s="24"/>
      <c r="B596" s="24"/>
      <c r="C596" s="24"/>
      <c r="D596" s="24"/>
      <c r="E596" s="24"/>
      <c r="F596" s="24"/>
      <c r="G596" s="24"/>
      <c r="H596" s="24"/>
      <c r="I596" s="24"/>
      <c r="J596" s="24"/>
      <c r="K596" s="24"/>
      <c r="L596" s="24"/>
      <c r="M596" s="24"/>
      <c r="N596" s="35"/>
      <c r="O596" s="24"/>
      <c r="P596" s="35"/>
      <c r="Q596" s="24"/>
      <c r="R596" s="24"/>
      <c r="S596" s="24"/>
      <c r="T596" s="24"/>
      <c r="U596" s="54"/>
      <c r="V596" s="54"/>
      <c r="W596" s="54"/>
      <c r="X596" s="54"/>
      <c r="Y596" s="54"/>
      <c r="Z596" s="54"/>
    </row>
    <row r="597" spans="1:26" ht="14.25" customHeight="1">
      <c r="A597" s="24"/>
      <c r="B597" s="24"/>
      <c r="C597" s="24"/>
      <c r="D597" s="24"/>
      <c r="E597" s="24"/>
      <c r="F597" s="24"/>
      <c r="G597" s="24"/>
      <c r="H597" s="24"/>
      <c r="I597" s="24"/>
      <c r="J597" s="24"/>
      <c r="K597" s="24"/>
      <c r="L597" s="24"/>
      <c r="M597" s="24"/>
      <c r="N597" s="35"/>
      <c r="O597" s="24"/>
      <c r="P597" s="35"/>
      <c r="Q597" s="24"/>
      <c r="R597" s="24"/>
      <c r="S597" s="24"/>
      <c r="T597" s="24"/>
      <c r="U597" s="54"/>
      <c r="V597" s="54"/>
      <c r="W597" s="54"/>
      <c r="X597" s="54"/>
      <c r="Y597" s="54"/>
      <c r="Z597" s="54"/>
    </row>
    <row r="598" spans="1:26" ht="14.25" customHeight="1">
      <c r="A598" s="24"/>
      <c r="B598" s="24"/>
      <c r="C598" s="24"/>
      <c r="D598" s="24"/>
      <c r="E598" s="24"/>
      <c r="F598" s="24"/>
      <c r="G598" s="24"/>
      <c r="H598" s="24"/>
      <c r="I598" s="24"/>
      <c r="J598" s="24"/>
      <c r="K598" s="24"/>
      <c r="L598" s="24"/>
      <c r="M598" s="24"/>
      <c r="N598" s="35"/>
      <c r="O598" s="24"/>
      <c r="P598" s="35"/>
      <c r="Q598" s="24"/>
      <c r="R598" s="24"/>
      <c r="S598" s="24"/>
      <c r="T598" s="24"/>
      <c r="U598" s="54"/>
      <c r="V598" s="54"/>
      <c r="W598" s="54"/>
      <c r="X598" s="54"/>
      <c r="Y598" s="54"/>
      <c r="Z598" s="54"/>
    </row>
    <row r="599" spans="1:26" ht="14.25" customHeight="1">
      <c r="A599" s="24"/>
      <c r="B599" s="24"/>
      <c r="C599" s="24"/>
      <c r="D599" s="24"/>
      <c r="E599" s="24"/>
      <c r="F599" s="24"/>
      <c r="G599" s="24"/>
      <c r="H599" s="24"/>
      <c r="I599" s="24"/>
      <c r="J599" s="24"/>
      <c r="K599" s="24"/>
      <c r="L599" s="24"/>
      <c r="M599" s="24"/>
      <c r="N599" s="35"/>
      <c r="O599" s="24"/>
      <c r="P599" s="35"/>
      <c r="Q599" s="24"/>
      <c r="R599" s="24"/>
      <c r="S599" s="24"/>
      <c r="T599" s="24"/>
      <c r="U599" s="54"/>
      <c r="V599" s="54"/>
      <c r="W599" s="54"/>
      <c r="X599" s="54"/>
      <c r="Y599" s="54"/>
      <c r="Z599" s="54"/>
    </row>
    <row r="600" spans="1:26" ht="14.25" customHeight="1">
      <c r="A600" s="24"/>
      <c r="B600" s="24"/>
      <c r="C600" s="24"/>
      <c r="D600" s="24"/>
      <c r="E600" s="24"/>
      <c r="F600" s="24"/>
      <c r="G600" s="24"/>
      <c r="H600" s="24"/>
      <c r="I600" s="24"/>
      <c r="J600" s="24"/>
      <c r="K600" s="24"/>
      <c r="L600" s="24"/>
      <c r="M600" s="24"/>
      <c r="N600" s="35"/>
      <c r="O600" s="24"/>
      <c r="P600" s="35"/>
      <c r="Q600" s="24"/>
      <c r="R600" s="24"/>
      <c r="S600" s="24"/>
      <c r="T600" s="24"/>
      <c r="U600" s="54"/>
      <c r="V600" s="54"/>
      <c r="W600" s="54"/>
      <c r="X600" s="54"/>
      <c r="Y600" s="54"/>
      <c r="Z600" s="54"/>
    </row>
    <row r="601" spans="1:26" ht="14.25" customHeight="1">
      <c r="A601" s="24"/>
      <c r="B601" s="24"/>
      <c r="C601" s="24"/>
      <c r="D601" s="24"/>
      <c r="E601" s="24"/>
      <c r="F601" s="24"/>
      <c r="G601" s="24"/>
      <c r="H601" s="24"/>
      <c r="I601" s="24"/>
      <c r="J601" s="24"/>
      <c r="K601" s="24"/>
      <c r="L601" s="24"/>
      <c r="M601" s="24"/>
      <c r="N601" s="35"/>
      <c r="O601" s="24"/>
      <c r="P601" s="35"/>
      <c r="Q601" s="24"/>
      <c r="R601" s="24"/>
      <c r="S601" s="24"/>
      <c r="T601" s="24"/>
      <c r="U601" s="54"/>
      <c r="V601" s="54"/>
      <c r="W601" s="54"/>
      <c r="X601" s="54"/>
      <c r="Y601" s="54"/>
      <c r="Z601" s="54"/>
    </row>
    <row r="602" spans="1:26" ht="14.25" customHeight="1">
      <c r="A602" s="24"/>
      <c r="B602" s="24"/>
      <c r="C602" s="24"/>
      <c r="D602" s="24"/>
      <c r="E602" s="24"/>
      <c r="F602" s="24"/>
      <c r="G602" s="24"/>
      <c r="H602" s="24"/>
      <c r="I602" s="24"/>
      <c r="J602" s="24"/>
      <c r="K602" s="24"/>
      <c r="L602" s="24"/>
      <c r="M602" s="24"/>
      <c r="N602" s="35"/>
      <c r="O602" s="24"/>
      <c r="P602" s="35"/>
      <c r="Q602" s="24"/>
      <c r="R602" s="24"/>
      <c r="S602" s="24"/>
      <c r="T602" s="24"/>
      <c r="U602" s="54"/>
      <c r="V602" s="54"/>
      <c r="W602" s="54"/>
      <c r="X602" s="54"/>
      <c r="Y602" s="54"/>
      <c r="Z602" s="54"/>
    </row>
    <row r="603" spans="1:26" ht="14.25" customHeight="1">
      <c r="A603" s="24"/>
      <c r="B603" s="24"/>
      <c r="C603" s="24"/>
      <c r="D603" s="24"/>
      <c r="E603" s="24"/>
      <c r="F603" s="24"/>
      <c r="G603" s="24"/>
      <c r="H603" s="24"/>
      <c r="I603" s="24"/>
      <c r="J603" s="24"/>
      <c r="K603" s="24"/>
      <c r="L603" s="24"/>
      <c r="M603" s="24"/>
      <c r="N603" s="35"/>
      <c r="O603" s="24"/>
      <c r="P603" s="35"/>
      <c r="Q603" s="24"/>
      <c r="R603" s="24"/>
      <c r="S603" s="24"/>
      <c r="T603" s="24"/>
      <c r="U603" s="54"/>
      <c r="V603" s="54"/>
      <c r="W603" s="54"/>
      <c r="X603" s="54"/>
      <c r="Y603" s="54"/>
      <c r="Z603" s="54"/>
    </row>
    <row r="604" spans="1:26" ht="14.25" customHeight="1">
      <c r="A604" s="24"/>
      <c r="B604" s="24"/>
      <c r="C604" s="24"/>
      <c r="D604" s="24"/>
      <c r="E604" s="24"/>
      <c r="F604" s="24"/>
      <c r="G604" s="24"/>
      <c r="H604" s="24"/>
      <c r="I604" s="24"/>
      <c r="J604" s="24"/>
      <c r="K604" s="24"/>
      <c r="L604" s="24"/>
      <c r="M604" s="24"/>
      <c r="N604" s="35"/>
      <c r="O604" s="24"/>
      <c r="P604" s="35"/>
      <c r="Q604" s="24"/>
      <c r="R604" s="24"/>
      <c r="S604" s="24"/>
      <c r="T604" s="24"/>
      <c r="U604" s="54"/>
      <c r="V604" s="54"/>
      <c r="W604" s="54"/>
      <c r="X604" s="54"/>
      <c r="Y604" s="54"/>
      <c r="Z604" s="54"/>
    </row>
    <row r="605" spans="1:26" ht="14.25" customHeight="1">
      <c r="A605" s="24"/>
      <c r="B605" s="24"/>
      <c r="C605" s="24"/>
      <c r="D605" s="24"/>
      <c r="E605" s="24"/>
      <c r="F605" s="24"/>
      <c r="G605" s="24"/>
      <c r="H605" s="24"/>
      <c r="I605" s="24"/>
      <c r="J605" s="24"/>
      <c r="K605" s="24"/>
      <c r="L605" s="24"/>
      <c r="M605" s="24"/>
      <c r="N605" s="35"/>
      <c r="O605" s="24"/>
      <c r="P605" s="35"/>
      <c r="Q605" s="24"/>
      <c r="R605" s="24"/>
      <c r="S605" s="24"/>
      <c r="T605" s="24"/>
      <c r="U605" s="54"/>
      <c r="V605" s="54"/>
      <c r="W605" s="54"/>
      <c r="X605" s="54"/>
      <c r="Y605" s="54"/>
      <c r="Z605" s="54"/>
    </row>
    <row r="606" spans="1:26" ht="14.25" customHeight="1">
      <c r="A606" s="24"/>
      <c r="B606" s="24"/>
      <c r="C606" s="24"/>
      <c r="D606" s="24"/>
      <c r="E606" s="24"/>
      <c r="F606" s="24"/>
      <c r="G606" s="24"/>
      <c r="H606" s="24"/>
      <c r="I606" s="24"/>
      <c r="J606" s="24"/>
      <c r="K606" s="24"/>
      <c r="L606" s="24"/>
      <c r="M606" s="24"/>
      <c r="N606" s="35"/>
      <c r="O606" s="24"/>
      <c r="P606" s="35"/>
      <c r="Q606" s="24"/>
      <c r="R606" s="24"/>
      <c r="S606" s="24"/>
      <c r="T606" s="24"/>
      <c r="U606" s="54"/>
      <c r="V606" s="54"/>
      <c r="W606" s="54"/>
      <c r="X606" s="54"/>
      <c r="Y606" s="54"/>
      <c r="Z606" s="54"/>
    </row>
    <row r="607" spans="1:26" ht="14.25" customHeight="1">
      <c r="A607" s="24"/>
      <c r="B607" s="24"/>
      <c r="C607" s="24"/>
      <c r="D607" s="24"/>
      <c r="E607" s="24"/>
      <c r="F607" s="24"/>
      <c r="G607" s="24"/>
      <c r="H607" s="24"/>
      <c r="I607" s="24"/>
      <c r="J607" s="24"/>
      <c r="K607" s="24"/>
      <c r="L607" s="24"/>
      <c r="M607" s="24"/>
      <c r="N607" s="35"/>
      <c r="O607" s="24"/>
      <c r="P607" s="35"/>
      <c r="Q607" s="24"/>
      <c r="R607" s="24"/>
      <c r="S607" s="24"/>
      <c r="T607" s="24"/>
      <c r="U607" s="54"/>
      <c r="V607" s="54"/>
      <c r="W607" s="54"/>
      <c r="X607" s="54"/>
      <c r="Y607" s="54"/>
      <c r="Z607" s="54"/>
    </row>
    <row r="608" spans="1:26" ht="14.25" customHeight="1">
      <c r="A608" s="24"/>
      <c r="B608" s="24"/>
      <c r="C608" s="24"/>
      <c r="D608" s="24"/>
      <c r="E608" s="24"/>
      <c r="F608" s="24"/>
      <c r="G608" s="24"/>
      <c r="H608" s="24"/>
      <c r="I608" s="24"/>
      <c r="J608" s="24"/>
      <c r="K608" s="24"/>
      <c r="L608" s="24"/>
      <c r="M608" s="24"/>
      <c r="N608" s="35"/>
      <c r="O608" s="24"/>
      <c r="P608" s="35"/>
      <c r="Q608" s="24"/>
      <c r="R608" s="24"/>
      <c r="S608" s="24"/>
      <c r="T608" s="24"/>
      <c r="U608" s="54"/>
      <c r="V608" s="54"/>
      <c r="W608" s="54"/>
      <c r="X608" s="54"/>
      <c r="Y608" s="54"/>
      <c r="Z608" s="54"/>
    </row>
    <row r="609" spans="1:26" ht="14.25" customHeight="1">
      <c r="A609" s="24"/>
      <c r="B609" s="24"/>
      <c r="C609" s="24"/>
      <c r="D609" s="24"/>
      <c r="E609" s="24"/>
      <c r="F609" s="24"/>
      <c r="G609" s="24"/>
      <c r="H609" s="24"/>
      <c r="I609" s="24"/>
      <c r="J609" s="24"/>
      <c r="K609" s="24"/>
      <c r="L609" s="24"/>
      <c r="M609" s="24"/>
      <c r="N609" s="35"/>
      <c r="O609" s="24"/>
      <c r="P609" s="35"/>
      <c r="Q609" s="24"/>
      <c r="R609" s="24"/>
      <c r="S609" s="24"/>
      <c r="T609" s="24"/>
      <c r="U609" s="54"/>
      <c r="V609" s="54"/>
      <c r="W609" s="54"/>
      <c r="X609" s="54"/>
      <c r="Y609" s="54"/>
      <c r="Z609" s="54"/>
    </row>
    <row r="610" spans="1:26" ht="14.25" customHeight="1">
      <c r="A610" s="24"/>
      <c r="B610" s="24"/>
      <c r="C610" s="24"/>
      <c r="D610" s="24"/>
      <c r="E610" s="24"/>
      <c r="F610" s="24"/>
      <c r="G610" s="24"/>
      <c r="H610" s="24"/>
      <c r="I610" s="24"/>
      <c r="J610" s="24"/>
      <c r="K610" s="24"/>
      <c r="L610" s="24"/>
      <c r="M610" s="24"/>
      <c r="N610" s="35"/>
      <c r="O610" s="24"/>
      <c r="P610" s="35"/>
      <c r="Q610" s="24"/>
      <c r="R610" s="24"/>
      <c r="S610" s="24"/>
      <c r="T610" s="24"/>
      <c r="U610" s="54"/>
      <c r="V610" s="54"/>
      <c r="W610" s="54"/>
      <c r="X610" s="54"/>
      <c r="Y610" s="54"/>
      <c r="Z610" s="54"/>
    </row>
    <row r="611" spans="1:26" ht="14.25" customHeight="1">
      <c r="A611" s="24"/>
      <c r="B611" s="24"/>
      <c r="C611" s="24"/>
      <c r="D611" s="24"/>
      <c r="E611" s="24"/>
      <c r="F611" s="24"/>
      <c r="G611" s="24"/>
      <c r="H611" s="24"/>
      <c r="I611" s="24"/>
      <c r="J611" s="24"/>
      <c r="K611" s="24"/>
      <c r="L611" s="24"/>
      <c r="M611" s="24"/>
      <c r="N611" s="35"/>
      <c r="O611" s="24"/>
      <c r="P611" s="35"/>
      <c r="Q611" s="24"/>
      <c r="R611" s="24"/>
      <c r="S611" s="24"/>
      <c r="T611" s="24"/>
      <c r="U611" s="54"/>
      <c r="V611" s="54"/>
      <c r="W611" s="54"/>
      <c r="X611" s="54"/>
      <c r="Y611" s="54"/>
      <c r="Z611" s="54"/>
    </row>
    <row r="612" spans="1:26" ht="14.25" customHeight="1">
      <c r="A612" s="24"/>
      <c r="B612" s="24"/>
      <c r="C612" s="24"/>
      <c r="D612" s="24"/>
      <c r="E612" s="24"/>
      <c r="F612" s="24"/>
      <c r="G612" s="24"/>
      <c r="H612" s="24"/>
      <c r="I612" s="24"/>
      <c r="J612" s="24"/>
      <c r="K612" s="24"/>
      <c r="L612" s="24"/>
      <c r="M612" s="24"/>
      <c r="N612" s="35"/>
      <c r="O612" s="24"/>
      <c r="P612" s="35"/>
      <c r="Q612" s="24"/>
      <c r="R612" s="24"/>
      <c r="S612" s="24"/>
      <c r="T612" s="24"/>
      <c r="U612" s="54"/>
      <c r="V612" s="54"/>
      <c r="W612" s="54"/>
      <c r="X612" s="54"/>
      <c r="Y612" s="54"/>
      <c r="Z612" s="54"/>
    </row>
    <row r="613" spans="1:26" ht="14.25" customHeight="1">
      <c r="A613" s="24"/>
      <c r="B613" s="24"/>
      <c r="C613" s="24"/>
      <c r="D613" s="24"/>
      <c r="E613" s="24"/>
      <c r="F613" s="24"/>
      <c r="G613" s="24"/>
      <c r="H613" s="24"/>
      <c r="I613" s="24"/>
      <c r="J613" s="24"/>
      <c r="K613" s="24"/>
      <c r="L613" s="24"/>
      <c r="M613" s="24"/>
      <c r="N613" s="35"/>
      <c r="O613" s="24"/>
      <c r="P613" s="35"/>
      <c r="Q613" s="24"/>
      <c r="R613" s="24"/>
      <c r="S613" s="24"/>
      <c r="T613" s="24"/>
      <c r="U613" s="54"/>
      <c r="V613" s="54"/>
      <c r="W613" s="54"/>
      <c r="X613" s="54"/>
      <c r="Y613" s="54"/>
      <c r="Z613" s="54"/>
    </row>
    <row r="614" spans="1:26" ht="14.25" customHeight="1">
      <c r="A614" s="24"/>
      <c r="B614" s="24"/>
      <c r="C614" s="24"/>
      <c r="D614" s="24"/>
      <c r="E614" s="24"/>
      <c r="F614" s="24"/>
      <c r="G614" s="24"/>
      <c r="H614" s="24"/>
      <c r="I614" s="24"/>
      <c r="J614" s="24"/>
      <c r="K614" s="24"/>
      <c r="L614" s="24"/>
      <c r="M614" s="24"/>
      <c r="N614" s="35"/>
      <c r="O614" s="24"/>
      <c r="P614" s="35"/>
      <c r="Q614" s="24"/>
      <c r="R614" s="24"/>
      <c r="S614" s="24"/>
      <c r="T614" s="24"/>
      <c r="U614" s="54"/>
      <c r="V614" s="54"/>
      <c r="W614" s="54"/>
      <c r="X614" s="54"/>
      <c r="Y614" s="54"/>
      <c r="Z614" s="54"/>
    </row>
    <row r="615" spans="1:26" ht="14.25" customHeight="1">
      <c r="A615" s="24"/>
      <c r="B615" s="24"/>
      <c r="C615" s="24"/>
      <c r="D615" s="24"/>
      <c r="E615" s="24"/>
      <c r="F615" s="24"/>
      <c r="G615" s="24"/>
      <c r="H615" s="24"/>
      <c r="I615" s="24"/>
      <c r="J615" s="24"/>
      <c r="K615" s="24"/>
      <c r="L615" s="24"/>
      <c r="M615" s="24"/>
      <c r="N615" s="35"/>
      <c r="O615" s="24"/>
      <c r="P615" s="35"/>
      <c r="Q615" s="24"/>
      <c r="R615" s="24"/>
      <c r="S615" s="24"/>
      <c r="T615" s="24"/>
      <c r="U615" s="54"/>
      <c r="V615" s="54"/>
      <c r="W615" s="54"/>
      <c r="X615" s="54"/>
      <c r="Y615" s="54"/>
      <c r="Z615" s="54"/>
    </row>
    <row r="616" spans="1:26" ht="14.25" customHeight="1">
      <c r="A616" s="24"/>
      <c r="B616" s="24"/>
      <c r="C616" s="24"/>
      <c r="D616" s="24"/>
      <c r="E616" s="24"/>
      <c r="F616" s="24"/>
      <c r="G616" s="24"/>
      <c r="H616" s="24"/>
      <c r="I616" s="24"/>
      <c r="J616" s="24"/>
      <c r="K616" s="24"/>
      <c r="L616" s="24"/>
      <c r="M616" s="24"/>
      <c r="N616" s="35"/>
      <c r="O616" s="24"/>
      <c r="P616" s="35"/>
      <c r="Q616" s="24"/>
      <c r="R616" s="24"/>
      <c r="S616" s="24"/>
      <c r="T616" s="24"/>
      <c r="U616" s="54"/>
      <c r="V616" s="54"/>
      <c r="W616" s="54"/>
      <c r="X616" s="54"/>
      <c r="Y616" s="54"/>
      <c r="Z616" s="54"/>
    </row>
    <row r="617" spans="1:26" ht="14.25" customHeight="1">
      <c r="A617" s="24"/>
      <c r="B617" s="24"/>
      <c r="C617" s="24"/>
      <c r="D617" s="24"/>
      <c r="E617" s="24"/>
      <c r="F617" s="24"/>
      <c r="G617" s="24"/>
      <c r="H617" s="24"/>
      <c r="I617" s="24"/>
      <c r="J617" s="24"/>
      <c r="K617" s="24"/>
      <c r="L617" s="24"/>
      <c r="M617" s="24"/>
      <c r="N617" s="35"/>
      <c r="O617" s="24"/>
      <c r="P617" s="35"/>
      <c r="Q617" s="24"/>
      <c r="R617" s="24"/>
      <c r="S617" s="24"/>
      <c r="T617" s="24"/>
      <c r="U617" s="54"/>
      <c r="V617" s="54"/>
      <c r="W617" s="54"/>
      <c r="X617" s="54"/>
      <c r="Y617" s="54"/>
      <c r="Z617" s="54"/>
    </row>
    <row r="618" spans="1:26" ht="14.25" customHeight="1">
      <c r="A618" s="24"/>
      <c r="B618" s="24"/>
      <c r="C618" s="24"/>
      <c r="D618" s="24"/>
      <c r="E618" s="24"/>
      <c r="F618" s="24"/>
      <c r="G618" s="24"/>
      <c r="H618" s="24"/>
      <c r="I618" s="24"/>
      <c r="J618" s="24"/>
      <c r="K618" s="24"/>
      <c r="L618" s="24"/>
      <c r="M618" s="24"/>
      <c r="N618" s="35"/>
      <c r="O618" s="24"/>
      <c r="P618" s="35"/>
      <c r="Q618" s="24"/>
      <c r="R618" s="24"/>
      <c r="S618" s="24"/>
      <c r="T618" s="24"/>
      <c r="U618" s="54"/>
      <c r="V618" s="54"/>
      <c r="W618" s="54"/>
      <c r="X618" s="54"/>
      <c r="Y618" s="54"/>
      <c r="Z618" s="54"/>
    </row>
    <row r="619" spans="1:26" ht="14.25" customHeight="1">
      <c r="A619" s="24"/>
      <c r="B619" s="24"/>
      <c r="C619" s="24"/>
      <c r="D619" s="24"/>
      <c r="E619" s="24"/>
      <c r="F619" s="24"/>
      <c r="G619" s="24"/>
      <c r="H619" s="24"/>
      <c r="I619" s="24"/>
      <c r="J619" s="24"/>
      <c r="K619" s="24"/>
      <c r="L619" s="24"/>
      <c r="M619" s="24"/>
      <c r="N619" s="35"/>
      <c r="O619" s="24"/>
      <c r="P619" s="35"/>
      <c r="Q619" s="24"/>
      <c r="R619" s="24"/>
      <c r="S619" s="24"/>
      <c r="T619" s="24"/>
      <c r="U619" s="54"/>
      <c r="V619" s="54"/>
      <c r="W619" s="54"/>
      <c r="X619" s="54"/>
      <c r="Y619" s="54"/>
      <c r="Z619" s="54"/>
    </row>
    <row r="620" spans="1:26" ht="14.25" customHeight="1">
      <c r="A620" s="24"/>
      <c r="B620" s="24"/>
      <c r="C620" s="24"/>
      <c r="D620" s="24"/>
      <c r="E620" s="24"/>
      <c r="F620" s="24"/>
      <c r="G620" s="24"/>
      <c r="H620" s="24"/>
      <c r="I620" s="24"/>
      <c r="J620" s="24"/>
      <c r="K620" s="24"/>
      <c r="L620" s="24"/>
      <c r="M620" s="24"/>
      <c r="N620" s="35"/>
      <c r="O620" s="24"/>
      <c r="P620" s="35"/>
      <c r="Q620" s="24"/>
      <c r="R620" s="24"/>
      <c r="S620" s="24"/>
      <c r="T620" s="24"/>
      <c r="U620" s="54"/>
      <c r="V620" s="54"/>
      <c r="W620" s="54"/>
      <c r="X620" s="54"/>
      <c r="Y620" s="54"/>
      <c r="Z620" s="54"/>
    </row>
    <row r="621" spans="1:26" ht="14.25" customHeight="1">
      <c r="A621" s="24"/>
      <c r="B621" s="24"/>
      <c r="C621" s="24"/>
      <c r="D621" s="24"/>
      <c r="E621" s="24"/>
      <c r="F621" s="24"/>
      <c r="G621" s="24"/>
      <c r="H621" s="24"/>
      <c r="I621" s="24"/>
      <c r="J621" s="24"/>
      <c r="K621" s="24"/>
      <c r="L621" s="24"/>
      <c r="M621" s="24"/>
      <c r="N621" s="35"/>
      <c r="O621" s="24"/>
      <c r="P621" s="35"/>
      <c r="Q621" s="24"/>
      <c r="R621" s="24"/>
      <c r="S621" s="24"/>
      <c r="T621" s="24"/>
      <c r="U621" s="54"/>
      <c r="V621" s="54"/>
      <c r="W621" s="54"/>
      <c r="X621" s="54"/>
      <c r="Y621" s="54"/>
      <c r="Z621" s="54"/>
    </row>
    <row r="622" spans="1:26" ht="14.25" customHeight="1">
      <c r="A622" s="24"/>
      <c r="B622" s="24"/>
      <c r="C622" s="24"/>
      <c r="D622" s="24"/>
      <c r="E622" s="24"/>
      <c r="F622" s="24"/>
      <c r="G622" s="24"/>
      <c r="H622" s="24"/>
      <c r="I622" s="24"/>
      <c r="J622" s="24"/>
      <c r="K622" s="24"/>
      <c r="L622" s="24"/>
      <c r="M622" s="24"/>
      <c r="N622" s="35"/>
      <c r="O622" s="24"/>
      <c r="P622" s="35"/>
      <c r="Q622" s="24"/>
      <c r="R622" s="24"/>
      <c r="S622" s="24"/>
      <c r="T622" s="24"/>
      <c r="U622" s="54"/>
      <c r="V622" s="54"/>
      <c r="W622" s="54"/>
      <c r="X622" s="54"/>
      <c r="Y622" s="54"/>
      <c r="Z622" s="54"/>
    </row>
    <row r="623" spans="1:26" ht="14.25" customHeight="1">
      <c r="A623" s="24"/>
      <c r="B623" s="24"/>
      <c r="C623" s="24"/>
      <c r="D623" s="24"/>
      <c r="E623" s="24"/>
      <c r="F623" s="24"/>
      <c r="G623" s="24"/>
      <c r="H623" s="24"/>
      <c r="I623" s="24"/>
      <c r="J623" s="24"/>
      <c r="K623" s="24"/>
      <c r="L623" s="24"/>
      <c r="M623" s="24"/>
      <c r="N623" s="35"/>
      <c r="O623" s="24"/>
      <c r="P623" s="35"/>
      <c r="Q623" s="24"/>
      <c r="R623" s="24"/>
      <c r="S623" s="24"/>
      <c r="T623" s="24"/>
      <c r="U623" s="54"/>
      <c r="V623" s="54"/>
      <c r="W623" s="54"/>
      <c r="X623" s="54"/>
      <c r="Y623" s="54"/>
      <c r="Z623" s="54"/>
    </row>
    <row r="624" spans="1:26" ht="14.25" customHeight="1">
      <c r="A624" s="24"/>
      <c r="B624" s="24"/>
      <c r="C624" s="24"/>
      <c r="D624" s="24"/>
      <c r="E624" s="24"/>
      <c r="F624" s="24"/>
      <c r="G624" s="24"/>
      <c r="H624" s="24"/>
      <c r="I624" s="24"/>
      <c r="J624" s="24"/>
      <c r="K624" s="24"/>
      <c r="L624" s="24"/>
      <c r="M624" s="24"/>
      <c r="N624" s="35"/>
      <c r="O624" s="24"/>
      <c r="P624" s="35"/>
      <c r="Q624" s="24"/>
      <c r="R624" s="24"/>
      <c r="S624" s="24"/>
      <c r="T624" s="24"/>
      <c r="U624" s="54"/>
      <c r="V624" s="54"/>
      <c r="W624" s="54"/>
      <c r="X624" s="54"/>
      <c r="Y624" s="54"/>
      <c r="Z624" s="54"/>
    </row>
    <row r="625" spans="1:26" ht="14.25" customHeight="1">
      <c r="A625" s="24"/>
      <c r="B625" s="24"/>
      <c r="C625" s="24"/>
      <c r="D625" s="24"/>
      <c r="E625" s="24"/>
      <c r="F625" s="24"/>
      <c r="G625" s="24"/>
      <c r="H625" s="24"/>
      <c r="I625" s="24"/>
      <c r="J625" s="24"/>
      <c r="K625" s="24"/>
      <c r="L625" s="24"/>
      <c r="M625" s="24"/>
      <c r="N625" s="35"/>
      <c r="O625" s="24"/>
      <c r="P625" s="35"/>
      <c r="Q625" s="24"/>
      <c r="R625" s="24"/>
      <c r="S625" s="24"/>
      <c r="T625" s="24"/>
      <c r="U625" s="54"/>
      <c r="V625" s="54"/>
      <c r="W625" s="54"/>
      <c r="X625" s="54"/>
      <c r="Y625" s="54"/>
      <c r="Z625" s="54"/>
    </row>
    <row r="626" spans="1:26" ht="14.25" customHeight="1">
      <c r="A626" s="24"/>
      <c r="B626" s="24"/>
      <c r="C626" s="24"/>
      <c r="D626" s="24"/>
      <c r="E626" s="24"/>
      <c r="F626" s="24"/>
      <c r="G626" s="24"/>
      <c r="H626" s="24"/>
      <c r="I626" s="24"/>
      <c r="J626" s="24"/>
      <c r="K626" s="24"/>
      <c r="L626" s="24"/>
      <c r="M626" s="24"/>
      <c r="N626" s="35"/>
      <c r="O626" s="24"/>
      <c r="P626" s="35"/>
      <c r="Q626" s="24"/>
      <c r="R626" s="24"/>
      <c r="S626" s="24"/>
      <c r="T626" s="24"/>
      <c r="U626" s="54"/>
      <c r="V626" s="54"/>
      <c r="W626" s="54"/>
      <c r="X626" s="54"/>
      <c r="Y626" s="54"/>
      <c r="Z626" s="54"/>
    </row>
    <row r="627" spans="1:26" ht="14.25" customHeight="1">
      <c r="A627" s="24"/>
      <c r="B627" s="24"/>
      <c r="C627" s="24"/>
      <c r="D627" s="24"/>
      <c r="E627" s="24"/>
      <c r="F627" s="24"/>
      <c r="G627" s="24"/>
      <c r="H627" s="24"/>
      <c r="I627" s="24"/>
      <c r="J627" s="24"/>
      <c r="K627" s="24"/>
      <c r="L627" s="24"/>
      <c r="M627" s="24"/>
      <c r="N627" s="35"/>
      <c r="O627" s="24"/>
      <c r="P627" s="35"/>
      <c r="Q627" s="24"/>
      <c r="R627" s="24"/>
      <c r="S627" s="24"/>
      <c r="T627" s="24"/>
      <c r="U627" s="54"/>
      <c r="V627" s="54"/>
      <c r="W627" s="54"/>
      <c r="X627" s="54"/>
      <c r="Y627" s="54"/>
      <c r="Z627" s="54"/>
    </row>
    <row r="628" spans="1:26" ht="14.25" customHeight="1">
      <c r="A628" s="24"/>
      <c r="B628" s="24"/>
      <c r="C628" s="24"/>
      <c r="D628" s="24"/>
      <c r="E628" s="24"/>
      <c r="F628" s="24"/>
      <c r="G628" s="24"/>
      <c r="H628" s="24"/>
      <c r="I628" s="24"/>
      <c r="J628" s="24"/>
      <c r="K628" s="24"/>
      <c r="L628" s="24"/>
      <c r="M628" s="24"/>
      <c r="N628" s="35"/>
      <c r="O628" s="24"/>
      <c r="P628" s="35"/>
      <c r="Q628" s="24"/>
      <c r="R628" s="24"/>
      <c r="S628" s="24"/>
      <c r="T628" s="24"/>
      <c r="U628" s="54"/>
      <c r="V628" s="54"/>
      <c r="W628" s="54"/>
      <c r="X628" s="54"/>
      <c r="Y628" s="54"/>
      <c r="Z628" s="54"/>
    </row>
    <row r="629" spans="1:26" ht="14.25" customHeight="1">
      <c r="A629" s="24"/>
      <c r="B629" s="24"/>
      <c r="C629" s="24"/>
      <c r="D629" s="24"/>
      <c r="E629" s="24"/>
      <c r="F629" s="24"/>
      <c r="G629" s="24"/>
      <c r="H629" s="24"/>
      <c r="I629" s="24"/>
      <c r="J629" s="24"/>
      <c r="K629" s="24"/>
      <c r="L629" s="24"/>
      <c r="M629" s="24"/>
      <c r="N629" s="35"/>
      <c r="O629" s="24"/>
      <c r="P629" s="35"/>
      <c r="Q629" s="24"/>
      <c r="R629" s="24"/>
      <c r="S629" s="24"/>
      <c r="T629" s="24"/>
      <c r="U629" s="54"/>
      <c r="V629" s="54"/>
      <c r="W629" s="54"/>
      <c r="X629" s="54"/>
      <c r="Y629" s="54"/>
      <c r="Z629" s="54"/>
    </row>
    <row r="630" spans="1:26" ht="14.25" customHeight="1">
      <c r="A630" s="24"/>
      <c r="B630" s="24"/>
      <c r="C630" s="24"/>
      <c r="D630" s="24"/>
      <c r="E630" s="24"/>
      <c r="F630" s="24"/>
      <c r="G630" s="24"/>
      <c r="H630" s="24"/>
      <c r="I630" s="24"/>
      <c r="J630" s="24"/>
      <c r="K630" s="24"/>
      <c r="L630" s="24"/>
      <c r="M630" s="24"/>
      <c r="N630" s="35"/>
      <c r="O630" s="24"/>
      <c r="P630" s="35"/>
      <c r="Q630" s="24"/>
      <c r="R630" s="24"/>
      <c r="S630" s="24"/>
      <c r="T630" s="24"/>
      <c r="U630" s="54"/>
      <c r="V630" s="54"/>
      <c r="W630" s="54"/>
      <c r="X630" s="54"/>
      <c r="Y630" s="54"/>
      <c r="Z630" s="54"/>
    </row>
    <row r="631" spans="1:26" ht="14.25" customHeight="1">
      <c r="A631" s="24"/>
      <c r="B631" s="24"/>
      <c r="C631" s="24"/>
      <c r="D631" s="24"/>
      <c r="E631" s="24"/>
      <c r="F631" s="24"/>
      <c r="G631" s="24"/>
      <c r="H631" s="24"/>
      <c r="I631" s="24"/>
      <c r="J631" s="24"/>
      <c r="K631" s="24"/>
      <c r="L631" s="24"/>
      <c r="M631" s="24"/>
      <c r="N631" s="35"/>
      <c r="O631" s="24"/>
      <c r="P631" s="35"/>
      <c r="Q631" s="24"/>
      <c r="R631" s="24"/>
      <c r="S631" s="24"/>
      <c r="T631" s="24"/>
      <c r="U631" s="54"/>
      <c r="V631" s="54"/>
      <c r="W631" s="54"/>
      <c r="X631" s="54"/>
      <c r="Y631" s="54"/>
      <c r="Z631" s="54"/>
    </row>
    <row r="632" spans="1:26" ht="14.25" customHeight="1">
      <c r="A632" s="24"/>
      <c r="B632" s="24"/>
      <c r="C632" s="24"/>
      <c r="D632" s="24"/>
      <c r="E632" s="24"/>
      <c r="F632" s="24"/>
      <c r="G632" s="24"/>
      <c r="H632" s="24"/>
      <c r="I632" s="24"/>
      <c r="J632" s="24"/>
      <c r="K632" s="24"/>
      <c r="L632" s="24"/>
      <c r="M632" s="24"/>
      <c r="N632" s="35"/>
      <c r="O632" s="24"/>
      <c r="P632" s="35"/>
      <c r="Q632" s="24"/>
      <c r="R632" s="24"/>
      <c r="S632" s="24"/>
      <c r="T632" s="24"/>
      <c r="U632" s="54"/>
      <c r="V632" s="54"/>
      <c r="W632" s="54"/>
      <c r="X632" s="54"/>
      <c r="Y632" s="54"/>
      <c r="Z632" s="54"/>
    </row>
    <row r="633" spans="1:26" ht="14.25" customHeight="1">
      <c r="A633" s="24"/>
      <c r="B633" s="24"/>
      <c r="C633" s="24"/>
      <c r="D633" s="24"/>
      <c r="E633" s="24"/>
      <c r="F633" s="24"/>
      <c r="G633" s="24"/>
      <c r="H633" s="24"/>
      <c r="I633" s="24"/>
      <c r="J633" s="24"/>
      <c r="K633" s="24"/>
      <c r="L633" s="24"/>
      <c r="M633" s="24"/>
      <c r="N633" s="35"/>
      <c r="O633" s="24"/>
      <c r="P633" s="35"/>
      <c r="Q633" s="24"/>
      <c r="R633" s="24"/>
      <c r="S633" s="24"/>
      <c r="T633" s="24"/>
      <c r="U633" s="54"/>
      <c r="V633" s="54"/>
      <c r="W633" s="54"/>
      <c r="X633" s="54"/>
      <c r="Y633" s="54"/>
      <c r="Z633" s="54"/>
    </row>
    <row r="634" spans="1:26" ht="14.25" customHeight="1">
      <c r="A634" s="24"/>
      <c r="B634" s="24"/>
      <c r="C634" s="24"/>
      <c r="D634" s="24"/>
      <c r="E634" s="24"/>
      <c r="F634" s="24"/>
      <c r="G634" s="24"/>
      <c r="H634" s="24"/>
      <c r="I634" s="24"/>
      <c r="J634" s="24"/>
      <c r="K634" s="24"/>
      <c r="L634" s="24"/>
      <c r="M634" s="24"/>
      <c r="N634" s="35"/>
      <c r="O634" s="24"/>
      <c r="P634" s="35"/>
      <c r="Q634" s="24"/>
      <c r="R634" s="24"/>
      <c r="S634" s="24"/>
      <c r="T634" s="24"/>
      <c r="U634" s="54"/>
      <c r="V634" s="54"/>
      <c r="W634" s="54"/>
      <c r="X634" s="54"/>
      <c r="Y634" s="54"/>
      <c r="Z634" s="54"/>
    </row>
    <row r="635" spans="1:26" ht="14.25" customHeight="1">
      <c r="A635" s="24"/>
      <c r="B635" s="24"/>
      <c r="C635" s="24"/>
      <c r="D635" s="24"/>
      <c r="E635" s="24"/>
      <c r="F635" s="24"/>
      <c r="G635" s="24"/>
      <c r="H635" s="24"/>
      <c r="I635" s="24"/>
      <c r="J635" s="24"/>
      <c r="K635" s="24"/>
      <c r="L635" s="24"/>
      <c r="M635" s="24"/>
      <c r="N635" s="35"/>
      <c r="O635" s="24"/>
      <c r="P635" s="35"/>
      <c r="Q635" s="24"/>
      <c r="R635" s="24"/>
      <c r="S635" s="24"/>
      <c r="T635" s="24"/>
      <c r="U635" s="54"/>
      <c r="V635" s="54"/>
      <c r="W635" s="54"/>
      <c r="X635" s="54"/>
      <c r="Y635" s="54"/>
      <c r="Z635" s="54"/>
    </row>
    <row r="636" spans="1:26" ht="14.25" customHeight="1">
      <c r="A636" s="24"/>
      <c r="B636" s="24"/>
      <c r="C636" s="24"/>
      <c r="D636" s="24"/>
      <c r="E636" s="24"/>
      <c r="F636" s="24"/>
      <c r="G636" s="24"/>
      <c r="H636" s="24"/>
      <c r="I636" s="24"/>
      <c r="J636" s="24"/>
      <c r="K636" s="24"/>
      <c r="L636" s="24"/>
      <c r="M636" s="24"/>
      <c r="N636" s="35"/>
      <c r="O636" s="24"/>
      <c r="P636" s="35"/>
      <c r="Q636" s="24"/>
      <c r="R636" s="24"/>
      <c r="S636" s="24"/>
      <c r="T636" s="24"/>
      <c r="U636" s="54"/>
      <c r="V636" s="54"/>
      <c r="W636" s="54"/>
      <c r="X636" s="54"/>
      <c r="Y636" s="54"/>
      <c r="Z636" s="54"/>
    </row>
    <row r="637" spans="1:26" ht="14.25" customHeight="1">
      <c r="A637" s="24"/>
      <c r="B637" s="24"/>
      <c r="C637" s="24"/>
      <c r="D637" s="24"/>
      <c r="E637" s="24"/>
      <c r="F637" s="24"/>
      <c r="G637" s="24"/>
      <c r="H637" s="24"/>
      <c r="I637" s="24"/>
      <c r="J637" s="24"/>
      <c r="K637" s="24"/>
      <c r="L637" s="24"/>
      <c r="M637" s="24"/>
      <c r="N637" s="35"/>
      <c r="O637" s="24"/>
      <c r="P637" s="35"/>
      <c r="Q637" s="24"/>
      <c r="R637" s="24"/>
      <c r="S637" s="24"/>
      <c r="T637" s="24"/>
      <c r="U637" s="54"/>
      <c r="V637" s="54"/>
      <c r="W637" s="54"/>
      <c r="X637" s="54"/>
      <c r="Y637" s="54"/>
      <c r="Z637" s="54"/>
    </row>
    <row r="638" spans="1:26" ht="14.25" customHeight="1">
      <c r="A638" s="24"/>
      <c r="B638" s="24"/>
      <c r="C638" s="24"/>
      <c r="D638" s="24"/>
      <c r="E638" s="24"/>
      <c r="F638" s="24"/>
      <c r="G638" s="24"/>
      <c r="H638" s="24"/>
      <c r="I638" s="24"/>
      <c r="J638" s="24"/>
      <c r="K638" s="24"/>
      <c r="L638" s="24"/>
      <c r="M638" s="24"/>
      <c r="N638" s="35"/>
      <c r="O638" s="24"/>
      <c r="P638" s="35"/>
      <c r="Q638" s="24"/>
      <c r="R638" s="24"/>
      <c r="S638" s="24"/>
      <c r="T638" s="24"/>
      <c r="U638" s="54"/>
      <c r="V638" s="54"/>
      <c r="W638" s="54"/>
      <c r="X638" s="54"/>
      <c r="Y638" s="54"/>
      <c r="Z638" s="54"/>
    </row>
    <row r="639" spans="1:26" ht="14.25" customHeight="1">
      <c r="A639" s="24"/>
      <c r="B639" s="24"/>
      <c r="C639" s="24"/>
      <c r="D639" s="24"/>
      <c r="E639" s="24"/>
      <c r="F639" s="24"/>
      <c r="G639" s="24"/>
      <c r="H639" s="24"/>
      <c r="I639" s="24"/>
      <c r="J639" s="24"/>
      <c r="K639" s="24"/>
      <c r="L639" s="24"/>
      <c r="M639" s="24"/>
      <c r="N639" s="35"/>
      <c r="O639" s="24"/>
      <c r="P639" s="35"/>
      <c r="Q639" s="24"/>
      <c r="R639" s="24"/>
      <c r="S639" s="24"/>
      <c r="T639" s="24"/>
      <c r="U639" s="54"/>
      <c r="V639" s="54"/>
      <c r="W639" s="54"/>
      <c r="X639" s="54"/>
      <c r="Y639" s="54"/>
      <c r="Z639" s="54"/>
    </row>
    <row r="640" spans="1:26" ht="14.25" customHeight="1">
      <c r="A640" s="24"/>
      <c r="B640" s="24"/>
      <c r="C640" s="24"/>
      <c r="D640" s="24"/>
      <c r="E640" s="24"/>
      <c r="F640" s="24"/>
      <c r="G640" s="24"/>
      <c r="H640" s="24"/>
      <c r="I640" s="24"/>
      <c r="J640" s="24"/>
      <c r="K640" s="24"/>
      <c r="L640" s="24"/>
      <c r="M640" s="24"/>
      <c r="N640" s="35"/>
      <c r="O640" s="24"/>
      <c r="P640" s="35"/>
      <c r="Q640" s="24"/>
      <c r="R640" s="24"/>
      <c r="S640" s="24"/>
      <c r="T640" s="24"/>
      <c r="U640" s="54"/>
      <c r="V640" s="54"/>
      <c r="W640" s="54"/>
      <c r="X640" s="54"/>
      <c r="Y640" s="54"/>
      <c r="Z640" s="54"/>
    </row>
    <row r="641" spans="1:26" ht="14.25" customHeight="1">
      <c r="A641" s="24"/>
      <c r="B641" s="24"/>
      <c r="C641" s="24"/>
      <c r="D641" s="24"/>
      <c r="E641" s="24"/>
      <c r="F641" s="24"/>
      <c r="G641" s="24"/>
      <c r="H641" s="24"/>
      <c r="I641" s="24"/>
      <c r="J641" s="24"/>
      <c r="K641" s="24"/>
      <c r="L641" s="24"/>
      <c r="M641" s="24"/>
      <c r="N641" s="35"/>
      <c r="O641" s="24"/>
      <c r="P641" s="35"/>
      <c r="Q641" s="24"/>
      <c r="R641" s="24"/>
      <c r="S641" s="24"/>
      <c r="T641" s="24"/>
      <c r="U641" s="54"/>
      <c r="V641" s="54"/>
      <c r="W641" s="54"/>
      <c r="X641" s="54"/>
      <c r="Y641" s="54"/>
      <c r="Z641" s="54"/>
    </row>
    <row r="642" spans="1:26" ht="14.25" customHeight="1">
      <c r="A642" s="24"/>
      <c r="B642" s="24"/>
      <c r="C642" s="24"/>
      <c r="D642" s="24"/>
      <c r="E642" s="24"/>
      <c r="F642" s="24"/>
      <c r="G642" s="24"/>
      <c r="H642" s="24"/>
      <c r="I642" s="24"/>
      <c r="J642" s="24"/>
      <c r="K642" s="24"/>
      <c r="L642" s="24"/>
      <c r="M642" s="24"/>
      <c r="N642" s="35"/>
      <c r="O642" s="24"/>
      <c r="P642" s="35"/>
      <c r="Q642" s="24"/>
      <c r="R642" s="24"/>
      <c r="S642" s="24"/>
      <c r="T642" s="24"/>
      <c r="U642" s="54"/>
      <c r="V642" s="54"/>
      <c r="W642" s="54"/>
      <c r="X642" s="54"/>
      <c r="Y642" s="54"/>
      <c r="Z642" s="54"/>
    </row>
    <row r="643" spans="1:26" ht="14.25" customHeight="1">
      <c r="A643" s="24"/>
      <c r="B643" s="24"/>
      <c r="C643" s="24"/>
      <c r="D643" s="24"/>
      <c r="E643" s="24"/>
      <c r="F643" s="24"/>
      <c r="G643" s="24"/>
      <c r="H643" s="24"/>
      <c r="I643" s="24"/>
      <c r="J643" s="24"/>
      <c r="K643" s="24"/>
      <c r="L643" s="24"/>
      <c r="M643" s="24"/>
      <c r="N643" s="35"/>
      <c r="O643" s="24"/>
      <c r="P643" s="35"/>
      <c r="Q643" s="24"/>
      <c r="R643" s="24"/>
      <c r="S643" s="24"/>
      <c r="T643" s="24"/>
      <c r="U643" s="54"/>
      <c r="V643" s="54"/>
      <c r="W643" s="54"/>
      <c r="X643" s="54"/>
      <c r="Y643" s="54"/>
      <c r="Z643" s="54"/>
    </row>
    <row r="644" spans="1:26" ht="14.25" customHeight="1">
      <c r="A644" s="24"/>
      <c r="B644" s="24"/>
      <c r="C644" s="24"/>
      <c r="D644" s="24"/>
      <c r="E644" s="24"/>
      <c r="F644" s="24"/>
      <c r="G644" s="24"/>
      <c r="H644" s="24"/>
      <c r="I644" s="24"/>
      <c r="J644" s="24"/>
      <c r="K644" s="24"/>
      <c r="L644" s="24"/>
      <c r="M644" s="24"/>
      <c r="N644" s="35"/>
      <c r="O644" s="24"/>
      <c r="P644" s="35"/>
      <c r="Q644" s="24"/>
      <c r="R644" s="24"/>
      <c r="S644" s="24"/>
      <c r="T644" s="24"/>
      <c r="U644" s="54"/>
      <c r="V644" s="54"/>
      <c r="W644" s="54"/>
      <c r="X644" s="54"/>
      <c r="Y644" s="54"/>
      <c r="Z644" s="54"/>
    </row>
    <row r="645" spans="1:26" ht="14.25" customHeight="1">
      <c r="A645" s="24"/>
      <c r="B645" s="24"/>
      <c r="C645" s="24"/>
      <c r="D645" s="24"/>
      <c r="E645" s="24"/>
      <c r="F645" s="24"/>
      <c r="G645" s="24"/>
      <c r="H645" s="24"/>
      <c r="I645" s="24"/>
      <c r="J645" s="24"/>
      <c r="K645" s="24"/>
      <c r="L645" s="24"/>
      <c r="M645" s="24"/>
      <c r="N645" s="35"/>
      <c r="O645" s="24"/>
      <c r="P645" s="35"/>
      <c r="Q645" s="24"/>
      <c r="R645" s="24"/>
      <c r="S645" s="24"/>
      <c r="T645" s="24"/>
      <c r="U645" s="54"/>
      <c r="V645" s="54"/>
      <c r="W645" s="54"/>
      <c r="X645" s="54"/>
      <c r="Y645" s="54"/>
      <c r="Z645" s="54"/>
    </row>
    <row r="646" spans="1:26" ht="14.25" customHeight="1">
      <c r="A646" s="24"/>
      <c r="B646" s="24"/>
      <c r="C646" s="24"/>
      <c r="D646" s="24"/>
      <c r="E646" s="24"/>
      <c r="F646" s="24"/>
      <c r="G646" s="24"/>
      <c r="H646" s="24"/>
      <c r="I646" s="24"/>
      <c r="J646" s="24"/>
      <c r="K646" s="24"/>
      <c r="L646" s="24"/>
      <c r="M646" s="24"/>
      <c r="N646" s="35"/>
      <c r="O646" s="24"/>
      <c r="P646" s="35"/>
      <c r="Q646" s="24"/>
      <c r="R646" s="24"/>
      <c r="S646" s="24"/>
      <c r="T646" s="24"/>
      <c r="U646" s="54"/>
      <c r="V646" s="54"/>
      <c r="W646" s="54"/>
      <c r="X646" s="54"/>
      <c r="Y646" s="54"/>
      <c r="Z646" s="54"/>
    </row>
    <row r="647" spans="1:26" ht="14.25" customHeight="1">
      <c r="A647" s="24"/>
      <c r="B647" s="24"/>
      <c r="C647" s="24"/>
      <c r="D647" s="24"/>
      <c r="E647" s="24"/>
      <c r="F647" s="24"/>
      <c r="G647" s="24"/>
      <c r="H647" s="24"/>
      <c r="I647" s="24"/>
      <c r="J647" s="24"/>
      <c r="K647" s="24"/>
      <c r="L647" s="24"/>
      <c r="M647" s="24"/>
      <c r="N647" s="35"/>
      <c r="O647" s="24"/>
      <c r="P647" s="35"/>
      <c r="Q647" s="24"/>
      <c r="R647" s="24"/>
      <c r="S647" s="24"/>
      <c r="T647" s="24"/>
      <c r="U647" s="54"/>
      <c r="V647" s="54"/>
      <c r="W647" s="54"/>
      <c r="X647" s="54"/>
      <c r="Y647" s="54"/>
      <c r="Z647" s="54"/>
    </row>
    <row r="648" spans="1:26" ht="14.25" customHeight="1">
      <c r="A648" s="24"/>
      <c r="B648" s="24"/>
      <c r="C648" s="24"/>
      <c r="D648" s="24"/>
      <c r="E648" s="24"/>
      <c r="F648" s="24"/>
      <c r="G648" s="24"/>
      <c r="H648" s="24"/>
      <c r="I648" s="24"/>
      <c r="J648" s="24"/>
      <c r="K648" s="24"/>
      <c r="L648" s="24"/>
      <c r="M648" s="24"/>
      <c r="N648" s="35"/>
      <c r="O648" s="24"/>
      <c r="P648" s="35"/>
      <c r="Q648" s="24"/>
      <c r="R648" s="24"/>
      <c r="S648" s="24"/>
      <c r="T648" s="24"/>
      <c r="U648" s="54"/>
      <c r="V648" s="54"/>
      <c r="W648" s="54"/>
      <c r="X648" s="54"/>
      <c r="Y648" s="54"/>
      <c r="Z648" s="54"/>
    </row>
    <row r="649" spans="1:26" ht="14.25" customHeight="1">
      <c r="A649" s="24"/>
      <c r="B649" s="24"/>
      <c r="C649" s="24"/>
      <c r="D649" s="24"/>
      <c r="E649" s="24"/>
      <c r="F649" s="24"/>
      <c r="G649" s="24"/>
      <c r="H649" s="24"/>
      <c r="I649" s="24"/>
      <c r="J649" s="24"/>
      <c r="K649" s="24"/>
      <c r="L649" s="24"/>
      <c r="M649" s="24"/>
      <c r="N649" s="35"/>
      <c r="O649" s="24"/>
      <c r="P649" s="35"/>
      <c r="Q649" s="24"/>
      <c r="R649" s="24"/>
      <c r="S649" s="24"/>
      <c r="T649" s="24"/>
      <c r="U649" s="54"/>
      <c r="V649" s="54"/>
      <c r="W649" s="54"/>
      <c r="X649" s="54"/>
      <c r="Y649" s="54"/>
      <c r="Z649" s="54"/>
    </row>
    <row r="650" spans="1:26" ht="14.25" customHeight="1">
      <c r="A650" s="24"/>
      <c r="B650" s="24"/>
      <c r="C650" s="24"/>
      <c r="D650" s="24"/>
      <c r="E650" s="24"/>
      <c r="F650" s="24"/>
      <c r="G650" s="24"/>
      <c r="H650" s="24"/>
      <c r="I650" s="24"/>
      <c r="J650" s="24"/>
      <c r="K650" s="24"/>
      <c r="L650" s="24"/>
      <c r="M650" s="24"/>
      <c r="N650" s="35"/>
      <c r="O650" s="24"/>
      <c r="P650" s="35"/>
      <c r="Q650" s="24"/>
      <c r="R650" s="24"/>
      <c r="S650" s="24"/>
      <c r="T650" s="24"/>
      <c r="U650" s="54"/>
      <c r="V650" s="54"/>
      <c r="W650" s="54"/>
      <c r="X650" s="54"/>
      <c r="Y650" s="54"/>
      <c r="Z650" s="54"/>
    </row>
    <row r="651" spans="1:26" ht="14.25" customHeight="1">
      <c r="A651" s="24"/>
      <c r="B651" s="24"/>
      <c r="C651" s="24"/>
      <c r="D651" s="24"/>
      <c r="E651" s="24"/>
      <c r="F651" s="24"/>
      <c r="G651" s="24"/>
      <c r="H651" s="24"/>
      <c r="I651" s="24"/>
      <c r="J651" s="24"/>
      <c r="K651" s="24"/>
      <c r="L651" s="24"/>
      <c r="M651" s="24"/>
      <c r="N651" s="35"/>
      <c r="O651" s="24"/>
      <c r="P651" s="35"/>
      <c r="Q651" s="24"/>
      <c r="R651" s="24"/>
      <c r="S651" s="24"/>
      <c r="T651" s="24"/>
      <c r="U651" s="54"/>
      <c r="V651" s="54"/>
      <c r="W651" s="54"/>
      <c r="X651" s="54"/>
      <c r="Y651" s="54"/>
      <c r="Z651" s="54"/>
    </row>
    <row r="652" spans="1:26" ht="14.25" customHeight="1">
      <c r="A652" s="24"/>
      <c r="B652" s="24"/>
      <c r="C652" s="24"/>
      <c r="D652" s="24"/>
      <c r="E652" s="24"/>
      <c r="F652" s="24"/>
      <c r="G652" s="24"/>
      <c r="H652" s="24"/>
      <c r="I652" s="24"/>
      <c r="J652" s="24"/>
      <c r="K652" s="24"/>
      <c r="L652" s="24"/>
      <c r="M652" s="24"/>
      <c r="N652" s="35"/>
      <c r="O652" s="24"/>
      <c r="P652" s="35"/>
      <c r="Q652" s="24"/>
      <c r="R652" s="24"/>
      <c r="S652" s="24"/>
      <c r="T652" s="24"/>
      <c r="U652" s="54"/>
      <c r="V652" s="54"/>
      <c r="W652" s="54"/>
      <c r="X652" s="54"/>
      <c r="Y652" s="54"/>
      <c r="Z652" s="54"/>
    </row>
    <row r="653" spans="1:26" ht="14.25" customHeight="1">
      <c r="A653" s="24"/>
      <c r="B653" s="24"/>
      <c r="C653" s="24"/>
      <c r="D653" s="24"/>
      <c r="E653" s="24"/>
      <c r="F653" s="24"/>
      <c r="G653" s="24"/>
      <c r="H653" s="24"/>
      <c r="I653" s="24"/>
      <c r="J653" s="24"/>
      <c r="K653" s="24"/>
      <c r="L653" s="24"/>
      <c r="M653" s="24"/>
      <c r="N653" s="35"/>
      <c r="O653" s="24"/>
      <c r="P653" s="35"/>
      <c r="Q653" s="24"/>
      <c r="R653" s="24"/>
      <c r="S653" s="24"/>
      <c r="T653" s="24"/>
      <c r="U653" s="54"/>
      <c r="V653" s="54"/>
      <c r="W653" s="54"/>
      <c r="X653" s="54"/>
      <c r="Y653" s="54"/>
      <c r="Z653" s="54"/>
    </row>
    <row r="654" spans="1:26" ht="14.25" customHeight="1">
      <c r="A654" s="24"/>
      <c r="B654" s="24"/>
      <c r="C654" s="24"/>
      <c r="D654" s="24"/>
      <c r="E654" s="24"/>
      <c r="F654" s="24"/>
      <c r="G654" s="24"/>
      <c r="H654" s="24"/>
      <c r="I654" s="24"/>
      <c r="J654" s="24"/>
      <c r="K654" s="24"/>
      <c r="L654" s="24"/>
      <c r="M654" s="24"/>
      <c r="N654" s="35"/>
      <c r="O654" s="24"/>
      <c r="P654" s="35"/>
      <c r="Q654" s="24"/>
      <c r="R654" s="24"/>
      <c r="S654" s="24"/>
      <c r="T654" s="24"/>
      <c r="U654" s="54"/>
      <c r="V654" s="54"/>
      <c r="W654" s="54"/>
      <c r="X654" s="54"/>
      <c r="Y654" s="54"/>
      <c r="Z654" s="54"/>
    </row>
    <row r="655" spans="1:26" ht="14.25" customHeight="1">
      <c r="A655" s="24"/>
      <c r="B655" s="24"/>
      <c r="C655" s="24"/>
      <c r="D655" s="24"/>
      <c r="E655" s="24"/>
      <c r="F655" s="24"/>
      <c r="G655" s="24"/>
      <c r="H655" s="24"/>
      <c r="I655" s="24"/>
      <c r="J655" s="24"/>
      <c r="K655" s="24"/>
      <c r="L655" s="24"/>
      <c r="M655" s="24"/>
      <c r="N655" s="35"/>
      <c r="O655" s="24"/>
      <c r="P655" s="35"/>
      <c r="Q655" s="24"/>
      <c r="R655" s="24"/>
      <c r="S655" s="24"/>
      <c r="T655" s="24"/>
      <c r="U655" s="54"/>
      <c r="V655" s="54"/>
      <c r="W655" s="54"/>
      <c r="X655" s="54"/>
      <c r="Y655" s="54"/>
      <c r="Z655" s="54"/>
    </row>
    <row r="656" spans="1:26" ht="14.25" customHeight="1">
      <c r="A656" s="24"/>
      <c r="B656" s="24"/>
      <c r="C656" s="24"/>
      <c r="D656" s="24"/>
      <c r="E656" s="24"/>
      <c r="F656" s="24"/>
      <c r="G656" s="24"/>
      <c r="H656" s="24"/>
      <c r="I656" s="24"/>
      <c r="J656" s="24"/>
      <c r="K656" s="24"/>
      <c r="L656" s="24"/>
      <c r="M656" s="24"/>
      <c r="N656" s="35"/>
      <c r="O656" s="24"/>
      <c r="P656" s="35"/>
      <c r="Q656" s="24"/>
      <c r="R656" s="24"/>
      <c r="S656" s="24"/>
      <c r="T656" s="24"/>
      <c r="U656" s="54"/>
      <c r="V656" s="54"/>
      <c r="W656" s="54"/>
      <c r="X656" s="54"/>
      <c r="Y656" s="54"/>
      <c r="Z656" s="54"/>
    </row>
    <row r="657" spans="1:26" ht="14.25" customHeight="1">
      <c r="A657" s="24"/>
      <c r="B657" s="24"/>
      <c r="C657" s="24"/>
      <c r="D657" s="24"/>
      <c r="E657" s="24"/>
      <c r="F657" s="24"/>
      <c r="G657" s="24"/>
      <c r="H657" s="24"/>
      <c r="I657" s="24"/>
      <c r="J657" s="24"/>
      <c r="K657" s="24"/>
      <c r="L657" s="24"/>
      <c r="M657" s="24"/>
      <c r="N657" s="35"/>
      <c r="O657" s="24"/>
      <c r="P657" s="35"/>
      <c r="Q657" s="24"/>
      <c r="R657" s="24"/>
      <c r="S657" s="24"/>
      <c r="T657" s="24"/>
      <c r="U657" s="54"/>
      <c r="V657" s="54"/>
      <c r="W657" s="54"/>
      <c r="X657" s="54"/>
      <c r="Y657" s="54"/>
      <c r="Z657" s="54"/>
    </row>
    <row r="658" spans="1:26" ht="14.25" customHeight="1">
      <c r="A658" s="24"/>
      <c r="B658" s="24"/>
      <c r="C658" s="24"/>
      <c r="D658" s="24"/>
      <c r="E658" s="24"/>
      <c r="F658" s="24"/>
      <c r="G658" s="24"/>
      <c r="H658" s="24"/>
      <c r="I658" s="24"/>
      <c r="J658" s="24"/>
      <c r="K658" s="24"/>
      <c r="L658" s="24"/>
      <c r="M658" s="24"/>
      <c r="N658" s="35"/>
      <c r="O658" s="24"/>
      <c r="P658" s="35"/>
      <c r="Q658" s="24"/>
      <c r="R658" s="24"/>
      <c r="S658" s="24"/>
      <c r="T658" s="24"/>
      <c r="U658" s="54"/>
      <c r="V658" s="54"/>
      <c r="W658" s="54"/>
      <c r="X658" s="54"/>
      <c r="Y658" s="54"/>
      <c r="Z658" s="54"/>
    </row>
    <row r="659" spans="1:26" ht="14.25" customHeight="1">
      <c r="A659" s="24"/>
      <c r="B659" s="24"/>
      <c r="C659" s="24"/>
      <c r="D659" s="24"/>
      <c r="E659" s="24"/>
      <c r="F659" s="24"/>
      <c r="G659" s="24"/>
      <c r="H659" s="24"/>
      <c r="I659" s="24"/>
      <c r="J659" s="24"/>
      <c r="K659" s="24"/>
      <c r="L659" s="24"/>
      <c r="M659" s="24"/>
      <c r="N659" s="35"/>
      <c r="O659" s="24"/>
      <c r="P659" s="35"/>
      <c r="Q659" s="24"/>
      <c r="R659" s="24"/>
      <c r="S659" s="24"/>
      <c r="T659" s="24"/>
      <c r="U659" s="54"/>
      <c r="V659" s="54"/>
      <c r="W659" s="54"/>
      <c r="X659" s="54"/>
      <c r="Y659" s="54"/>
      <c r="Z659" s="54"/>
    </row>
    <row r="660" spans="1:26" ht="14.25" customHeight="1">
      <c r="A660" s="24"/>
      <c r="B660" s="24"/>
      <c r="C660" s="24"/>
      <c r="D660" s="24"/>
      <c r="E660" s="24"/>
      <c r="F660" s="24"/>
      <c r="G660" s="24"/>
      <c r="H660" s="24"/>
      <c r="I660" s="24"/>
      <c r="J660" s="24"/>
      <c r="K660" s="24"/>
      <c r="L660" s="24"/>
      <c r="M660" s="24"/>
      <c r="N660" s="35"/>
      <c r="O660" s="24"/>
      <c r="P660" s="35"/>
      <c r="Q660" s="24"/>
      <c r="R660" s="24"/>
      <c r="S660" s="24"/>
      <c r="T660" s="24"/>
      <c r="U660" s="54"/>
      <c r="V660" s="54"/>
      <c r="W660" s="54"/>
      <c r="X660" s="54"/>
      <c r="Y660" s="54"/>
      <c r="Z660" s="54"/>
    </row>
    <row r="661" spans="1:26" ht="14.25" customHeight="1">
      <c r="A661" s="24"/>
      <c r="B661" s="24"/>
      <c r="C661" s="24"/>
      <c r="D661" s="24"/>
      <c r="E661" s="24"/>
      <c r="F661" s="24"/>
      <c r="G661" s="24"/>
      <c r="H661" s="24"/>
      <c r="I661" s="24"/>
      <c r="J661" s="24"/>
      <c r="K661" s="24"/>
      <c r="L661" s="24"/>
      <c r="M661" s="24"/>
      <c r="N661" s="35"/>
      <c r="O661" s="24"/>
      <c r="P661" s="35"/>
      <c r="Q661" s="24"/>
      <c r="R661" s="24"/>
      <c r="S661" s="24"/>
      <c r="T661" s="24"/>
      <c r="U661" s="54"/>
      <c r="V661" s="54"/>
      <c r="W661" s="54"/>
      <c r="X661" s="54"/>
      <c r="Y661" s="54"/>
      <c r="Z661" s="54"/>
    </row>
    <row r="662" spans="1:26" ht="14.25" customHeight="1">
      <c r="A662" s="24"/>
      <c r="B662" s="24"/>
      <c r="C662" s="24"/>
      <c r="D662" s="24"/>
      <c r="E662" s="24"/>
      <c r="F662" s="24"/>
      <c r="G662" s="24"/>
      <c r="H662" s="24"/>
      <c r="I662" s="24"/>
      <c r="J662" s="24"/>
      <c r="K662" s="24"/>
      <c r="L662" s="24"/>
      <c r="M662" s="24"/>
      <c r="N662" s="35"/>
      <c r="O662" s="24"/>
      <c r="P662" s="35"/>
      <c r="Q662" s="24"/>
      <c r="R662" s="24"/>
      <c r="S662" s="24"/>
      <c r="T662" s="24"/>
      <c r="U662" s="54"/>
      <c r="V662" s="54"/>
      <c r="W662" s="54"/>
      <c r="X662" s="54"/>
      <c r="Y662" s="54"/>
      <c r="Z662" s="54"/>
    </row>
    <row r="663" spans="1:26" ht="14.25" customHeight="1">
      <c r="A663" s="24"/>
      <c r="B663" s="24"/>
      <c r="C663" s="24"/>
      <c r="D663" s="24"/>
      <c r="E663" s="24"/>
      <c r="F663" s="24"/>
      <c r="G663" s="24"/>
      <c r="H663" s="24"/>
      <c r="I663" s="24"/>
      <c r="J663" s="24"/>
      <c r="K663" s="24"/>
      <c r="L663" s="24"/>
      <c r="M663" s="24"/>
      <c r="N663" s="35"/>
      <c r="O663" s="24"/>
      <c r="P663" s="35"/>
      <c r="Q663" s="24"/>
      <c r="R663" s="24"/>
      <c r="S663" s="24"/>
      <c r="T663" s="24"/>
      <c r="U663" s="54"/>
      <c r="V663" s="54"/>
      <c r="W663" s="54"/>
      <c r="X663" s="54"/>
      <c r="Y663" s="54"/>
      <c r="Z663" s="54"/>
    </row>
    <row r="664" spans="1:26" ht="14.25" customHeight="1">
      <c r="A664" s="24"/>
      <c r="B664" s="24"/>
      <c r="C664" s="24"/>
      <c r="D664" s="24"/>
      <c r="E664" s="24"/>
      <c r="F664" s="24"/>
      <c r="G664" s="24"/>
      <c r="H664" s="24"/>
      <c r="I664" s="24"/>
      <c r="J664" s="24"/>
      <c r="K664" s="24"/>
      <c r="L664" s="24"/>
      <c r="M664" s="24"/>
      <c r="N664" s="35"/>
      <c r="O664" s="24"/>
      <c r="P664" s="35"/>
      <c r="Q664" s="24"/>
      <c r="R664" s="24"/>
      <c r="S664" s="24"/>
      <c r="T664" s="24"/>
      <c r="U664" s="54"/>
      <c r="V664" s="54"/>
      <c r="W664" s="54"/>
      <c r="X664" s="54"/>
      <c r="Y664" s="54"/>
      <c r="Z664" s="54"/>
    </row>
    <row r="665" spans="1:26" ht="14.25" customHeight="1">
      <c r="A665" s="24"/>
      <c r="B665" s="24"/>
      <c r="C665" s="24"/>
      <c r="D665" s="24"/>
      <c r="E665" s="24"/>
      <c r="F665" s="24"/>
      <c r="G665" s="24"/>
      <c r="H665" s="24"/>
      <c r="I665" s="24"/>
      <c r="J665" s="24"/>
      <c r="K665" s="24"/>
      <c r="L665" s="24"/>
      <c r="M665" s="24"/>
      <c r="N665" s="35"/>
      <c r="O665" s="24"/>
      <c r="P665" s="35"/>
      <c r="Q665" s="24"/>
      <c r="R665" s="24"/>
      <c r="S665" s="24"/>
      <c r="T665" s="24"/>
      <c r="U665" s="54"/>
      <c r="V665" s="54"/>
      <c r="W665" s="54"/>
      <c r="X665" s="54"/>
      <c r="Y665" s="54"/>
      <c r="Z665" s="54"/>
    </row>
    <row r="666" spans="1:26" ht="14.25" customHeight="1">
      <c r="A666" s="24"/>
      <c r="B666" s="24"/>
      <c r="C666" s="24"/>
      <c r="D666" s="24"/>
      <c r="E666" s="24"/>
      <c r="F666" s="24"/>
      <c r="G666" s="24"/>
      <c r="H666" s="24"/>
      <c r="I666" s="24"/>
      <c r="J666" s="24"/>
      <c r="K666" s="24"/>
      <c r="L666" s="24"/>
      <c r="M666" s="24"/>
      <c r="N666" s="35"/>
      <c r="O666" s="24"/>
      <c r="P666" s="35"/>
      <c r="Q666" s="24"/>
      <c r="R666" s="24"/>
      <c r="S666" s="24"/>
      <c r="T666" s="24"/>
      <c r="U666" s="54"/>
      <c r="V666" s="54"/>
      <c r="W666" s="54"/>
      <c r="X666" s="54"/>
      <c r="Y666" s="54"/>
      <c r="Z666" s="54"/>
    </row>
    <row r="667" spans="1:26" ht="14.25" customHeight="1">
      <c r="A667" s="24"/>
      <c r="B667" s="24"/>
      <c r="C667" s="24"/>
      <c r="D667" s="24"/>
      <c r="E667" s="24"/>
      <c r="F667" s="24"/>
      <c r="G667" s="24"/>
      <c r="H667" s="24"/>
      <c r="I667" s="24"/>
      <c r="J667" s="24"/>
      <c r="K667" s="24"/>
      <c r="L667" s="24"/>
      <c r="M667" s="24"/>
      <c r="N667" s="35"/>
      <c r="O667" s="24"/>
      <c r="P667" s="35"/>
      <c r="Q667" s="24"/>
      <c r="R667" s="24"/>
      <c r="S667" s="24"/>
      <c r="T667" s="24"/>
      <c r="U667" s="54"/>
      <c r="V667" s="54"/>
      <c r="W667" s="54"/>
      <c r="X667" s="54"/>
      <c r="Y667" s="54"/>
      <c r="Z667" s="54"/>
    </row>
    <row r="668" spans="1:26" ht="14.25" customHeight="1">
      <c r="A668" s="24"/>
      <c r="B668" s="24"/>
      <c r="C668" s="24"/>
      <c r="D668" s="24"/>
      <c r="E668" s="24"/>
      <c r="F668" s="24"/>
      <c r="G668" s="24"/>
      <c r="H668" s="24"/>
      <c r="I668" s="24"/>
      <c r="J668" s="24"/>
      <c r="K668" s="24"/>
      <c r="L668" s="24"/>
      <c r="M668" s="24"/>
      <c r="N668" s="35"/>
      <c r="O668" s="24"/>
      <c r="P668" s="35"/>
      <c r="Q668" s="24"/>
      <c r="R668" s="24"/>
      <c r="S668" s="24"/>
      <c r="T668" s="24"/>
      <c r="U668" s="54"/>
      <c r="V668" s="54"/>
      <c r="W668" s="54"/>
      <c r="X668" s="54"/>
      <c r="Y668" s="54"/>
      <c r="Z668" s="54"/>
    </row>
    <row r="669" spans="1:26" ht="14.25" customHeight="1">
      <c r="A669" s="24"/>
      <c r="B669" s="24"/>
      <c r="C669" s="24"/>
      <c r="D669" s="24"/>
      <c r="E669" s="24"/>
      <c r="F669" s="24"/>
      <c r="G669" s="24"/>
      <c r="H669" s="24"/>
      <c r="I669" s="24"/>
      <c r="J669" s="24"/>
      <c r="K669" s="24"/>
      <c r="L669" s="24"/>
      <c r="M669" s="24"/>
      <c r="N669" s="35"/>
      <c r="O669" s="24"/>
      <c r="P669" s="35"/>
      <c r="Q669" s="24"/>
      <c r="R669" s="24"/>
      <c r="S669" s="24"/>
      <c r="T669" s="24"/>
      <c r="U669" s="54"/>
      <c r="V669" s="54"/>
      <c r="W669" s="54"/>
      <c r="X669" s="54"/>
      <c r="Y669" s="54"/>
      <c r="Z669" s="54"/>
    </row>
    <row r="670" spans="1:26" ht="14.25" customHeight="1">
      <c r="A670" s="24"/>
      <c r="B670" s="24"/>
      <c r="C670" s="24"/>
      <c r="D670" s="24"/>
      <c r="E670" s="24"/>
      <c r="F670" s="24"/>
      <c r="G670" s="24"/>
      <c r="H670" s="24"/>
      <c r="I670" s="24"/>
      <c r="J670" s="24"/>
      <c r="K670" s="24"/>
      <c r="L670" s="24"/>
      <c r="M670" s="24"/>
      <c r="N670" s="35"/>
      <c r="O670" s="24"/>
      <c r="P670" s="35"/>
      <c r="Q670" s="24"/>
      <c r="R670" s="24"/>
      <c r="S670" s="24"/>
      <c r="T670" s="24"/>
      <c r="U670" s="54"/>
      <c r="V670" s="54"/>
      <c r="W670" s="54"/>
      <c r="X670" s="54"/>
      <c r="Y670" s="54"/>
      <c r="Z670" s="54"/>
    </row>
    <row r="671" spans="1:26" ht="14.25" customHeight="1">
      <c r="A671" s="24"/>
      <c r="B671" s="24"/>
      <c r="C671" s="24"/>
      <c r="D671" s="24"/>
      <c r="E671" s="24"/>
      <c r="F671" s="24"/>
      <c r="G671" s="24"/>
      <c r="H671" s="24"/>
      <c r="I671" s="24"/>
      <c r="J671" s="24"/>
      <c r="K671" s="24"/>
      <c r="L671" s="24"/>
      <c r="M671" s="24"/>
      <c r="N671" s="35"/>
      <c r="O671" s="24"/>
      <c r="P671" s="35"/>
      <c r="Q671" s="24"/>
      <c r="R671" s="24"/>
      <c r="S671" s="24"/>
      <c r="T671" s="24"/>
      <c r="U671" s="54"/>
      <c r="V671" s="54"/>
      <c r="W671" s="54"/>
      <c r="X671" s="54"/>
      <c r="Y671" s="54"/>
      <c r="Z671" s="54"/>
    </row>
    <row r="672" spans="1:26" ht="14.25" customHeight="1">
      <c r="A672" s="24"/>
      <c r="B672" s="24"/>
      <c r="C672" s="24"/>
      <c r="D672" s="24"/>
      <c r="E672" s="24"/>
      <c r="F672" s="24"/>
      <c r="G672" s="24"/>
      <c r="H672" s="24"/>
      <c r="I672" s="24"/>
      <c r="J672" s="24"/>
      <c r="K672" s="24"/>
      <c r="L672" s="24"/>
      <c r="M672" s="24"/>
      <c r="N672" s="35"/>
      <c r="O672" s="24"/>
      <c r="P672" s="35"/>
      <c r="Q672" s="24"/>
      <c r="R672" s="24"/>
      <c r="S672" s="24"/>
      <c r="T672" s="24"/>
      <c r="U672" s="54"/>
      <c r="V672" s="54"/>
      <c r="W672" s="54"/>
      <c r="X672" s="54"/>
      <c r="Y672" s="54"/>
      <c r="Z672" s="54"/>
    </row>
    <row r="673" spans="1:26" ht="14.25" customHeight="1">
      <c r="A673" s="24"/>
      <c r="B673" s="24"/>
      <c r="C673" s="24"/>
      <c r="D673" s="24"/>
      <c r="E673" s="24"/>
      <c r="F673" s="24"/>
      <c r="G673" s="24"/>
      <c r="H673" s="24"/>
      <c r="I673" s="24"/>
      <c r="J673" s="24"/>
      <c r="K673" s="24"/>
      <c r="L673" s="24"/>
      <c r="M673" s="24"/>
      <c r="N673" s="35"/>
      <c r="O673" s="24"/>
      <c r="P673" s="35"/>
      <c r="Q673" s="24"/>
      <c r="R673" s="24"/>
      <c r="S673" s="24"/>
      <c r="T673" s="24"/>
      <c r="U673" s="54"/>
      <c r="V673" s="54"/>
      <c r="W673" s="54"/>
      <c r="X673" s="54"/>
      <c r="Y673" s="54"/>
      <c r="Z673" s="54"/>
    </row>
    <row r="674" spans="1:26" ht="14.25" customHeight="1">
      <c r="A674" s="24"/>
      <c r="B674" s="24"/>
      <c r="C674" s="24"/>
      <c r="D674" s="24"/>
      <c r="E674" s="24"/>
      <c r="F674" s="24"/>
      <c r="G674" s="24"/>
      <c r="H674" s="24"/>
      <c r="I674" s="24"/>
      <c r="J674" s="24"/>
      <c r="K674" s="24"/>
      <c r="L674" s="24"/>
      <c r="M674" s="24"/>
      <c r="N674" s="35"/>
      <c r="O674" s="24"/>
      <c r="P674" s="35"/>
      <c r="Q674" s="24"/>
      <c r="R674" s="24"/>
      <c r="S674" s="24"/>
      <c r="T674" s="24"/>
      <c r="U674" s="54"/>
      <c r="V674" s="54"/>
      <c r="W674" s="54"/>
      <c r="X674" s="54"/>
      <c r="Y674" s="54"/>
      <c r="Z674" s="54"/>
    </row>
    <row r="675" spans="1:26" ht="14.25" customHeight="1">
      <c r="A675" s="24"/>
      <c r="B675" s="24"/>
      <c r="C675" s="24"/>
      <c r="D675" s="24"/>
      <c r="E675" s="24"/>
      <c r="F675" s="24"/>
      <c r="G675" s="24"/>
      <c r="H675" s="24"/>
      <c r="I675" s="24"/>
      <c r="J675" s="24"/>
      <c r="K675" s="24"/>
      <c r="L675" s="24"/>
      <c r="M675" s="24"/>
      <c r="N675" s="35"/>
      <c r="O675" s="24"/>
      <c r="P675" s="35"/>
      <c r="Q675" s="24"/>
      <c r="R675" s="24"/>
      <c r="S675" s="24"/>
      <c r="T675" s="24"/>
      <c r="U675" s="54"/>
      <c r="V675" s="54"/>
      <c r="W675" s="54"/>
      <c r="X675" s="54"/>
      <c r="Y675" s="54"/>
      <c r="Z675" s="54"/>
    </row>
    <row r="676" spans="1:26" ht="14.25" customHeight="1">
      <c r="A676" s="24"/>
      <c r="B676" s="24"/>
      <c r="C676" s="24"/>
      <c r="D676" s="24"/>
      <c r="E676" s="24"/>
      <c r="F676" s="24"/>
      <c r="G676" s="24"/>
      <c r="H676" s="24"/>
      <c r="I676" s="24"/>
      <c r="J676" s="24"/>
      <c r="K676" s="24"/>
      <c r="L676" s="24"/>
      <c r="M676" s="24"/>
      <c r="N676" s="35"/>
      <c r="O676" s="24"/>
      <c r="P676" s="35"/>
      <c r="Q676" s="24"/>
      <c r="R676" s="24"/>
      <c r="S676" s="24"/>
      <c r="T676" s="24"/>
      <c r="U676" s="54"/>
      <c r="V676" s="54"/>
      <c r="W676" s="54"/>
      <c r="X676" s="54"/>
      <c r="Y676" s="54"/>
      <c r="Z676" s="54"/>
    </row>
    <row r="677" spans="1:26" ht="14.25" customHeight="1">
      <c r="A677" s="24"/>
      <c r="B677" s="24"/>
      <c r="C677" s="24"/>
      <c r="D677" s="24"/>
      <c r="E677" s="24"/>
      <c r="F677" s="24"/>
      <c r="G677" s="24"/>
      <c r="H677" s="24"/>
      <c r="I677" s="24"/>
      <c r="J677" s="24"/>
      <c r="K677" s="24"/>
      <c r="L677" s="24"/>
      <c r="M677" s="24"/>
      <c r="N677" s="35"/>
      <c r="O677" s="24"/>
      <c r="P677" s="35"/>
      <c r="Q677" s="24"/>
      <c r="R677" s="24"/>
      <c r="S677" s="24"/>
      <c r="T677" s="24"/>
      <c r="U677" s="54"/>
      <c r="V677" s="54"/>
      <c r="W677" s="54"/>
      <c r="X677" s="54"/>
      <c r="Y677" s="54"/>
      <c r="Z677" s="54"/>
    </row>
    <row r="678" spans="1:26" ht="14.25" customHeight="1">
      <c r="A678" s="24"/>
      <c r="B678" s="24"/>
      <c r="C678" s="24"/>
      <c r="D678" s="24"/>
      <c r="E678" s="24"/>
      <c r="F678" s="24"/>
      <c r="G678" s="24"/>
      <c r="H678" s="24"/>
      <c r="I678" s="24"/>
      <c r="J678" s="24"/>
      <c r="K678" s="24"/>
      <c r="L678" s="24"/>
      <c r="M678" s="24"/>
      <c r="N678" s="35"/>
      <c r="O678" s="24"/>
      <c r="P678" s="35"/>
      <c r="Q678" s="24"/>
      <c r="R678" s="24"/>
      <c r="S678" s="24"/>
      <c r="T678" s="24"/>
      <c r="U678" s="54"/>
      <c r="V678" s="54"/>
      <c r="W678" s="54"/>
      <c r="X678" s="54"/>
      <c r="Y678" s="54"/>
      <c r="Z678" s="54"/>
    </row>
    <row r="679" spans="1:26" ht="14.25" customHeight="1">
      <c r="A679" s="24"/>
      <c r="B679" s="24"/>
      <c r="C679" s="24"/>
      <c r="D679" s="24"/>
      <c r="E679" s="24"/>
      <c r="F679" s="24"/>
      <c r="G679" s="24"/>
      <c r="H679" s="24"/>
      <c r="I679" s="24"/>
      <c r="J679" s="24"/>
      <c r="K679" s="24"/>
      <c r="L679" s="24"/>
      <c r="M679" s="24"/>
      <c r="N679" s="35"/>
      <c r="O679" s="24"/>
      <c r="P679" s="35"/>
      <c r="Q679" s="24"/>
      <c r="R679" s="24"/>
      <c r="S679" s="24"/>
      <c r="T679" s="24"/>
      <c r="U679" s="54"/>
      <c r="V679" s="54"/>
      <c r="W679" s="54"/>
      <c r="X679" s="54"/>
      <c r="Y679" s="54"/>
      <c r="Z679" s="54"/>
    </row>
    <row r="680" spans="1:26" ht="14.25" customHeight="1">
      <c r="A680" s="24"/>
      <c r="B680" s="24"/>
      <c r="C680" s="24"/>
      <c r="D680" s="24"/>
      <c r="E680" s="24"/>
      <c r="F680" s="24"/>
      <c r="G680" s="24"/>
      <c r="H680" s="24"/>
      <c r="I680" s="24"/>
      <c r="J680" s="24"/>
      <c r="K680" s="24"/>
      <c r="L680" s="24"/>
      <c r="M680" s="24"/>
      <c r="N680" s="35"/>
      <c r="O680" s="24"/>
      <c r="P680" s="35"/>
      <c r="Q680" s="24"/>
      <c r="R680" s="24"/>
      <c r="S680" s="24"/>
      <c r="T680" s="24"/>
      <c r="U680" s="54"/>
      <c r="V680" s="54"/>
      <c r="W680" s="54"/>
      <c r="X680" s="54"/>
      <c r="Y680" s="54"/>
      <c r="Z680" s="54"/>
    </row>
    <row r="681" spans="1:26" ht="14.25" customHeight="1">
      <c r="A681" s="24"/>
      <c r="B681" s="24"/>
      <c r="C681" s="24"/>
      <c r="D681" s="24"/>
      <c r="E681" s="24"/>
      <c r="F681" s="24"/>
      <c r="G681" s="24"/>
      <c r="H681" s="24"/>
      <c r="I681" s="24"/>
      <c r="J681" s="24"/>
      <c r="K681" s="24"/>
      <c r="L681" s="24"/>
      <c r="M681" s="24"/>
      <c r="N681" s="35"/>
      <c r="O681" s="24"/>
      <c r="P681" s="35"/>
      <c r="Q681" s="24"/>
      <c r="R681" s="24"/>
      <c r="S681" s="24"/>
      <c r="T681" s="24"/>
      <c r="U681" s="54"/>
      <c r="V681" s="54"/>
      <c r="W681" s="54"/>
      <c r="X681" s="54"/>
      <c r="Y681" s="54"/>
      <c r="Z681" s="54"/>
    </row>
    <row r="682" spans="1:26" ht="14.25" customHeight="1">
      <c r="A682" s="24"/>
      <c r="B682" s="24"/>
      <c r="C682" s="24"/>
      <c r="D682" s="24"/>
      <c r="E682" s="24"/>
      <c r="F682" s="24"/>
      <c r="G682" s="24"/>
      <c r="H682" s="24"/>
      <c r="I682" s="24"/>
      <c r="J682" s="24"/>
      <c r="K682" s="24"/>
      <c r="L682" s="24"/>
      <c r="M682" s="24"/>
      <c r="N682" s="35"/>
      <c r="O682" s="24"/>
      <c r="P682" s="35"/>
      <c r="Q682" s="24"/>
      <c r="R682" s="24"/>
      <c r="S682" s="24"/>
      <c r="T682" s="24"/>
      <c r="U682" s="54"/>
      <c r="V682" s="54"/>
      <c r="W682" s="54"/>
      <c r="X682" s="54"/>
      <c r="Y682" s="54"/>
      <c r="Z682" s="54"/>
    </row>
    <row r="683" spans="1:26" ht="14.25" customHeight="1">
      <c r="A683" s="24"/>
      <c r="B683" s="24"/>
      <c r="C683" s="24"/>
      <c r="D683" s="24"/>
      <c r="E683" s="24"/>
      <c r="F683" s="24"/>
      <c r="G683" s="24"/>
      <c r="H683" s="24"/>
      <c r="I683" s="24"/>
      <c r="J683" s="24"/>
      <c r="K683" s="24"/>
      <c r="L683" s="24"/>
      <c r="M683" s="24"/>
      <c r="N683" s="35"/>
      <c r="O683" s="24"/>
      <c r="P683" s="35"/>
      <c r="Q683" s="24"/>
      <c r="R683" s="24"/>
      <c r="S683" s="24"/>
      <c r="T683" s="24"/>
      <c r="U683" s="54"/>
      <c r="V683" s="54"/>
      <c r="W683" s="54"/>
      <c r="X683" s="54"/>
      <c r="Y683" s="54"/>
      <c r="Z683" s="54"/>
    </row>
    <row r="684" spans="1:26" ht="14.25" customHeight="1">
      <c r="A684" s="24"/>
      <c r="B684" s="24"/>
      <c r="C684" s="24"/>
      <c r="D684" s="24"/>
      <c r="E684" s="24"/>
      <c r="F684" s="24"/>
      <c r="G684" s="24"/>
      <c r="H684" s="24"/>
      <c r="I684" s="24"/>
      <c r="J684" s="24"/>
      <c r="K684" s="24"/>
      <c r="L684" s="24"/>
      <c r="M684" s="24"/>
      <c r="N684" s="35"/>
      <c r="O684" s="24"/>
      <c r="P684" s="35"/>
      <c r="Q684" s="24"/>
      <c r="R684" s="24"/>
      <c r="S684" s="24"/>
      <c r="T684" s="24"/>
      <c r="U684" s="54"/>
      <c r="V684" s="54"/>
      <c r="W684" s="54"/>
      <c r="X684" s="54"/>
      <c r="Y684" s="54"/>
      <c r="Z684" s="54"/>
    </row>
    <row r="685" spans="1:26" ht="14.25" customHeight="1">
      <c r="A685" s="24"/>
      <c r="B685" s="24"/>
      <c r="C685" s="24"/>
      <c r="D685" s="24"/>
      <c r="E685" s="24"/>
      <c r="F685" s="24"/>
      <c r="G685" s="24"/>
      <c r="H685" s="24"/>
      <c r="I685" s="24"/>
      <c r="J685" s="24"/>
      <c r="K685" s="24"/>
      <c r="L685" s="24"/>
      <c r="M685" s="24"/>
      <c r="N685" s="35"/>
      <c r="O685" s="24"/>
      <c r="P685" s="35"/>
      <c r="Q685" s="24"/>
      <c r="R685" s="24"/>
      <c r="S685" s="24"/>
      <c r="T685" s="24"/>
      <c r="U685" s="54"/>
      <c r="V685" s="54"/>
      <c r="W685" s="54"/>
      <c r="X685" s="54"/>
      <c r="Y685" s="54"/>
      <c r="Z685" s="54"/>
    </row>
    <row r="686" spans="1:26" ht="14.25" customHeight="1">
      <c r="A686" s="24"/>
      <c r="B686" s="24"/>
      <c r="C686" s="24"/>
      <c r="D686" s="24"/>
      <c r="E686" s="24"/>
      <c r="F686" s="24"/>
      <c r="G686" s="24"/>
      <c r="H686" s="24"/>
      <c r="I686" s="24"/>
      <c r="J686" s="24"/>
      <c r="K686" s="24"/>
      <c r="L686" s="24"/>
      <c r="M686" s="24"/>
      <c r="N686" s="35"/>
      <c r="O686" s="24"/>
      <c r="P686" s="35"/>
      <c r="Q686" s="24"/>
      <c r="R686" s="24"/>
      <c r="S686" s="24"/>
      <c r="T686" s="24"/>
      <c r="U686" s="54"/>
      <c r="V686" s="54"/>
      <c r="W686" s="54"/>
      <c r="X686" s="54"/>
      <c r="Y686" s="54"/>
      <c r="Z686" s="54"/>
    </row>
    <row r="687" spans="1:26" ht="14.25" customHeight="1">
      <c r="A687" s="24"/>
      <c r="B687" s="24"/>
      <c r="C687" s="24"/>
      <c r="D687" s="24"/>
      <c r="E687" s="24"/>
      <c r="F687" s="24"/>
      <c r="G687" s="24"/>
      <c r="H687" s="24"/>
      <c r="I687" s="24"/>
      <c r="J687" s="24"/>
      <c r="K687" s="24"/>
      <c r="L687" s="24"/>
      <c r="M687" s="24"/>
      <c r="N687" s="35"/>
      <c r="O687" s="24"/>
      <c r="P687" s="35"/>
      <c r="Q687" s="24"/>
      <c r="R687" s="24"/>
      <c r="S687" s="24"/>
      <c r="T687" s="24"/>
      <c r="U687" s="54"/>
      <c r="V687" s="54"/>
      <c r="W687" s="54"/>
      <c r="X687" s="54"/>
      <c r="Y687" s="54"/>
      <c r="Z687" s="54"/>
    </row>
    <row r="688" spans="1:26" ht="14.25" customHeight="1">
      <c r="A688" s="24"/>
      <c r="B688" s="24"/>
      <c r="C688" s="24"/>
      <c r="D688" s="24"/>
      <c r="E688" s="24"/>
      <c r="F688" s="24"/>
      <c r="G688" s="24"/>
      <c r="H688" s="24"/>
      <c r="I688" s="24"/>
      <c r="J688" s="24"/>
      <c r="K688" s="24"/>
      <c r="L688" s="24"/>
      <c r="M688" s="24"/>
      <c r="N688" s="35"/>
      <c r="O688" s="24"/>
      <c r="P688" s="35"/>
      <c r="Q688" s="24"/>
      <c r="R688" s="24"/>
      <c r="S688" s="24"/>
      <c r="T688" s="24"/>
      <c r="U688" s="54"/>
      <c r="V688" s="54"/>
      <c r="W688" s="54"/>
      <c r="X688" s="54"/>
      <c r="Y688" s="54"/>
      <c r="Z688" s="54"/>
    </row>
    <row r="689" spans="1:26" ht="14.25" customHeight="1">
      <c r="A689" s="24"/>
      <c r="B689" s="24"/>
      <c r="C689" s="24"/>
      <c r="D689" s="24"/>
      <c r="E689" s="24"/>
      <c r="F689" s="24"/>
      <c r="G689" s="24"/>
      <c r="H689" s="24"/>
      <c r="I689" s="24"/>
      <c r="J689" s="24"/>
      <c r="K689" s="24"/>
      <c r="L689" s="24"/>
      <c r="M689" s="24"/>
      <c r="N689" s="35"/>
      <c r="O689" s="24"/>
      <c r="P689" s="35"/>
      <c r="Q689" s="24"/>
      <c r="R689" s="24"/>
      <c r="S689" s="24"/>
      <c r="T689" s="24"/>
      <c r="U689" s="54"/>
      <c r="V689" s="54"/>
      <c r="W689" s="54"/>
      <c r="X689" s="54"/>
      <c r="Y689" s="54"/>
      <c r="Z689" s="54"/>
    </row>
    <row r="690" spans="1:26" ht="14.25" customHeight="1">
      <c r="A690" s="24"/>
      <c r="B690" s="24"/>
      <c r="C690" s="24"/>
      <c r="D690" s="24"/>
      <c r="E690" s="24"/>
      <c r="F690" s="24"/>
      <c r="G690" s="24"/>
      <c r="H690" s="24"/>
      <c r="I690" s="24"/>
      <c r="J690" s="24"/>
      <c r="K690" s="24"/>
      <c r="L690" s="24"/>
      <c r="M690" s="24"/>
      <c r="N690" s="35"/>
      <c r="O690" s="24"/>
      <c r="P690" s="35"/>
      <c r="Q690" s="24"/>
      <c r="R690" s="24"/>
      <c r="S690" s="24"/>
      <c r="T690" s="24"/>
      <c r="U690" s="54"/>
      <c r="V690" s="54"/>
      <c r="W690" s="54"/>
      <c r="X690" s="54"/>
      <c r="Y690" s="54"/>
      <c r="Z690" s="54"/>
    </row>
    <row r="691" spans="1:26" ht="14.25" customHeight="1">
      <c r="A691" s="24"/>
      <c r="B691" s="24"/>
      <c r="C691" s="24"/>
      <c r="D691" s="24"/>
      <c r="E691" s="24"/>
      <c r="F691" s="24"/>
      <c r="G691" s="24"/>
      <c r="H691" s="24"/>
      <c r="I691" s="24"/>
      <c r="J691" s="24"/>
      <c r="K691" s="24"/>
      <c r="L691" s="24"/>
      <c r="M691" s="24"/>
      <c r="N691" s="35"/>
      <c r="O691" s="24"/>
      <c r="P691" s="35"/>
      <c r="Q691" s="24"/>
      <c r="R691" s="24"/>
      <c r="S691" s="24"/>
      <c r="T691" s="24"/>
      <c r="U691" s="54"/>
      <c r="V691" s="54"/>
      <c r="W691" s="54"/>
      <c r="X691" s="54"/>
      <c r="Y691" s="54"/>
      <c r="Z691" s="54"/>
    </row>
    <row r="692" spans="1:26" ht="14.25" customHeight="1">
      <c r="A692" s="24"/>
      <c r="B692" s="24"/>
      <c r="C692" s="24"/>
      <c r="D692" s="24"/>
      <c r="E692" s="24"/>
      <c r="F692" s="24"/>
      <c r="G692" s="24"/>
      <c r="H692" s="24"/>
      <c r="I692" s="24"/>
      <c r="J692" s="24"/>
      <c r="K692" s="24"/>
      <c r="L692" s="24"/>
      <c r="M692" s="24"/>
      <c r="N692" s="35"/>
      <c r="O692" s="24"/>
      <c r="P692" s="35"/>
      <c r="Q692" s="24"/>
      <c r="R692" s="24"/>
      <c r="S692" s="24"/>
      <c r="T692" s="24"/>
      <c r="U692" s="54"/>
      <c r="V692" s="54"/>
      <c r="W692" s="54"/>
      <c r="X692" s="54"/>
      <c r="Y692" s="54"/>
      <c r="Z692" s="54"/>
    </row>
    <row r="693" spans="1:26" ht="14.25" customHeight="1">
      <c r="A693" s="24"/>
      <c r="B693" s="24"/>
      <c r="C693" s="24"/>
      <c r="D693" s="24"/>
      <c r="E693" s="24"/>
      <c r="F693" s="24"/>
      <c r="G693" s="24"/>
      <c r="H693" s="24"/>
      <c r="I693" s="24"/>
      <c r="J693" s="24"/>
      <c r="K693" s="24"/>
      <c r="L693" s="24"/>
      <c r="M693" s="24"/>
      <c r="N693" s="35"/>
      <c r="O693" s="24"/>
      <c r="P693" s="35"/>
      <c r="Q693" s="24"/>
      <c r="R693" s="24"/>
      <c r="S693" s="24"/>
      <c r="T693" s="24"/>
      <c r="U693" s="54"/>
      <c r="V693" s="54"/>
      <c r="W693" s="54"/>
      <c r="X693" s="54"/>
      <c r="Y693" s="54"/>
      <c r="Z693" s="54"/>
    </row>
    <row r="694" spans="1:26" ht="14.25" customHeight="1">
      <c r="A694" s="24"/>
      <c r="B694" s="24"/>
      <c r="C694" s="24"/>
      <c r="D694" s="24"/>
      <c r="E694" s="24"/>
      <c r="F694" s="24"/>
      <c r="G694" s="24"/>
      <c r="H694" s="24"/>
      <c r="I694" s="24"/>
      <c r="J694" s="24"/>
      <c r="K694" s="24"/>
      <c r="L694" s="24"/>
      <c r="M694" s="24"/>
      <c r="N694" s="35"/>
      <c r="O694" s="24"/>
      <c r="P694" s="35"/>
      <c r="Q694" s="24"/>
      <c r="R694" s="24"/>
      <c r="S694" s="24"/>
      <c r="T694" s="24"/>
      <c r="U694" s="54"/>
      <c r="V694" s="54"/>
      <c r="W694" s="54"/>
      <c r="X694" s="54"/>
      <c r="Y694" s="54"/>
      <c r="Z694" s="54"/>
    </row>
    <row r="695" spans="1:26" ht="14.25" customHeight="1">
      <c r="A695" s="24"/>
      <c r="B695" s="24"/>
      <c r="C695" s="24"/>
      <c r="D695" s="24"/>
      <c r="E695" s="24"/>
      <c r="F695" s="24"/>
      <c r="G695" s="24"/>
      <c r="H695" s="24"/>
      <c r="I695" s="24"/>
      <c r="J695" s="24"/>
      <c r="K695" s="24"/>
      <c r="L695" s="24"/>
      <c r="M695" s="24"/>
      <c r="N695" s="35"/>
      <c r="O695" s="24"/>
      <c r="P695" s="35"/>
      <c r="Q695" s="24"/>
      <c r="R695" s="24"/>
      <c r="S695" s="24"/>
      <c r="T695" s="24"/>
      <c r="U695" s="54"/>
      <c r="V695" s="54"/>
      <c r="W695" s="54"/>
      <c r="X695" s="54"/>
      <c r="Y695" s="54"/>
      <c r="Z695" s="54"/>
    </row>
    <row r="696" spans="1:26" ht="14.25" customHeight="1">
      <c r="A696" s="24"/>
      <c r="B696" s="24"/>
      <c r="C696" s="24"/>
      <c r="D696" s="24"/>
      <c r="E696" s="24"/>
      <c r="F696" s="24"/>
      <c r="G696" s="24"/>
      <c r="H696" s="24"/>
      <c r="I696" s="24"/>
      <c r="J696" s="24"/>
      <c r="K696" s="24"/>
      <c r="L696" s="24"/>
      <c r="M696" s="24"/>
      <c r="N696" s="35"/>
      <c r="O696" s="24"/>
      <c r="P696" s="35"/>
      <c r="Q696" s="24"/>
      <c r="R696" s="24"/>
      <c r="S696" s="24"/>
      <c r="T696" s="24"/>
      <c r="U696" s="54"/>
      <c r="V696" s="54"/>
      <c r="W696" s="54"/>
      <c r="X696" s="54"/>
      <c r="Y696" s="54"/>
      <c r="Z696" s="54"/>
    </row>
    <row r="697" spans="1:26" ht="14.25" customHeight="1">
      <c r="A697" s="24"/>
      <c r="B697" s="24"/>
      <c r="C697" s="24"/>
      <c r="D697" s="24"/>
      <c r="E697" s="24"/>
      <c r="F697" s="24"/>
      <c r="G697" s="24"/>
      <c r="H697" s="24"/>
      <c r="I697" s="24"/>
      <c r="J697" s="24"/>
      <c r="K697" s="24"/>
      <c r="L697" s="24"/>
      <c r="M697" s="24"/>
      <c r="N697" s="35"/>
      <c r="O697" s="24"/>
      <c r="P697" s="35"/>
      <c r="Q697" s="24"/>
      <c r="R697" s="24"/>
      <c r="S697" s="24"/>
      <c r="T697" s="24"/>
      <c r="U697" s="54"/>
      <c r="V697" s="54"/>
      <c r="W697" s="54"/>
      <c r="X697" s="54"/>
      <c r="Y697" s="54"/>
      <c r="Z697" s="54"/>
    </row>
    <row r="698" spans="1:26" ht="14.25" customHeight="1">
      <c r="A698" s="24"/>
      <c r="B698" s="24"/>
      <c r="C698" s="24"/>
      <c r="D698" s="24"/>
      <c r="E698" s="24"/>
      <c r="F698" s="24"/>
      <c r="G698" s="24"/>
      <c r="H698" s="24"/>
      <c r="I698" s="24"/>
      <c r="J698" s="24"/>
      <c r="K698" s="24"/>
      <c r="L698" s="24"/>
      <c r="M698" s="24"/>
      <c r="N698" s="35"/>
      <c r="O698" s="24"/>
      <c r="P698" s="35"/>
      <c r="Q698" s="24"/>
      <c r="R698" s="24"/>
      <c r="S698" s="24"/>
      <c r="T698" s="24"/>
      <c r="U698" s="54"/>
      <c r="V698" s="54"/>
      <c r="W698" s="54"/>
      <c r="X698" s="54"/>
      <c r="Y698" s="54"/>
      <c r="Z698" s="54"/>
    </row>
    <row r="699" spans="1:26" ht="14.25" customHeight="1">
      <c r="A699" s="24"/>
      <c r="B699" s="24"/>
      <c r="C699" s="24"/>
      <c r="D699" s="24"/>
      <c r="E699" s="24"/>
      <c r="F699" s="24"/>
      <c r="G699" s="24"/>
      <c r="H699" s="24"/>
      <c r="I699" s="24"/>
      <c r="J699" s="24"/>
      <c r="K699" s="24"/>
      <c r="L699" s="24"/>
      <c r="M699" s="24"/>
      <c r="N699" s="35"/>
      <c r="O699" s="24"/>
      <c r="P699" s="35"/>
      <c r="Q699" s="24"/>
      <c r="R699" s="24"/>
      <c r="S699" s="24"/>
      <c r="T699" s="24"/>
      <c r="U699" s="54"/>
      <c r="V699" s="54"/>
      <c r="W699" s="54"/>
      <c r="X699" s="54"/>
      <c r="Y699" s="54"/>
      <c r="Z699" s="54"/>
    </row>
    <row r="700" spans="1:26" ht="14.25" customHeight="1">
      <c r="A700" s="24"/>
      <c r="B700" s="24"/>
      <c r="C700" s="24"/>
      <c r="D700" s="24"/>
      <c r="E700" s="24"/>
      <c r="F700" s="24"/>
      <c r="G700" s="24"/>
      <c r="H700" s="24"/>
      <c r="I700" s="24"/>
      <c r="J700" s="24"/>
      <c r="K700" s="24"/>
      <c r="L700" s="24"/>
      <c r="M700" s="24"/>
      <c r="N700" s="35"/>
      <c r="O700" s="24"/>
      <c r="P700" s="35"/>
      <c r="Q700" s="24"/>
      <c r="R700" s="24"/>
      <c r="S700" s="24"/>
      <c r="T700" s="24"/>
      <c r="U700" s="54"/>
      <c r="V700" s="54"/>
      <c r="W700" s="54"/>
      <c r="X700" s="54"/>
      <c r="Y700" s="54"/>
      <c r="Z700" s="54"/>
    </row>
    <row r="701" spans="1:26" ht="14.25" customHeight="1">
      <c r="A701" s="24"/>
      <c r="B701" s="24"/>
      <c r="C701" s="24"/>
      <c r="D701" s="24"/>
      <c r="E701" s="24"/>
      <c r="F701" s="24"/>
      <c r="G701" s="24"/>
      <c r="H701" s="24"/>
      <c r="I701" s="24"/>
      <c r="J701" s="24"/>
      <c r="K701" s="24"/>
      <c r="L701" s="24"/>
      <c r="M701" s="24"/>
      <c r="N701" s="35"/>
      <c r="O701" s="24"/>
      <c r="P701" s="35"/>
      <c r="Q701" s="24"/>
      <c r="R701" s="24"/>
      <c r="S701" s="24"/>
      <c r="T701" s="24"/>
      <c r="U701" s="54"/>
      <c r="V701" s="54"/>
      <c r="W701" s="54"/>
      <c r="X701" s="54"/>
      <c r="Y701" s="54"/>
      <c r="Z701" s="54"/>
    </row>
    <row r="702" spans="1:26" ht="14.25" customHeight="1">
      <c r="A702" s="24"/>
      <c r="B702" s="24"/>
      <c r="C702" s="24"/>
      <c r="D702" s="24"/>
      <c r="E702" s="24"/>
      <c r="F702" s="24"/>
      <c r="G702" s="24"/>
      <c r="H702" s="24"/>
      <c r="I702" s="24"/>
      <c r="J702" s="24"/>
      <c r="K702" s="24"/>
      <c r="L702" s="24"/>
      <c r="M702" s="24"/>
      <c r="N702" s="35"/>
      <c r="O702" s="24"/>
      <c r="P702" s="35"/>
      <c r="Q702" s="24"/>
      <c r="R702" s="24"/>
      <c r="S702" s="24"/>
      <c r="T702" s="24"/>
      <c r="U702" s="54"/>
      <c r="V702" s="54"/>
      <c r="W702" s="54"/>
      <c r="X702" s="54"/>
      <c r="Y702" s="54"/>
      <c r="Z702" s="54"/>
    </row>
    <row r="703" spans="1:26" ht="14.25" customHeight="1">
      <c r="A703" s="24"/>
      <c r="B703" s="24"/>
      <c r="C703" s="24"/>
      <c r="D703" s="24"/>
      <c r="E703" s="24"/>
      <c r="F703" s="24"/>
      <c r="G703" s="24"/>
      <c r="H703" s="24"/>
      <c r="I703" s="24"/>
      <c r="J703" s="24"/>
      <c r="K703" s="24"/>
      <c r="L703" s="24"/>
      <c r="M703" s="24"/>
      <c r="N703" s="35"/>
      <c r="O703" s="24"/>
      <c r="P703" s="35"/>
      <c r="Q703" s="24"/>
      <c r="R703" s="24"/>
      <c r="S703" s="24"/>
      <c r="T703" s="24"/>
      <c r="U703" s="54"/>
      <c r="V703" s="54"/>
      <c r="W703" s="54"/>
      <c r="X703" s="54"/>
      <c r="Y703" s="54"/>
      <c r="Z703" s="54"/>
    </row>
    <row r="704" spans="1:26" ht="14.25" customHeight="1">
      <c r="A704" s="24"/>
      <c r="B704" s="24"/>
      <c r="C704" s="24"/>
      <c r="D704" s="24"/>
      <c r="E704" s="24"/>
      <c r="F704" s="24"/>
      <c r="G704" s="24"/>
      <c r="H704" s="24"/>
      <c r="I704" s="24"/>
      <c r="J704" s="24"/>
      <c r="K704" s="24"/>
      <c r="L704" s="24"/>
      <c r="M704" s="24"/>
      <c r="N704" s="35"/>
      <c r="O704" s="24"/>
      <c r="P704" s="35"/>
      <c r="Q704" s="24"/>
      <c r="R704" s="24"/>
      <c r="S704" s="24"/>
      <c r="T704" s="24"/>
      <c r="U704" s="54"/>
      <c r="V704" s="54"/>
      <c r="W704" s="54"/>
      <c r="X704" s="54"/>
      <c r="Y704" s="54"/>
      <c r="Z704" s="54"/>
    </row>
    <row r="705" spans="1:26" ht="14.25" customHeight="1">
      <c r="A705" s="24"/>
      <c r="B705" s="24"/>
      <c r="C705" s="24"/>
      <c r="D705" s="24"/>
      <c r="E705" s="24"/>
      <c r="F705" s="24"/>
      <c r="G705" s="24"/>
      <c r="H705" s="24"/>
      <c r="I705" s="24"/>
      <c r="J705" s="24"/>
      <c r="K705" s="24"/>
      <c r="L705" s="24"/>
      <c r="M705" s="24"/>
      <c r="N705" s="35"/>
      <c r="O705" s="24"/>
      <c r="P705" s="35"/>
      <c r="Q705" s="24"/>
      <c r="R705" s="24"/>
      <c r="S705" s="24"/>
      <c r="T705" s="24"/>
      <c r="U705" s="54"/>
      <c r="V705" s="54"/>
      <c r="W705" s="54"/>
      <c r="X705" s="54"/>
      <c r="Y705" s="54"/>
      <c r="Z705" s="54"/>
    </row>
    <row r="706" spans="1:26" ht="14.25" customHeight="1">
      <c r="A706" s="24"/>
      <c r="B706" s="24"/>
      <c r="C706" s="24"/>
      <c r="D706" s="24"/>
      <c r="E706" s="24"/>
      <c r="F706" s="24"/>
      <c r="G706" s="24"/>
      <c r="H706" s="24"/>
      <c r="I706" s="24"/>
      <c r="J706" s="24"/>
      <c r="K706" s="24"/>
      <c r="L706" s="24"/>
      <c r="M706" s="24"/>
      <c r="N706" s="35"/>
      <c r="O706" s="24"/>
      <c r="P706" s="35"/>
      <c r="Q706" s="24"/>
      <c r="R706" s="24"/>
      <c r="S706" s="24"/>
      <c r="T706" s="24"/>
      <c r="U706" s="54"/>
      <c r="V706" s="54"/>
      <c r="W706" s="54"/>
      <c r="X706" s="54"/>
      <c r="Y706" s="54"/>
      <c r="Z706" s="54"/>
    </row>
    <row r="707" spans="1:26" ht="14.25" customHeight="1">
      <c r="A707" s="24"/>
      <c r="B707" s="24"/>
      <c r="C707" s="24"/>
      <c r="D707" s="24"/>
      <c r="E707" s="24"/>
      <c r="F707" s="24"/>
      <c r="G707" s="24"/>
      <c r="H707" s="24"/>
      <c r="I707" s="24"/>
      <c r="J707" s="24"/>
      <c r="K707" s="24"/>
      <c r="L707" s="24"/>
      <c r="M707" s="24"/>
      <c r="N707" s="35"/>
      <c r="O707" s="24"/>
      <c r="P707" s="35"/>
      <c r="Q707" s="24"/>
      <c r="R707" s="24"/>
      <c r="S707" s="24"/>
      <c r="T707" s="24"/>
      <c r="U707" s="54"/>
      <c r="V707" s="54"/>
      <c r="W707" s="54"/>
      <c r="X707" s="54"/>
      <c r="Y707" s="54"/>
      <c r="Z707" s="54"/>
    </row>
    <row r="708" spans="1:26" ht="14.25" customHeight="1">
      <c r="A708" s="24"/>
      <c r="B708" s="24"/>
      <c r="C708" s="24"/>
      <c r="D708" s="24"/>
      <c r="E708" s="24"/>
      <c r="F708" s="24"/>
      <c r="G708" s="24"/>
      <c r="H708" s="24"/>
      <c r="I708" s="24"/>
      <c r="J708" s="24"/>
      <c r="K708" s="24"/>
      <c r="L708" s="24"/>
      <c r="M708" s="24"/>
      <c r="N708" s="35"/>
      <c r="O708" s="24"/>
      <c r="P708" s="35"/>
      <c r="Q708" s="24"/>
      <c r="R708" s="24"/>
      <c r="S708" s="24"/>
      <c r="T708" s="24"/>
      <c r="U708" s="54"/>
      <c r="V708" s="54"/>
      <c r="W708" s="54"/>
      <c r="X708" s="54"/>
      <c r="Y708" s="54"/>
      <c r="Z708" s="54"/>
    </row>
    <row r="709" spans="1:26" ht="14.25" customHeight="1">
      <c r="A709" s="24"/>
      <c r="B709" s="24"/>
      <c r="C709" s="24"/>
      <c r="D709" s="24"/>
      <c r="E709" s="24"/>
      <c r="F709" s="24"/>
      <c r="G709" s="24"/>
      <c r="H709" s="24"/>
      <c r="I709" s="24"/>
      <c r="J709" s="24"/>
      <c r="K709" s="24"/>
      <c r="L709" s="24"/>
      <c r="M709" s="24"/>
      <c r="N709" s="35"/>
      <c r="O709" s="24"/>
      <c r="P709" s="35"/>
      <c r="Q709" s="24"/>
      <c r="R709" s="24"/>
      <c r="S709" s="24"/>
      <c r="T709" s="24"/>
      <c r="U709" s="54"/>
      <c r="V709" s="54"/>
      <c r="W709" s="54"/>
      <c r="X709" s="54"/>
      <c r="Y709" s="54"/>
      <c r="Z709" s="54"/>
    </row>
    <row r="710" spans="1:26" ht="14.25" customHeight="1">
      <c r="A710" s="24"/>
      <c r="B710" s="24"/>
      <c r="C710" s="24"/>
      <c r="D710" s="24"/>
      <c r="E710" s="24"/>
      <c r="F710" s="24"/>
      <c r="G710" s="24"/>
      <c r="H710" s="24"/>
      <c r="I710" s="24"/>
      <c r="J710" s="24"/>
      <c r="K710" s="24"/>
      <c r="L710" s="24"/>
      <c r="M710" s="24"/>
      <c r="N710" s="35"/>
      <c r="O710" s="24"/>
      <c r="P710" s="35"/>
      <c r="Q710" s="24"/>
      <c r="R710" s="24"/>
      <c r="S710" s="24"/>
      <c r="T710" s="24"/>
      <c r="U710" s="54"/>
      <c r="V710" s="54"/>
      <c r="W710" s="54"/>
      <c r="X710" s="54"/>
      <c r="Y710" s="54"/>
      <c r="Z710" s="54"/>
    </row>
    <row r="711" spans="1:26" ht="14.25" customHeight="1">
      <c r="A711" s="24"/>
      <c r="B711" s="24"/>
      <c r="C711" s="24"/>
      <c r="D711" s="24"/>
      <c r="E711" s="24"/>
      <c r="F711" s="24"/>
      <c r="G711" s="24"/>
      <c r="H711" s="24"/>
      <c r="I711" s="24"/>
      <c r="J711" s="24"/>
      <c r="K711" s="24"/>
      <c r="L711" s="24"/>
      <c r="M711" s="24"/>
      <c r="N711" s="35"/>
      <c r="O711" s="24"/>
      <c r="P711" s="35"/>
      <c r="Q711" s="24"/>
      <c r="R711" s="24"/>
      <c r="S711" s="24"/>
      <c r="T711" s="24"/>
      <c r="U711" s="54"/>
      <c r="V711" s="54"/>
      <c r="W711" s="54"/>
      <c r="X711" s="54"/>
      <c r="Y711" s="54"/>
      <c r="Z711" s="54"/>
    </row>
    <row r="712" spans="1:26" ht="14.25" customHeight="1">
      <c r="A712" s="24"/>
      <c r="B712" s="24"/>
      <c r="C712" s="24"/>
      <c r="D712" s="24"/>
      <c r="E712" s="24"/>
      <c r="F712" s="24"/>
      <c r="G712" s="24"/>
      <c r="H712" s="24"/>
      <c r="I712" s="24"/>
      <c r="J712" s="24"/>
      <c r="K712" s="24"/>
      <c r="L712" s="24"/>
      <c r="M712" s="24"/>
      <c r="N712" s="35"/>
      <c r="O712" s="24"/>
      <c r="P712" s="35"/>
      <c r="Q712" s="24"/>
      <c r="R712" s="24"/>
      <c r="S712" s="24"/>
      <c r="T712" s="24"/>
      <c r="U712" s="54"/>
      <c r="V712" s="54"/>
      <c r="W712" s="54"/>
      <c r="X712" s="54"/>
      <c r="Y712" s="54"/>
      <c r="Z712" s="54"/>
    </row>
    <row r="713" spans="1:26" ht="14.25" customHeight="1">
      <c r="A713" s="24"/>
      <c r="B713" s="24"/>
      <c r="C713" s="24"/>
      <c r="D713" s="24"/>
      <c r="E713" s="24"/>
      <c r="F713" s="24"/>
      <c r="G713" s="24"/>
      <c r="H713" s="24"/>
      <c r="I713" s="24"/>
      <c r="J713" s="24"/>
      <c r="K713" s="24"/>
      <c r="L713" s="24"/>
      <c r="M713" s="24"/>
      <c r="N713" s="35"/>
      <c r="O713" s="24"/>
      <c r="P713" s="35"/>
      <c r="Q713" s="24"/>
      <c r="R713" s="24"/>
      <c r="S713" s="24"/>
      <c r="T713" s="24"/>
      <c r="U713" s="54"/>
      <c r="V713" s="54"/>
      <c r="W713" s="54"/>
      <c r="X713" s="54"/>
      <c r="Y713" s="54"/>
      <c r="Z713" s="54"/>
    </row>
    <row r="714" spans="1:26" ht="14.25" customHeight="1">
      <c r="A714" s="24"/>
      <c r="B714" s="24"/>
      <c r="C714" s="24"/>
      <c r="D714" s="24"/>
      <c r="E714" s="24"/>
      <c r="F714" s="24"/>
      <c r="G714" s="24"/>
      <c r="H714" s="24"/>
      <c r="I714" s="24"/>
      <c r="J714" s="24"/>
      <c r="K714" s="24"/>
      <c r="L714" s="24"/>
      <c r="M714" s="24"/>
      <c r="N714" s="35"/>
      <c r="O714" s="24"/>
      <c r="P714" s="35"/>
      <c r="Q714" s="24"/>
      <c r="R714" s="24"/>
      <c r="S714" s="24"/>
      <c r="T714" s="24"/>
      <c r="U714" s="54"/>
      <c r="V714" s="54"/>
      <c r="W714" s="54"/>
      <c r="X714" s="54"/>
      <c r="Y714" s="54"/>
      <c r="Z714" s="54"/>
    </row>
    <row r="715" spans="1:26" ht="14.25" customHeight="1">
      <c r="A715" s="24"/>
      <c r="B715" s="24"/>
      <c r="C715" s="24"/>
      <c r="D715" s="24"/>
      <c r="E715" s="24"/>
      <c r="F715" s="24"/>
      <c r="G715" s="24"/>
      <c r="H715" s="24"/>
      <c r="I715" s="24"/>
      <c r="J715" s="24"/>
      <c r="K715" s="24"/>
      <c r="L715" s="24"/>
      <c r="M715" s="24"/>
      <c r="N715" s="35"/>
      <c r="O715" s="24"/>
      <c r="P715" s="35"/>
      <c r="Q715" s="24"/>
      <c r="R715" s="24"/>
      <c r="S715" s="24"/>
      <c r="T715" s="24"/>
      <c r="U715" s="54"/>
      <c r="V715" s="54"/>
      <c r="W715" s="54"/>
      <c r="X715" s="54"/>
      <c r="Y715" s="54"/>
      <c r="Z715" s="54"/>
    </row>
    <row r="716" spans="1:26" ht="14.25" customHeight="1">
      <c r="A716" s="24"/>
      <c r="B716" s="24"/>
      <c r="C716" s="24"/>
      <c r="D716" s="24"/>
      <c r="E716" s="24"/>
      <c r="F716" s="24"/>
      <c r="G716" s="24"/>
      <c r="H716" s="24"/>
      <c r="I716" s="24"/>
      <c r="J716" s="24"/>
      <c r="K716" s="24"/>
      <c r="L716" s="24"/>
      <c r="M716" s="24"/>
      <c r="N716" s="35"/>
      <c r="O716" s="24"/>
      <c r="P716" s="35"/>
      <c r="Q716" s="24"/>
      <c r="R716" s="24"/>
      <c r="S716" s="24"/>
      <c r="T716" s="24"/>
      <c r="U716" s="54"/>
      <c r="V716" s="54"/>
      <c r="W716" s="54"/>
      <c r="X716" s="54"/>
      <c r="Y716" s="54"/>
      <c r="Z716" s="54"/>
    </row>
    <row r="717" spans="1:26" ht="14.25" customHeight="1">
      <c r="A717" s="24"/>
      <c r="B717" s="24"/>
      <c r="C717" s="24"/>
      <c r="D717" s="24"/>
      <c r="E717" s="24"/>
      <c r="F717" s="24"/>
      <c r="G717" s="24"/>
      <c r="H717" s="24"/>
      <c r="I717" s="24"/>
      <c r="J717" s="24"/>
      <c r="K717" s="24"/>
      <c r="L717" s="24"/>
      <c r="M717" s="24"/>
      <c r="N717" s="35"/>
      <c r="O717" s="24"/>
      <c r="P717" s="35"/>
      <c r="Q717" s="24"/>
      <c r="R717" s="24"/>
      <c r="S717" s="24"/>
      <c r="T717" s="24"/>
      <c r="U717" s="54"/>
      <c r="V717" s="54"/>
      <c r="W717" s="54"/>
      <c r="X717" s="54"/>
      <c r="Y717" s="54"/>
      <c r="Z717" s="54"/>
    </row>
    <row r="718" spans="1:26" ht="14.25" customHeight="1">
      <c r="A718" s="24"/>
      <c r="B718" s="24"/>
      <c r="C718" s="24"/>
      <c r="D718" s="24"/>
      <c r="E718" s="24"/>
      <c r="F718" s="24"/>
      <c r="G718" s="24"/>
      <c r="H718" s="24"/>
      <c r="I718" s="24"/>
      <c r="J718" s="24"/>
      <c r="K718" s="24"/>
      <c r="L718" s="24"/>
      <c r="M718" s="24"/>
      <c r="N718" s="35"/>
      <c r="O718" s="24"/>
      <c r="P718" s="35"/>
      <c r="Q718" s="24"/>
      <c r="R718" s="24"/>
      <c r="S718" s="24"/>
      <c r="T718" s="24"/>
      <c r="U718" s="54"/>
      <c r="V718" s="54"/>
      <c r="W718" s="54"/>
      <c r="X718" s="54"/>
      <c r="Y718" s="54"/>
      <c r="Z718" s="54"/>
    </row>
    <row r="719" spans="1:26" ht="14.25" customHeight="1">
      <c r="A719" s="24"/>
      <c r="B719" s="24"/>
      <c r="C719" s="24"/>
      <c r="D719" s="24"/>
      <c r="E719" s="24"/>
      <c r="F719" s="24"/>
      <c r="G719" s="24"/>
      <c r="H719" s="24"/>
      <c r="I719" s="24"/>
      <c r="J719" s="24"/>
      <c r="K719" s="24"/>
      <c r="L719" s="24"/>
      <c r="M719" s="24"/>
      <c r="N719" s="35"/>
      <c r="O719" s="24"/>
      <c r="P719" s="35"/>
      <c r="Q719" s="24"/>
      <c r="R719" s="24"/>
      <c r="S719" s="24"/>
      <c r="T719" s="24"/>
      <c r="U719" s="54"/>
      <c r="V719" s="54"/>
      <c r="W719" s="54"/>
      <c r="X719" s="54"/>
      <c r="Y719" s="54"/>
      <c r="Z719" s="54"/>
    </row>
    <row r="720" spans="1:26" ht="14.25" customHeight="1">
      <c r="A720" s="24"/>
      <c r="B720" s="24"/>
      <c r="C720" s="24"/>
      <c r="D720" s="24"/>
      <c r="E720" s="24"/>
      <c r="F720" s="24"/>
      <c r="G720" s="24"/>
      <c r="H720" s="24"/>
      <c r="I720" s="24"/>
      <c r="J720" s="24"/>
      <c r="K720" s="24"/>
      <c r="L720" s="24"/>
      <c r="M720" s="24"/>
      <c r="N720" s="35"/>
      <c r="O720" s="24"/>
      <c r="P720" s="35"/>
      <c r="Q720" s="24"/>
      <c r="R720" s="24"/>
      <c r="S720" s="24"/>
      <c r="T720" s="24"/>
      <c r="U720" s="54"/>
      <c r="V720" s="54"/>
      <c r="W720" s="54"/>
      <c r="X720" s="54"/>
      <c r="Y720" s="54"/>
      <c r="Z720" s="54"/>
    </row>
    <row r="721" spans="1:26" ht="14.25" customHeight="1">
      <c r="A721" s="24"/>
      <c r="B721" s="24"/>
      <c r="C721" s="24"/>
      <c r="D721" s="24"/>
      <c r="E721" s="24"/>
      <c r="F721" s="24"/>
      <c r="G721" s="24"/>
      <c r="H721" s="24"/>
      <c r="I721" s="24"/>
      <c r="J721" s="24"/>
      <c r="K721" s="24"/>
      <c r="L721" s="24"/>
      <c r="M721" s="24"/>
      <c r="N721" s="35"/>
      <c r="O721" s="24"/>
      <c r="P721" s="35"/>
      <c r="Q721" s="24"/>
      <c r="R721" s="24"/>
      <c r="S721" s="24"/>
      <c r="T721" s="24"/>
      <c r="U721" s="54"/>
      <c r="V721" s="54"/>
      <c r="W721" s="54"/>
      <c r="X721" s="54"/>
      <c r="Y721" s="54"/>
      <c r="Z721" s="54"/>
    </row>
    <row r="722" spans="1:26" ht="14.25" customHeight="1">
      <c r="A722" s="24"/>
      <c r="B722" s="24"/>
      <c r="C722" s="24"/>
      <c r="D722" s="24"/>
      <c r="E722" s="24"/>
      <c r="F722" s="24"/>
      <c r="G722" s="24"/>
      <c r="H722" s="24"/>
      <c r="I722" s="24"/>
      <c r="J722" s="24"/>
      <c r="K722" s="24"/>
      <c r="L722" s="24"/>
      <c r="M722" s="24"/>
      <c r="N722" s="35"/>
      <c r="O722" s="24"/>
      <c r="P722" s="35"/>
      <c r="Q722" s="24"/>
      <c r="R722" s="24"/>
      <c r="S722" s="24"/>
      <c r="T722" s="24"/>
      <c r="U722" s="54"/>
      <c r="V722" s="54"/>
      <c r="W722" s="54"/>
      <c r="X722" s="54"/>
      <c r="Y722" s="54"/>
      <c r="Z722" s="54"/>
    </row>
    <row r="723" spans="1:26" ht="14.25" customHeight="1">
      <c r="A723" s="24"/>
      <c r="B723" s="24"/>
      <c r="C723" s="24"/>
      <c r="D723" s="24"/>
      <c r="E723" s="24"/>
      <c r="F723" s="24"/>
      <c r="G723" s="24"/>
      <c r="H723" s="24"/>
      <c r="I723" s="24"/>
      <c r="J723" s="24"/>
      <c r="K723" s="24"/>
      <c r="L723" s="24"/>
      <c r="M723" s="24"/>
      <c r="N723" s="35"/>
      <c r="O723" s="24"/>
      <c r="P723" s="35"/>
      <c r="Q723" s="24"/>
      <c r="R723" s="24"/>
      <c r="S723" s="24"/>
      <c r="T723" s="24"/>
      <c r="U723" s="54"/>
      <c r="V723" s="54"/>
      <c r="W723" s="54"/>
      <c r="X723" s="54"/>
      <c r="Y723" s="54"/>
      <c r="Z723" s="54"/>
    </row>
    <row r="724" spans="1:26" ht="14.25" customHeight="1">
      <c r="A724" s="24"/>
      <c r="B724" s="24"/>
      <c r="C724" s="24"/>
      <c r="D724" s="24"/>
      <c r="E724" s="24"/>
      <c r="F724" s="24"/>
      <c r="G724" s="24"/>
      <c r="H724" s="24"/>
      <c r="I724" s="24"/>
      <c r="J724" s="24"/>
      <c r="K724" s="24"/>
      <c r="L724" s="24"/>
      <c r="M724" s="24"/>
      <c r="N724" s="35"/>
      <c r="O724" s="24"/>
      <c r="P724" s="35"/>
      <c r="Q724" s="24"/>
      <c r="R724" s="24"/>
      <c r="S724" s="24"/>
      <c r="T724" s="24"/>
      <c r="U724" s="54"/>
      <c r="V724" s="54"/>
      <c r="W724" s="54"/>
      <c r="X724" s="54"/>
      <c r="Y724" s="54"/>
      <c r="Z724" s="54"/>
    </row>
    <row r="725" spans="1:26" ht="14.25" customHeight="1">
      <c r="A725" s="24"/>
      <c r="B725" s="24"/>
      <c r="C725" s="24"/>
      <c r="D725" s="24"/>
      <c r="E725" s="24"/>
      <c r="F725" s="24"/>
      <c r="G725" s="24"/>
      <c r="H725" s="24"/>
      <c r="I725" s="24"/>
      <c r="J725" s="24"/>
      <c r="K725" s="24"/>
      <c r="L725" s="24"/>
      <c r="M725" s="24"/>
      <c r="N725" s="35"/>
      <c r="O725" s="24"/>
      <c r="P725" s="35"/>
      <c r="Q725" s="24"/>
      <c r="R725" s="24"/>
      <c r="S725" s="24"/>
      <c r="T725" s="24"/>
      <c r="U725" s="54"/>
      <c r="V725" s="54"/>
      <c r="W725" s="54"/>
      <c r="X725" s="54"/>
      <c r="Y725" s="54"/>
      <c r="Z725" s="54"/>
    </row>
    <row r="726" spans="1:26" ht="14.25" customHeight="1">
      <c r="A726" s="24"/>
      <c r="B726" s="24"/>
      <c r="C726" s="24"/>
      <c r="D726" s="24"/>
      <c r="E726" s="24"/>
      <c r="F726" s="24"/>
      <c r="G726" s="24"/>
      <c r="H726" s="24"/>
      <c r="I726" s="24"/>
      <c r="J726" s="24"/>
      <c r="K726" s="24"/>
      <c r="L726" s="24"/>
      <c r="M726" s="24"/>
      <c r="N726" s="35"/>
      <c r="O726" s="24"/>
      <c r="P726" s="35"/>
      <c r="Q726" s="24"/>
      <c r="R726" s="24"/>
      <c r="S726" s="24"/>
      <c r="T726" s="24"/>
      <c r="U726" s="54"/>
      <c r="V726" s="54"/>
      <c r="W726" s="54"/>
      <c r="X726" s="54"/>
      <c r="Y726" s="54"/>
      <c r="Z726" s="54"/>
    </row>
    <row r="727" spans="1:26" ht="14.25" customHeight="1">
      <c r="A727" s="24"/>
      <c r="B727" s="24"/>
      <c r="C727" s="24"/>
      <c r="D727" s="24"/>
      <c r="E727" s="24"/>
      <c r="F727" s="24"/>
      <c r="G727" s="24"/>
      <c r="H727" s="24"/>
      <c r="I727" s="24"/>
      <c r="J727" s="24"/>
      <c r="K727" s="24"/>
      <c r="L727" s="24"/>
      <c r="M727" s="24"/>
      <c r="N727" s="35"/>
      <c r="O727" s="24"/>
      <c r="P727" s="35"/>
      <c r="Q727" s="24"/>
      <c r="R727" s="24"/>
      <c r="S727" s="24"/>
      <c r="T727" s="24"/>
      <c r="U727" s="54"/>
      <c r="V727" s="54"/>
      <c r="W727" s="54"/>
      <c r="X727" s="54"/>
      <c r="Y727" s="54"/>
      <c r="Z727" s="54"/>
    </row>
    <row r="728" spans="1:26" ht="14.25" customHeight="1">
      <c r="A728" s="24"/>
      <c r="B728" s="24"/>
      <c r="C728" s="24"/>
      <c r="D728" s="24"/>
      <c r="E728" s="24"/>
      <c r="F728" s="24"/>
      <c r="G728" s="24"/>
      <c r="H728" s="24"/>
      <c r="I728" s="24"/>
      <c r="J728" s="24"/>
      <c r="K728" s="24"/>
      <c r="L728" s="24"/>
      <c r="M728" s="24"/>
      <c r="N728" s="35"/>
      <c r="O728" s="24"/>
      <c r="P728" s="35"/>
      <c r="Q728" s="24"/>
      <c r="R728" s="24"/>
      <c r="S728" s="24"/>
      <c r="T728" s="24"/>
      <c r="U728" s="54"/>
      <c r="V728" s="54"/>
      <c r="W728" s="54"/>
      <c r="X728" s="54"/>
      <c r="Y728" s="54"/>
      <c r="Z728" s="54"/>
    </row>
    <row r="729" spans="1:26" ht="14.25" customHeight="1">
      <c r="A729" s="24"/>
      <c r="B729" s="24"/>
      <c r="C729" s="24"/>
      <c r="D729" s="24"/>
      <c r="E729" s="24"/>
      <c r="F729" s="24"/>
      <c r="G729" s="24"/>
      <c r="H729" s="24"/>
      <c r="I729" s="24"/>
      <c r="J729" s="24"/>
      <c r="K729" s="24"/>
      <c r="L729" s="24"/>
      <c r="M729" s="24"/>
      <c r="N729" s="35"/>
      <c r="O729" s="24"/>
      <c r="P729" s="35"/>
      <c r="Q729" s="24"/>
      <c r="R729" s="24"/>
      <c r="S729" s="24"/>
      <c r="T729" s="24"/>
      <c r="U729" s="54"/>
      <c r="V729" s="54"/>
      <c r="W729" s="54"/>
      <c r="X729" s="54"/>
      <c r="Y729" s="54"/>
      <c r="Z729" s="54"/>
    </row>
    <row r="730" spans="1:26" ht="14.25" customHeight="1">
      <c r="A730" s="24"/>
      <c r="B730" s="24"/>
      <c r="C730" s="24"/>
      <c r="D730" s="24"/>
      <c r="E730" s="24"/>
      <c r="F730" s="24"/>
      <c r="G730" s="24"/>
      <c r="H730" s="24"/>
      <c r="I730" s="24"/>
      <c r="J730" s="24"/>
      <c r="K730" s="24"/>
      <c r="L730" s="24"/>
      <c r="M730" s="24"/>
      <c r="N730" s="35"/>
      <c r="O730" s="24"/>
      <c r="P730" s="35"/>
      <c r="Q730" s="24"/>
      <c r="R730" s="24"/>
      <c r="S730" s="24"/>
      <c r="T730" s="24"/>
      <c r="U730" s="54"/>
      <c r="V730" s="54"/>
      <c r="W730" s="54"/>
      <c r="X730" s="54"/>
      <c r="Y730" s="54"/>
      <c r="Z730" s="54"/>
    </row>
    <row r="731" spans="1:26" ht="14.25" customHeight="1">
      <c r="A731" s="24"/>
      <c r="B731" s="24"/>
      <c r="C731" s="24"/>
      <c r="D731" s="24"/>
      <c r="E731" s="24"/>
      <c r="F731" s="24"/>
      <c r="G731" s="24"/>
      <c r="H731" s="24"/>
      <c r="I731" s="24"/>
      <c r="J731" s="24"/>
      <c r="K731" s="24"/>
      <c r="L731" s="24"/>
      <c r="M731" s="24"/>
      <c r="N731" s="35"/>
      <c r="O731" s="24"/>
      <c r="P731" s="35"/>
      <c r="Q731" s="24"/>
      <c r="R731" s="24"/>
      <c r="S731" s="24"/>
      <c r="T731" s="24"/>
      <c r="U731" s="54"/>
      <c r="V731" s="54"/>
      <c r="W731" s="54"/>
      <c r="X731" s="54"/>
      <c r="Y731" s="54"/>
      <c r="Z731" s="54"/>
    </row>
    <row r="732" spans="1:26" ht="14.25" customHeight="1">
      <c r="A732" s="24"/>
      <c r="B732" s="24"/>
      <c r="C732" s="24"/>
      <c r="D732" s="24"/>
      <c r="E732" s="24"/>
      <c r="F732" s="24"/>
      <c r="G732" s="24"/>
      <c r="H732" s="24"/>
      <c r="I732" s="24"/>
      <c r="J732" s="24"/>
      <c r="K732" s="24"/>
      <c r="L732" s="24"/>
      <c r="M732" s="24"/>
      <c r="N732" s="35"/>
      <c r="O732" s="24"/>
      <c r="P732" s="35"/>
      <c r="Q732" s="24"/>
      <c r="R732" s="24"/>
      <c r="S732" s="24"/>
      <c r="T732" s="24"/>
      <c r="U732" s="54"/>
      <c r="V732" s="54"/>
      <c r="W732" s="54"/>
      <c r="X732" s="54"/>
      <c r="Y732" s="54"/>
      <c r="Z732" s="54"/>
    </row>
    <row r="733" spans="1:26" ht="14.25" customHeight="1">
      <c r="A733" s="24"/>
      <c r="B733" s="24"/>
      <c r="C733" s="24"/>
      <c r="D733" s="24"/>
      <c r="E733" s="24"/>
      <c r="F733" s="24"/>
      <c r="G733" s="24"/>
      <c r="H733" s="24"/>
      <c r="I733" s="24"/>
      <c r="J733" s="24"/>
      <c r="K733" s="24"/>
      <c r="L733" s="24"/>
      <c r="M733" s="24"/>
      <c r="N733" s="35"/>
      <c r="O733" s="24"/>
      <c r="P733" s="35"/>
      <c r="Q733" s="24"/>
      <c r="R733" s="24"/>
      <c r="S733" s="24"/>
      <c r="T733" s="24"/>
      <c r="U733" s="54"/>
      <c r="V733" s="54"/>
      <c r="W733" s="54"/>
      <c r="X733" s="54"/>
      <c r="Y733" s="54"/>
      <c r="Z733" s="54"/>
    </row>
    <row r="734" spans="1:26" ht="14.25" customHeight="1">
      <c r="A734" s="24"/>
      <c r="B734" s="24"/>
      <c r="C734" s="24"/>
      <c r="D734" s="24"/>
      <c r="E734" s="24"/>
      <c r="F734" s="24"/>
      <c r="G734" s="24"/>
      <c r="H734" s="24"/>
      <c r="I734" s="24"/>
      <c r="J734" s="24"/>
      <c r="K734" s="24"/>
      <c r="L734" s="24"/>
      <c r="M734" s="24"/>
      <c r="N734" s="35"/>
      <c r="O734" s="24"/>
      <c r="P734" s="35"/>
      <c r="Q734" s="24"/>
      <c r="R734" s="24"/>
      <c r="S734" s="24"/>
      <c r="T734" s="24"/>
      <c r="U734" s="54"/>
      <c r="V734" s="54"/>
      <c r="W734" s="54"/>
      <c r="X734" s="54"/>
      <c r="Y734" s="54"/>
      <c r="Z734" s="54"/>
    </row>
    <row r="735" spans="1:26" ht="14.25" customHeight="1">
      <c r="A735" s="24"/>
      <c r="B735" s="24"/>
      <c r="C735" s="24"/>
      <c r="D735" s="24"/>
      <c r="E735" s="24"/>
      <c r="F735" s="24"/>
      <c r="G735" s="24"/>
      <c r="H735" s="24"/>
      <c r="I735" s="24"/>
      <c r="J735" s="24"/>
      <c r="K735" s="24"/>
      <c r="L735" s="24"/>
      <c r="M735" s="24"/>
      <c r="N735" s="35"/>
      <c r="O735" s="24"/>
      <c r="P735" s="35"/>
      <c r="Q735" s="24"/>
      <c r="R735" s="24"/>
      <c r="S735" s="24"/>
      <c r="T735" s="24"/>
      <c r="U735" s="54"/>
      <c r="V735" s="54"/>
      <c r="W735" s="54"/>
      <c r="X735" s="54"/>
      <c r="Y735" s="54"/>
      <c r="Z735" s="54"/>
    </row>
    <row r="736" spans="1:26" ht="14.25" customHeight="1">
      <c r="A736" s="24"/>
      <c r="B736" s="24"/>
      <c r="C736" s="24"/>
      <c r="D736" s="24"/>
      <c r="E736" s="24"/>
      <c r="F736" s="24"/>
      <c r="G736" s="24"/>
      <c r="H736" s="24"/>
      <c r="I736" s="24"/>
      <c r="J736" s="24"/>
      <c r="K736" s="24"/>
      <c r="L736" s="24"/>
      <c r="M736" s="24"/>
      <c r="N736" s="35"/>
      <c r="O736" s="24"/>
      <c r="P736" s="35"/>
      <c r="Q736" s="24"/>
      <c r="R736" s="24"/>
      <c r="S736" s="24"/>
      <c r="T736" s="24"/>
      <c r="U736" s="54"/>
      <c r="V736" s="54"/>
      <c r="W736" s="54"/>
      <c r="X736" s="54"/>
      <c r="Y736" s="54"/>
      <c r="Z736" s="54"/>
    </row>
    <row r="737" spans="1:26" ht="14.25" customHeight="1">
      <c r="A737" s="24"/>
      <c r="B737" s="24"/>
      <c r="C737" s="24"/>
      <c r="D737" s="24"/>
      <c r="E737" s="24"/>
      <c r="F737" s="24"/>
      <c r="G737" s="24"/>
      <c r="H737" s="24"/>
      <c r="I737" s="24"/>
      <c r="J737" s="24"/>
      <c r="K737" s="24"/>
      <c r="L737" s="24"/>
      <c r="M737" s="24"/>
      <c r="N737" s="35"/>
      <c r="O737" s="24"/>
      <c r="P737" s="35"/>
      <c r="Q737" s="24"/>
      <c r="R737" s="24"/>
      <c r="S737" s="24"/>
      <c r="T737" s="24"/>
      <c r="U737" s="54"/>
      <c r="V737" s="54"/>
      <c r="W737" s="54"/>
      <c r="X737" s="54"/>
      <c r="Y737" s="54"/>
      <c r="Z737" s="54"/>
    </row>
    <row r="738" spans="1:26" ht="14.25" customHeight="1">
      <c r="A738" s="24"/>
      <c r="B738" s="24"/>
      <c r="C738" s="24"/>
      <c r="D738" s="24"/>
      <c r="E738" s="24"/>
      <c r="F738" s="24"/>
      <c r="G738" s="24"/>
      <c r="H738" s="24"/>
      <c r="I738" s="24"/>
      <c r="J738" s="24"/>
      <c r="K738" s="24"/>
      <c r="L738" s="24"/>
      <c r="M738" s="24"/>
      <c r="N738" s="35"/>
      <c r="O738" s="24"/>
      <c r="P738" s="35"/>
      <c r="Q738" s="24"/>
      <c r="R738" s="24"/>
      <c r="S738" s="24"/>
      <c r="T738" s="24"/>
      <c r="U738" s="54"/>
      <c r="V738" s="54"/>
      <c r="W738" s="54"/>
      <c r="X738" s="54"/>
      <c r="Y738" s="54"/>
      <c r="Z738" s="54"/>
    </row>
    <row r="739" spans="1:26" ht="14.25" customHeight="1">
      <c r="A739" s="24"/>
      <c r="B739" s="24"/>
      <c r="C739" s="24"/>
      <c r="D739" s="24"/>
      <c r="E739" s="24"/>
      <c r="F739" s="24"/>
      <c r="G739" s="24"/>
      <c r="H739" s="24"/>
      <c r="I739" s="24"/>
      <c r="J739" s="24"/>
      <c r="K739" s="24"/>
      <c r="L739" s="24"/>
      <c r="M739" s="24"/>
      <c r="N739" s="35"/>
      <c r="O739" s="24"/>
      <c r="P739" s="35"/>
      <c r="Q739" s="24"/>
      <c r="R739" s="24"/>
      <c r="S739" s="24"/>
      <c r="T739" s="24"/>
      <c r="U739" s="54"/>
      <c r="V739" s="54"/>
      <c r="W739" s="54"/>
      <c r="X739" s="54"/>
      <c r="Y739" s="54"/>
      <c r="Z739" s="54"/>
    </row>
    <row r="740" spans="1:26" ht="14.25" customHeight="1">
      <c r="A740" s="24"/>
      <c r="B740" s="24"/>
      <c r="C740" s="24"/>
      <c r="D740" s="24"/>
      <c r="E740" s="24"/>
      <c r="F740" s="24"/>
      <c r="G740" s="24"/>
      <c r="H740" s="24"/>
      <c r="I740" s="24"/>
      <c r="J740" s="24"/>
      <c r="K740" s="24"/>
      <c r="L740" s="24"/>
      <c r="M740" s="24"/>
      <c r="N740" s="35"/>
      <c r="O740" s="24"/>
      <c r="P740" s="35"/>
      <c r="Q740" s="24"/>
      <c r="R740" s="24"/>
      <c r="S740" s="24"/>
      <c r="T740" s="24"/>
      <c r="U740" s="54"/>
      <c r="V740" s="54"/>
      <c r="W740" s="54"/>
      <c r="X740" s="54"/>
      <c r="Y740" s="54"/>
      <c r="Z740" s="54"/>
    </row>
    <row r="741" spans="1:26" ht="14.25" customHeight="1">
      <c r="A741" s="24"/>
      <c r="B741" s="24"/>
      <c r="C741" s="24"/>
      <c r="D741" s="24"/>
      <c r="E741" s="24"/>
      <c r="F741" s="24"/>
      <c r="G741" s="24"/>
      <c r="H741" s="24"/>
      <c r="I741" s="24"/>
      <c r="J741" s="24"/>
      <c r="K741" s="24"/>
      <c r="L741" s="24"/>
      <c r="M741" s="24"/>
      <c r="N741" s="35"/>
      <c r="O741" s="24"/>
      <c r="P741" s="35"/>
      <c r="Q741" s="24"/>
      <c r="R741" s="24"/>
      <c r="S741" s="24"/>
      <c r="T741" s="24"/>
      <c r="U741" s="54"/>
      <c r="V741" s="54"/>
      <c r="W741" s="54"/>
      <c r="X741" s="54"/>
      <c r="Y741" s="54"/>
      <c r="Z741" s="54"/>
    </row>
    <row r="742" spans="1:26" ht="14.25" customHeight="1">
      <c r="A742" s="24"/>
      <c r="B742" s="24"/>
      <c r="C742" s="24"/>
      <c r="D742" s="24"/>
      <c r="E742" s="24"/>
      <c r="F742" s="24"/>
      <c r="G742" s="24"/>
      <c r="H742" s="24"/>
      <c r="I742" s="24"/>
      <c r="J742" s="24"/>
      <c r="K742" s="24"/>
      <c r="L742" s="24"/>
      <c r="M742" s="24"/>
      <c r="N742" s="35"/>
      <c r="O742" s="24"/>
      <c r="P742" s="35"/>
      <c r="Q742" s="24"/>
      <c r="R742" s="24"/>
      <c r="S742" s="24"/>
      <c r="T742" s="24"/>
      <c r="U742" s="54"/>
      <c r="V742" s="54"/>
      <c r="W742" s="54"/>
      <c r="X742" s="54"/>
      <c r="Y742" s="54"/>
      <c r="Z742" s="54"/>
    </row>
    <row r="743" spans="1:26" ht="14.25" customHeight="1">
      <c r="A743" s="24"/>
      <c r="B743" s="24"/>
      <c r="C743" s="24"/>
      <c r="D743" s="24"/>
      <c r="E743" s="24"/>
      <c r="F743" s="24"/>
      <c r="G743" s="24"/>
      <c r="H743" s="24"/>
      <c r="I743" s="24"/>
      <c r="J743" s="24"/>
      <c r="K743" s="24"/>
      <c r="L743" s="24"/>
      <c r="M743" s="24"/>
      <c r="N743" s="35"/>
      <c r="O743" s="24"/>
      <c r="P743" s="35"/>
      <c r="Q743" s="24"/>
      <c r="R743" s="24"/>
      <c r="S743" s="24"/>
      <c r="T743" s="24"/>
      <c r="U743" s="54"/>
      <c r="V743" s="54"/>
      <c r="W743" s="54"/>
      <c r="X743" s="54"/>
      <c r="Y743" s="54"/>
      <c r="Z743" s="54"/>
    </row>
    <row r="744" spans="1:26" ht="14.25" customHeight="1">
      <c r="A744" s="24"/>
      <c r="B744" s="24"/>
      <c r="C744" s="24"/>
      <c r="D744" s="24"/>
      <c r="E744" s="24"/>
      <c r="F744" s="24"/>
      <c r="G744" s="24"/>
      <c r="H744" s="24"/>
      <c r="I744" s="24"/>
      <c r="J744" s="24"/>
      <c r="K744" s="24"/>
      <c r="L744" s="24"/>
      <c r="M744" s="24"/>
      <c r="N744" s="35"/>
      <c r="O744" s="24"/>
      <c r="P744" s="35"/>
      <c r="Q744" s="24"/>
      <c r="R744" s="24"/>
      <c r="S744" s="24"/>
      <c r="T744" s="24"/>
      <c r="U744" s="54"/>
      <c r="V744" s="54"/>
      <c r="W744" s="54"/>
      <c r="X744" s="54"/>
      <c r="Y744" s="54"/>
      <c r="Z744" s="54"/>
    </row>
    <row r="745" spans="1:26" ht="14.25" customHeight="1">
      <c r="A745" s="24"/>
      <c r="B745" s="24"/>
      <c r="C745" s="24"/>
      <c r="D745" s="24"/>
      <c r="E745" s="24"/>
      <c r="F745" s="24"/>
      <c r="G745" s="24"/>
      <c r="H745" s="24"/>
      <c r="I745" s="24"/>
      <c r="J745" s="24"/>
      <c r="K745" s="24"/>
      <c r="L745" s="24"/>
      <c r="M745" s="24"/>
      <c r="N745" s="35"/>
      <c r="O745" s="24"/>
      <c r="P745" s="35"/>
      <c r="Q745" s="24"/>
      <c r="R745" s="24"/>
      <c r="S745" s="24"/>
      <c r="T745" s="24"/>
      <c r="U745" s="54"/>
      <c r="V745" s="54"/>
      <c r="W745" s="54"/>
      <c r="X745" s="54"/>
      <c r="Y745" s="54"/>
      <c r="Z745" s="54"/>
    </row>
    <row r="746" spans="1:26" ht="14.25" customHeight="1">
      <c r="A746" s="24"/>
      <c r="B746" s="24"/>
      <c r="C746" s="24"/>
      <c r="D746" s="24"/>
      <c r="E746" s="24"/>
      <c r="F746" s="24"/>
      <c r="G746" s="24"/>
      <c r="H746" s="24"/>
      <c r="I746" s="24"/>
      <c r="J746" s="24"/>
      <c r="K746" s="24"/>
      <c r="L746" s="24"/>
      <c r="M746" s="24"/>
      <c r="N746" s="35"/>
      <c r="O746" s="24"/>
      <c r="P746" s="35"/>
      <c r="Q746" s="24"/>
      <c r="R746" s="24"/>
      <c r="S746" s="24"/>
      <c r="T746" s="24"/>
      <c r="U746" s="54"/>
      <c r="V746" s="54"/>
      <c r="W746" s="54"/>
      <c r="X746" s="54"/>
      <c r="Y746" s="54"/>
      <c r="Z746" s="54"/>
    </row>
    <row r="747" spans="1:26" ht="14.25" customHeight="1">
      <c r="A747" s="24"/>
      <c r="B747" s="24"/>
      <c r="C747" s="24"/>
      <c r="D747" s="24"/>
      <c r="E747" s="24"/>
      <c r="F747" s="24"/>
      <c r="G747" s="24"/>
      <c r="H747" s="24"/>
      <c r="I747" s="24"/>
      <c r="J747" s="24"/>
      <c r="K747" s="24"/>
      <c r="L747" s="24"/>
      <c r="M747" s="24"/>
      <c r="N747" s="35"/>
      <c r="O747" s="24"/>
      <c r="P747" s="35"/>
      <c r="Q747" s="24"/>
      <c r="R747" s="24"/>
      <c r="S747" s="24"/>
      <c r="T747" s="24"/>
      <c r="U747" s="54"/>
      <c r="V747" s="54"/>
      <c r="W747" s="54"/>
      <c r="X747" s="54"/>
      <c r="Y747" s="54"/>
      <c r="Z747" s="54"/>
    </row>
    <row r="748" spans="1:26" ht="14.25" customHeight="1">
      <c r="A748" s="24"/>
      <c r="B748" s="24"/>
      <c r="C748" s="24"/>
      <c r="D748" s="24"/>
      <c r="E748" s="24"/>
      <c r="F748" s="24"/>
      <c r="G748" s="24"/>
      <c r="H748" s="24"/>
      <c r="I748" s="24"/>
      <c r="J748" s="24"/>
      <c r="K748" s="24"/>
      <c r="L748" s="24"/>
      <c r="M748" s="24"/>
      <c r="N748" s="35"/>
      <c r="O748" s="24"/>
      <c r="P748" s="35"/>
      <c r="Q748" s="24"/>
      <c r="R748" s="24"/>
      <c r="S748" s="24"/>
      <c r="T748" s="24"/>
      <c r="U748" s="54"/>
      <c r="V748" s="54"/>
      <c r="W748" s="54"/>
      <c r="X748" s="54"/>
      <c r="Y748" s="54"/>
      <c r="Z748" s="54"/>
    </row>
    <row r="749" spans="1:26" ht="14.25" customHeight="1">
      <c r="A749" s="24"/>
      <c r="B749" s="24"/>
      <c r="C749" s="24"/>
      <c r="D749" s="24"/>
      <c r="E749" s="24"/>
      <c r="F749" s="24"/>
      <c r="G749" s="24"/>
      <c r="H749" s="24"/>
      <c r="I749" s="24"/>
      <c r="J749" s="24"/>
      <c r="K749" s="24"/>
      <c r="L749" s="24"/>
      <c r="M749" s="24"/>
      <c r="N749" s="35"/>
      <c r="O749" s="24"/>
      <c r="P749" s="35"/>
      <c r="Q749" s="24"/>
      <c r="R749" s="24"/>
      <c r="S749" s="24"/>
      <c r="T749" s="24"/>
      <c r="U749" s="54"/>
      <c r="V749" s="54"/>
      <c r="W749" s="54"/>
      <c r="X749" s="54"/>
      <c r="Y749" s="54"/>
      <c r="Z749" s="54"/>
    </row>
    <row r="750" spans="1:26" ht="14.25" customHeight="1">
      <c r="A750" s="24"/>
      <c r="B750" s="24"/>
      <c r="C750" s="24"/>
      <c r="D750" s="24"/>
      <c r="E750" s="24"/>
      <c r="F750" s="24"/>
      <c r="G750" s="24"/>
      <c r="H750" s="24"/>
      <c r="I750" s="24"/>
      <c r="J750" s="24"/>
      <c r="K750" s="24"/>
      <c r="L750" s="24"/>
      <c r="M750" s="24"/>
      <c r="N750" s="35"/>
      <c r="O750" s="24"/>
      <c r="P750" s="35"/>
      <c r="Q750" s="24"/>
      <c r="R750" s="24"/>
      <c r="S750" s="24"/>
      <c r="T750" s="24"/>
      <c r="U750" s="54"/>
      <c r="V750" s="54"/>
      <c r="W750" s="54"/>
      <c r="X750" s="54"/>
      <c r="Y750" s="54"/>
      <c r="Z750" s="54"/>
    </row>
    <row r="751" spans="1:26" ht="14.25" customHeight="1">
      <c r="A751" s="24"/>
      <c r="B751" s="24"/>
      <c r="C751" s="24"/>
      <c r="D751" s="24"/>
      <c r="E751" s="24"/>
      <c r="F751" s="24"/>
      <c r="G751" s="24"/>
      <c r="H751" s="24"/>
      <c r="I751" s="24"/>
      <c r="J751" s="24"/>
      <c r="K751" s="24"/>
      <c r="L751" s="24"/>
      <c r="M751" s="24"/>
      <c r="N751" s="35"/>
      <c r="O751" s="24"/>
      <c r="P751" s="35"/>
      <c r="Q751" s="24"/>
      <c r="R751" s="24"/>
      <c r="S751" s="24"/>
      <c r="T751" s="24"/>
      <c r="U751" s="54"/>
      <c r="V751" s="54"/>
      <c r="W751" s="54"/>
      <c r="X751" s="54"/>
      <c r="Y751" s="54"/>
      <c r="Z751" s="54"/>
    </row>
    <row r="752" spans="1:26" ht="14.25" customHeight="1">
      <c r="A752" s="24"/>
      <c r="B752" s="24"/>
      <c r="C752" s="24"/>
      <c r="D752" s="24"/>
      <c r="E752" s="24"/>
      <c r="F752" s="24"/>
      <c r="G752" s="24"/>
      <c r="H752" s="24"/>
      <c r="I752" s="24"/>
      <c r="J752" s="24"/>
      <c r="K752" s="24"/>
      <c r="L752" s="24"/>
      <c r="M752" s="24"/>
      <c r="N752" s="35"/>
      <c r="O752" s="24"/>
      <c r="P752" s="35"/>
      <c r="Q752" s="24"/>
      <c r="R752" s="24"/>
      <c r="S752" s="24"/>
      <c r="T752" s="24"/>
      <c r="U752" s="54"/>
      <c r="V752" s="54"/>
      <c r="W752" s="54"/>
      <c r="X752" s="54"/>
      <c r="Y752" s="54"/>
      <c r="Z752" s="54"/>
    </row>
    <row r="753" spans="1:26" ht="14.25" customHeight="1">
      <c r="A753" s="24"/>
      <c r="B753" s="24"/>
      <c r="C753" s="24"/>
      <c r="D753" s="24"/>
      <c r="E753" s="24"/>
      <c r="F753" s="24"/>
      <c r="G753" s="24"/>
      <c r="H753" s="24"/>
      <c r="I753" s="24"/>
      <c r="J753" s="24"/>
      <c r="K753" s="24"/>
      <c r="L753" s="24"/>
      <c r="M753" s="24"/>
      <c r="N753" s="35"/>
      <c r="O753" s="24"/>
      <c r="P753" s="35"/>
      <c r="Q753" s="24"/>
      <c r="R753" s="24"/>
      <c r="S753" s="24"/>
      <c r="T753" s="24"/>
      <c r="U753" s="54"/>
      <c r="V753" s="54"/>
      <c r="W753" s="54"/>
      <c r="X753" s="54"/>
      <c r="Y753" s="54"/>
      <c r="Z753" s="54"/>
    </row>
    <row r="754" spans="1:26" ht="14.25" customHeight="1">
      <c r="A754" s="24"/>
      <c r="B754" s="24"/>
      <c r="C754" s="24"/>
      <c r="D754" s="24"/>
      <c r="E754" s="24"/>
      <c r="F754" s="24"/>
      <c r="G754" s="24"/>
      <c r="H754" s="24"/>
      <c r="I754" s="24"/>
      <c r="J754" s="24"/>
      <c r="K754" s="24"/>
      <c r="L754" s="24"/>
      <c r="M754" s="24"/>
      <c r="N754" s="35"/>
      <c r="O754" s="24"/>
      <c r="P754" s="35"/>
      <c r="Q754" s="24"/>
      <c r="R754" s="24"/>
      <c r="S754" s="24"/>
      <c r="T754" s="24"/>
      <c r="U754" s="54"/>
      <c r="V754" s="54"/>
      <c r="W754" s="54"/>
      <c r="X754" s="54"/>
      <c r="Y754" s="54"/>
      <c r="Z754" s="54"/>
    </row>
    <row r="755" spans="1:26" ht="14.25" customHeight="1">
      <c r="A755" s="24"/>
      <c r="B755" s="24"/>
      <c r="C755" s="24"/>
      <c r="D755" s="24"/>
      <c r="E755" s="24"/>
      <c r="F755" s="24"/>
      <c r="G755" s="24"/>
      <c r="H755" s="24"/>
      <c r="I755" s="24"/>
      <c r="J755" s="24"/>
      <c r="K755" s="24"/>
      <c r="L755" s="24"/>
      <c r="M755" s="24"/>
      <c r="N755" s="35"/>
      <c r="O755" s="24"/>
      <c r="P755" s="35"/>
      <c r="Q755" s="24"/>
      <c r="R755" s="24"/>
      <c r="S755" s="24"/>
      <c r="T755" s="24"/>
      <c r="U755" s="54"/>
      <c r="V755" s="54"/>
      <c r="W755" s="54"/>
      <c r="X755" s="54"/>
      <c r="Y755" s="54"/>
      <c r="Z755" s="54"/>
    </row>
    <row r="756" spans="1:26" ht="14.25" customHeight="1">
      <c r="A756" s="24"/>
      <c r="B756" s="24"/>
      <c r="C756" s="24"/>
      <c r="D756" s="24"/>
      <c r="E756" s="24"/>
      <c r="F756" s="24"/>
      <c r="G756" s="24"/>
      <c r="H756" s="24"/>
      <c r="I756" s="24"/>
      <c r="J756" s="24"/>
      <c r="K756" s="24"/>
      <c r="L756" s="24"/>
      <c r="M756" s="24"/>
      <c r="N756" s="35"/>
      <c r="O756" s="24"/>
      <c r="P756" s="35"/>
      <c r="Q756" s="24"/>
      <c r="R756" s="24"/>
      <c r="S756" s="24"/>
      <c r="T756" s="24"/>
      <c r="U756" s="54"/>
      <c r="V756" s="54"/>
      <c r="W756" s="54"/>
      <c r="X756" s="54"/>
      <c r="Y756" s="54"/>
      <c r="Z756" s="54"/>
    </row>
    <row r="757" spans="1:26" ht="14.25" customHeight="1">
      <c r="A757" s="24"/>
      <c r="B757" s="24"/>
      <c r="C757" s="24"/>
      <c r="D757" s="24"/>
      <c r="E757" s="24"/>
      <c r="F757" s="24"/>
      <c r="G757" s="24"/>
      <c r="H757" s="24"/>
      <c r="I757" s="24"/>
      <c r="J757" s="24"/>
      <c r="K757" s="24"/>
      <c r="L757" s="24"/>
      <c r="M757" s="24"/>
      <c r="N757" s="35"/>
      <c r="O757" s="24"/>
      <c r="P757" s="35"/>
      <c r="Q757" s="24"/>
      <c r="R757" s="24"/>
      <c r="S757" s="24"/>
      <c r="T757" s="24"/>
      <c r="U757" s="54"/>
      <c r="V757" s="54"/>
      <c r="W757" s="54"/>
      <c r="X757" s="54"/>
      <c r="Y757" s="54"/>
      <c r="Z757" s="54"/>
    </row>
    <row r="758" spans="1:26" ht="14.25" customHeight="1">
      <c r="A758" s="24"/>
      <c r="B758" s="24"/>
      <c r="C758" s="24"/>
      <c r="D758" s="24"/>
      <c r="E758" s="24"/>
      <c r="F758" s="24"/>
      <c r="G758" s="24"/>
      <c r="H758" s="24"/>
      <c r="I758" s="24"/>
      <c r="J758" s="24"/>
      <c r="K758" s="24"/>
      <c r="L758" s="24"/>
      <c r="M758" s="24"/>
      <c r="N758" s="35"/>
      <c r="O758" s="24"/>
      <c r="P758" s="35"/>
      <c r="Q758" s="24"/>
      <c r="R758" s="24"/>
      <c r="S758" s="24"/>
      <c r="T758" s="24"/>
      <c r="U758" s="54"/>
      <c r="V758" s="54"/>
      <c r="W758" s="54"/>
      <c r="X758" s="54"/>
      <c r="Y758" s="54"/>
      <c r="Z758" s="54"/>
    </row>
    <row r="759" spans="1:26" ht="14.25" customHeight="1">
      <c r="A759" s="24"/>
      <c r="B759" s="24"/>
      <c r="C759" s="24"/>
      <c r="D759" s="24"/>
      <c r="E759" s="24"/>
      <c r="F759" s="24"/>
      <c r="G759" s="24"/>
      <c r="H759" s="24"/>
      <c r="I759" s="24"/>
      <c r="J759" s="24"/>
      <c r="K759" s="24"/>
      <c r="L759" s="24"/>
      <c r="M759" s="24"/>
      <c r="N759" s="35"/>
      <c r="O759" s="24"/>
      <c r="P759" s="35"/>
      <c r="Q759" s="24"/>
      <c r="R759" s="24"/>
      <c r="S759" s="24"/>
      <c r="T759" s="24"/>
      <c r="U759" s="54"/>
      <c r="V759" s="54"/>
      <c r="W759" s="54"/>
      <c r="X759" s="54"/>
      <c r="Y759" s="54"/>
      <c r="Z759" s="54"/>
    </row>
    <row r="760" spans="1:26" ht="14.25" customHeight="1">
      <c r="A760" s="24"/>
      <c r="B760" s="24"/>
      <c r="C760" s="24"/>
      <c r="D760" s="24"/>
      <c r="E760" s="24"/>
      <c r="F760" s="24"/>
      <c r="G760" s="24"/>
      <c r="H760" s="24"/>
      <c r="I760" s="24"/>
      <c r="J760" s="24"/>
      <c r="K760" s="24"/>
      <c r="L760" s="24"/>
      <c r="M760" s="24"/>
      <c r="N760" s="35"/>
      <c r="O760" s="24"/>
      <c r="P760" s="35"/>
      <c r="Q760" s="24"/>
      <c r="R760" s="24"/>
      <c r="S760" s="24"/>
      <c r="T760" s="24"/>
      <c r="U760" s="54"/>
      <c r="V760" s="54"/>
      <c r="W760" s="54"/>
      <c r="X760" s="54"/>
      <c r="Y760" s="54"/>
      <c r="Z760" s="54"/>
    </row>
    <row r="761" spans="1:26" ht="14.25" customHeight="1">
      <c r="A761" s="24"/>
      <c r="B761" s="24"/>
      <c r="C761" s="24"/>
      <c r="D761" s="24"/>
      <c r="E761" s="24"/>
      <c r="F761" s="24"/>
      <c r="G761" s="24"/>
      <c r="H761" s="24"/>
      <c r="I761" s="24"/>
      <c r="J761" s="24"/>
      <c r="K761" s="24"/>
      <c r="L761" s="24"/>
      <c r="M761" s="24"/>
      <c r="N761" s="35"/>
      <c r="O761" s="24"/>
      <c r="P761" s="35"/>
      <c r="Q761" s="24"/>
      <c r="R761" s="24"/>
      <c r="S761" s="24"/>
      <c r="T761" s="24"/>
      <c r="U761" s="54"/>
      <c r="V761" s="54"/>
      <c r="W761" s="54"/>
      <c r="X761" s="54"/>
      <c r="Y761" s="54"/>
      <c r="Z761" s="54"/>
    </row>
    <row r="762" spans="1:26" ht="14.25" customHeight="1">
      <c r="A762" s="24"/>
      <c r="B762" s="24"/>
      <c r="C762" s="24"/>
      <c r="D762" s="24"/>
      <c r="E762" s="24"/>
      <c r="F762" s="24"/>
      <c r="G762" s="24"/>
      <c r="H762" s="24"/>
      <c r="I762" s="24"/>
      <c r="J762" s="24"/>
      <c r="K762" s="24"/>
      <c r="L762" s="24"/>
      <c r="M762" s="24"/>
      <c r="N762" s="35"/>
      <c r="O762" s="24"/>
      <c r="P762" s="35"/>
      <c r="Q762" s="24"/>
      <c r="R762" s="24"/>
      <c r="S762" s="24"/>
      <c r="T762" s="24"/>
      <c r="U762" s="54"/>
      <c r="V762" s="54"/>
      <c r="W762" s="54"/>
      <c r="X762" s="54"/>
      <c r="Y762" s="54"/>
      <c r="Z762" s="54"/>
    </row>
    <row r="763" spans="1:26" ht="14.25" customHeight="1">
      <c r="A763" s="24"/>
      <c r="B763" s="24"/>
      <c r="C763" s="24"/>
      <c r="D763" s="24"/>
      <c r="E763" s="24"/>
      <c r="F763" s="24"/>
      <c r="G763" s="24"/>
      <c r="H763" s="24"/>
      <c r="I763" s="24"/>
      <c r="J763" s="24"/>
      <c r="K763" s="24"/>
      <c r="L763" s="24"/>
      <c r="M763" s="24"/>
      <c r="N763" s="35"/>
      <c r="O763" s="24"/>
      <c r="P763" s="35"/>
      <c r="Q763" s="24"/>
      <c r="R763" s="24"/>
      <c r="S763" s="24"/>
      <c r="T763" s="24"/>
      <c r="U763" s="54"/>
      <c r="V763" s="54"/>
      <c r="W763" s="54"/>
      <c r="X763" s="54"/>
      <c r="Y763" s="54"/>
      <c r="Z763" s="54"/>
    </row>
    <row r="764" spans="1:26" ht="14.25" customHeight="1">
      <c r="A764" s="24"/>
      <c r="B764" s="24"/>
      <c r="C764" s="24"/>
      <c r="D764" s="24"/>
      <c r="E764" s="24"/>
      <c r="F764" s="24"/>
      <c r="G764" s="24"/>
      <c r="H764" s="24"/>
      <c r="I764" s="24"/>
      <c r="J764" s="24"/>
      <c r="K764" s="24"/>
      <c r="L764" s="24"/>
      <c r="M764" s="24"/>
      <c r="N764" s="35"/>
      <c r="O764" s="24"/>
      <c r="P764" s="35"/>
      <c r="Q764" s="24"/>
      <c r="R764" s="24"/>
      <c r="S764" s="24"/>
      <c r="T764" s="24"/>
      <c r="U764" s="54"/>
      <c r="V764" s="54"/>
      <c r="W764" s="54"/>
      <c r="X764" s="54"/>
      <c r="Y764" s="54"/>
      <c r="Z764" s="54"/>
    </row>
    <row r="765" spans="1:26" ht="14.25" customHeight="1">
      <c r="A765" s="24"/>
      <c r="B765" s="24"/>
      <c r="C765" s="24"/>
      <c r="D765" s="24"/>
      <c r="E765" s="24"/>
      <c r="F765" s="24"/>
      <c r="G765" s="24"/>
      <c r="H765" s="24"/>
      <c r="I765" s="24"/>
      <c r="J765" s="24"/>
      <c r="K765" s="24"/>
      <c r="L765" s="24"/>
      <c r="M765" s="24"/>
      <c r="N765" s="35"/>
      <c r="O765" s="24"/>
      <c r="P765" s="35"/>
      <c r="Q765" s="24"/>
      <c r="R765" s="24"/>
      <c r="S765" s="24"/>
      <c r="T765" s="24"/>
      <c r="U765" s="54"/>
      <c r="V765" s="54"/>
      <c r="W765" s="54"/>
      <c r="X765" s="54"/>
      <c r="Y765" s="54"/>
      <c r="Z765" s="54"/>
    </row>
    <row r="766" spans="1:26" ht="14.25" customHeight="1">
      <c r="A766" s="24"/>
      <c r="B766" s="24"/>
      <c r="C766" s="24"/>
      <c r="D766" s="24"/>
      <c r="E766" s="24"/>
      <c r="F766" s="24"/>
      <c r="G766" s="24"/>
      <c r="H766" s="24"/>
      <c r="I766" s="24"/>
      <c r="J766" s="24"/>
      <c r="K766" s="24"/>
      <c r="L766" s="24"/>
      <c r="M766" s="24"/>
      <c r="N766" s="35"/>
      <c r="O766" s="24"/>
      <c r="P766" s="35"/>
      <c r="Q766" s="24"/>
      <c r="R766" s="24"/>
      <c r="S766" s="24"/>
      <c r="T766" s="24"/>
      <c r="U766" s="54"/>
      <c r="V766" s="54"/>
      <c r="W766" s="54"/>
      <c r="X766" s="54"/>
      <c r="Y766" s="54"/>
      <c r="Z766" s="54"/>
    </row>
    <row r="767" spans="1:26" ht="14.25" customHeight="1">
      <c r="A767" s="24"/>
      <c r="B767" s="24"/>
      <c r="C767" s="24"/>
      <c r="D767" s="24"/>
      <c r="E767" s="24"/>
      <c r="F767" s="24"/>
      <c r="G767" s="24"/>
      <c r="H767" s="24"/>
      <c r="I767" s="24"/>
      <c r="J767" s="24"/>
      <c r="K767" s="24"/>
      <c r="L767" s="24"/>
      <c r="M767" s="24"/>
      <c r="N767" s="35"/>
      <c r="O767" s="24"/>
      <c r="P767" s="35"/>
      <c r="Q767" s="24"/>
      <c r="R767" s="24"/>
      <c r="S767" s="24"/>
      <c r="T767" s="24"/>
      <c r="U767" s="54"/>
      <c r="V767" s="54"/>
      <c r="W767" s="54"/>
      <c r="X767" s="54"/>
      <c r="Y767" s="54"/>
      <c r="Z767" s="54"/>
    </row>
    <row r="768" spans="1:26" ht="14.25" customHeight="1">
      <c r="A768" s="24"/>
      <c r="B768" s="24"/>
      <c r="C768" s="24"/>
      <c r="D768" s="24"/>
      <c r="E768" s="24"/>
      <c r="F768" s="24"/>
      <c r="G768" s="24"/>
      <c r="H768" s="24"/>
      <c r="I768" s="24"/>
      <c r="J768" s="24"/>
      <c r="K768" s="24"/>
      <c r="L768" s="24"/>
      <c r="M768" s="24"/>
      <c r="N768" s="35"/>
      <c r="O768" s="24"/>
      <c r="P768" s="35"/>
      <c r="Q768" s="24"/>
      <c r="R768" s="24"/>
      <c r="S768" s="24"/>
      <c r="T768" s="24"/>
      <c r="U768" s="54"/>
      <c r="V768" s="54"/>
      <c r="W768" s="54"/>
      <c r="X768" s="54"/>
      <c r="Y768" s="54"/>
      <c r="Z768" s="54"/>
    </row>
    <row r="769" spans="1:26" ht="14.25" customHeight="1">
      <c r="A769" s="24"/>
      <c r="B769" s="24"/>
      <c r="C769" s="24"/>
      <c r="D769" s="24"/>
      <c r="E769" s="24"/>
      <c r="F769" s="24"/>
      <c r="G769" s="24"/>
      <c r="H769" s="24"/>
      <c r="I769" s="24"/>
      <c r="J769" s="24"/>
      <c r="K769" s="24"/>
      <c r="L769" s="24"/>
      <c r="M769" s="24"/>
      <c r="N769" s="35"/>
      <c r="O769" s="24"/>
      <c r="P769" s="35"/>
      <c r="Q769" s="24"/>
      <c r="R769" s="24"/>
      <c r="S769" s="24"/>
      <c r="T769" s="24"/>
      <c r="U769" s="54"/>
      <c r="V769" s="54"/>
      <c r="W769" s="54"/>
      <c r="X769" s="54"/>
      <c r="Y769" s="54"/>
      <c r="Z769" s="54"/>
    </row>
    <row r="770" spans="1:26" ht="14.25" customHeight="1">
      <c r="A770" s="24"/>
      <c r="B770" s="24"/>
      <c r="C770" s="24"/>
      <c r="D770" s="24"/>
      <c r="E770" s="24"/>
      <c r="F770" s="24"/>
      <c r="G770" s="24"/>
      <c r="H770" s="24"/>
      <c r="I770" s="24"/>
      <c r="J770" s="24"/>
      <c r="K770" s="24"/>
      <c r="L770" s="24"/>
      <c r="M770" s="24"/>
      <c r="N770" s="35"/>
      <c r="O770" s="24"/>
      <c r="P770" s="35"/>
      <c r="Q770" s="24"/>
      <c r="R770" s="24"/>
      <c r="S770" s="24"/>
      <c r="T770" s="24"/>
      <c r="U770" s="54"/>
      <c r="V770" s="54"/>
      <c r="W770" s="54"/>
      <c r="X770" s="54"/>
      <c r="Y770" s="54"/>
      <c r="Z770" s="54"/>
    </row>
    <row r="771" spans="1:26" ht="14.25" customHeight="1">
      <c r="A771" s="24"/>
      <c r="B771" s="24"/>
      <c r="C771" s="24"/>
      <c r="D771" s="24"/>
      <c r="E771" s="24"/>
      <c r="F771" s="24"/>
      <c r="G771" s="24"/>
      <c r="H771" s="24"/>
      <c r="I771" s="24"/>
      <c r="J771" s="24"/>
      <c r="K771" s="24"/>
      <c r="L771" s="24"/>
      <c r="M771" s="24"/>
      <c r="N771" s="35"/>
      <c r="O771" s="24"/>
      <c r="P771" s="35"/>
      <c r="Q771" s="24"/>
      <c r="R771" s="24"/>
      <c r="S771" s="24"/>
      <c r="T771" s="24"/>
      <c r="U771" s="54"/>
      <c r="V771" s="54"/>
      <c r="W771" s="54"/>
      <c r="X771" s="54"/>
      <c r="Y771" s="54"/>
      <c r="Z771" s="54"/>
    </row>
    <row r="772" spans="1:26" ht="14.25" customHeight="1">
      <c r="A772" s="24"/>
      <c r="B772" s="24"/>
      <c r="C772" s="24"/>
      <c r="D772" s="24"/>
      <c r="E772" s="24"/>
      <c r="F772" s="24"/>
      <c r="G772" s="24"/>
      <c r="H772" s="24"/>
      <c r="I772" s="24"/>
      <c r="J772" s="24"/>
      <c r="K772" s="24"/>
      <c r="L772" s="24"/>
      <c r="M772" s="24"/>
      <c r="N772" s="35"/>
      <c r="O772" s="24"/>
      <c r="P772" s="35"/>
      <c r="Q772" s="24"/>
      <c r="R772" s="24"/>
      <c r="S772" s="24"/>
      <c r="T772" s="24"/>
      <c r="U772" s="54"/>
      <c r="V772" s="54"/>
      <c r="W772" s="54"/>
      <c r="X772" s="54"/>
      <c r="Y772" s="54"/>
      <c r="Z772" s="54"/>
    </row>
    <row r="773" spans="1:26" ht="14.25" customHeight="1">
      <c r="A773" s="24"/>
      <c r="B773" s="24"/>
      <c r="C773" s="24"/>
      <c r="D773" s="24"/>
      <c r="E773" s="24"/>
      <c r="F773" s="24"/>
      <c r="G773" s="24"/>
      <c r="H773" s="24"/>
      <c r="I773" s="24"/>
      <c r="J773" s="24"/>
      <c r="K773" s="24"/>
      <c r="L773" s="24"/>
      <c r="M773" s="24"/>
      <c r="N773" s="35"/>
      <c r="O773" s="24"/>
      <c r="P773" s="35"/>
      <c r="Q773" s="24"/>
      <c r="R773" s="24"/>
      <c r="S773" s="24"/>
      <c r="T773" s="24"/>
      <c r="U773" s="54"/>
      <c r="V773" s="54"/>
      <c r="W773" s="54"/>
      <c r="X773" s="54"/>
      <c r="Y773" s="54"/>
      <c r="Z773" s="54"/>
    </row>
    <row r="774" spans="1:26" ht="14.25" customHeight="1">
      <c r="A774" s="24"/>
      <c r="B774" s="24"/>
      <c r="C774" s="24"/>
      <c r="D774" s="24"/>
      <c r="E774" s="24"/>
      <c r="F774" s="24"/>
      <c r="G774" s="24"/>
      <c r="H774" s="24"/>
      <c r="I774" s="24"/>
      <c r="J774" s="24"/>
      <c r="K774" s="24"/>
      <c r="L774" s="24"/>
      <c r="M774" s="24"/>
      <c r="N774" s="35"/>
      <c r="O774" s="24"/>
      <c r="P774" s="35"/>
      <c r="Q774" s="24"/>
      <c r="R774" s="24"/>
      <c r="S774" s="24"/>
      <c r="T774" s="24"/>
      <c r="U774" s="54"/>
      <c r="V774" s="54"/>
      <c r="W774" s="54"/>
      <c r="X774" s="54"/>
      <c r="Y774" s="54"/>
      <c r="Z774" s="54"/>
    </row>
    <row r="775" spans="1:26" ht="14.25" customHeight="1">
      <c r="A775" s="24"/>
      <c r="B775" s="24"/>
      <c r="C775" s="24"/>
      <c r="D775" s="24"/>
      <c r="E775" s="24"/>
      <c r="F775" s="24"/>
      <c r="G775" s="24"/>
      <c r="H775" s="24"/>
      <c r="I775" s="24"/>
      <c r="J775" s="24"/>
      <c r="K775" s="24"/>
      <c r="L775" s="24"/>
      <c r="M775" s="24"/>
      <c r="N775" s="35"/>
      <c r="O775" s="24"/>
      <c r="P775" s="35"/>
      <c r="Q775" s="24"/>
      <c r="R775" s="24"/>
      <c r="S775" s="24"/>
      <c r="T775" s="24"/>
      <c r="U775" s="54"/>
      <c r="V775" s="54"/>
      <c r="W775" s="54"/>
      <c r="X775" s="54"/>
      <c r="Y775" s="54"/>
      <c r="Z775" s="54"/>
    </row>
    <row r="776" spans="1:26" ht="14.25" customHeight="1">
      <c r="A776" s="24"/>
      <c r="B776" s="24"/>
      <c r="C776" s="24"/>
      <c r="D776" s="24"/>
      <c r="E776" s="24"/>
      <c r="F776" s="24"/>
      <c r="G776" s="24"/>
      <c r="H776" s="24"/>
      <c r="I776" s="24"/>
      <c r="J776" s="24"/>
      <c r="K776" s="24"/>
      <c r="L776" s="24"/>
      <c r="M776" s="24"/>
      <c r="N776" s="35"/>
      <c r="O776" s="24"/>
      <c r="P776" s="35"/>
      <c r="Q776" s="24"/>
      <c r="R776" s="24"/>
      <c r="S776" s="24"/>
      <c r="T776" s="24"/>
      <c r="U776" s="54"/>
      <c r="V776" s="54"/>
      <c r="W776" s="54"/>
      <c r="X776" s="54"/>
      <c r="Y776" s="54"/>
      <c r="Z776" s="54"/>
    </row>
    <row r="777" spans="1:26" ht="14.25" customHeight="1">
      <c r="A777" s="24"/>
      <c r="B777" s="24"/>
      <c r="C777" s="24"/>
      <c r="D777" s="24"/>
      <c r="E777" s="24"/>
      <c r="F777" s="24"/>
      <c r="G777" s="24"/>
      <c r="H777" s="24"/>
      <c r="I777" s="24"/>
      <c r="J777" s="24"/>
      <c r="K777" s="24"/>
      <c r="L777" s="24"/>
      <c r="M777" s="24"/>
      <c r="N777" s="35"/>
      <c r="O777" s="24"/>
      <c r="P777" s="35"/>
      <c r="Q777" s="24"/>
      <c r="R777" s="24"/>
      <c r="S777" s="24"/>
      <c r="T777" s="24"/>
      <c r="U777" s="54"/>
      <c r="V777" s="54"/>
      <c r="W777" s="54"/>
      <c r="X777" s="54"/>
      <c r="Y777" s="54"/>
      <c r="Z777" s="54"/>
    </row>
    <row r="778" spans="1:26" ht="14.25" customHeight="1">
      <c r="A778" s="24"/>
      <c r="B778" s="24"/>
      <c r="C778" s="24"/>
      <c r="D778" s="24"/>
      <c r="E778" s="24"/>
      <c r="F778" s="24"/>
      <c r="G778" s="24"/>
      <c r="H778" s="24"/>
      <c r="I778" s="24"/>
      <c r="J778" s="24"/>
      <c r="K778" s="24"/>
      <c r="L778" s="24"/>
      <c r="M778" s="24"/>
      <c r="N778" s="35"/>
      <c r="O778" s="24"/>
      <c r="P778" s="35"/>
      <c r="Q778" s="24"/>
      <c r="R778" s="24"/>
      <c r="S778" s="24"/>
      <c r="T778" s="24"/>
      <c r="U778" s="54"/>
      <c r="V778" s="54"/>
      <c r="W778" s="54"/>
      <c r="X778" s="54"/>
      <c r="Y778" s="54"/>
      <c r="Z778" s="54"/>
    </row>
    <row r="779" spans="1:26" ht="14.25" customHeight="1">
      <c r="A779" s="24"/>
      <c r="B779" s="24"/>
      <c r="C779" s="24"/>
      <c r="D779" s="24"/>
      <c r="E779" s="24"/>
      <c r="F779" s="24"/>
      <c r="G779" s="24"/>
      <c r="H779" s="24"/>
      <c r="I779" s="24"/>
      <c r="J779" s="24"/>
      <c r="K779" s="24"/>
      <c r="L779" s="24"/>
      <c r="M779" s="24"/>
      <c r="N779" s="35"/>
      <c r="O779" s="24"/>
      <c r="P779" s="35"/>
      <c r="Q779" s="24"/>
      <c r="R779" s="24"/>
      <c r="S779" s="24"/>
      <c r="T779" s="24"/>
      <c r="U779" s="54"/>
      <c r="V779" s="54"/>
      <c r="W779" s="54"/>
      <c r="X779" s="54"/>
      <c r="Y779" s="54"/>
      <c r="Z779" s="54"/>
    </row>
    <row r="780" spans="1:26" ht="14.25" customHeight="1">
      <c r="A780" s="24"/>
      <c r="B780" s="24"/>
      <c r="C780" s="24"/>
      <c r="D780" s="24"/>
      <c r="E780" s="24"/>
      <c r="F780" s="24"/>
      <c r="G780" s="24"/>
      <c r="H780" s="24"/>
      <c r="I780" s="24"/>
      <c r="J780" s="24"/>
      <c r="K780" s="24"/>
      <c r="L780" s="24"/>
      <c r="M780" s="24"/>
      <c r="N780" s="35"/>
      <c r="O780" s="24"/>
      <c r="P780" s="35"/>
      <c r="Q780" s="24"/>
      <c r="R780" s="24"/>
      <c r="S780" s="24"/>
      <c r="T780" s="24"/>
      <c r="U780" s="54"/>
      <c r="V780" s="54"/>
      <c r="W780" s="54"/>
      <c r="X780" s="54"/>
      <c r="Y780" s="54"/>
      <c r="Z780" s="54"/>
    </row>
    <row r="781" spans="1:26" ht="14.25" customHeight="1">
      <c r="A781" s="24"/>
      <c r="B781" s="24"/>
      <c r="C781" s="24"/>
      <c r="D781" s="24"/>
      <c r="E781" s="24"/>
      <c r="F781" s="24"/>
      <c r="G781" s="24"/>
      <c r="H781" s="24"/>
      <c r="I781" s="24"/>
      <c r="J781" s="24"/>
      <c r="K781" s="24"/>
      <c r="L781" s="24"/>
      <c r="M781" s="24"/>
      <c r="N781" s="35"/>
      <c r="O781" s="24"/>
      <c r="P781" s="35"/>
      <c r="Q781" s="24"/>
      <c r="R781" s="24"/>
      <c r="S781" s="24"/>
      <c r="T781" s="24"/>
      <c r="U781" s="54"/>
      <c r="V781" s="54"/>
      <c r="W781" s="54"/>
      <c r="X781" s="54"/>
      <c r="Y781" s="54"/>
      <c r="Z781" s="54"/>
    </row>
    <row r="782" spans="1:26" ht="14.25" customHeight="1">
      <c r="A782" s="24"/>
      <c r="B782" s="24"/>
      <c r="C782" s="24"/>
      <c r="D782" s="24"/>
      <c r="E782" s="24"/>
      <c r="F782" s="24"/>
      <c r="G782" s="24"/>
      <c r="H782" s="24"/>
      <c r="I782" s="24"/>
      <c r="J782" s="24"/>
      <c r="K782" s="24"/>
      <c r="L782" s="24"/>
      <c r="M782" s="24"/>
      <c r="N782" s="35"/>
      <c r="O782" s="24"/>
      <c r="P782" s="35"/>
      <c r="Q782" s="24"/>
      <c r="R782" s="24"/>
      <c r="S782" s="24"/>
      <c r="T782" s="24"/>
      <c r="U782" s="54"/>
      <c r="V782" s="54"/>
      <c r="W782" s="54"/>
      <c r="X782" s="54"/>
      <c r="Y782" s="54"/>
      <c r="Z782" s="54"/>
    </row>
    <row r="783" spans="1:26" ht="14.25" customHeight="1">
      <c r="A783" s="24"/>
      <c r="B783" s="24"/>
      <c r="C783" s="24"/>
      <c r="D783" s="24"/>
      <c r="E783" s="24"/>
      <c r="F783" s="24"/>
      <c r="G783" s="24"/>
      <c r="H783" s="24"/>
      <c r="I783" s="24"/>
      <c r="J783" s="24"/>
      <c r="K783" s="24"/>
      <c r="L783" s="24"/>
      <c r="M783" s="24"/>
      <c r="N783" s="35"/>
      <c r="O783" s="24"/>
      <c r="P783" s="35"/>
      <c r="Q783" s="24"/>
      <c r="R783" s="24"/>
      <c r="S783" s="24"/>
      <c r="T783" s="24"/>
      <c r="U783" s="54"/>
      <c r="V783" s="54"/>
      <c r="W783" s="54"/>
      <c r="X783" s="54"/>
      <c r="Y783" s="54"/>
      <c r="Z783" s="54"/>
    </row>
    <row r="784" spans="1:26" ht="14.25" customHeight="1">
      <c r="A784" s="24"/>
      <c r="B784" s="24"/>
      <c r="C784" s="24"/>
      <c r="D784" s="24"/>
      <c r="E784" s="24"/>
      <c r="F784" s="24"/>
      <c r="G784" s="24"/>
      <c r="H784" s="24"/>
      <c r="I784" s="24"/>
      <c r="J784" s="24"/>
      <c r="K784" s="24"/>
      <c r="L784" s="24"/>
      <c r="M784" s="24"/>
      <c r="N784" s="35"/>
      <c r="O784" s="24"/>
      <c r="P784" s="35"/>
      <c r="Q784" s="24"/>
      <c r="R784" s="24"/>
      <c r="S784" s="24"/>
      <c r="T784" s="24"/>
      <c r="U784" s="54"/>
      <c r="V784" s="54"/>
      <c r="W784" s="54"/>
      <c r="X784" s="54"/>
      <c r="Y784" s="54"/>
      <c r="Z784" s="54"/>
    </row>
    <row r="785" spans="1:26" ht="14.25" customHeight="1">
      <c r="A785" s="24"/>
      <c r="B785" s="24"/>
      <c r="C785" s="24"/>
      <c r="D785" s="24"/>
      <c r="E785" s="24"/>
      <c r="F785" s="24"/>
      <c r="G785" s="24"/>
      <c r="H785" s="24"/>
      <c r="I785" s="24"/>
      <c r="J785" s="24"/>
      <c r="K785" s="24"/>
      <c r="L785" s="24"/>
      <c r="M785" s="24"/>
      <c r="N785" s="35"/>
      <c r="O785" s="24"/>
      <c r="P785" s="35"/>
      <c r="Q785" s="24"/>
      <c r="R785" s="24"/>
      <c r="S785" s="24"/>
      <c r="T785" s="24"/>
      <c r="U785" s="54"/>
      <c r="V785" s="54"/>
      <c r="W785" s="54"/>
      <c r="X785" s="54"/>
      <c r="Y785" s="54"/>
      <c r="Z785" s="54"/>
    </row>
    <row r="786" spans="1:26" ht="14.25" customHeight="1">
      <c r="A786" s="24"/>
      <c r="B786" s="24"/>
      <c r="C786" s="24"/>
      <c r="D786" s="24"/>
      <c r="E786" s="24"/>
      <c r="F786" s="24"/>
      <c r="G786" s="24"/>
      <c r="H786" s="24"/>
      <c r="I786" s="24"/>
      <c r="J786" s="24"/>
      <c r="K786" s="24"/>
      <c r="L786" s="24"/>
      <c r="M786" s="24"/>
      <c r="N786" s="35"/>
      <c r="O786" s="24"/>
      <c r="P786" s="35"/>
      <c r="Q786" s="24"/>
      <c r="R786" s="24"/>
      <c r="S786" s="24"/>
      <c r="T786" s="24"/>
      <c r="U786" s="54"/>
      <c r="V786" s="54"/>
      <c r="W786" s="54"/>
      <c r="X786" s="54"/>
      <c r="Y786" s="54"/>
      <c r="Z786" s="54"/>
    </row>
    <row r="787" spans="1:26" ht="14.25" customHeight="1">
      <c r="A787" s="24"/>
      <c r="B787" s="24"/>
      <c r="C787" s="24"/>
      <c r="D787" s="24"/>
      <c r="E787" s="24"/>
      <c r="F787" s="24"/>
      <c r="G787" s="24"/>
      <c r="H787" s="24"/>
      <c r="I787" s="24"/>
      <c r="J787" s="24"/>
      <c r="K787" s="24"/>
      <c r="L787" s="24"/>
      <c r="M787" s="24"/>
      <c r="N787" s="35"/>
      <c r="O787" s="24"/>
      <c r="P787" s="35"/>
      <c r="Q787" s="24"/>
      <c r="R787" s="24"/>
      <c r="S787" s="24"/>
      <c r="T787" s="24"/>
      <c r="U787" s="54"/>
      <c r="V787" s="54"/>
      <c r="W787" s="54"/>
      <c r="X787" s="54"/>
      <c r="Y787" s="54"/>
      <c r="Z787" s="54"/>
    </row>
    <row r="788" spans="1:26" ht="14.25" customHeight="1">
      <c r="A788" s="24"/>
      <c r="B788" s="24"/>
      <c r="C788" s="24"/>
      <c r="D788" s="24"/>
      <c r="E788" s="24"/>
      <c r="F788" s="24"/>
      <c r="G788" s="24"/>
      <c r="H788" s="24"/>
      <c r="I788" s="24"/>
      <c r="J788" s="24"/>
      <c r="K788" s="24"/>
      <c r="L788" s="24"/>
      <c r="M788" s="24"/>
      <c r="N788" s="35"/>
      <c r="O788" s="24"/>
      <c r="P788" s="35"/>
      <c r="Q788" s="24"/>
      <c r="R788" s="24"/>
      <c r="S788" s="24"/>
      <c r="T788" s="24"/>
      <c r="U788" s="54"/>
      <c r="V788" s="54"/>
      <c r="W788" s="54"/>
      <c r="X788" s="54"/>
      <c r="Y788" s="54"/>
      <c r="Z788" s="54"/>
    </row>
    <row r="789" spans="1:26" ht="14.25" customHeight="1">
      <c r="A789" s="24"/>
      <c r="B789" s="24"/>
      <c r="C789" s="24"/>
      <c r="D789" s="24"/>
      <c r="E789" s="24"/>
      <c r="F789" s="24"/>
      <c r="G789" s="24"/>
      <c r="H789" s="24"/>
      <c r="I789" s="24"/>
      <c r="J789" s="24"/>
      <c r="K789" s="24"/>
      <c r="L789" s="24"/>
      <c r="M789" s="24"/>
      <c r="N789" s="35"/>
      <c r="O789" s="24"/>
      <c r="P789" s="35"/>
      <c r="Q789" s="24"/>
      <c r="R789" s="24"/>
      <c r="S789" s="24"/>
      <c r="T789" s="24"/>
      <c r="U789" s="54"/>
      <c r="V789" s="54"/>
      <c r="W789" s="54"/>
      <c r="X789" s="54"/>
      <c r="Y789" s="54"/>
      <c r="Z789" s="54"/>
    </row>
    <row r="790" spans="1:26" ht="14.25" customHeight="1">
      <c r="A790" s="24"/>
      <c r="B790" s="24"/>
      <c r="C790" s="24"/>
      <c r="D790" s="24"/>
      <c r="E790" s="24"/>
      <c r="F790" s="24"/>
      <c r="G790" s="24"/>
      <c r="H790" s="24"/>
      <c r="I790" s="24"/>
      <c r="J790" s="24"/>
      <c r="K790" s="24"/>
      <c r="L790" s="24"/>
      <c r="M790" s="24"/>
      <c r="N790" s="35"/>
      <c r="O790" s="24"/>
      <c r="P790" s="35"/>
      <c r="Q790" s="24"/>
      <c r="R790" s="24"/>
      <c r="S790" s="24"/>
      <c r="T790" s="24"/>
      <c r="U790" s="54"/>
      <c r="V790" s="54"/>
      <c r="W790" s="54"/>
      <c r="X790" s="54"/>
      <c r="Y790" s="54"/>
      <c r="Z790" s="54"/>
    </row>
    <row r="791" spans="1:26" ht="14.25" customHeight="1">
      <c r="A791" s="24"/>
      <c r="B791" s="24"/>
      <c r="C791" s="24"/>
      <c r="D791" s="24"/>
      <c r="E791" s="24"/>
      <c r="F791" s="24"/>
      <c r="G791" s="24"/>
      <c r="H791" s="24"/>
      <c r="I791" s="24"/>
      <c r="J791" s="24"/>
      <c r="K791" s="24"/>
      <c r="L791" s="24"/>
      <c r="M791" s="24"/>
      <c r="N791" s="35"/>
      <c r="O791" s="24"/>
      <c r="P791" s="35"/>
      <c r="Q791" s="24"/>
      <c r="R791" s="24"/>
      <c r="S791" s="24"/>
      <c r="T791" s="24"/>
      <c r="U791" s="54"/>
      <c r="V791" s="54"/>
      <c r="W791" s="54"/>
      <c r="X791" s="54"/>
      <c r="Y791" s="54"/>
      <c r="Z791" s="54"/>
    </row>
    <row r="792" spans="1:26" ht="14.25" customHeight="1">
      <c r="A792" s="24"/>
      <c r="B792" s="24"/>
      <c r="C792" s="24"/>
      <c r="D792" s="24"/>
      <c r="E792" s="24"/>
      <c r="F792" s="24"/>
      <c r="G792" s="24"/>
      <c r="H792" s="24"/>
      <c r="I792" s="24"/>
      <c r="J792" s="24"/>
      <c r="K792" s="24"/>
      <c r="L792" s="24"/>
      <c r="M792" s="24"/>
      <c r="N792" s="35"/>
      <c r="O792" s="24"/>
      <c r="P792" s="35"/>
      <c r="Q792" s="24"/>
      <c r="R792" s="24"/>
      <c r="S792" s="24"/>
      <c r="T792" s="24"/>
      <c r="U792" s="54"/>
      <c r="V792" s="54"/>
      <c r="W792" s="54"/>
      <c r="X792" s="54"/>
      <c r="Y792" s="54"/>
      <c r="Z792" s="54"/>
    </row>
    <row r="793" spans="1:26" ht="14.25" customHeight="1">
      <c r="A793" s="24"/>
      <c r="B793" s="24"/>
      <c r="C793" s="24"/>
      <c r="D793" s="24"/>
      <c r="E793" s="24"/>
      <c r="F793" s="24"/>
      <c r="G793" s="24"/>
      <c r="H793" s="24"/>
      <c r="I793" s="24"/>
      <c r="J793" s="24"/>
      <c r="K793" s="24"/>
      <c r="L793" s="24"/>
      <c r="M793" s="24"/>
      <c r="N793" s="35"/>
      <c r="O793" s="24"/>
      <c r="P793" s="35"/>
      <c r="Q793" s="24"/>
      <c r="R793" s="24"/>
      <c r="S793" s="24"/>
      <c r="T793" s="24"/>
      <c r="U793" s="54"/>
      <c r="V793" s="54"/>
      <c r="W793" s="54"/>
      <c r="X793" s="54"/>
      <c r="Y793" s="54"/>
      <c r="Z793" s="54"/>
    </row>
    <row r="794" spans="1:26" ht="14.25" customHeight="1">
      <c r="A794" s="24"/>
      <c r="B794" s="24"/>
      <c r="C794" s="24"/>
      <c r="D794" s="24"/>
      <c r="E794" s="24"/>
      <c r="F794" s="24"/>
      <c r="G794" s="24"/>
      <c r="H794" s="24"/>
      <c r="I794" s="24"/>
      <c r="J794" s="24"/>
      <c r="K794" s="24"/>
      <c r="L794" s="24"/>
      <c r="M794" s="24"/>
      <c r="N794" s="35"/>
      <c r="O794" s="24"/>
      <c r="P794" s="35"/>
      <c r="Q794" s="24"/>
      <c r="R794" s="24"/>
      <c r="S794" s="24"/>
      <c r="T794" s="24"/>
      <c r="U794" s="54"/>
      <c r="V794" s="54"/>
      <c r="W794" s="54"/>
      <c r="X794" s="54"/>
      <c r="Y794" s="54"/>
      <c r="Z794" s="54"/>
    </row>
    <row r="795" spans="1:26" ht="14.25" customHeight="1">
      <c r="A795" s="24"/>
      <c r="B795" s="24"/>
      <c r="C795" s="24"/>
      <c r="D795" s="24"/>
      <c r="E795" s="24"/>
      <c r="F795" s="24"/>
      <c r="G795" s="24"/>
      <c r="H795" s="24"/>
      <c r="I795" s="24"/>
      <c r="J795" s="24"/>
      <c r="K795" s="24"/>
      <c r="L795" s="24"/>
      <c r="M795" s="24"/>
      <c r="N795" s="35"/>
      <c r="O795" s="24"/>
      <c r="P795" s="35"/>
      <c r="Q795" s="24"/>
      <c r="R795" s="24"/>
      <c r="S795" s="24"/>
      <c r="T795" s="24"/>
      <c r="U795" s="54"/>
      <c r="V795" s="54"/>
      <c r="W795" s="54"/>
      <c r="X795" s="54"/>
      <c r="Y795" s="54"/>
      <c r="Z795" s="54"/>
    </row>
    <row r="796" spans="1:26" ht="14.25" customHeight="1">
      <c r="A796" s="24"/>
      <c r="B796" s="24"/>
      <c r="C796" s="24"/>
      <c r="D796" s="24"/>
      <c r="E796" s="24"/>
      <c r="F796" s="24"/>
      <c r="G796" s="24"/>
      <c r="H796" s="24"/>
      <c r="I796" s="24"/>
      <c r="J796" s="24"/>
      <c r="K796" s="24"/>
      <c r="L796" s="24"/>
      <c r="M796" s="24"/>
      <c r="N796" s="35"/>
      <c r="O796" s="24"/>
      <c r="P796" s="35"/>
      <c r="Q796" s="24"/>
      <c r="R796" s="24"/>
      <c r="S796" s="24"/>
      <c r="T796" s="24"/>
      <c r="U796" s="54"/>
      <c r="V796" s="54"/>
      <c r="W796" s="54"/>
      <c r="X796" s="54"/>
      <c r="Y796" s="54"/>
      <c r="Z796" s="54"/>
    </row>
    <row r="797" spans="1:26" ht="14.25" customHeight="1">
      <c r="A797" s="24"/>
      <c r="B797" s="24"/>
      <c r="C797" s="24"/>
      <c r="D797" s="24"/>
      <c r="E797" s="24"/>
      <c r="F797" s="24"/>
      <c r="G797" s="24"/>
      <c r="H797" s="24"/>
      <c r="I797" s="24"/>
      <c r="J797" s="24"/>
      <c r="K797" s="24"/>
      <c r="L797" s="24"/>
      <c r="M797" s="24"/>
      <c r="N797" s="35"/>
      <c r="O797" s="24"/>
      <c r="P797" s="35"/>
      <c r="Q797" s="24"/>
      <c r="R797" s="24"/>
      <c r="S797" s="24"/>
      <c r="T797" s="24"/>
      <c r="U797" s="54"/>
      <c r="V797" s="54"/>
      <c r="W797" s="54"/>
      <c r="X797" s="54"/>
      <c r="Y797" s="54"/>
      <c r="Z797" s="54"/>
    </row>
    <row r="798" spans="1:26" ht="14.25" customHeight="1">
      <c r="A798" s="24"/>
      <c r="B798" s="24"/>
      <c r="C798" s="24"/>
      <c r="D798" s="24"/>
      <c r="E798" s="24"/>
      <c r="F798" s="24"/>
      <c r="G798" s="24"/>
      <c r="H798" s="24"/>
      <c r="I798" s="24"/>
      <c r="J798" s="24"/>
      <c r="K798" s="24"/>
      <c r="L798" s="24"/>
      <c r="M798" s="24"/>
      <c r="N798" s="35"/>
      <c r="O798" s="24"/>
      <c r="P798" s="35"/>
      <c r="Q798" s="24"/>
      <c r="R798" s="24"/>
      <c r="S798" s="24"/>
      <c r="T798" s="24"/>
      <c r="U798" s="54"/>
      <c r="V798" s="54"/>
      <c r="W798" s="54"/>
      <c r="X798" s="54"/>
      <c r="Y798" s="54"/>
      <c r="Z798" s="54"/>
    </row>
    <row r="799" spans="1:26" ht="14.25" customHeight="1">
      <c r="A799" s="24"/>
      <c r="B799" s="24"/>
      <c r="C799" s="24"/>
      <c r="D799" s="24"/>
      <c r="E799" s="24"/>
      <c r="F799" s="24"/>
      <c r="G799" s="24"/>
      <c r="H799" s="24"/>
      <c r="I799" s="24"/>
      <c r="J799" s="24"/>
      <c r="K799" s="24"/>
      <c r="L799" s="24"/>
      <c r="M799" s="24"/>
      <c r="N799" s="35"/>
      <c r="O799" s="24"/>
      <c r="P799" s="35"/>
      <c r="Q799" s="24"/>
      <c r="R799" s="24"/>
      <c r="S799" s="24"/>
      <c r="T799" s="24"/>
      <c r="U799" s="54"/>
      <c r="V799" s="54"/>
      <c r="W799" s="54"/>
      <c r="X799" s="54"/>
      <c r="Y799" s="54"/>
      <c r="Z799" s="54"/>
    </row>
    <row r="800" spans="1:26" ht="14.25" customHeight="1">
      <c r="A800" s="24"/>
      <c r="B800" s="24"/>
      <c r="C800" s="24"/>
      <c r="D800" s="24"/>
      <c r="E800" s="24"/>
      <c r="F800" s="24"/>
      <c r="G800" s="24"/>
      <c r="H800" s="24"/>
      <c r="I800" s="24"/>
      <c r="J800" s="24"/>
      <c r="K800" s="24"/>
      <c r="L800" s="24"/>
      <c r="M800" s="24"/>
      <c r="N800" s="35"/>
      <c r="O800" s="24"/>
      <c r="P800" s="35"/>
      <c r="Q800" s="24"/>
      <c r="R800" s="24"/>
      <c r="S800" s="24"/>
      <c r="T800" s="24"/>
      <c r="U800" s="54"/>
      <c r="V800" s="54"/>
      <c r="W800" s="54"/>
      <c r="X800" s="54"/>
      <c r="Y800" s="54"/>
      <c r="Z800" s="54"/>
    </row>
    <row r="801" spans="1:26" ht="14.25" customHeight="1">
      <c r="A801" s="24"/>
      <c r="B801" s="24"/>
      <c r="C801" s="24"/>
      <c r="D801" s="24"/>
      <c r="E801" s="24"/>
      <c r="F801" s="24"/>
      <c r="G801" s="24"/>
      <c r="H801" s="24"/>
      <c r="I801" s="24"/>
      <c r="J801" s="24"/>
      <c r="K801" s="24"/>
      <c r="L801" s="24"/>
      <c r="M801" s="24"/>
      <c r="N801" s="35"/>
      <c r="O801" s="24"/>
      <c r="P801" s="35"/>
      <c r="Q801" s="24"/>
      <c r="R801" s="24"/>
      <c r="S801" s="24"/>
      <c r="T801" s="24"/>
      <c r="U801" s="54"/>
      <c r="V801" s="54"/>
      <c r="W801" s="54"/>
      <c r="X801" s="54"/>
      <c r="Y801" s="54"/>
      <c r="Z801" s="54"/>
    </row>
    <row r="802" spans="1:26" ht="14.25" customHeight="1">
      <c r="A802" s="24"/>
      <c r="B802" s="24"/>
      <c r="C802" s="24"/>
      <c r="D802" s="24"/>
      <c r="E802" s="24"/>
      <c r="F802" s="24"/>
      <c r="G802" s="24"/>
      <c r="H802" s="24"/>
      <c r="I802" s="24"/>
      <c r="J802" s="24"/>
      <c r="K802" s="24"/>
      <c r="L802" s="24"/>
      <c r="M802" s="24"/>
      <c r="N802" s="35"/>
      <c r="O802" s="24"/>
      <c r="P802" s="35"/>
      <c r="Q802" s="24"/>
      <c r="R802" s="24"/>
      <c r="S802" s="24"/>
      <c r="T802" s="24"/>
      <c r="U802" s="54"/>
      <c r="V802" s="54"/>
      <c r="W802" s="54"/>
      <c r="X802" s="54"/>
      <c r="Y802" s="54"/>
      <c r="Z802" s="54"/>
    </row>
    <row r="803" spans="1:26" ht="14.25" customHeight="1">
      <c r="A803" s="24"/>
      <c r="B803" s="24"/>
      <c r="C803" s="24"/>
      <c r="D803" s="24"/>
      <c r="E803" s="24"/>
      <c r="F803" s="24"/>
      <c r="G803" s="24"/>
      <c r="H803" s="24"/>
      <c r="I803" s="24"/>
      <c r="J803" s="24"/>
      <c r="K803" s="24"/>
      <c r="L803" s="24"/>
      <c r="M803" s="24"/>
      <c r="N803" s="35"/>
      <c r="O803" s="24"/>
      <c r="P803" s="35"/>
      <c r="Q803" s="24"/>
      <c r="R803" s="24"/>
      <c r="S803" s="24"/>
      <c r="T803" s="24"/>
      <c r="U803" s="54"/>
      <c r="V803" s="54"/>
      <c r="W803" s="54"/>
      <c r="X803" s="54"/>
      <c r="Y803" s="54"/>
      <c r="Z803" s="54"/>
    </row>
    <row r="804" spans="1:26" ht="14.25" customHeight="1">
      <c r="A804" s="24"/>
      <c r="B804" s="24"/>
      <c r="C804" s="24"/>
      <c r="D804" s="24"/>
      <c r="E804" s="24"/>
      <c r="F804" s="24"/>
      <c r="G804" s="24"/>
      <c r="H804" s="24"/>
      <c r="I804" s="24"/>
      <c r="J804" s="24"/>
      <c r="K804" s="24"/>
      <c r="L804" s="24"/>
      <c r="M804" s="24"/>
      <c r="N804" s="35"/>
      <c r="O804" s="24"/>
      <c r="P804" s="35"/>
      <c r="Q804" s="24"/>
      <c r="R804" s="24"/>
      <c r="S804" s="24"/>
      <c r="T804" s="24"/>
      <c r="U804" s="54"/>
      <c r="V804" s="54"/>
      <c r="W804" s="54"/>
      <c r="X804" s="54"/>
      <c r="Y804" s="54"/>
      <c r="Z804" s="54"/>
    </row>
    <row r="805" spans="1:26" ht="14.25" customHeight="1">
      <c r="A805" s="24"/>
      <c r="B805" s="24"/>
      <c r="C805" s="24"/>
      <c r="D805" s="24"/>
      <c r="E805" s="24"/>
      <c r="F805" s="24"/>
      <c r="G805" s="24"/>
      <c r="H805" s="24"/>
      <c r="I805" s="24"/>
      <c r="J805" s="24"/>
      <c r="K805" s="24"/>
      <c r="L805" s="24"/>
      <c r="M805" s="24"/>
      <c r="N805" s="35"/>
      <c r="O805" s="24"/>
      <c r="P805" s="35"/>
      <c r="Q805" s="24"/>
      <c r="R805" s="24"/>
      <c r="S805" s="24"/>
      <c r="T805" s="24"/>
      <c r="U805" s="54"/>
      <c r="V805" s="54"/>
      <c r="W805" s="54"/>
      <c r="X805" s="54"/>
      <c r="Y805" s="54"/>
      <c r="Z805" s="54"/>
    </row>
    <row r="806" spans="1:26" ht="14.25" customHeight="1">
      <c r="A806" s="24"/>
      <c r="B806" s="24"/>
      <c r="C806" s="24"/>
      <c r="D806" s="24"/>
      <c r="E806" s="24"/>
      <c r="F806" s="24"/>
      <c r="G806" s="24"/>
      <c r="H806" s="24"/>
      <c r="I806" s="24"/>
      <c r="J806" s="24"/>
      <c r="K806" s="24"/>
      <c r="L806" s="24"/>
      <c r="M806" s="24"/>
      <c r="N806" s="35"/>
      <c r="O806" s="24"/>
      <c r="P806" s="35"/>
      <c r="Q806" s="24"/>
      <c r="R806" s="24"/>
      <c r="S806" s="24"/>
      <c r="T806" s="24"/>
      <c r="U806" s="54"/>
      <c r="V806" s="54"/>
      <c r="W806" s="54"/>
      <c r="X806" s="54"/>
      <c r="Y806" s="54"/>
      <c r="Z806" s="54"/>
    </row>
    <row r="807" spans="1:26" ht="14.25" customHeight="1">
      <c r="A807" s="24"/>
      <c r="B807" s="24"/>
      <c r="C807" s="24"/>
      <c r="D807" s="24"/>
      <c r="E807" s="24"/>
      <c r="F807" s="24"/>
      <c r="G807" s="24"/>
      <c r="H807" s="24"/>
      <c r="I807" s="24"/>
      <c r="J807" s="24"/>
      <c r="K807" s="24"/>
      <c r="L807" s="24"/>
      <c r="M807" s="24"/>
      <c r="N807" s="35"/>
      <c r="O807" s="24"/>
      <c r="P807" s="35"/>
      <c r="Q807" s="24"/>
      <c r="R807" s="24"/>
      <c r="S807" s="24"/>
      <c r="T807" s="24"/>
      <c r="U807" s="54"/>
      <c r="V807" s="54"/>
      <c r="W807" s="54"/>
      <c r="X807" s="54"/>
      <c r="Y807" s="54"/>
      <c r="Z807" s="54"/>
    </row>
    <row r="808" spans="1:26" ht="14.25" customHeight="1">
      <c r="A808" s="24"/>
      <c r="B808" s="24"/>
      <c r="C808" s="24"/>
      <c r="D808" s="24"/>
      <c r="E808" s="24"/>
      <c r="F808" s="24"/>
      <c r="G808" s="24"/>
      <c r="H808" s="24"/>
      <c r="I808" s="24"/>
      <c r="J808" s="24"/>
      <c r="K808" s="24"/>
      <c r="L808" s="24"/>
      <c r="M808" s="24"/>
      <c r="N808" s="35"/>
      <c r="O808" s="24"/>
      <c r="P808" s="35"/>
      <c r="Q808" s="24"/>
      <c r="R808" s="24"/>
      <c r="S808" s="24"/>
      <c r="T808" s="24"/>
      <c r="U808" s="54"/>
      <c r="V808" s="54"/>
      <c r="W808" s="54"/>
      <c r="X808" s="54"/>
      <c r="Y808" s="54"/>
      <c r="Z808" s="54"/>
    </row>
    <row r="809" spans="1:26" ht="14.25" customHeight="1">
      <c r="A809" s="24"/>
      <c r="B809" s="24"/>
      <c r="C809" s="24"/>
      <c r="D809" s="24"/>
      <c r="E809" s="24"/>
      <c r="F809" s="24"/>
      <c r="G809" s="24"/>
      <c r="H809" s="24"/>
      <c r="I809" s="24"/>
      <c r="J809" s="24"/>
      <c r="K809" s="24"/>
      <c r="L809" s="24"/>
      <c r="M809" s="24"/>
      <c r="N809" s="35"/>
      <c r="O809" s="24"/>
      <c r="P809" s="35"/>
      <c r="Q809" s="24"/>
      <c r="R809" s="24"/>
      <c r="S809" s="24"/>
      <c r="T809" s="24"/>
      <c r="U809" s="54"/>
      <c r="V809" s="54"/>
      <c r="W809" s="54"/>
      <c r="X809" s="54"/>
      <c r="Y809" s="54"/>
      <c r="Z809" s="54"/>
    </row>
    <row r="810" spans="1:26" ht="14.25" customHeight="1">
      <c r="A810" s="24"/>
      <c r="B810" s="24"/>
      <c r="C810" s="24"/>
      <c r="D810" s="24"/>
      <c r="E810" s="24"/>
      <c r="F810" s="24"/>
      <c r="G810" s="24"/>
      <c r="H810" s="24"/>
      <c r="I810" s="24"/>
      <c r="J810" s="24"/>
      <c r="K810" s="24"/>
      <c r="L810" s="24"/>
      <c r="M810" s="24"/>
      <c r="N810" s="35"/>
      <c r="O810" s="24"/>
      <c r="P810" s="35"/>
      <c r="Q810" s="24"/>
      <c r="R810" s="24"/>
      <c r="S810" s="24"/>
      <c r="T810" s="24"/>
      <c r="U810" s="54"/>
      <c r="V810" s="54"/>
      <c r="W810" s="54"/>
      <c r="X810" s="54"/>
      <c r="Y810" s="54"/>
      <c r="Z810" s="54"/>
    </row>
    <row r="811" spans="1:26" ht="14.25" customHeight="1">
      <c r="A811" s="24"/>
      <c r="B811" s="24"/>
      <c r="C811" s="24"/>
      <c r="D811" s="24"/>
      <c r="E811" s="24"/>
      <c r="F811" s="24"/>
      <c r="G811" s="24"/>
      <c r="H811" s="24"/>
      <c r="I811" s="24"/>
      <c r="J811" s="24"/>
      <c r="K811" s="24"/>
      <c r="L811" s="24"/>
      <c r="M811" s="24"/>
      <c r="N811" s="35"/>
      <c r="O811" s="24"/>
      <c r="P811" s="35"/>
      <c r="Q811" s="24"/>
      <c r="R811" s="24"/>
      <c r="S811" s="24"/>
      <c r="T811" s="24"/>
      <c r="U811" s="54"/>
      <c r="V811" s="54"/>
      <c r="W811" s="54"/>
      <c r="X811" s="54"/>
      <c r="Y811" s="54"/>
      <c r="Z811" s="54"/>
    </row>
    <row r="812" spans="1:26" ht="14.25" customHeight="1">
      <c r="A812" s="24"/>
      <c r="B812" s="24"/>
      <c r="C812" s="24"/>
      <c r="D812" s="24"/>
      <c r="E812" s="24"/>
      <c r="F812" s="24"/>
      <c r="G812" s="24"/>
      <c r="H812" s="24"/>
      <c r="I812" s="24"/>
      <c r="J812" s="24"/>
      <c r="K812" s="24"/>
      <c r="L812" s="24"/>
      <c r="M812" s="24"/>
      <c r="N812" s="35"/>
      <c r="O812" s="24"/>
      <c r="P812" s="35"/>
      <c r="Q812" s="24"/>
      <c r="R812" s="24"/>
      <c r="S812" s="24"/>
      <c r="T812" s="24"/>
      <c r="U812" s="54"/>
      <c r="V812" s="54"/>
      <c r="W812" s="54"/>
      <c r="X812" s="54"/>
      <c r="Y812" s="54"/>
      <c r="Z812" s="54"/>
    </row>
    <row r="813" spans="1:26" ht="14.25" customHeight="1">
      <c r="A813" s="24"/>
      <c r="B813" s="24"/>
      <c r="C813" s="24"/>
      <c r="D813" s="24"/>
      <c r="E813" s="24"/>
      <c r="F813" s="24"/>
      <c r="G813" s="24"/>
      <c r="H813" s="24"/>
      <c r="I813" s="24"/>
      <c r="J813" s="24"/>
      <c r="K813" s="24"/>
      <c r="L813" s="24"/>
      <c r="M813" s="24"/>
      <c r="N813" s="35"/>
      <c r="O813" s="24"/>
      <c r="P813" s="35"/>
      <c r="Q813" s="24"/>
      <c r="R813" s="24"/>
      <c r="S813" s="24"/>
      <c r="T813" s="24"/>
      <c r="U813" s="54"/>
      <c r="V813" s="54"/>
      <c r="W813" s="54"/>
      <c r="X813" s="54"/>
      <c r="Y813" s="54"/>
      <c r="Z813" s="54"/>
    </row>
    <row r="814" spans="1:26" ht="14.25" customHeight="1">
      <c r="A814" s="24"/>
      <c r="B814" s="24"/>
      <c r="C814" s="24"/>
      <c r="D814" s="24"/>
      <c r="E814" s="24"/>
      <c r="F814" s="24"/>
      <c r="G814" s="24"/>
      <c r="H814" s="24"/>
      <c r="I814" s="24"/>
      <c r="J814" s="24"/>
      <c r="K814" s="24"/>
      <c r="L814" s="24"/>
      <c r="M814" s="24"/>
      <c r="N814" s="35"/>
      <c r="O814" s="24"/>
      <c r="P814" s="35"/>
      <c r="Q814" s="24"/>
      <c r="R814" s="24"/>
      <c r="S814" s="24"/>
      <c r="T814" s="24"/>
      <c r="U814" s="54"/>
      <c r="V814" s="54"/>
      <c r="W814" s="54"/>
      <c r="X814" s="54"/>
      <c r="Y814" s="54"/>
      <c r="Z814" s="54"/>
    </row>
    <row r="815" spans="1:26" ht="14.25" customHeight="1">
      <c r="A815" s="24"/>
      <c r="B815" s="24"/>
      <c r="C815" s="24"/>
      <c r="D815" s="24"/>
      <c r="E815" s="24"/>
      <c r="F815" s="24"/>
      <c r="G815" s="24"/>
      <c r="H815" s="24"/>
      <c r="I815" s="24"/>
      <c r="J815" s="24"/>
      <c r="K815" s="24"/>
      <c r="L815" s="24"/>
      <c r="M815" s="24"/>
      <c r="N815" s="35"/>
      <c r="O815" s="24"/>
      <c r="P815" s="35"/>
      <c r="Q815" s="24"/>
      <c r="R815" s="24"/>
      <c r="S815" s="24"/>
      <c r="T815" s="24"/>
      <c r="U815" s="54"/>
      <c r="V815" s="54"/>
      <c r="W815" s="54"/>
      <c r="X815" s="54"/>
      <c r="Y815" s="54"/>
      <c r="Z815" s="54"/>
    </row>
    <row r="816" spans="1:26" ht="14.25" customHeight="1">
      <c r="A816" s="24"/>
      <c r="B816" s="24"/>
      <c r="C816" s="24"/>
      <c r="D816" s="24"/>
      <c r="E816" s="24"/>
      <c r="F816" s="24"/>
      <c r="G816" s="24"/>
      <c r="H816" s="24"/>
      <c r="I816" s="24"/>
      <c r="J816" s="24"/>
      <c r="K816" s="24"/>
      <c r="L816" s="24"/>
      <c r="M816" s="24"/>
      <c r="N816" s="35"/>
      <c r="O816" s="24"/>
      <c r="P816" s="35"/>
      <c r="Q816" s="24"/>
      <c r="R816" s="24"/>
      <c r="S816" s="24"/>
      <c r="T816" s="24"/>
      <c r="U816" s="54"/>
      <c r="V816" s="54"/>
      <c r="W816" s="54"/>
      <c r="X816" s="54"/>
      <c r="Y816" s="54"/>
      <c r="Z816" s="54"/>
    </row>
    <row r="817" spans="1:26" ht="14.25" customHeight="1">
      <c r="A817" s="24"/>
      <c r="B817" s="24"/>
      <c r="C817" s="24"/>
      <c r="D817" s="24"/>
      <c r="E817" s="24"/>
      <c r="F817" s="24"/>
      <c r="G817" s="24"/>
      <c r="H817" s="24"/>
      <c r="I817" s="24"/>
      <c r="J817" s="24"/>
      <c r="K817" s="24"/>
      <c r="L817" s="24"/>
      <c r="M817" s="24"/>
      <c r="N817" s="35"/>
      <c r="O817" s="24"/>
      <c r="P817" s="35"/>
      <c r="Q817" s="24"/>
      <c r="R817" s="24"/>
      <c r="S817" s="24"/>
      <c r="T817" s="24"/>
      <c r="U817" s="54"/>
      <c r="V817" s="54"/>
      <c r="W817" s="54"/>
      <c r="X817" s="54"/>
      <c r="Y817" s="54"/>
      <c r="Z817" s="54"/>
    </row>
    <row r="818" spans="1:26" ht="14.25" customHeight="1">
      <c r="A818" s="24"/>
      <c r="B818" s="24"/>
      <c r="C818" s="24"/>
      <c r="D818" s="24"/>
      <c r="E818" s="24"/>
      <c r="F818" s="24"/>
      <c r="G818" s="24"/>
      <c r="H818" s="24"/>
      <c r="I818" s="24"/>
      <c r="J818" s="24"/>
      <c r="K818" s="24"/>
      <c r="L818" s="24"/>
      <c r="M818" s="24"/>
      <c r="N818" s="35"/>
      <c r="O818" s="24"/>
      <c r="P818" s="35"/>
      <c r="Q818" s="24"/>
      <c r="R818" s="24"/>
      <c r="S818" s="24"/>
      <c r="T818" s="24"/>
      <c r="U818" s="54"/>
      <c r="V818" s="54"/>
      <c r="W818" s="54"/>
      <c r="X818" s="54"/>
      <c r="Y818" s="54"/>
      <c r="Z818" s="54"/>
    </row>
    <row r="819" spans="1:26" ht="14.25" customHeight="1">
      <c r="A819" s="24"/>
      <c r="B819" s="24"/>
      <c r="C819" s="24"/>
      <c r="D819" s="24"/>
      <c r="E819" s="24"/>
      <c r="F819" s="24"/>
      <c r="G819" s="24"/>
      <c r="H819" s="24"/>
      <c r="I819" s="24"/>
      <c r="J819" s="24"/>
      <c r="K819" s="24"/>
      <c r="L819" s="24"/>
      <c r="M819" s="24"/>
      <c r="N819" s="35"/>
      <c r="O819" s="24"/>
      <c r="P819" s="35"/>
      <c r="Q819" s="24"/>
      <c r="R819" s="24"/>
      <c r="S819" s="24"/>
      <c r="T819" s="24"/>
      <c r="U819" s="54"/>
      <c r="V819" s="54"/>
      <c r="W819" s="54"/>
      <c r="X819" s="54"/>
      <c r="Y819" s="54"/>
      <c r="Z819" s="54"/>
    </row>
    <row r="820" spans="1:26" ht="14.25" customHeight="1">
      <c r="A820" s="24"/>
      <c r="B820" s="24"/>
      <c r="C820" s="24"/>
      <c r="D820" s="24"/>
      <c r="E820" s="24"/>
      <c r="F820" s="24"/>
      <c r="G820" s="24"/>
      <c r="H820" s="24"/>
      <c r="I820" s="24"/>
      <c r="J820" s="24"/>
      <c r="K820" s="24"/>
      <c r="L820" s="24"/>
      <c r="M820" s="24"/>
      <c r="N820" s="35"/>
      <c r="O820" s="24"/>
      <c r="P820" s="35"/>
      <c r="Q820" s="24"/>
      <c r="R820" s="24"/>
      <c r="S820" s="24"/>
      <c r="T820" s="24"/>
      <c r="U820" s="54"/>
      <c r="V820" s="54"/>
      <c r="W820" s="54"/>
      <c r="X820" s="54"/>
      <c r="Y820" s="54"/>
      <c r="Z820" s="54"/>
    </row>
    <row r="821" spans="1:26" ht="14.25" customHeight="1">
      <c r="A821" s="24"/>
      <c r="B821" s="24"/>
      <c r="C821" s="24"/>
      <c r="D821" s="24"/>
      <c r="E821" s="24"/>
      <c r="F821" s="24"/>
      <c r="G821" s="24"/>
      <c r="H821" s="24"/>
      <c r="I821" s="24"/>
      <c r="J821" s="24"/>
      <c r="K821" s="24"/>
      <c r="L821" s="24"/>
      <c r="M821" s="24"/>
      <c r="N821" s="35"/>
      <c r="O821" s="24"/>
      <c r="P821" s="35"/>
      <c r="Q821" s="24"/>
      <c r="R821" s="24"/>
      <c r="S821" s="24"/>
      <c r="T821" s="24"/>
      <c r="U821" s="54"/>
      <c r="V821" s="54"/>
      <c r="W821" s="54"/>
      <c r="X821" s="54"/>
      <c r="Y821" s="54"/>
      <c r="Z821" s="54"/>
    </row>
    <row r="822" spans="1:26" ht="14.25" customHeight="1">
      <c r="A822" s="24"/>
      <c r="B822" s="24"/>
      <c r="C822" s="24"/>
      <c r="D822" s="24"/>
      <c r="E822" s="24"/>
      <c r="F822" s="24"/>
      <c r="G822" s="24"/>
      <c r="H822" s="24"/>
      <c r="I822" s="24"/>
      <c r="J822" s="24"/>
      <c r="K822" s="24"/>
      <c r="L822" s="24"/>
      <c r="M822" s="24"/>
      <c r="N822" s="35"/>
      <c r="O822" s="24"/>
      <c r="P822" s="35"/>
      <c r="Q822" s="24"/>
      <c r="R822" s="24"/>
      <c r="S822" s="24"/>
      <c r="T822" s="24"/>
      <c r="U822" s="54"/>
      <c r="V822" s="54"/>
      <c r="W822" s="54"/>
      <c r="X822" s="54"/>
      <c r="Y822" s="54"/>
      <c r="Z822" s="54"/>
    </row>
    <row r="823" spans="1:26" ht="14.25" customHeight="1">
      <c r="A823" s="24"/>
      <c r="B823" s="24"/>
      <c r="C823" s="24"/>
      <c r="D823" s="24"/>
      <c r="E823" s="24"/>
      <c r="F823" s="24"/>
      <c r="G823" s="24"/>
      <c r="H823" s="24"/>
      <c r="I823" s="24"/>
      <c r="J823" s="24"/>
      <c r="K823" s="24"/>
      <c r="L823" s="24"/>
      <c r="M823" s="24"/>
      <c r="N823" s="35"/>
      <c r="O823" s="24"/>
      <c r="P823" s="35"/>
      <c r="Q823" s="24"/>
      <c r="R823" s="24"/>
      <c r="S823" s="24"/>
      <c r="T823" s="24"/>
      <c r="U823" s="54"/>
      <c r="V823" s="54"/>
      <c r="W823" s="54"/>
      <c r="X823" s="54"/>
      <c r="Y823" s="54"/>
      <c r="Z823" s="54"/>
    </row>
    <row r="824" spans="1:26" ht="14.25" customHeight="1">
      <c r="A824" s="24"/>
      <c r="B824" s="24"/>
      <c r="C824" s="24"/>
      <c r="D824" s="24"/>
      <c r="E824" s="24"/>
      <c r="F824" s="24"/>
      <c r="G824" s="24"/>
      <c r="H824" s="24"/>
      <c r="I824" s="24"/>
      <c r="J824" s="24"/>
      <c r="K824" s="24"/>
      <c r="L824" s="24"/>
      <c r="M824" s="24"/>
      <c r="N824" s="35"/>
      <c r="O824" s="24"/>
      <c r="P824" s="35"/>
      <c r="Q824" s="24"/>
      <c r="R824" s="24"/>
      <c r="S824" s="24"/>
      <c r="T824" s="24"/>
      <c r="U824" s="54"/>
      <c r="V824" s="54"/>
      <c r="W824" s="54"/>
      <c r="X824" s="54"/>
      <c r="Y824" s="54"/>
      <c r="Z824" s="54"/>
    </row>
    <row r="825" spans="1:26" ht="14.25" customHeight="1">
      <c r="A825" s="24"/>
      <c r="B825" s="24"/>
      <c r="C825" s="24"/>
      <c r="D825" s="24"/>
      <c r="E825" s="24"/>
      <c r="F825" s="24"/>
      <c r="G825" s="24"/>
      <c r="H825" s="24"/>
      <c r="I825" s="24"/>
      <c r="J825" s="24"/>
      <c r="K825" s="24"/>
      <c r="L825" s="24"/>
      <c r="M825" s="24"/>
      <c r="N825" s="35"/>
      <c r="O825" s="24"/>
      <c r="P825" s="35"/>
      <c r="Q825" s="24"/>
      <c r="R825" s="24"/>
      <c r="S825" s="24"/>
      <c r="T825" s="24"/>
      <c r="U825" s="54"/>
      <c r="V825" s="54"/>
      <c r="W825" s="54"/>
      <c r="X825" s="54"/>
      <c r="Y825" s="54"/>
      <c r="Z825" s="54"/>
    </row>
    <row r="826" spans="1:26" ht="14.25" customHeight="1">
      <c r="A826" s="24"/>
      <c r="B826" s="24"/>
      <c r="C826" s="24"/>
      <c r="D826" s="24"/>
      <c r="E826" s="24"/>
      <c r="F826" s="24"/>
      <c r="G826" s="24"/>
      <c r="H826" s="24"/>
      <c r="I826" s="24"/>
      <c r="J826" s="24"/>
      <c r="K826" s="24"/>
      <c r="L826" s="24"/>
      <c r="M826" s="24"/>
      <c r="N826" s="35"/>
      <c r="O826" s="24"/>
      <c r="P826" s="35"/>
      <c r="Q826" s="24"/>
      <c r="R826" s="24"/>
      <c r="S826" s="24"/>
      <c r="T826" s="24"/>
      <c r="U826" s="54"/>
      <c r="V826" s="54"/>
      <c r="W826" s="54"/>
      <c r="X826" s="54"/>
      <c r="Y826" s="54"/>
      <c r="Z826" s="54"/>
    </row>
    <row r="827" spans="1:26" ht="14.25" customHeight="1">
      <c r="A827" s="24"/>
      <c r="B827" s="24"/>
      <c r="C827" s="24"/>
      <c r="D827" s="24"/>
      <c r="E827" s="24"/>
      <c r="F827" s="24"/>
      <c r="G827" s="24"/>
      <c r="H827" s="24"/>
      <c r="I827" s="24"/>
      <c r="J827" s="24"/>
      <c r="K827" s="24"/>
      <c r="L827" s="24"/>
      <c r="M827" s="24"/>
      <c r="N827" s="35"/>
      <c r="O827" s="24"/>
      <c r="P827" s="35"/>
      <c r="Q827" s="24"/>
      <c r="R827" s="24"/>
      <c r="S827" s="24"/>
      <c r="T827" s="24"/>
      <c r="U827" s="54"/>
      <c r="V827" s="54"/>
      <c r="W827" s="54"/>
      <c r="X827" s="54"/>
      <c r="Y827" s="54"/>
      <c r="Z827" s="54"/>
    </row>
    <row r="828" spans="1:26" ht="14.25" customHeight="1">
      <c r="A828" s="24"/>
      <c r="B828" s="24"/>
      <c r="C828" s="24"/>
      <c r="D828" s="24"/>
      <c r="E828" s="24"/>
      <c r="F828" s="24"/>
      <c r="G828" s="24"/>
      <c r="H828" s="24"/>
      <c r="I828" s="24"/>
      <c r="J828" s="24"/>
      <c r="K828" s="24"/>
      <c r="L828" s="24"/>
      <c r="M828" s="24"/>
      <c r="N828" s="35"/>
      <c r="O828" s="24"/>
      <c r="P828" s="35"/>
      <c r="Q828" s="24"/>
      <c r="R828" s="24"/>
      <c r="S828" s="24"/>
      <c r="T828" s="24"/>
      <c r="U828" s="54"/>
      <c r="V828" s="54"/>
      <c r="W828" s="54"/>
      <c r="X828" s="54"/>
      <c r="Y828" s="54"/>
      <c r="Z828" s="54"/>
    </row>
    <row r="829" spans="1:26" ht="14.25" customHeight="1">
      <c r="A829" s="24"/>
      <c r="B829" s="24"/>
      <c r="C829" s="24"/>
      <c r="D829" s="24"/>
      <c r="E829" s="24"/>
      <c r="F829" s="24"/>
      <c r="G829" s="24"/>
      <c r="H829" s="24"/>
      <c r="I829" s="24"/>
      <c r="J829" s="24"/>
      <c r="K829" s="24"/>
      <c r="L829" s="24"/>
      <c r="M829" s="24"/>
      <c r="N829" s="35"/>
      <c r="O829" s="24"/>
      <c r="P829" s="35"/>
      <c r="Q829" s="24"/>
      <c r="R829" s="24"/>
      <c r="S829" s="24"/>
      <c r="T829" s="24"/>
      <c r="U829" s="54"/>
      <c r="V829" s="54"/>
      <c r="W829" s="54"/>
      <c r="X829" s="54"/>
      <c r="Y829" s="54"/>
      <c r="Z829" s="54"/>
    </row>
    <row r="830" spans="1:26" ht="14.25" customHeight="1">
      <c r="A830" s="24"/>
      <c r="B830" s="24"/>
      <c r="C830" s="24"/>
      <c r="D830" s="24"/>
      <c r="E830" s="24"/>
      <c r="F830" s="24"/>
      <c r="G830" s="24"/>
      <c r="H830" s="24"/>
      <c r="I830" s="24"/>
      <c r="J830" s="24"/>
      <c r="K830" s="24"/>
      <c r="L830" s="24"/>
      <c r="M830" s="24"/>
      <c r="N830" s="35"/>
      <c r="O830" s="24"/>
      <c r="P830" s="35"/>
      <c r="Q830" s="24"/>
      <c r="R830" s="24"/>
      <c r="S830" s="24"/>
      <c r="T830" s="24"/>
      <c r="U830" s="54"/>
      <c r="V830" s="54"/>
      <c r="W830" s="54"/>
      <c r="X830" s="54"/>
      <c r="Y830" s="54"/>
      <c r="Z830" s="54"/>
    </row>
    <row r="831" spans="1:26" ht="14.25" customHeight="1">
      <c r="A831" s="24"/>
      <c r="B831" s="24"/>
      <c r="C831" s="24"/>
      <c r="D831" s="24"/>
      <c r="E831" s="24"/>
      <c r="F831" s="24"/>
      <c r="G831" s="24"/>
      <c r="H831" s="24"/>
      <c r="I831" s="24"/>
      <c r="J831" s="24"/>
      <c r="K831" s="24"/>
      <c r="L831" s="24"/>
      <c r="M831" s="24"/>
      <c r="N831" s="35"/>
      <c r="O831" s="24"/>
      <c r="P831" s="35"/>
      <c r="Q831" s="24"/>
      <c r="R831" s="24"/>
      <c r="S831" s="24"/>
      <c r="T831" s="24"/>
      <c r="U831" s="54"/>
      <c r="V831" s="54"/>
      <c r="W831" s="54"/>
      <c r="X831" s="54"/>
      <c r="Y831" s="54"/>
      <c r="Z831" s="54"/>
    </row>
    <row r="832" spans="1:26" ht="14.25" customHeight="1">
      <c r="A832" s="24"/>
      <c r="B832" s="24"/>
      <c r="C832" s="24"/>
      <c r="D832" s="24"/>
      <c r="E832" s="24"/>
      <c r="F832" s="24"/>
      <c r="G832" s="24"/>
      <c r="H832" s="24"/>
      <c r="I832" s="24"/>
      <c r="J832" s="24"/>
      <c r="K832" s="24"/>
      <c r="L832" s="24"/>
      <c r="M832" s="24"/>
      <c r="N832" s="35"/>
      <c r="O832" s="24"/>
      <c r="P832" s="35"/>
      <c r="Q832" s="24"/>
      <c r="R832" s="24"/>
      <c r="S832" s="24"/>
      <c r="T832" s="24"/>
      <c r="U832" s="54"/>
      <c r="V832" s="54"/>
      <c r="W832" s="54"/>
      <c r="X832" s="54"/>
      <c r="Y832" s="54"/>
      <c r="Z832" s="54"/>
    </row>
    <row r="833" spans="1:26" ht="14.25" customHeight="1">
      <c r="A833" s="24"/>
      <c r="B833" s="24"/>
      <c r="C833" s="24"/>
      <c r="D833" s="24"/>
      <c r="E833" s="24"/>
      <c r="F833" s="24"/>
      <c r="G833" s="24"/>
      <c r="H833" s="24"/>
      <c r="I833" s="24"/>
      <c r="J833" s="24"/>
      <c r="K833" s="24"/>
      <c r="L833" s="24"/>
      <c r="M833" s="24"/>
      <c r="N833" s="35"/>
      <c r="O833" s="24"/>
      <c r="P833" s="35"/>
      <c r="Q833" s="24"/>
      <c r="R833" s="24"/>
      <c r="S833" s="24"/>
      <c r="T833" s="24"/>
      <c r="U833" s="54"/>
      <c r="V833" s="54"/>
      <c r="W833" s="54"/>
      <c r="X833" s="54"/>
      <c r="Y833" s="54"/>
      <c r="Z833" s="54"/>
    </row>
    <row r="834" spans="1:26" ht="14.25" customHeight="1">
      <c r="A834" s="24"/>
      <c r="B834" s="24"/>
      <c r="C834" s="24"/>
      <c r="D834" s="24"/>
      <c r="E834" s="24"/>
      <c r="F834" s="24"/>
      <c r="G834" s="24"/>
      <c r="H834" s="24"/>
      <c r="I834" s="24"/>
      <c r="J834" s="24"/>
      <c r="K834" s="24"/>
      <c r="L834" s="24"/>
      <c r="M834" s="24"/>
      <c r="N834" s="35"/>
      <c r="O834" s="24"/>
      <c r="P834" s="35"/>
      <c r="Q834" s="24"/>
      <c r="R834" s="24"/>
      <c r="S834" s="24"/>
      <c r="T834" s="24"/>
      <c r="U834" s="54"/>
      <c r="V834" s="54"/>
      <c r="W834" s="54"/>
      <c r="X834" s="54"/>
      <c r="Y834" s="54"/>
      <c r="Z834" s="54"/>
    </row>
    <row r="835" spans="1:26" ht="14.25" customHeight="1">
      <c r="A835" s="24"/>
      <c r="B835" s="24"/>
      <c r="C835" s="24"/>
      <c r="D835" s="24"/>
      <c r="E835" s="24"/>
      <c r="F835" s="24"/>
      <c r="G835" s="24"/>
      <c r="H835" s="24"/>
      <c r="I835" s="24"/>
      <c r="J835" s="24"/>
      <c r="K835" s="24"/>
      <c r="L835" s="24"/>
      <c r="M835" s="24"/>
      <c r="N835" s="35"/>
      <c r="O835" s="24"/>
      <c r="P835" s="35"/>
      <c r="Q835" s="24"/>
      <c r="R835" s="24"/>
      <c r="S835" s="24"/>
      <c r="T835" s="24"/>
      <c r="U835" s="54"/>
      <c r="V835" s="54"/>
      <c r="W835" s="54"/>
      <c r="X835" s="54"/>
      <c r="Y835" s="54"/>
      <c r="Z835" s="54"/>
    </row>
    <row r="836" spans="1:26" ht="14.25" customHeight="1">
      <c r="A836" s="24"/>
      <c r="B836" s="24"/>
      <c r="C836" s="24"/>
      <c r="D836" s="24"/>
      <c r="E836" s="24"/>
      <c r="F836" s="24"/>
      <c r="G836" s="24"/>
      <c r="H836" s="24"/>
      <c r="I836" s="24"/>
      <c r="J836" s="24"/>
      <c r="K836" s="24"/>
      <c r="L836" s="24"/>
      <c r="M836" s="24"/>
      <c r="N836" s="35"/>
      <c r="O836" s="24"/>
      <c r="P836" s="35"/>
      <c r="Q836" s="24"/>
      <c r="R836" s="24"/>
      <c r="S836" s="24"/>
      <c r="T836" s="24"/>
      <c r="U836" s="54"/>
      <c r="V836" s="54"/>
      <c r="W836" s="54"/>
      <c r="X836" s="54"/>
      <c r="Y836" s="54"/>
      <c r="Z836" s="54"/>
    </row>
    <row r="837" spans="1:26" ht="14.25" customHeight="1">
      <c r="A837" s="24"/>
      <c r="B837" s="24"/>
      <c r="C837" s="24"/>
      <c r="D837" s="24"/>
      <c r="E837" s="24"/>
      <c r="F837" s="24"/>
      <c r="G837" s="24"/>
      <c r="H837" s="24"/>
      <c r="I837" s="24"/>
      <c r="J837" s="24"/>
      <c r="K837" s="24"/>
      <c r="L837" s="24"/>
      <c r="M837" s="24"/>
      <c r="N837" s="35"/>
      <c r="O837" s="24"/>
      <c r="P837" s="35"/>
      <c r="Q837" s="24"/>
      <c r="R837" s="24"/>
      <c r="S837" s="24"/>
      <c r="T837" s="24"/>
      <c r="U837" s="54"/>
      <c r="V837" s="54"/>
      <c r="W837" s="54"/>
      <c r="X837" s="54"/>
      <c r="Y837" s="54"/>
      <c r="Z837" s="54"/>
    </row>
    <row r="838" spans="1:26" ht="14.25" customHeight="1">
      <c r="A838" s="24"/>
      <c r="B838" s="24"/>
      <c r="C838" s="24"/>
      <c r="D838" s="24"/>
      <c r="E838" s="24"/>
      <c r="F838" s="24"/>
      <c r="G838" s="24"/>
      <c r="H838" s="24"/>
      <c r="I838" s="24"/>
      <c r="J838" s="24"/>
      <c r="K838" s="24"/>
      <c r="L838" s="24"/>
      <c r="M838" s="24"/>
      <c r="N838" s="35"/>
      <c r="O838" s="24"/>
      <c r="P838" s="35"/>
      <c r="Q838" s="24"/>
      <c r="R838" s="24"/>
      <c r="S838" s="24"/>
      <c r="T838" s="24"/>
      <c r="U838" s="54"/>
      <c r="V838" s="54"/>
      <c r="W838" s="54"/>
      <c r="X838" s="54"/>
      <c r="Y838" s="54"/>
      <c r="Z838" s="54"/>
    </row>
    <row r="839" spans="1:26" ht="14.25" customHeight="1">
      <c r="A839" s="24"/>
      <c r="B839" s="24"/>
      <c r="C839" s="24"/>
      <c r="D839" s="24"/>
      <c r="E839" s="24"/>
      <c r="F839" s="24"/>
      <c r="G839" s="24"/>
      <c r="H839" s="24"/>
      <c r="I839" s="24"/>
      <c r="J839" s="24"/>
      <c r="K839" s="24"/>
      <c r="L839" s="24"/>
      <c r="M839" s="24"/>
      <c r="N839" s="35"/>
      <c r="O839" s="24"/>
      <c r="P839" s="35"/>
      <c r="Q839" s="24"/>
      <c r="R839" s="24"/>
      <c r="S839" s="24"/>
      <c r="T839" s="24"/>
      <c r="U839" s="54"/>
      <c r="V839" s="54"/>
      <c r="W839" s="54"/>
      <c r="X839" s="54"/>
      <c r="Y839" s="54"/>
      <c r="Z839" s="54"/>
    </row>
    <row r="840" spans="1:26" ht="14.25" customHeight="1">
      <c r="A840" s="24"/>
      <c r="B840" s="24"/>
      <c r="C840" s="24"/>
      <c r="D840" s="24"/>
      <c r="E840" s="24"/>
      <c r="F840" s="24"/>
      <c r="G840" s="24"/>
      <c r="H840" s="24"/>
      <c r="I840" s="24"/>
      <c r="J840" s="24"/>
      <c r="K840" s="24"/>
      <c r="L840" s="24"/>
      <c r="M840" s="24"/>
      <c r="N840" s="35"/>
      <c r="O840" s="24"/>
      <c r="P840" s="35"/>
      <c r="Q840" s="24"/>
      <c r="R840" s="24"/>
      <c r="S840" s="24"/>
      <c r="T840" s="24"/>
      <c r="U840" s="54"/>
      <c r="V840" s="54"/>
      <c r="W840" s="54"/>
      <c r="X840" s="54"/>
      <c r="Y840" s="54"/>
      <c r="Z840" s="54"/>
    </row>
    <row r="841" spans="1:26" ht="14.25" customHeight="1">
      <c r="A841" s="24"/>
      <c r="B841" s="24"/>
      <c r="C841" s="24"/>
      <c r="D841" s="24"/>
      <c r="E841" s="24"/>
      <c r="F841" s="24"/>
      <c r="G841" s="24"/>
      <c r="H841" s="24"/>
      <c r="I841" s="24"/>
      <c r="J841" s="24"/>
      <c r="K841" s="24"/>
      <c r="L841" s="24"/>
      <c r="M841" s="24"/>
      <c r="N841" s="35"/>
      <c r="O841" s="24"/>
      <c r="P841" s="35"/>
      <c r="Q841" s="24"/>
      <c r="R841" s="24"/>
      <c r="S841" s="24"/>
      <c r="T841" s="24"/>
      <c r="U841" s="54"/>
      <c r="V841" s="54"/>
      <c r="W841" s="54"/>
      <c r="X841" s="54"/>
      <c r="Y841" s="54"/>
      <c r="Z841" s="54"/>
    </row>
    <row r="842" spans="1:26" ht="14.25" customHeight="1">
      <c r="A842" s="24"/>
      <c r="B842" s="24"/>
      <c r="C842" s="24"/>
      <c r="D842" s="24"/>
      <c r="E842" s="24"/>
      <c r="F842" s="24"/>
      <c r="G842" s="24"/>
      <c r="H842" s="24"/>
      <c r="I842" s="24"/>
      <c r="J842" s="24"/>
      <c r="K842" s="24"/>
      <c r="L842" s="24"/>
      <c r="M842" s="24"/>
      <c r="N842" s="35"/>
      <c r="O842" s="24"/>
      <c r="P842" s="35"/>
      <c r="Q842" s="24"/>
      <c r="R842" s="24"/>
      <c r="S842" s="24"/>
      <c r="T842" s="24"/>
      <c r="U842" s="54"/>
      <c r="V842" s="54"/>
      <c r="W842" s="54"/>
      <c r="X842" s="54"/>
      <c r="Y842" s="54"/>
      <c r="Z842" s="54"/>
    </row>
    <row r="843" spans="1:26" ht="14.25" customHeight="1">
      <c r="A843" s="24"/>
      <c r="B843" s="24"/>
      <c r="C843" s="24"/>
      <c r="D843" s="24"/>
      <c r="E843" s="24"/>
      <c r="F843" s="24"/>
      <c r="G843" s="24"/>
      <c r="H843" s="24"/>
      <c r="I843" s="24"/>
      <c r="J843" s="24"/>
      <c r="K843" s="24"/>
      <c r="L843" s="24"/>
      <c r="M843" s="24"/>
      <c r="N843" s="35"/>
      <c r="O843" s="24"/>
      <c r="P843" s="35"/>
      <c r="Q843" s="24"/>
      <c r="R843" s="24"/>
      <c r="S843" s="24"/>
      <c r="T843" s="24"/>
      <c r="U843" s="54"/>
      <c r="V843" s="54"/>
      <c r="W843" s="54"/>
      <c r="X843" s="54"/>
      <c r="Y843" s="54"/>
      <c r="Z843" s="54"/>
    </row>
    <row r="844" spans="1:26" ht="14.25" customHeight="1">
      <c r="A844" s="24"/>
      <c r="B844" s="24"/>
      <c r="C844" s="24"/>
      <c r="D844" s="24"/>
      <c r="E844" s="24"/>
      <c r="F844" s="24"/>
      <c r="G844" s="24"/>
      <c r="H844" s="24"/>
      <c r="I844" s="24"/>
      <c r="J844" s="24"/>
      <c r="K844" s="24"/>
      <c r="L844" s="24"/>
      <c r="M844" s="24"/>
      <c r="N844" s="35"/>
      <c r="O844" s="24"/>
      <c r="P844" s="35"/>
      <c r="Q844" s="24"/>
      <c r="R844" s="24"/>
      <c r="S844" s="24"/>
      <c r="T844" s="24"/>
      <c r="U844" s="54"/>
      <c r="V844" s="54"/>
      <c r="W844" s="54"/>
      <c r="X844" s="54"/>
      <c r="Y844" s="54"/>
      <c r="Z844" s="54"/>
    </row>
    <row r="845" spans="1:26" ht="14.25" customHeight="1">
      <c r="A845" s="24"/>
      <c r="B845" s="24"/>
      <c r="C845" s="24"/>
      <c r="D845" s="24"/>
      <c r="E845" s="24"/>
      <c r="F845" s="24"/>
      <c r="G845" s="24"/>
      <c r="H845" s="24"/>
      <c r="I845" s="24"/>
      <c r="J845" s="24"/>
      <c r="K845" s="24"/>
      <c r="L845" s="24"/>
      <c r="M845" s="24"/>
      <c r="N845" s="35"/>
      <c r="O845" s="24"/>
      <c r="P845" s="35"/>
      <c r="Q845" s="24"/>
      <c r="R845" s="24"/>
      <c r="S845" s="24"/>
      <c r="T845" s="24"/>
      <c r="U845" s="54"/>
      <c r="V845" s="54"/>
      <c r="W845" s="54"/>
      <c r="X845" s="54"/>
      <c r="Y845" s="54"/>
      <c r="Z845" s="54"/>
    </row>
    <row r="846" spans="1:26" ht="14.25" customHeight="1">
      <c r="A846" s="24"/>
      <c r="B846" s="24"/>
      <c r="C846" s="24"/>
      <c r="D846" s="24"/>
      <c r="E846" s="24"/>
      <c r="F846" s="24"/>
      <c r="G846" s="24"/>
      <c r="H846" s="24"/>
      <c r="I846" s="24"/>
      <c r="J846" s="24"/>
      <c r="K846" s="24"/>
      <c r="L846" s="24"/>
      <c r="M846" s="24"/>
      <c r="N846" s="35"/>
      <c r="O846" s="24"/>
      <c r="P846" s="35"/>
      <c r="Q846" s="24"/>
      <c r="R846" s="24"/>
      <c r="S846" s="24"/>
      <c r="T846" s="24"/>
      <c r="U846" s="54"/>
      <c r="V846" s="54"/>
      <c r="W846" s="54"/>
      <c r="X846" s="54"/>
      <c r="Y846" s="54"/>
      <c r="Z846" s="54"/>
    </row>
    <row r="847" spans="1:26" ht="14.25" customHeight="1">
      <c r="A847" s="24"/>
      <c r="B847" s="24"/>
      <c r="C847" s="24"/>
      <c r="D847" s="24"/>
      <c r="E847" s="24"/>
      <c r="F847" s="24"/>
      <c r="G847" s="24"/>
      <c r="H847" s="24"/>
      <c r="I847" s="24"/>
      <c r="J847" s="24"/>
      <c r="K847" s="24"/>
      <c r="L847" s="24"/>
      <c r="M847" s="24"/>
      <c r="N847" s="35"/>
      <c r="O847" s="24"/>
      <c r="P847" s="35"/>
      <c r="Q847" s="24"/>
      <c r="R847" s="24"/>
      <c r="S847" s="24"/>
      <c r="T847" s="24"/>
      <c r="U847" s="54"/>
      <c r="V847" s="54"/>
      <c r="W847" s="54"/>
      <c r="X847" s="54"/>
      <c r="Y847" s="54"/>
      <c r="Z847" s="54"/>
    </row>
    <row r="848" spans="1:26" ht="14.25" customHeight="1">
      <c r="A848" s="24"/>
      <c r="B848" s="24"/>
      <c r="C848" s="24"/>
      <c r="D848" s="24"/>
      <c r="E848" s="24"/>
      <c r="F848" s="24"/>
      <c r="G848" s="24"/>
      <c r="H848" s="24"/>
      <c r="I848" s="24"/>
      <c r="J848" s="24"/>
      <c r="K848" s="24"/>
      <c r="L848" s="24"/>
      <c r="M848" s="24"/>
      <c r="N848" s="35"/>
      <c r="O848" s="24"/>
      <c r="P848" s="35"/>
      <c r="Q848" s="24"/>
      <c r="R848" s="24"/>
      <c r="S848" s="24"/>
      <c r="T848" s="24"/>
      <c r="U848" s="54"/>
      <c r="V848" s="54"/>
      <c r="W848" s="54"/>
      <c r="X848" s="54"/>
      <c r="Y848" s="54"/>
      <c r="Z848" s="54"/>
    </row>
    <row r="849" spans="1:26" ht="14.25" customHeight="1">
      <c r="A849" s="24"/>
      <c r="B849" s="24"/>
      <c r="C849" s="24"/>
      <c r="D849" s="24"/>
      <c r="E849" s="24"/>
      <c r="F849" s="24"/>
      <c r="G849" s="24"/>
      <c r="H849" s="24"/>
      <c r="I849" s="24"/>
      <c r="J849" s="24"/>
      <c r="K849" s="24"/>
      <c r="L849" s="24"/>
      <c r="M849" s="24"/>
      <c r="N849" s="35"/>
      <c r="O849" s="24"/>
      <c r="P849" s="35"/>
      <c r="Q849" s="24"/>
      <c r="R849" s="24"/>
      <c r="S849" s="24"/>
      <c r="T849" s="24"/>
      <c r="U849" s="54"/>
      <c r="V849" s="54"/>
      <c r="W849" s="54"/>
      <c r="X849" s="54"/>
      <c r="Y849" s="54"/>
      <c r="Z849" s="54"/>
    </row>
    <row r="850" spans="1:26" ht="14.25" customHeight="1">
      <c r="A850" s="24"/>
      <c r="B850" s="24"/>
      <c r="C850" s="24"/>
      <c r="D850" s="24"/>
      <c r="E850" s="24"/>
      <c r="F850" s="24"/>
      <c r="G850" s="24"/>
      <c r="H850" s="24"/>
      <c r="I850" s="24"/>
      <c r="J850" s="24"/>
      <c r="K850" s="24"/>
      <c r="L850" s="24"/>
      <c r="M850" s="24"/>
      <c r="N850" s="35"/>
      <c r="O850" s="24"/>
      <c r="P850" s="35"/>
      <c r="Q850" s="24"/>
      <c r="R850" s="24"/>
      <c r="S850" s="24"/>
      <c r="T850" s="24"/>
      <c r="U850" s="54"/>
      <c r="V850" s="54"/>
      <c r="W850" s="54"/>
      <c r="X850" s="54"/>
      <c r="Y850" s="54"/>
      <c r="Z850" s="54"/>
    </row>
    <row r="851" spans="1:26" ht="14.25" customHeight="1">
      <c r="A851" s="24"/>
      <c r="B851" s="24"/>
      <c r="C851" s="24"/>
      <c r="D851" s="24"/>
      <c r="E851" s="24"/>
      <c r="F851" s="24"/>
      <c r="G851" s="24"/>
      <c r="H851" s="24"/>
      <c r="I851" s="24"/>
      <c r="J851" s="24"/>
      <c r="K851" s="24"/>
      <c r="L851" s="24"/>
      <c r="M851" s="24"/>
      <c r="N851" s="35"/>
      <c r="O851" s="24"/>
      <c r="P851" s="35"/>
      <c r="Q851" s="24"/>
      <c r="R851" s="24"/>
      <c r="S851" s="24"/>
      <c r="T851" s="24"/>
      <c r="U851" s="54"/>
      <c r="V851" s="54"/>
      <c r="W851" s="54"/>
      <c r="X851" s="54"/>
      <c r="Y851" s="54"/>
      <c r="Z851" s="54"/>
    </row>
    <row r="852" spans="1:26" ht="14.25" customHeight="1">
      <c r="A852" s="24"/>
      <c r="B852" s="24"/>
      <c r="C852" s="24"/>
      <c r="D852" s="24"/>
      <c r="E852" s="24"/>
      <c r="F852" s="24"/>
      <c r="G852" s="24"/>
      <c r="H852" s="24"/>
      <c r="I852" s="24"/>
      <c r="J852" s="24"/>
      <c r="K852" s="24"/>
      <c r="L852" s="24"/>
      <c r="M852" s="24"/>
      <c r="N852" s="35"/>
      <c r="O852" s="24"/>
      <c r="P852" s="35"/>
      <c r="Q852" s="24"/>
      <c r="R852" s="24"/>
      <c r="S852" s="24"/>
      <c r="T852" s="24"/>
      <c r="U852" s="54"/>
      <c r="V852" s="54"/>
      <c r="W852" s="54"/>
      <c r="X852" s="54"/>
      <c r="Y852" s="54"/>
      <c r="Z852" s="54"/>
    </row>
    <row r="853" spans="1:26" ht="14.25" customHeight="1">
      <c r="A853" s="24"/>
      <c r="B853" s="24"/>
      <c r="C853" s="24"/>
      <c r="D853" s="24"/>
      <c r="E853" s="24"/>
      <c r="F853" s="24"/>
      <c r="G853" s="24"/>
      <c r="H853" s="24"/>
      <c r="I853" s="24"/>
      <c r="J853" s="24"/>
      <c r="K853" s="24"/>
      <c r="L853" s="24"/>
      <c r="M853" s="24"/>
      <c r="N853" s="35"/>
      <c r="O853" s="24"/>
      <c r="P853" s="35"/>
      <c r="Q853" s="24"/>
      <c r="R853" s="24"/>
      <c r="S853" s="24"/>
      <c r="T853" s="24"/>
      <c r="U853" s="54"/>
      <c r="V853" s="54"/>
      <c r="W853" s="54"/>
      <c r="X853" s="54"/>
      <c r="Y853" s="54"/>
      <c r="Z853" s="54"/>
    </row>
    <row r="854" spans="1:26" ht="14.25" customHeight="1">
      <c r="A854" s="24"/>
      <c r="B854" s="24"/>
      <c r="C854" s="24"/>
      <c r="D854" s="24"/>
      <c r="E854" s="24"/>
      <c r="F854" s="24"/>
      <c r="G854" s="24"/>
      <c r="H854" s="24"/>
      <c r="I854" s="24"/>
      <c r="J854" s="24"/>
      <c r="K854" s="24"/>
      <c r="L854" s="24"/>
      <c r="M854" s="24"/>
      <c r="N854" s="35"/>
      <c r="O854" s="24"/>
      <c r="P854" s="35"/>
      <c r="Q854" s="24"/>
      <c r="R854" s="24"/>
      <c r="S854" s="24"/>
      <c r="T854" s="24"/>
      <c r="U854" s="54"/>
      <c r="V854" s="54"/>
      <c r="W854" s="54"/>
      <c r="X854" s="54"/>
      <c r="Y854" s="54"/>
      <c r="Z854" s="54"/>
    </row>
    <row r="855" spans="1:26" ht="14.25" customHeight="1">
      <c r="A855" s="24"/>
      <c r="B855" s="24"/>
      <c r="C855" s="24"/>
      <c r="D855" s="24"/>
      <c r="E855" s="24"/>
      <c r="F855" s="24"/>
      <c r="G855" s="24"/>
      <c r="H855" s="24"/>
      <c r="I855" s="24"/>
      <c r="J855" s="24"/>
      <c r="K855" s="24"/>
      <c r="L855" s="24"/>
      <c r="M855" s="24"/>
      <c r="N855" s="35"/>
      <c r="O855" s="24"/>
      <c r="P855" s="35"/>
      <c r="Q855" s="24"/>
      <c r="R855" s="24"/>
      <c r="S855" s="24"/>
      <c r="T855" s="24"/>
      <c r="U855" s="54"/>
      <c r="V855" s="54"/>
      <c r="W855" s="54"/>
      <c r="X855" s="54"/>
      <c r="Y855" s="54"/>
      <c r="Z855" s="54"/>
    </row>
    <row r="856" spans="1:26" ht="14.25" customHeight="1">
      <c r="A856" s="24"/>
      <c r="B856" s="24"/>
      <c r="C856" s="24"/>
      <c r="D856" s="24"/>
      <c r="E856" s="24"/>
      <c r="F856" s="24"/>
      <c r="G856" s="24"/>
      <c r="H856" s="24"/>
      <c r="I856" s="24"/>
      <c r="J856" s="24"/>
      <c r="K856" s="24"/>
      <c r="L856" s="24"/>
      <c r="M856" s="24"/>
      <c r="N856" s="35"/>
      <c r="O856" s="24"/>
      <c r="P856" s="35"/>
      <c r="Q856" s="24"/>
      <c r="R856" s="24"/>
      <c r="S856" s="24"/>
      <c r="T856" s="24"/>
      <c r="U856" s="54"/>
      <c r="V856" s="54"/>
      <c r="W856" s="54"/>
      <c r="X856" s="54"/>
      <c r="Y856" s="54"/>
      <c r="Z856" s="54"/>
    </row>
    <row r="857" spans="1:26" ht="14.25" customHeight="1">
      <c r="A857" s="24"/>
      <c r="B857" s="24"/>
      <c r="C857" s="24"/>
      <c r="D857" s="24"/>
      <c r="E857" s="24"/>
      <c r="F857" s="24"/>
      <c r="G857" s="24"/>
      <c r="H857" s="24"/>
      <c r="I857" s="24"/>
      <c r="J857" s="24"/>
      <c r="K857" s="24"/>
      <c r="L857" s="24"/>
      <c r="M857" s="24"/>
      <c r="N857" s="35"/>
      <c r="O857" s="24"/>
      <c r="P857" s="35"/>
      <c r="Q857" s="24"/>
      <c r="R857" s="24"/>
      <c r="S857" s="24"/>
      <c r="T857" s="24"/>
      <c r="U857" s="54"/>
      <c r="V857" s="54"/>
      <c r="W857" s="54"/>
      <c r="X857" s="54"/>
      <c r="Y857" s="54"/>
      <c r="Z857" s="54"/>
    </row>
    <row r="858" spans="1:26" ht="14.25" customHeight="1">
      <c r="A858" s="24"/>
      <c r="B858" s="24"/>
      <c r="C858" s="24"/>
      <c r="D858" s="24"/>
      <c r="E858" s="24"/>
      <c r="F858" s="24"/>
      <c r="G858" s="24"/>
      <c r="H858" s="24"/>
      <c r="I858" s="24"/>
      <c r="J858" s="24"/>
      <c r="K858" s="24"/>
      <c r="L858" s="24"/>
      <c r="M858" s="24"/>
      <c r="N858" s="35"/>
      <c r="O858" s="24"/>
      <c r="P858" s="35"/>
      <c r="Q858" s="24"/>
      <c r="R858" s="24"/>
      <c r="S858" s="24"/>
      <c r="T858" s="24"/>
      <c r="U858" s="54"/>
      <c r="V858" s="54"/>
      <c r="W858" s="54"/>
      <c r="X858" s="54"/>
      <c r="Y858" s="54"/>
      <c r="Z858" s="54"/>
    </row>
    <row r="859" spans="1:26" ht="14.25" customHeight="1">
      <c r="A859" s="24"/>
      <c r="B859" s="24"/>
      <c r="C859" s="24"/>
      <c r="D859" s="24"/>
      <c r="E859" s="24"/>
      <c r="F859" s="24"/>
      <c r="G859" s="24"/>
      <c r="H859" s="24"/>
      <c r="I859" s="24"/>
      <c r="J859" s="24"/>
      <c r="K859" s="24"/>
      <c r="L859" s="24"/>
      <c r="M859" s="24"/>
      <c r="N859" s="35"/>
      <c r="O859" s="24"/>
      <c r="P859" s="35"/>
      <c r="Q859" s="24"/>
      <c r="R859" s="24"/>
      <c r="S859" s="24"/>
      <c r="T859" s="24"/>
      <c r="U859" s="54"/>
      <c r="V859" s="54"/>
      <c r="W859" s="54"/>
      <c r="X859" s="54"/>
      <c r="Y859" s="54"/>
      <c r="Z859" s="54"/>
    </row>
    <row r="860" spans="1:26" ht="14.25" customHeight="1">
      <c r="A860" s="24"/>
      <c r="B860" s="24"/>
      <c r="C860" s="24"/>
      <c r="D860" s="24"/>
      <c r="E860" s="24"/>
      <c r="F860" s="24"/>
      <c r="G860" s="24"/>
      <c r="H860" s="24"/>
      <c r="I860" s="24"/>
      <c r="J860" s="24"/>
      <c r="K860" s="24"/>
      <c r="L860" s="24"/>
      <c r="M860" s="24"/>
      <c r="N860" s="35"/>
      <c r="O860" s="24"/>
      <c r="P860" s="35"/>
      <c r="Q860" s="24"/>
      <c r="R860" s="24"/>
      <c r="S860" s="24"/>
      <c r="T860" s="24"/>
      <c r="U860" s="54"/>
      <c r="V860" s="54"/>
      <c r="W860" s="54"/>
      <c r="X860" s="54"/>
      <c r="Y860" s="54"/>
      <c r="Z860" s="54"/>
    </row>
    <row r="861" spans="1:26" ht="14.25" customHeight="1">
      <c r="A861" s="24"/>
      <c r="B861" s="24"/>
      <c r="C861" s="24"/>
      <c r="D861" s="24"/>
      <c r="E861" s="24"/>
      <c r="F861" s="24"/>
      <c r="G861" s="24"/>
      <c r="H861" s="24"/>
      <c r="I861" s="24"/>
      <c r="J861" s="24"/>
      <c r="K861" s="24"/>
      <c r="L861" s="24"/>
      <c r="M861" s="24"/>
      <c r="N861" s="35"/>
      <c r="O861" s="24"/>
      <c r="P861" s="35"/>
      <c r="Q861" s="24"/>
      <c r="R861" s="24"/>
      <c r="S861" s="24"/>
      <c r="T861" s="24"/>
      <c r="U861" s="54"/>
      <c r="V861" s="54"/>
      <c r="W861" s="54"/>
      <c r="X861" s="54"/>
      <c r="Y861" s="54"/>
      <c r="Z861" s="54"/>
    </row>
    <row r="862" spans="1:26" ht="14.25" customHeight="1">
      <c r="A862" s="24"/>
      <c r="B862" s="24"/>
      <c r="C862" s="24"/>
      <c r="D862" s="24"/>
      <c r="E862" s="24"/>
      <c r="F862" s="24"/>
      <c r="G862" s="24"/>
      <c r="H862" s="24"/>
      <c r="I862" s="24"/>
      <c r="J862" s="24"/>
      <c r="K862" s="24"/>
      <c r="L862" s="24"/>
      <c r="M862" s="24"/>
      <c r="N862" s="35"/>
      <c r="O862" s="24"/>
      <c r="P862" s="35"/>
      <c r="Q862" s="24"/>
      <c r="R862" s="24"/>
      <c r="S862" s="24"/>
      <c r="T862" s="24"/>
      <c r="U862" s="54"/>
      <c r="V862" s="54"/>
      <c r="W862" s="54"/>
      <c r="X862" s="54"/>
      <c r="Y862" s="54"/>
      <c r="Z862" s="54"/>
    </row>
    <row r="863" spans="1:26" ht="14.25" customHeight="1">
      <c r="A863" s="24"/>
      <c r="B863" s="24"/>
      <c r="C863" s="24"/>
      <c r="D863" s="24"/>
      <c r="E863" s="24"/>
      <c r="F863" s="24"/>
      <c r="G863" s="24"/>
      <c r="H863" s="24"/>
      <c r="I863" s="24"/>
      <c r="J863" s="24"/>
      <c r="K863" s="24"/>
      <c r="L863" s="24"/>
      <c r="M863" s="24"/>
      <c r="N863" s="35"/>
      <c r="O863" s="24"/>
      <c r="P863" s="35"/>
      <c r="Q863" s="24"/>
      <c r="R863" s="24"/>
      <c r="S863" s="24"/>
      <c r="T863" s="24"/>
      <c r="U863" s="54"/>
      <c r="V863" s="54"/>
      <c r="W863" s="54"/>
      <c r="X863" s="54"/>
      <c r="Y863" s="54"/>
      <c r="Z863" s="54"/>
    </row>
    <row r="864" spans="1:26" ht="14.25" customHeight="1">
      <c r="A864" s="24"/>
      <c r="B864" s="24"/>
      <c r="C864" s="24"/>
      <c r="D864" s="24"/>
      <c r="E864" s="24"/>
      <c r="F864" s="24"/>
      <c r="G864" s="24"/>
      <c r="H864" s="24"/>
      <c r="I864" s="24"/>
      <c r="J864" s="24"/>
      <c r="K864" s="24"/>
      <c r="L864" s="24"/>
      <c r="M864" s="24"/>
      <c r="N864" s="35"/>
      <c r="O864" s="24"/>
      <c r="P864" s="35"/>
      <c r="Q864" s="24"/>
      <c r="R864" s="24"/>
      <c r="S864" s="24"/>
      <c r="T864" s="24"/>
      <c r="U864" s="54"/>
      <c r="V864" s="54"/>
      <c r="W864" s="54"/>
      <c r="X864" s="54"/>
      <c r="Y864" s="54"/>
      <c r="Z864" s="54"/>
    </row>
    <row r="865" spans="1:26" ht="14.25" customHeight="1">
      <c r="A865" s="24"/>
      <c r="B865" s="24"/>
      <c r="C865" s="24"/>
      <c r="D865" s="24"/>
      <c r="E865" s="24"/>
      <c r="F865" s="24"/>
      <c r="G865" s="24"/>
      <c r="H865" s="24"/>
      <c r="I865" s="24"/>
      <c r="J865" s="24"/>
      <c r="K865" s="24"/>
      <c r="L865" s="24"/>
      <c r="M865" s="24"/>
      <c r="N865" s="35"/>
      <c r="O865" s="24"/>
      <c r="P865" s="35"/>
      <c r="Q865" s="24"/>
      <c r="R865" s="24"/>
      <c r="S865" s="24"/>
      <c r="T865" s="24"/>
      <c r="U865" s="54"/>
      <c r="V865" s="54"/>
      <c r="W865" s="54"/>
      <c r="X865" s="54"/>
      <c r="Y865" s="54"/>
      <c r="Z865" s="54"/>
    </row>
    <row r="866" spans="1:26" ht="14.25" customHeight="1">
      <c r="A866" s="24"/>
      <c r="B866" s="24"/>
      <c r="C866" s="24"/>
      <c r="D866" s="24"/>
      <c r="E866" s="24"/>
      <c r="F866" s="24"/>
      <c r="G866" s="24"/>
      <c r="H866" s="24"/>
      <c r="I866" s="24"/>
      <c r="J866" s="24"/>
      <c r="K866" s="24"/>
      <c r="L866" s="24"/>
      <c r="M866" s="24"/>
      <c r="N866" s="35"/>
      <c r="O866" s="24"/>
      <c r="P866" s="35"/>
      <c r="Q866" s="24"/>
      <c r="R866" s="24"/>
      <c r="S866" s="24"/>
      <c r="T866" s="24"/>
      <c r="U866" s="54"/>
      <c r="V866" s="54"/>
      <c r="W866" s="54"/>
      <c r="X866" s="54"/>
      <c r="Y866" s="54"/>
      <c r="Z866" s="54"/>
    </row>
    <row r="867" spans="1:26" ht="14.25" customHeight="1">
      <c r="A867" s="24"/>
      <c r="B867" s="24"/>
      <c r="C867" s="24"/>
      <c r="D867" s="24"/>
      <c r="E867" s="24"/>
      <c r="F867" s="24"/>
      <c r="G867" s="24"/>
      <c r="H867" s="24"/>
      <c r="I867" s="24"/>
      <c r="J867" s="24"/>
      <c r="K867" s="24"/>
      <c r="L867" s="24"/>
      <c r="M867" s="24"/>
      <c r="N867" s="35"/>
      <c r="O867" s="24"/>
      <c r="P867" s="35"/>
      <c r="Q867" s="24"/>
      <c r="R867" s="24"/>
      <c r="S867" s="24"/>
      <c r="T867" s="24"/>
      <c r="U867" s="54"/>
      <c r="V867" s="54"/>
      <c r="W867" s="54"/>
      <c r="X867" s="54"/>
      <c r="Y867" s="54"/>
      <c r="Z867" s="54"/>
    </row>
    <row r="868" spans="1:26" ht="14.25" customHeight="1">
      <c r="A868" s="24"/>
      <c r="B868" s="24"/>
      <c r="C868" s="24"/>
      <c r="D868" s="24"/>
      <c r="E868" s="24"/>
      <c r="F868" s="24"/>
      <c r="G868" s="24"/>
      <c r="H868" s="24"/>
      <c r="I868" s="24"/>
      <c r="J868" s="24"/>
      <c r="K868" s="24"/>
      <c r="L868" s="24"/>
      <c r="M868" s="24"/>
      <c r="N868" s="35"/>
      <c r="O868" s="24"/>
      <c r="P868" s="35"/>
      <c r="Q868" s="24"/>
      <c r="R868" s="24"/>
      <c r="S868" s="24"/>
      <c r="T868" s="24"/>
      <c r="U868" s="54"/>
      <c r="V868" s="54"/>
      <c r="W868" s="54"/>
      <c r="X868" s="54"/>
      <c r="Y868" s="54"/>
      <c r="Z868" s="54"/>
    </row>
    <row r="869" spans="1:26" ht="14.25" customHeight="1">
      <c r="A869" s="24"/>
      <c r="B869" s="24"/>
      <c r="C869" s="24"/>
      <c r="D869" s="24"/>
      <c r="E869" s="24"/>
      <c r="F869" s="24"/>
      <c r="G869" s="24"/>
      <c r="H869" s="24"/>
      <c r="I869" s="24"/>
      <c r="J869" s="24"/>
      <c r="K869" s="24"/>
      <c r="L869" s="24"/>
      <c r="M869" s="24"/>
      <c r="N869" s="35"/>
      <c r="O869" s="24"/>
      <c r="P869" s="35"/>
      <c r="Q869" s="24"/>
      <c r="R869" s="24"/>
      <c r="S869" s="24"/>
      <c r="T869" s="24"/>
      <c r="U869" s="54"/>
      <c r="V869" s="54"/>
      <c r="W869" s="54"/>
      <c r="X869" s="54"/>
      <c r="Y869" s="54"/>
      <c r="Z869" s="54"/>
    </row>
    <row r="870" spans="1:26" ht="14.25" customHeight="1">
      <c r="A870" s="24"/>
      <c r="B870" s="24"/>
      <c r="C870" s="24"/>
      <c r="D870" s="24"/>
      <c r="E870" s="24"/>
      <c r="F870" s="24"/>
      <c r="G870" s="24"/>
      <c r="H870" s="24"/>
      <c r="I870" s="24"/>
      <c r="J870" s="24"/>
      <c r="K870" s="24"/>
      <c r="L870" s="24"/>
      <c r="M870" s="24"/>
      <c r="N870" s="35"/>
      <c r="O870" s="24"/>
      <c r="P870" s="35"/>
      <c r="Q870" s="24"/>
      <c r="R870" s="24"/>
      <c r="S870" s="24"/>
      <c r="T870" s="24"/>
      <c r="U870" s="54"/>
      <c r="V870" s="54"/>
      <c r="W870" s="54"/>
      <c r="X870" s="54"/>
      <c r="Y870" s="54"/>
      <c r="Z870" s="54"/>
    </row>
    <row r="871" spans="1:26" ht="14.25" customHeight="1">
      <c r="A871" s="24"/>
      <c r="B871" s="24"/>
      <c r="C871" s="24"/>
      <c r="D871" s="24"/>
      <c r="E871" s="24"/>
      <c r="F871" s="24"/>
      <c r="G871" s="24"/>
      <c r="H871" s="24"/>
      <c r="I871" s="24"/>
      <c r="J871" s="24"/>
      <c r="K871" s="24"/>
      <c r="L871" s="24"/>
      <c r="M871" s="24"/>
      <c r="N871" s="35"/>
      <c r="O871" s="24"/>
      <c r="P871" s="35"/>
      <c r="Q871" s="24"/>
      <c r="R871" s="24"/>
      <c r="S871" s="24"/>
      <c r="T871" s="24"/>
      <c r="U871" s="54"/>
      <c r="V871" s="54"/>
      <c r="W871" s="54"/>
      <c r="X871" s="54"/>
      <c r="Y871" s="54"/>
      <c r="Z871" s="54"/>
    </row>
    <row r="872" spans="1:26" ht="14.25" customHeight="1">
      <c r="A872" s="24"/>
      <c r="B872" s="24"/>
      <c r="C872" s="24"/>
      <c r="D872" s="24"/>
      <c r="E872" s="24"/>
      <c r="F872" s="24"/>
      <c r="G872" s="24"/>
      <c r="H872" s="24"/>
      <c r="I872" s="24"/>
      <c r="J872" s="24"/>
      <c r="K872" s="24"/>
      <c r="L872" s="24"/>
      <c r="M872" s="24"/>
      <c r="N872" s="35"/>
      <c r="O872" s="24"/>
      <c r="P872" s="35"/>
      <c r="Q872" s="24"/>
      <c r="R872" s="24"/>
      <c r="S872" s="24"/>
      <c r="T872" s="24"/>
      <c r="U872" s="54"/>
      <c r="V872" s="54"/>
      <c r="W872" s="54"/>
      <c r="X872" s="54"/>
      <c r="Y872" s="54"/>
      <c r="Z872" s="54"/>
    </row>
    <row r="873" spans="1:26" ht="14.25" customHeight="1">
      <c r="A873" s="24"/>
      <c r="B873" s="24"/>
      <c r="C873" s="24"/>
      <c r="D873" s="24"/>
      <c r="E873" s="24"/>
      <c r="F873" s="24"/>
      <c r="G873" s="24"/>
      <c r="H873" s="24"/>
      <c r="I873" s="24"/>
      <c r="J873" s="24"/>
      <c r="K873" s="24"/>
      <c r="L873" s="24"/>
      <c r="M873" s="24"/>
      <c r="N873" s="35"/>
      <c r="O873" s="24"/>
      <c r="P873" s="35"/>
      <c r="Q873" s="24"/>
      <c r="R873" s="24"/>
      <c r="S873" s="24"/>
      <c r="T873" s="24"/>
      <c r="U873" s="54"/>
      <c r="V873" s="54"/>
      <c r="W873" s="54"/>
      <c r="X873" s="54"/>
      <c r="Y873" s="54"/>
      <c r="Z873" s="54"/>
    </row>
    <row r="874" spans="1:26" ht="14.25" customHeight="1">
      <c r="A874" s="24"/>
      <c r="B874" s="24"/>
      <c r="C874" s="24"/>
      <c r="D874" s="24"/>
      <c r="E874" s="24"/>
      <c r="F874" s="24"/>
      <c r="G874" s="24"/>
      <c r="H874" s="24"/>
      <c r="I874" s="24"/>
      <c r="J874" s="24"/>
      <c r="K874" s="24"/>
      <c r="L874" s="24"/>
      <c r="M874" s="24"/>
      <c r="N874" s="35"/>
      <c r="O874" s="24"/>
      <c r="P874" s="35"/>
      <c r="Q874" s="24"/>
      <c r="R874" s="24"/>
      <c r="S874" s="24"/>
      <c r="T874" s="24"/>
      <c r="U874" s="54"/>
      <c r="V874" s="54"/>
      <c r="W874" s="54"/>
      <c r="X874" s="54"/>
      <c r="Y874" s="54"/>
      <c r="Z874" s="54"/>
    </row>
    <row r="875" spans="1:26" ht="14.25" customHeight="1">
      <c r="A875" s="24"/>
      <c r="B875" s="24"/>
      <c r="C875" s="24"/>
      <c r="D875" s="24"/>
      <c r="E875" s="24"/>
      <c r="F875" s="24"/>
      <c r="G875" s="24"/>
      <c r="H875" s="24"/>
      <c r="I875" s="24"/>
      <c r="J875" s="24"/>
      <c r="K875" s="24"/>
      <c r="L875" s="24"/>
      <c r="M875" s="24"/>
      <c r="N875" s="35"/>
      <c r="O875" s="24"/>
      <c r="P875" s="35"/>
      <c r="Q875" s="24"/>
      <c r="R875" s="24"/>
      <c r="S875" s="24"/>
      <c r="T875" s="24"/>
      <c r="U875" s="54"/>
      <c r="V875" s="54"/>
      <c r="W875" s="54"/>
      <c r="X875" s="54"/>
      <c r="Y875" s="54"/>
      <c r="Z875" s="54"/>
    </row>
    <row r="876" spans="1:26" ht="14.25" customHeight="1">
      <c r="A876" s="24"/>
      <c r="B876" s="24"/>
      <c r="C876" s="24"/>
      <c r="D876" s="24"/>
      <c r="E876" s="24"/>
      <c r="F876" s="24"/>
      <c r="G876" s="24"/>
      <c r="H876" s="24"/>
      <c r="I876" s="24"/>
      <c r="J876" s="24"/>
      <c r="K876" s="24"/>
      <c r="L876" s="24"/>
      <c r="M876" s="24"/>
      <c r="N876" s="35"/>
      <c r="O876" s="24"/>
      <c r="P876" s="35"/>
      <c r="Q876" s="24"/>
      <c r="R876" s="24"/>
      <c r="S876" s="24"/>
      <c r="T876" s="24"/>
      <c r="U876" s="54"/>
      <c r="V876" s="54"/>
      <c r="W876" s="54"/>
      <c r="X876" s="54"/>
      <c r="Y876" s="54"/>
      <c r="Z876" s="54"/>
    </row>
    <row r="877" spans="1:26" ht="14.25" customHeight="1">
      <c r="A877" s="24"/>
      <c r="B877" s="24"/>
      <c r="C877" s="24"/>
      <c r="D877" s="24"/>
      <c r="E877" s="24"/>
      <c r="F877" s="24"/>
      <c r="G877" s="24"/>
      <c r="H877" s="24"/>
      <c r="I877" s="24"/>
      <c r="J877" s="24"/>
      <c r="K877" s="24"/>
      <c r="L877" s="24"/>
      <c r="M877" s="24"/>
      <c r="N877" s="35"/>
      <c r="O877" s="24"/>
      <c r="P877" s="35"/>
      <c r="Q877" s="24"/>
      <c r="R877" s="24"/>
      <c r="S877" s="24"/>
      <c r="T877" s="24"/>
      <c r="U877" s="54"/>
      <c r="V877" s="54"/>
      <c r="W877" s="54"/>
      <c r="X877" s="54"/>
      <c r="Y877" s="54"/>
      <c r="Z877" s="54"/>
    </row>
    <row r="878" spans="1:26" ht="14.25" customHeight="1">
      <c r="A878" s="24"/>
      <c r="B878" s="24"/>
      <c r="C878" s="24"/>
      <c r="D878" s="24"/>
      <c r="E878" s="24"/>
      <c r="F878" s="24"/>
      <c r="G878" s="24"/>
      <c r="H878" s="24"/>
      <c r="I878" s="24"/>
      <c r="J878" s="24"/>
      <c r="K878" s="24"/>
      <c r="L878" s="24"/>
      <c r="M878" s="24"/>
      <c r="N878" s="35"/>
      <c r="O878" s="24"/>
      <c r="P878" s="35"/>
      <c r="Q878" s="24"/>
      <c r="R878" s="24"/>
      <c r="S878" s="24"/>
      <c r="T878" s="24"/>
      <c r="U878" s="54"/>
      <c r="V878" s="54"/>
      <c r="W878" s="54"/>
      <c r="X878" s="54"/>
      <c r="Y878" s="54"/>
      <c r="Z878" s="54"/>
    </row>
    <row r="879" spans="1:26" ht="14.25" customHeight="1">
      <c r="A879" s="24"/>
      <c r="B879" s="24"/>
      <c r="C879" s="24"/>
      <c r="D879" s="24"/>
      <c r="E879" s="24"/>
      <c r="F879" s="24"/>
      <c r="G879" s="24"/>
      <c r="H879" s="24"/>
      <c r="I879" s="24"/>
      <c r="J879" s="24"/>
      <c r="K879" s="24"/>
      <c r="L879" s="24"/>
      <c r="M879" s="24"/>
      <c r="N879" s="35"/>
      <c r="O879" s="24"/>
      <c r="P879" s="35"/>
      <c r="Q879" s="24"/>
      <c r="R879" s="24"/>
      <c r="S879" s="24"/>
      <c r="T879" s="24"/>
      <c r="U879" s="54"/>
      <c r="V879" s="54"/>
      <c r="W879" s="54"/>
      <c r="X879" s="54"/>
      <c r="Y879" s="54"/>
      <c r="Z879" s="54"/>
    </row>
    <row r="880" spans="1:26" ht="14.25" customHeight="1">
      <c r="A880" s="24"/>
      <c r="B880" s="24"/>
      <c r="C880" s="24"/>
      <c r="D880" s="24"/>
      <c r="E880" s="24"/>
      <c r="F880" s="24"/>
      <c r="G880" s="24"/>
      <c r="H880" s="24"/>
      <c r="I880" s="24"/>
      <c r="J880" s="24"/>
      <c r="K880" s="24"/>
      <c r="L880" s="24"/>
      <c r="M880" s="24"/>
      <c r="N880" s="35"/>
      <c r="O880" s="24"/>
      <c r="P880" s="35"/>
      <c r="Q880" s="24"/>
      <c r="R880" s="24"/>
      <c r="S880" s="24"/>
      <c r="T880" s="24"/>
      <c r="U880" s="54"/>
      <c r="V880" s="54"/>
      <c r="W880" s="54"/>
      <c r="X880" s="54"/>
      <c r="Y880" s="54"/>
      <c r="Z880" s="54"/>
    </row>
    <row r="881" spans="1:26" ht="14.25" customHeight="1">
      <c r="A881" s="24"/>
      <c r="B881" s="24"/>
      <c r="C881" s="24"/>
      <c r="D881" s="24"/>
      <c r="E881" s="24"/>
      <c r="F881" s="24"/>
      <c r="G881" s="24"/>
      <c r="H881" s="24"/>
      <c r="I881" s="24"/>
      <c r="J881" s="24"/>
      <c r="K881" s="24"/>
      <c r="L881" s="24"/>
      <c r="M881" s="24"/>
      <c r="N881" s="35"/>
      <c r="O881" s="24"/>
      <c r="P881" s="35"/>
      <c r="Q881" s="24"/>
      <c r="R881" s="24"/>
      <c r="S881" s="24"/>
      <c r="T881" s="24"/>
      <c r="U881" s="54"/>
      <c r="V881" s="54"/>
      <c r="W881" s="54"/>
      <c r="X881" s="54"/>
      <c r="Y881" s="54"/>
      <c r="Z881" s="54"/>
    </row>
    <row r="882" spans="1:26" ht="14.25" customHeight="1">
      <c r="A882" s="24"/>
      <c r="B882" s="24"/>
      <c r="C882" s="24"/>
      <c r="D882" s="24"/>
      <c r="E882" s="24"/>
      <c r="F882" s="24"/>
      <c r="G882" s="24"/>
      <c r="H882" s="24"/>
      <c r="I882" s="24"/>
      <c r="J882" s="24"/>
      <c r="K882" s="24"/>
      <c r="L882" s="24"/>
      <c r="M882" s="24"/>
      <c r="N882" s="35"/>
      <c r="O882" s="24"/>
      <c r="P882" s="35"/>
      <c r="Q882" s="24"/>
      <c r="R882" s="24"/>
      <c r="S882" s="24"/>
      <c r="T882" s="24"/>
      <c r="U882" s="54"/>
      <c r="V882" s="54"/>
      <c r="W882" s="54"/>
      <c r="X882" s="54"/>
      <c r="Y882" s="54"/>
      <c r="Z882" s="54"/>
    </row>
    <row r="883" spans="1:26" ht="14.25" customHeight="1">
      <c r="A883" s="24"/>
      <c r="B883" s="24"/>
      <c r="C883" s="24"/>
      <c r="D883" s="24"/>
      <c r="E883" s="24"/>
      <c r="F883" s="24"/>
      <c r="G883" s="24"/>
      <c r="H883" s="24"/>
      <c r="I883" s="24"/>
      <c r="J883" s="24"/>
      <c r="K883" s="24"/>
      <c r="L883" s="24"/>
      <c r="M883" s="24"/>
      <c r="N883" s="35"/>
      <c r="O883" s="24"/>
      <c r="P883" s="35"/>
      <c r="Q883" s="24"/>
      <c r="R883" s="24"/>
      <c r="S883" s="24"/>
      <c r="T883" s="24"/>
      <c r="U883" s="54"/>
      <c r="V883" s="54"/>
      <c r="W883" s="54"/>
      <c r="X883" s="54"/>
      <c r="Y883" s="54"/>
      <c r="Z883" s="54"/>
    </row>
    <row r="884" spans="1:26" ht="14.25" customHeight="1">
      <c r="A884" s="24"/>
      <c r="B884" s="24"/>
      <c r="C884" s="24"/>
      <c r="D884" s="24"/>
      <c r="E884" s="24"/>
      <c r="F884" s="24"/>
      <c r="G884" s="24"/>
      <c r="H884" s="24"/>
      <c r="I884" s="24"/>
      <c r="J884" s="24"/>
      <c r="K884" s="24"/>
      <c r="L884" s="24"/>
      <c r="M884" s="24"/>
      <c r="N884" s="35"/>
      <c r="O884" s="24"/>
      <c r="P884" s="35"/>
      <c r="Q884" s="24"/>
      <c r="R884" s="24"/>
      <c r="S884" s="24"/>
      <c r="T884" s="24"/>
      <c r="U884" s="54"/>
      <c r="V884" s="54"/>
      <c r="W884" s="54"/>
      <c r="X884" s="54"/>
      <c r="Y884" s="54"/>
      <c r="Z884" s="54"/>
    </row>
    <row r="885" spans="1:26" ht="14.25" customHeight="1">
      <c r="A885" s="24"/>
      <c r="B885" s="24"/>
      <c r="C885" s="24"/>
      <c r="D885" s="24"/>
      <c r="E885" s="24"/>
      <c r="F885" s="24"/>
      <c r="G885" s="24"/>
      <c r="H885" s="24"/>
      <c r="I885" s="24"/>
      <c r="J885" s="24"/>
      <c r="K885" s="24"/>
      <c r="L885" s="24"/>
      <c r="M885" s="24"/>
      <c r="N885" s="35"/>
      <c r="O885" s="24"/>
      <c r="P885" s="35"/>
      <c r="Q885" s="24"/>
      <c r="R885" s="24"/>
      <c r="S885" s="24"/>
      <c r="T885" s="24"/>
      <c r="U885" s="54"/>
      <c r="V885" s="54"/>
      <c r="W885" s="54"/>
      <c r="X885" s="54"/>
      <c r="Y885" s="54"/>
      <c r="Z885" s="54"/>
    </row>
    <row r="886" spans="1:26" ht="14.25" customHeight="1">
      <c r="A886" s="24"/>
      <c r="B886" s="24"/>
      <c r="C886" s="24"/>
      <c r="D886" s="24"/>
      <c r="E886" s="24"/>
      <c r="F886" s="24"/>
      <c r="G886" s="24"/>
      <c r="H886" s="24"/>
      <c r="I886" s="24"/>
      <c r="J886" s="24"/>
      <c r="K886" s="24"/>
      <c r="L886" s="24"/>
      <c r="M886" s="24"/>
      <c r="N886" s="35"/>
      <c r="O886" s="24"/>
      <c r="P886" s="35"/>
      <c r="Q886" s="24"/>
      <c r="R886" s="24"/>
      <c r="S886" s="24"/>
      <c r="T886" s="24"/>
      <c r="U886" s="54"/>
      <c r="V886" s="54"/>
      <c r="W886" s="54"/>
      <c r="X886" s="54"/>
      <c r="Y886" s="54"/>
      <c r="Z886" s="54"/>
    </row>
    <row r="887" spans="1:26" ht="14.25" customHeight="1">
      <c r="A887" s="24"/>
      <c r="B887" s="24"/>
      <c r="C887" s="24"/>
      <c r="D887" s="24"/>
      <c r="E887" s="24"/>
      <c r="F887" s="24"/>
      <c r="G887" s="24"/>
      <c r="H887" s="24"/>
      <c r="I887" s="24"/>
      <c r="J887" s="24"/>
      <c r="K887" s="24"/>
      <c r="L887" s="24"/>
      <c r="M887" s="24"/>
      <c r="N887" s="35"/>
      <c r="O887" s="24"/>
      <c r="P887" s="35"/>
      <c r="Q887" s="24"/>
      <c r="R887" s="24"/>
      <c r="S887" s="24"/>
      <c r="T887" s="24"/>
      <c r="U887" s="54"/>
      <c r="V887" s="54"/>
      <c r="W887" s="54"/>
      <c r="X887" s="54"/>
      <c r="Y887" s="54"/>
      <c r="Z887" s="54"/>
    </row>
    <row r="888" spans="1:26" ht="14.25" customHeight="1">
      <c r="A888" s="24"/>
      <c r="B888" s="24"/>
      <c r="C888" s="24"/>
      <c r="D888" s="24"/>
      <c r="E888" s="24"/>
      <c r="F888" s="24"/>
      <c r="G888" s="24"/>
      <c r="H888" s="24"/>
      <c r="I888" s="24"/>
      <c r="J888" s="24"/>
      <c r="K888" s="24"/>
      <c r="L888" s="24"/>
      <c r="M888" s="24"/>
      <c r="N888" s="35"/>
      <c r="O888" s="24"/>
      <c r="P888" s="35"/>
      <c r="Q888" s="24"/>
      <c r="R888" s="24"/>
      <c r="S888" s="24"/>
      <c r="T888" s="24"/>
      <c r="U888" s="54"/>
      <c r="V888" s="54"/>
      <c r="W888" s="54"/>
      <c r="X888" s="54"/>
      <c r="Y888" s="54"/>
      <c r="Z888" s="54"/>
    </row>
    <row r="889" spans="1:26" ht="14.25" customHeight="1">
      <c r="A889" s="24"/>
      <c r="B889" s="24"/>
      <c r="C889" s="24"/>
      <c r="D889" s="24"/>
      <c r="E889" s="24"/>
      <c r="F889" s="24"/>
      <c r="G889" s="24"/>
      <c r="H889" s="24"/>
      <c r="I889" s="24"/>
      <c r="J889" s="24"/>
      <c r="K889" s="24"/>
      <c r="L889" s="24"/>
      <c r="M889" s="24"/>
      <c r="N889" s="35"/>
      <c r="O889" s="24"/>
      <c r="P889" s="35"/>
      <c r="Q889" s="24"/>
      <c r="R889" s="24"/>
      <c r="S889" s="24"/>
      <c r="T889" s="24"/>
      <c r="U889" s="54"/>
      <c r="V889" s="54"/>
      <c r="W889" s="54"/>
      <c r="X889" s="54"/>
      <c r="Y889" s="54"/>
      <c r="Z889" s="54"/>
    </row>
    <row r="890" spans="1:26" ht="14.25" customHeight="1">
      <c r="A890" s="24"/>
      <c r="B890" s="24"/>
      <c r="C890" s="24"/>
      <c r="D890" s="24"/>
      <c r="E890" s="24"/>
      <c r="F890" s="24"/>
      <c r="G890" s="24"/>
      <c r="H890" s="24"/>
      <c r="I890" s="24"/>
      <c r="J890" s="24"/>
      <c r="K890" s="24"/>
      <c r="L890" s="24"/>
      <c r="M890" s="24"/>
      <c r="N890" s="35"/>
      <c r="O890" s="24"/>
      <c r="P890" s="35"/>
      <c r="Q890" s="24"/>
      <c r="R890" s="24"/>
      <c r="S890" s="24"/>
      <c r="T890" s="24"/>
      <c r="U890" s="54"/>
      <c r="V890" s="54"/>
      <c r="W890" s="54"/>
      <c r="X890" s="54"/>
      <c r="Y890" s="54"/>
      <c r="Z890" s="54"/>
    </row>
    <row r="891" spans="1:26" ht="14.25" customHeight="1">
      <c r="A891" s="24"/>
      <c r="B891" s="24"/>
      <c r="C891" s="24"/>
      <c r="D891" s="24"/>
      <c r="E891" s="24"/>
      <c r="F891" s="24"/>
      <c r="G891" s="24"/>
      <c r="H891" s="24"/>
      <c r="I891" s="24"/>
      <c r="J891" s="24"/>
      <c r="K891" s="24"/>
      <c r="L891" s="24"/>
      <c r="M891" s="24"/>
      <c r="N891" s="35"/>
      <c r="O891" s="24"/>
      <c r="P891" s="35"/>
      <c r="Q891" s="24"/>
      <c r="R891" s="24"/>
      <c r="S891" s="24"/>
      <c r="T891" s="24"/>
      <c r="U891" s="54"/>
      <c r="V891" s="54"/>
      <c r="W891" s="54"/>
      <c r="X891" s="54"/>
      <c r="Y891" s="54"/>
      <c r="Z891" s="54"/>
    </row>
    <row r="892" spans="1:26" ht="14.25" customHeight="1">
      <c r="A892" s="24"/>
      <c r="B892" s="24"/>
      <c r="C892" s="24"/>
      <c r="D892" s="24"/>
      <c r="E892" s="24"/>
      <c r="F892" s="24"/>
      <c r="G892" s="24"/>
      <c r="H892" s="24"/>
      <c r="I892" s="24"/>
      <c r="J892" s="24"/>
      <c r="K892" s="24"/>
      <c r="L892" s="24"/>
      <c r="M892" s="24"/>
      <c r="N892" s="35"/>
      <c r="O892" s="24"/>
      <c r="P892" s="35"/>
      <c r="Q892" s="24"/>
      <c r="R892" s="24"/>
      <c r="S892" s="24"/>
      <c r="T892" s="24"/>
      <c r="U892" s="54"/>
      <c r="V892" s="54"/>
      <c r="W892" s="54"/>
      <c r="X892" s="54"/>
      <c r="Y892" s="54"/>
      <c r="Z892" s="54"/>
    </row>
    <row r="893" spans="1:26" ht="14.25" customHeight="1">
      <c r="A893" s="24"/>
      <c r="B893" s="24"/>
      <c r="C893" s="24"/>
      <c r="D893" s="24"/>
      <c r="E893" s="24"/>
      <c r="F893" s="24"/>
      <c r="G893" s="24"/>
      <c r="H893" s="24"/>
      <c r="I893" s="24"/>
      <c r="J893" s="24"/>
      <c r="K893" s="24"/>
      <c r="L893" s="24"/>
      <c r="M893" s="24"/>
      <c r="N893" s="35"/>
      <c r="O893" s="24"/>
      <c r="P893" s="35"/>
      <c r="Q893" s="24"/>
      <c r="R893" s="24"/>
      <c r="S893" s="24"/>
      <c r="T893" s="24"/>
      <c r="U893" s="54"/>
      <c r="V893" s="54"/>
      <c r="W893" s="54"/>
      <c r="X893" s="54"/>
      <c r="Y893" s="54"/>
      <c r="Z893" s="54"/>
    </row>
    <row r="894" spans="1:26" ht="14.25" customHeight="1">
      <c r="A894" s="24"/>
      <c r="B894" s="24"/>
      <c r="C894" s="24"/>
      <c r="D894" s="24"/>
      <c r="E894" s="24"/>
      <c r="F894" s="24"/>
      <c r="G894" s="24"/>
      <c r="H894" s="24"/>
      <c r="I894" s="24"/>
      <c r="J894" s="24"/>
      <c r="K894" s="24"/>
      <c r="L894" s="24"/>
      <c r="M894" s="24"/>
      <c r="N894" s="35"/>
      <c r="O894" s="24"/>
      <c r="P894" s="35"/>
      <c r="Q894" s="24"/>
      <c r="R894" s="24"/>
      <c r="S894" s="24"/>
      <c r="T894" s="24"/>
      <c r="U894" s="54"/>
      <c r="V894" s="54"/>
      <c r="W894" s="54"/>
      <c r="X894" s="54"/>
      <c r="Y894" s="54"/>
      <c r="Z894" s="54"/>
    </row>
    <row r="895" spans="1:26" ht="14.25" customHeight="1">
      <c r="A895" s="24"/>
      <c r="B895" s="24"/>
      <c r="C895" s="24"/>
      <c r="D895" s="24"/>
      <c r="E895" s="24"/>
      <c r="F895" s="24"/>
      <c r="G895" s="24"/>
      <c r="H895" s="24"/>
      <c r="I895" s="24"/>
      <c r="J895" s="24"/>
      <c r="K895" s="24"/>
      <c r="L895" s="24"/>
      <c r="M895" s="24"/>
      <c r="N895" s="35"/>
      <c r="O895" s="24"/>
      <c r="P895" s="35"/>
      <c r="Q895" s="24"/>
      <c r="R895" s="24"/>
      <c r="S895" s="24"/>
      <c r="T895" s="24"/>
      <c r="U895" s="54"/>
      <c r="V895" s="54"/>
      <c r="W895" s="54"/>
      <c r="X895" s="54"/>
      <c r="Y895" s="54"/>
      <c r="Z895" s="54"/>
    </row>
    <row r="896" spans="1:26" ht="14.25" customHeight="1">
      <c r="A896" s="24"/>
      <c r="B896" s="24"/>
      <c r="C896" s="24"/>
      <c r="D896" s="24"/>
      <c r="E896" s="24"/>
      <c r="F896" s="24"/>
      <c r="G896" s="24"/>
      <c r="H896" s="24"/>
      <c r="I896" s="24"/>
      <c r="J896" s="24"/>
      <c r="K896" s="24"/>
      <c r="L896" s="24"/>
      <c r="M896" s="24"/>
      <c r="N896" s="35"/>
      <c r="O896" s="24"/>
      <c r="P896" s="35"/>
      <c r="Q896" s="24"/>
      <c r="R896" s="24"/>
      <c r="S896" s="24"/>
      <c r="T896" s="24"/>
      <c r="U896" s="54"/>
      <c r="V896" s="54"/>
      <c r="W896" s="54"/>
      <c r="X896" s="54"/>
      <c r="Y896" s="54"/>
      <c r="Z896" s="54"/>
    </row>
    <row r="897" spans="1:26" ht="14.25" customHeight="1">
      <c r="A897" s="24"/>
      <c r="B897" s="24"/>
      <c r="C897" s="24"/>
      <c r="D897" s="24"/>
      <c r="E897" s="24"/>
      <c r="F897" s="24"/>
      <c r="G897" s="24"/>
      <c r="H897" s="24"/>
      <c r="I897" s="24"/>
      <c r="J897" s="24"/>
      <c r="K897" s="24"/>
      <c r="L897" s="24"/>
      <c r="M897" s="24"/>
      <c r="N897" s="35"/>
      <c r="O897" s="24"/>
      <c r="P897" s="35"/>
      <c r="Q897" s="24"/>
      <c r="R897" s="24"/>
      <c r="S897" s="24"/>
      <c r="T897" s="24"/>
      <c r="U897" s="54"/>
      <c r="V897" s="54"/>
      <c r="W897" s="54"/>
      <c r="X897" s="54"/>
      <c r="Y897" s="54"/>
      <c r="Z897" s="54"/>
    </row>
    <row r="898" spans="1:26" ht="14.25" customHeight="1">
      <c r="A898" s="24"/>
      <c r="B898" s="24"/>
      <c r="C898" s="24"/>
      <c r="D898" s="24"/>
      <c r="E898" s="24"/>
      <c r="F898" s="24"/>
      <c r="G898" s="24"/>
      <c r="H898" s="24"/>
      <c r="I898" s="24"/>
      <c r="J898" s="24"/>
      <c r="K898" s="24"/>
      <c r="L898" s="24"/>
      <c r="M898" s="24"/>
      <c r="N898" s="35"/>
      <c r="O898" s="24"/>
      <c r="P898" s="35"/>
      <c r="Q898" s="24"/>
      <c r="R898" s="24"/>
      <c r="S898" s="24"/>
      <c r="T898" s="24"/>
      <c r="U898" s="54"/>
      <c r="V898" s="54"/>
      <c r="W898" s="54"/>
      <c r="X898" s="54"/>
      <c r="Y898" s="54"/>
      <c r="Z898" s="54"/>
    </row>
    <row r="899" spans="1:26" ht="14.25" customHeight="1">
      <c r="A899" s="24"/>
      <c r="B899" s="24"/>
      <c r="C899" s="24"/>
      <c r="D899" s="24"/>
      <c r="E899" s="24"/>
      <c r="F899" s="24"/>
      <c r="G899" s="24"/>
      <c r="H899" s="24"/>
      <c r="I899" s="24"/>
      <c r="J899" s="24"/>
      <c r="K899" s="24"/>
      <c r="L899" s="24"/>
      <c r="M899" s="24"/>
      <c r="N899" s="35"/>
      <c r="O899" s="24"/>
      <c r="P899" s="35"/>
      <c r="Q899" s="24"/>
      <c r="R899" s="24"/>
      <c r="S899" s="24"/>
      <c r="T899" s="24"/>
      <c r="U899" s="54"/>
      <c r="V899" s="54"/>
      <c r="W899" s="54"/>
      <c r="X899" s="54"/>
      <c r="Y899" s="54"/>
      <c r="Z899" s="54"/>
    </row>
    <row r="900" spans="1:26" ht="14.25" customHeight="1">
      <c r="A900" s="24"/>
      <c r="B900" s="24"/>
      <c r="C900" s="24"/>
      <c r="D900" s="24"/>
      <c r="E900" s="24"/>
      <c r="F900" s="24"/>
      <c r="G900" s="24"/>
      <c r="H900" s="24"/>
      <c r="I900" s="24"/>
      <c r="J900" s="24"/>
      <c r="K900" s="24"/>
      <c r="L900" s="24"/>
      <c r="M900" s="24"/>
      <c r="N900" s="35"/>
      <c r="O900" s="24"/>
      <c r="P900" s="35"/>
      <c r="Q900" s="24"/>
      <c r="R900" s="24"/>
      <c r="S900" s="24"/>
      <c r="T900" s="24"/>
      <c r="U900" s="54"/>
      <c r="V900" s="54"/>
      <c r="W900" s="54"/>
      <c r="X900" s="54"/>
      <c r="Y900" s="54"/>
      <c r="Z900" s="54"/>
    </row>
    <row r="901" spans="1:26" ht="14.25" customHeight="1">
      <c r="A901" s="24"/>
      <c r="B901" s="24"/>
      <c r="C901" s="24"/>
      <c r="D901" s="24"/>
      <c r="E901" s="24"/>
      <c r="F901" s="24"/>
      <c r="G901" s="24"/>
      <c r="H901" s="24"/>
      <c r="I901" s="24"/>
      <c r="J901" s="24"/>
      <c r="K901" s="24"/>
      <c r="L901" s="24"/>
      <c r="M901" s="24"/>
      <c r="N901" s="35"/>
      <c r="O901" s="24"/>
      <c r="P901" s="35"/>
      <c r="Q901" s="24"/>
      <c r="R901" s="24"/>
      <c r="S901" s="24"/>
      <c r="T901" s="24"/>
      <c r="U901" s="54"/>
      <c r="V901" s="54"/>
      <c r="W901" s="54"/>
      <c r="X901" s="54"/>
      <c r="Y901" s="54"/>
      <c r="Z901" s="54"/>
    </row>
    <row r="902" spans="1:26" ht="14.25" customHeight="1">
      <c r="A902" s="24"/>
      <c r="B902" s="24"/>
      <c r="C902" s="24"/>
      <c r="D902" s="24"/>
      <c r="E902" s="24"/>
      <c r="F902" s="24"/>
      <c r="G902" s="24"/>
      <c r="H902" s="24"/>
      <c r="I902" s="24"/>
      <c r="J902" s="24"/>
      <c r="K902" s="24"/>
      <c r="L902" s="24"/>
      <c r="M902" s="24"/>
      <c r="N902" s="35"/>
      <c r="O902" s="24"/>
      <c r="P902" s="35"/>
      <c r="Q902" s="24"/>
      <c r="R902" s="24"/>
      <c r="S902" s="24"/>
      <c r="T902" s="24"/>
      <c r="U902" s="54"/>
      <c r="V902" s="54"/>
      <c r="W902" s="54"/>
      <c r="X902" s="54"/>
      <c r="Y902" s="54"/>
      <c r="Z902" s="54"/>
    </row>
    <row r="903" spans="1:26" ht="14.25" customHeight="1">
      <c r="A903" s="24"/>
      <c r="B903" s="24"/>
      <c r="C903" s="24"/>
      <c r="D903" s="24"/>
      <c r="E903" s="24"/>
      <c r="F903" s="24"/>
      <c r="G903" s="24"/>
      <c r="H903" s="24"/>
      <c r="I903" s="24"/>
      <c r="J903" s="24"/>
      <c r="K903" s="24"/>
      <c r="L903" s="24"/>
      <c r="M903" s="24"/>
      <c r="N903" s="35"/>
      <c r="O903" s="24"/>
      <c r="P903" s="35"/>
      <c r="Q903" s="24"/>
      <c r="R903" s="24"/>
      <c r="S903" s="24"/>
      <c r="T903" s="24"/>
      <c r="U903" s="54"/>
      <c r="V903" s="54"/>
      <c r="W903" s="54"/>
      <c r="X903" s="54"/>
      <c r="Y903" s="54"/>
      <c r="Z903" s="54"/>
    </row>
    <row r="904" spans="1:26" ht="14.25" customHeight="1">
      <c r="A904" s="24"/>
      <c r="B904" s="24"/>
      <c r="C904" s="24"/>
      <c r="D904" s="24"/>
      <c r="E904" s="24"/>
      <c r="F904" s="24"/>
      <c r="G904" s="24"/>
      <c r="H904" s="24"/>
      <c r="I904" s="24"/>
      <c r="J904" s="24"/>
      <c r="K904" s="24"/>
      <c r="L904" s="24"/>
      <c r="M904" s="24"/>
      <c r="N904" s="35"/>
      <c r="O904" s="24"/>
      <c r="P904" s="35"/>
      <c r="Q904" s="24"/>
      <c r="R904" s="24"/>
      <c r="S904" s="24"/>
      <c r="T904" s="24"/>
      <c r="U904" s="54"/>
      <c r="V904" s="54"/>
      <c r="W904" s="54"/>
      <c r="X904" s="54"/>
      <c r="Y904" s="54"/>
      <c r="Z904" s="54"/>
    </row>
    <row r="905" spans="1:26" ht="14.25" customHeight="1">
      <c r="A905" s="24"/>
      <c r="B905" s="24"/>
      <c r="C905" s="24"/>
      <c r="D905" s="24"/>
      <c r="E905" s="24"/>
      <c r="F905" s="24"/>
      <c r="G905" s="24"/>
      <c r="H905" s="24"/>
      <c r="I905" s="24"/>
      <c r="J905" s="24"/>
      <c r="K905" s="24"/>
      <c r="L905" s="24"/>
      <c r="M905" s="24"/>
      <c r="N905" s="35"/>
      <c r="O905" s="24"/>
      <c r="P905" s="35"/>
      <c r="Q905" s="24"/>
      <c r="R905" s="24"/>
      <c r="S905" s="24"/>
      <c r="T905" s="24"/>
      <c r="U905" s="54"/>
      <c r="V905" s="54"/>
      <c r="W905" s="54"/>
      <c r="X905" s="54"/>
      <c r="Y905" s="54"/>
      <c r="Z905" s="54"/>
    </row>
    <row r="906" spans="1:26" ht="14.25" customHeight="1">
      <c r="A906" s="24"/>
      <c r="B906" s="24"/>
      <c r="C906" s="24"/>
      <c r="D906" s="24"/>
      <c r="E906" s="24"/>
      <c r="F906" s="24"/>
      <c r="G906" s="24"/>
      <c r="H906" s="24"/>
      <c r="I906" s="24"/>
      <c r="J906" s="24"/>
      <c r="K906" s="24"/>
      <c r="L906" s="24"/>
      <c r="M906" s="24"/>
      <c r="N906" s="35"/>
      <c r="O906" s="24"/>
      <c r="P906" s="35"/>
      <c r="Q906" s="24"/>
      <c r="R906" s="24"/>
      <c r="S906" s="24"/>
      <c r="T906" s="24"/>
      <c r="U906" s="54"/>
      <c r="V906" s="54"/>
      <c r="W906" s="54"/>
      <c r="X906" s="54"/>
      <c r="Y906" s="54"/>
      <c r="Z906" s="54"/>
    </row>
    <row r="907" spans="1:26" ht="14.25" customHeight="1">
      <c r="A907" s="24"/>
      <c r="B907" s="24"/>
      <c r="C907" s="24"/>
      <c r="D907" s="24"/>
      <c r="E907" s="24"/>
      <c r="F907" s="24"/>
      <c r="G907" s="24"/>
      <c r="H907" s="24"/>
      <c r="I907" s="24"/>
      <c r="J907" s="24"/>
      <c r="K907" s="24"/>
      <c r="L907" s="24"/>
      <c r="M907" s="24"/>
      <c r="N907" s="35"/>
      <c r="O907" s="24"/>
      <c r="P907" s="35"/>
      <c r="Q907" s="24"/>
      <c r="R907" s="24"/>
      <c r="S907" s="24"/>
      <c r="T907" s="24"/>
      <c r="U907" s="54"/>
      <c r="V907" s="54"/>
      <c r="W907" s="54"/>
      <c r="X907" s="54"/>
      <c r="Y907" s="54"/>
      <c r="Z907" s="54"/>
    </row>
    <row r="908" spans="1:26" ht="14.25" customHeight="1">
      <c r="A908" s="24"/>
      <c r="B908" s="24"/>
      <c r="C908" s="24"/>
      <c r="D908" s="24"/>
      <c r="E908" s="24"/>
      <c r="F908" s="24"/>
      <c r="G908" s="24"/>
      <c r="H908" s="24"/>
      <c r="I908" s="24"/>
      <c r="J908" s="24"/>
      <c r="K908" s="24"/>
      <c r="L908" s="24"/>
      <c r="M908" s="24"/>
      <c r="N908" s="35"/>
      <c r="O908" s="24"/>
      <c r="P908" s="35"/>
      <c r="Q908" s="24"/>
      <c r="R908" s="24"/>
      <c r="S908" s="24"/>
      <c r="T908" s="24"/>
      <c r="U908" s="54"/>
      <c r="V908" s="54"/>
      <c r="W908" s="54"/>
      <c r="X908" s="54"/>
      <c r="Y908" s="54"/>
      <c r="Z908" s="54"/>
    </row>
    <row r="909" spans="1:26" ht="14.25" customHeight="1">
      <c r="A909" s="24"/>
      <c r="B909" s="24"/>
      <c r="C909" s="24"/>
      <c r="D909" s="24"/>
      <c r="E909" s="24"/>
      <c r="F909" s="24"/>
      <c r="G909" s="24"/>
      <c r="H909" s="24"/>
      <c r="I909" s="24"/>
      <c r="J909" s="24"/>
      <c r="K909" s="24"/>
      <c r="L909" s="24"/>
      <c r="M909" s="24"/>
      <c r="N909" s="35"/>
      <c r="O909" s="24"/>
      <c r="P909" s="35"/>
      <c r="Q909" s="24"/>
      <c r="R909" s="24"/>
      <c r="S909" s="24"/>
      <c r="T909" s="24"/>
      <c r="U909" s="54"/>
      <c r="V909" s="54"/>
      <c r="W909" s="54"/>
      <c r="X909" s="54"/>
      <c r="Y909" s="54"/>
      <c r="Z909" s="54"/>
    </row>
    <row r="910" spans="1:26" ht="14.25" customHeight="1">
      <c r="A910" s="24"/>
      <c r="B910" s="24"/>
      <c r="C910" s="24"/>
      <c r="D910" s="24"/>
      <c r="E910" s="24"/>
      <c r="F910" s="24"/>
      <c r="G910" s="24"/>
      <c r="H910" s="24"/>
      <c r="I910" s="24"/>
      <c r="J910" s="24"/>
      <c r="K910" s="24"/>
      <c r="L910" s="24"/>
      <c r="M910" s="24"/>
      <c r="N910" s="35"/>
      <c r="O910" s="24"/>
      <c r="P910" s="35"/>
      <c r="Q910" s="24"/>
      <c r="R910" s="24"/>
      <c r="S910" s="24"/>
      <c r="T910" s="24"/>
      <c r="U910" s="54"/>
      <c r="V910" s="54"/>
      <c r="W910" s="54"/>
      <c r="X910" s="54"/>
      <c r="Y910" s="54"/>
      <c r="Z910" s="54"/>
    </row>
    <row r="911" spans="1:26" ht="14.25" customHeight="1">
      <c r="A911" s="24"/>
      <c r="B911" s="24"/>
      <c r="C911" s="24"/>
      <c r="D911" s="24"/>
      <c r="E911" s="24"/>
      <c r="F911" s="24"/>
      <c r="G911" s="24"/>
      <c r="H911" s="24"/>
      <c r="I911" s="24"/>
      <c r="J911" s="24"/>
      <c r="K911" s="24"/>
      <c r="L911" s="24"/>
      <c r="M911" s="24"/>
      <c r="N911" s="35"/>
      <c r="O911" s="24"/>
      <c r="P911" s="35"/>
      <c r="Q911" s="24"/>
      <c r="R911" s="24"/>
      <c r="S911" s="24"/>
      <c r="T911" s="24"/>
      <c r="U911" s="54"/>
      <c r="V911" s="54"/>
      <c r="W911" s="54"/>
      <c r="X911" s="54"/>
      <c r="Y911" s="54"/>
      <c r="Z911" s="54"/>
    </row>
    <row r="912" spans="1:26" ht="14.25" customHeight="1">
      <c r="A912" s="24"/>
      <c r="B912" s="24"/>
      <c r="C912" s="24"/>
      <c r="D912" s="24"/>
      <c r="E912" s="24"/>
      <c r="F912" s="24"/>
      <c r="G912" s="24"/>
      <c r="H912" s="24"/>
      <c r="I912" s="24"/>
      <c r="J912" s="24"/>
      <c r="K912" s="24"/>
      <c r="L912" s="24"/>
      <c r="M912" s="24"/>
      <c r="N912" s="35"/>
      <c r="O912" s="24"/>
      <c r="P912" s="35"/>
      <c r="Q912" s="24"/>
      <c r="R912" s="24"/>
      <c r="S912" s="24"/>
      <c r="T912" s="24"/>
      <c r="U912" s="54"/>
      <c r="V912" s="54"/>
      <c r="W912" s="54"/>
      <c r="X912" s="54"/>
      <c r="Y912" s="54"/>
      <c r="Z912" s="54"/>
    </row>
    <row r="913" spans="1:26" ht="14.25" customHeight="1">
      <c r="A913" s="24"/>
      <c r="B913" s="24"/>
      <c r="C913" s="24"/>
      <c r="D913" s="24"/>
      <c r="E913" s="24"/>
      <c r="F913" s="24"/>
      <c r="G913" s="24"/>
      <c r="H913" s="24"/>
      <c r="I913" s="24"/>
      <c r="J913" s="24"/>
      <c r="K913" s="24"/>
      <c r="L913" s="24"/>
      <c r="M913" s="24"/>
      <c r="N913" s="35"/>
      <c r="O913" s="24"/>
      <c r="P913" s="35"/>
      <c r="Q913" s="24"/>
      <c r="R913" s="24"/>
      <c r="S913" s="24"/>
      <c r="T913" s="24"/>
      <c r="U913" s="54"/>
      <c r="V913" s="54"/>
      <c r="W913" s="54"/>
      <c r="X913" s="54"/>
      <c r="Y913" s="54"/>
      <c r="Z913" s="54"/>
    </row>
    <row r="914" spans="1:26" ht="14.25" customHeight="1">
      <c r="A914" s="24"/>
      <c r="B914" s="24"/>
      <c r="C914" s="24"/>
      <c r="D914" s="24"/>
      <c r="E914" s="24"/>
      <c r="F914" s="24"/>
      <c r="G914" s="24"/>
      <c r="H914" s="24"/>
      <c r="I914" s="24"/>
      <c r="J914" s="24"/>
      <c r="K914" s="24"/>
      <c r="L914" s="24"/>
      <c r="M914" s="24"/>
      <c r="N914" s="35"/>
      <c r="O914" s="24"/>
      <c r="P914" s="35"/>
      <c r="Q914" s="24"/>
      <c r="R914" s="24"/>
      <c r="S914" s="24"/>
      <c r="T914" s="24"/>
      <c r="U914" s="54"/>
      <c r="V914" s="54"/>
      <c r="W914" s="54"/>
      <c r="X914" s="54"/>
      <c r="Y914" s="54"/>
      <c r="Z914" s="54"/>
    </row>
    <row r="915" spans="1:26" ht="14.25" customHeight="1">
      <c r="A915" s="24"/>
      <c r="B915" s="24"/>
      <c r="C915" s="24"/>
      <c r="D915" s="24"/>
      <c r="E915" s="24"/>
      <c r="F915" s="24"/>
      <c r="G915" s="24"/>
      <c r="H915" s="24"/>
      <c r="I915" s="24"/>
      <c r="J915" s="24"/>
      <c r="K915" s="24"/>
      <c r="L915" s="24"/>
      <c r="M915" s="24"/>
      <c r="N915" s="35"/>
      <c r="O915" s="24"/>
      <c r="P915" s="35"/>
      <c r="Q915" s="24"/>
      <c r="R915" s="24"/>
      <c r="S915" s="24"/>
      <c r="T915" s="24"/>
      <c r="U915" s="54"/>
      <c r="V915" s="54"/>
      <c r="W915" s="54"/>
      <c r="X915" s="54"/>
      <c r="Y915" s="54"/>
      <c r="Z915" s="54"/>
    </row>
    <row r="916" spans="1:26" ht="14.25" customHeight="1">
      <c r="A916" s="24"/>
      <c r="B916" s="24"/>
      <c r="C916" s="24"/>
      <c r="D916" s="24"/>
      <c r="E916" s="24"/>
      <c r="F916" s="24"/>
      <c r="G916" s="24"/>
      <c r="H916" s="24"/>
      <c r="I916" s="24"/>
      <c r="J916" s="24"/>
      <c r="K916" s="24"/>
      <c r="L916" s="24"/>
      <c r="M916" s="24"/>
      <c r="N916" s="35"/>
      <c r="O916" s="24"/>
      <c r="P916" s="35"/>
      <c r="Q916" s="24"/>
      <c r="R916" s="24"/>
      <c r="S916" s="24"/>
      <c r="T916" s="24"/>
      <c r="U916" s="54"/>
      <c r="V916" s="54"/>
      <c r="W916" s="54"/>
      <c r="X916" s="54"/>
      <c r="Y916" s="54"/>
      <c r="Z916" s="54"/>
    </row>
    <row r="917" spans="1:26" ht="14.25" customHeight="1">
      <c r="A917" s="24"/>
      <c r="B917" s="24"/>
      <c r="C917" s="24"/>
      <c r="D917" s="24"/>
      <c r="E917" s="24"/>
      <c r="F917" s="24"/>
      <c r="G917" s="24"/>
      <c r="H917" s="24"/>
      <c r="I917" s="24"/>
      <c r="J917" s="24"/>
      <c r="K917" s="24"/>
      <c r="L917" s="24"/>
      <c r="M917" s="24"/>
      <c r="N917" s="35"/>
      <c r="O917" s="24"/>
      <c r="P917" s="35"/>
      <c r="Q917" s="24"/>
      <c r="R917" s="24"/>
      <c r="S917" s="24"/>
      <c r="T917" s="24"/>
      <c r="U917" s="54"/>
      <c r="V917" s="54"/>
      <c r="W917" s="54"/>
      <c r="X917" s="54"/>
      <c r="Y917" s="54"/>
      <c r="Z917" s="54"/>
    </row>
    <row r="918" spans="1:26" ht="14.25" customHeight="1">
      <c r="A918" s="24"/>
      <c r="B918" s="24"/>
      <c r="C918" s="24"/>
      <c r="D918" s="24"/>
      <c r="E918" s="24"/>
      <c r="F918" s="24"/>
      <c r="G918" s="24"/>
      <c r="H918" s="24"/>
      <c r="I918" s="24"/>
      <c r="J918" s="24"/>
      <c r="K918" s="24"/>
      <c r="L918" s="24"/>
      <c r="M918" s="24"/>
      <c r="N918" s="35"/>
      <c r="O918" s="24"/>
      <c r="P918" s="35"/>
      <c r="Q918" s="24"/>
      <c r="R918" s="24"/>
      <c r="S918" s="24"/>
      <c r="T918" s="24"/>
      <c r="U918" s="54"/>
      <c r="V918" s="54"/>
      <c r="W918" s="54"/>
      <c r="X918" s="54"/>
      <c r="Y918" s="54"/>
      <c r="Z918" s="54"/>
    </row>
    <row r="919" spans="1:26" ht="14.25" customHeight="1">
      <c r="A919" s="24"/>
      <c r="B919" s="24"/>
      <c r="C919" s="24"/>
      <c r="D919" s="24"/>
      <c r="E919" s="24"/>
      <c r="F919" s="24"/>
      <c r="G919" s="24"/>
      <c r="H919" s="24"/>
      <c r="I919" s="24"/>
      <c r="J919" s="24"/>
      <c r="K919" s="24"/>
      <c r="L919" s="24"/>
      <c r="M919" s="24"/>
      <c r="N919" s="35"/>
      <c r="O919" s="24"/>
      <c r="P919" s="35"/>
      <c r="Q919" s="24"/>
      <c r="R919" s="24"/>
      <c r="S919" s="24"/>
      <c r="T919" s="24"/>
      <c r="U919" s="54"/>
      <c r="V919" s="54"/>
      <c r="W919" s="54"/>
      <c r="X919" s="54"/>
      <c r="Y919" s="54"/>
      <c r="Z919" s="54"/>
    </row>
    <row r="920" spans="1:26" ht="14.25" customHeight="1">
      <c r="A920" s="24"/>
      <c r="B920" s="24"/>
      <c r="C920" s="24"/>
      <c r="D920" s="24"/>
      <c r="E920" s="24"/>
      <c r="F920" s="24"/>
      <c r="G920" s="24"/>
      <c r="H920" s="24"/>
      <c r="I920" s="24"/>
      <c r="J920" s="24"/>
      <c r="K920" s="24"/>
      <c r="L920" s="24"/>
      <c r="M920" s="24"/>
      <c r="N920" s="35"/>
      <c r="O920" s="24"/>
      <c r="P920" s="35"/>
      <c r="Q920" s="24"/>
      <c r="R920" s="24"/>
      <c r="S920" s="24"/>
      <c r="T920" s="24"/>
      <c r="U920" s="54"/>
      <c r="V920" s="54"/>
      <c r="W920" s="54"/>
      <c r="X920" s="54"/>
      <c r="Y920" s="54"/>
      <c r="Z920" s="54"/>
    </row>
    <row r="921" spans="1:26" ht="14.25" customHeight="1">
      <c r="A921" s="24"/>
      <c r="B921" s="24"/>
      <c r="C921" s="24"/>
      <c r="D921" s="24"/>
      <c r="E921" s="24"/>
      <c r="F921" s="24"/>
      <c r="G921" s="24"/>
      <c r="H921" s="24"/>
      <c r="I921" s="24"/>
      <c r="J921" s="24"/>
      <c r="K921" s="24"/>
      <c r="L921" s="24"/>
      <c r="M921" s="24"/>
      <c r="N921" s="35"/>
      <c r="O921" s="24"/>
      <c r="P921" s="35"/>
      <c r="Q921" s="24"/>
      <c r="R921" s="24"/>
      <c r="S921" s="24"/>
      <c r="T921" s="24"/>
      <c r="U921" s="54"/>
      <c r="V921" s="54"/>
      <c r="W921" s="54"/>
      <c r="X921" s="54"/>
      <c r="Y921" s="54"/>
      <c r="Z921" s="54"/>
    </row>
    <row r="922" spans="1:26" ht="14.25" customHeight="1">
      <c r="A922" s="24"/>
      <c r="B922" s="24"/>
      <c r="C922" s="24"/>
      <c r="D922" s="24"/>
      <c r="E922" s="24"/>
      <c r="F922" s="24"/>
      <c r="G922" s="24"/>
      <c r="H922" s="24"/>
      <c r="I922" s="24"/>
      <c r="J922" s="24"/>
      <c r="K922" s="24"/>
      <c r="L922" s="24"/>
      <c r="M922" s="24"/>
      <c r="N922" s="35"/>
      <c r="O922" s="24"/>
      <c r="P922" s="35"/>
      <c r="Q922" s="24"/>
      <c r="R922" s="24"/>
      <c r="S922" s="24"/>
      <c r="T922" s="24"/>
      <c r="U922" s="54"/>
      <c r="V922" s="54"/>
      <c r="W922" s="54"/>
      <c r="X922" s="54"/>
      <c r="Y922" s="54"/>
      <c r="Z922" s="54"/>
    </row>
    <row r="923" spans="1:26" ht="14.25" customHeight="1">
      <c r="A923" s="24"/>
      <c r="B923" s="24"/>
      <c r="C923" s="24"/>
      <c r="D923" s="24"/>
      <c r="E923" s="24"/>
      <c r="F923" s="24"/>
      <c r="G923" s="24"/>
      <c r="H923" s="24"/>
      <c r="I923" s="24"/>
      <c r="J923" s="24"/>
      <c r="K923" s="24"/>
      <c r="L923" s="24"/>
      <c r="M923" s="24"/>
      <c r="N923" s="35"/>
      <c r="O923" s="24"/>
      <c r="P923" s="35"/>
      <c r="Q923" s="24"/>
      <c r="R923" s="24"/>
      <c r="S923" s="24"/>
      <c r="T923" s="24"/>
      <c r="U923" s="54"/>
      <c r="V923" s="54"/>
      <c r="W923" s="54"/>
      <c r="X923" s="54"/>
      <c r="Y923" s="54"/>
      <c r="Z923" s="54"/>
    </row>
    <row r="924" spans="1:26" ht="14.25" customHeight="1">
      <c r="A924" s="24"/>
      <c r="B924" s="24"/>
      <c r="C924" s="24"/>
      <c r="D924" s="24"/>
      <c r="E924" s="24"/>
      <c r="F924" s="24"/>
      <c r="G924" s="24"/>
      <c r="H924" s="24"/>
      <c r="I924" s="24"/>
      <c r="J924" s="24"/>
      <c r="K924" s="24"/>
      <c r="L924" s="24"/>
      <c r="M924" s="24"/>
      <c r="N924" s="35"/>
      <c r="O924" s="24"/>
      <c r="P924" s="35"/>
      <c r="Q924" s="24"/>
      <c r="R924" s="24"/>
      <c r="S924" s="24"/>
      <c r="T924" s="24"/>
      <c r="U924" s="54"/>
      <c r="V924" s="54"/>
      <c r="W924" s="54"/>
      <c r="X924" s="54"/>
      <c r="Y924" s="54"/>
      <c r="Z924" s="54"/>
    </row>
    <row r="925" spans="1:26" ht="14.25" customHeight="1">
      <c r="A925" s="24"/>
      <c r="B925" s="24"/>
      <c r="C925" s="24"/>
      <c r="D925" s="24"/>
      <c r="E925" s="24"/>
      <c r="F925" s="24"/>
      <c r="G925" s="24"/>
      <c r="H925" s="24"/>
      <c r="I925" s="24"/>
      <c r="J925" s="24"/>
      <c r="K925" s="24"/>
      <c r="L925" s="24"/>
      <c r="M925" s="24"/>
      <c r="N925" s="35"/>
      <c r="O925" s="24"/>
      <c r="P925" s="35"/>
      <c r="Q925" s="24"/>
      <c r="R925" s="24"/>
      <c r="S925" s="24"/>
      <c r="T925" s="24"/>
      <c r="U925" s="54"/>
      <c r="V925" s="54"/>
      <c r="W925" s="54"/>
      <c r="X925" s="54"/>
      <c r="Y925" s="54"/>
      <c r="Z925" s="54"/>
    </row>
    <row r="926" spans="1:26" ht="14.25" customHeight="1">
      <c r="A926" s="24"/>
      <c r="B926" s="24"/>
      <c r="C926" s="24"/>
      <c r="D926" s="24"/>
      <c r="E926" s="24"/>
      <c r="F926" s="24"/>
      <c r="G926" s="24"/>
      <c r="H926" s="24"/>
      <c r="I926" s="24"/>
      <c r="J926" s="24"/>
      <c r="K926" s="24"/>
      <c r="L926" s="24"/>
      <c r="M926" s="24"/>
      <c r="N926" s="35"/>
      <c r="O926" s="24"/>
      <c r="P926" s="35"/>
      <c r="Q926" s="24"/>
      <c r="R926" s="24"/>
      <c r="S926" s="24"/>
      <c r="T926" s="24"/>
      <c r="U926" s="54"/>
      <c r="V926" s="54"/>
      <c r="W926" s="54"/>
      <c r="X926" s="54"/>
      <c r="Y926" s="54"/>
      <c r="Z926" s="54"/>
    </row>
    <row r="927" spans="1:26" ht="14.25" customHeight="1">
      <c r="A927" s="24"/>
      <c r="B927" s="24"/>
      <c r="C927" s="24"/>
      <c r="D927" s="24"/>
      <c r="E927" s="24"/>
      <c r="F927" s="24"/>
      <c r="G927" s="24"/>
      <c r="H927" s="24"/>
      <c r="I927" s="24"/>
      <c r="J927" s="24"/>
      <c r="K927" s="24"/>
      <c r="L927" s="24"/>
      <c r="M927" s="24"/>
      <c r="N927" s="35"/>
      <c r="O927" s="24"/>
      <c r="P927" s="35"/>
      <c r="Q927" s="24"/>
      <c r="R927" s="24"/>
      <c r="S927" s="24"/>
      <c r="T927" s="24"/>
      <c r="U927" s="54"/>
      <c r="V927" s="54"/>
      <c r="W927" s="54"/>
      <c r="X927" s="54"/>
      <c r="Y927" s="54"/>
      <c r="Z927" s="54"/>
    </row>
    <row r="928" spans="1:26" ht="14.25" customHeight="1">
      <c r="A928" s="24"/>
      <c r="B928" s="24"/>
      <c r="C928" s="24"/>
      <c r="D928" s="24"/>
      <c r="E928" s="24"/>
      <c r="F928" s="24"/>
      <c r="G928" s="24"/>
      <c r="H928" s="24"/>
      <c r="I928" s="24"/>
      <c r="J928" s="24"/>
      <c r="K928" s="24"/>
      <c r="L928" s="24"/>
      <c r="M928" s="24"/>
      <c r="N928" s="35"/>
      <c r="O928" s="24"/>
      <c r="P928" s="35"/>
      <c r="Q928" s="24"/>
      <c r="R928" s="24"/>
      <c r="S928" s="24"/>
      <c r="T928" s="24"/>
      <c r="U928" s="54"/>
      <c r="V928" s="54"/>
      <c r="W928" s="54"/>
      <c r="X928" s="54"/>
      <c r="Y928" s="54"/>
      <c r="Z928" s="54"/>
    </row>
    <row r="929" spans="1:26" ht="14.25" customHeight="1">
      <c r="A929" s="24"/>
      <c r="B929" s="24"/>
      <c r="C929" s="24"/>
      <c r="D929" s="24"/>
      <c r="E929" s="24"/>
      <c r="F929" s="24"/>
      <c r="G929" s="24"/>
      <c r="H929" s="24"/>
      <c r="I929" s="24"/>
      <c r="J929" s="24"/>
      <c r="K929" s="24"/>
      <c r="L929" s="24"/>
      <c r="M929" s="24"/>
      <c r="N929" s="35"/>
      <c r="O929" s="24"/>
      <c r="P929" s="35"/>
      <c r="Q929" s="24"/>
      <c r="R929" s="24"/>
      <c r="S929" s="24"/>
      <c r="T929" s="24"/>
      <c r="U929" s="54"/>
      <c r="V929" s="54"/>
      <c r="W929" s="54"/>
      <c r="X929" s="54"/>
      <c r="Y929" s="54"/>
      <c r="Z929" s="54"/>
    </row>
    <row r="930" spans="1:26" ht="14.25" customHeight="1">
      <c r="A930" s="24"/>
      <c r="B930" s="24"/>
      <c r="C930" s="24"/>
      <c r="D930" s="24"/>
      <c r="E930" s="24"/>
      <c r="F930" s="24"/>
      <c r="G930" s="24"/>
      <c r="H930" s="24"/>
      <c r="I930" s="24"/>
      <c r="J930" s="24"/>
      <c r="K930" s="24"/>
      <c r="L930" s="24"/>
      <c r="M930" s="24"/>
      <c r="N930" s="35"/>
      <c r="O930" s="24"/>
      <c r="P930" s="35"/>
      <c r="Q930" s="24"/>
      <c r="R930" s="24"/>
      <c r="S930" s="24"/>
      <c r="T930" s="24"/>
      <c r="U930" s="54"/>
      <c r="V930" s="54"/>
      <c r="W930" s="54"/>
      <c r="X930" s="54"/>
      <c r="Y930" s="54"/>
      <c r="Z930" s="54"/>
    </row>
    <row r="931" spans="1:26" ht="14.25" customHeight="1">
      <c r="A931" s="24"/>
      <c r="B931" s="24"/>
      <c r="C931" s="24"/>
      <c r="D931" s="24"/>
      <c r="E931" s="24"/>
      <c r="F931" s="24"/>
      <c r="G931" s="24"/>
      <c r="H931" s="24"/>
      <c r="I931" s="24"/>
      <c r="J931" s="24"/>
      <c r="K931" s="24"/>
      <c r="L931" s="24"/>
      <c r="M931" s="24"/>
      <c r="N931" s="35"/>
      <c r="O931" s="24"/>
      <c r="P931" s="35"/>
      <c r="Q931" s="24"/>
      <c r="R931" s="24"/>
      <c r="S931" s="24"/>
      <c r="T931" s="24"/>
      <c r="U931" s="54"/>
      <c r="V931" s="54"/>
      <c r="W931" s="54"/>
      <c r="X931" s="54"/>
      <c r="Y931" s="54"/>
      <c r="Z931" s="54"/>
    </row>
    <row r="932" spans="1:26" ht="14.25" customHeight="1">
      <c r="A932" s="24"/>
      <c r="B932" s="24"/>
      <c r="C932" s="24"/>
      <c r="D932" s="24"/>
      <c r="E932" s="24"/>
      <c r="F932" s="24"/>
      <c r="G932" s="24"/>
      <c r="H932" s="24"/>
      <c r="I932" s="24"/>
      <c r="J932" s="24"/>
      <c r="K932" s="24"/>
      <c r="L932" s="24"/>
      <c r="M932" s="24"/>
      <c r="N932" s="35"/>
      <c r="O932" s="24"/>
      <c r="P932" s="35"/>
      <c r="Q932" s="24"/>
      <c r="R932" s="24"/>
      <c r="S932" s="24"/>
      <c r="T932" s="24"/>
      <c r="U932" s="54"/>
      <c r="V932" s="54"/>
      <c r="W932" s="54"/>
      <c r="X932" s="54"/>
      <c r="Y932" s="54"/>
      <c r="Z932" s="54"/>
    </row>
    <row r="933" spans="1:26" ht="14.25" customHeight="1">
      <c r="A933" s="24"/>
      <c r="B933" s="24"/>
      <c r="C933" s="24"/>
      <c r="D933" s="24"/>
      <c r="E933" s="24"/>
      <c r="F933" s="24"/>
      <c r="G933" s="24"/>
      <c r="H933" s="24"/>
      <c r="I933" s="24"/>
      <c r="J933" s="24"/>
      <c r="K933" s="24"/>
      <c r="L933" s="24"/>
      <c r="M933" s="24"/>
      <c r="N933" s="35"/>
      <c r="O933" s="24"/>
      <c r="P933" s="35"/>
      <c r="Q933" s="24"/>
      <c r="R933" s="24"/>
      <c r="S933" s="24"/>
      <c r="T933" s="24"/>
      <c r="U933" s="54"/>
      <c r="V933" s="54"/>
      <c r="W933" s="54"/>
      <c r="X933" s="54"/>
      <c r="Y933" s="54"/>
      <c r="Z933" s="54"/>
    </row>
    <row r="934" spans="1:26" ht="14.25" customHeight="1">
      <c r="A934" s="24"/>
      <c r="B934" s="24"/>
      <c r="C934" s="24"/>
      <c r="D934" s="24"/>
      <c r="E934" s="24"/>
      <c r="F934" s="24"/>
      <c r="G934" s="24"/>
      <c r="H934" s="24"/>
      <c r="I934" s="24"/>
      <c r="J934" s="24"/>
      <c r="K934" s="24"/>
      <c r="L934" s="24"/>
      <c r="M934" s="24"/>
      <c r="N934" s="35"/>
      <c r="O934" s="24"/>
      <c r="P934" s="35"/>
      <c r="Q934" s="24"/>
      <c r="R934" s="24"/>
      <c r="S934" s="24"/>
      <c r="T934" s="24"/>
      <c r="U934" s="54"/>
      <c r="V934" s="54"/>
      <c r="W934" s="54"/>
      <c r="X934" s="54"/>
      <c r="Y934" s="54"/>
      <c r="Z934" s="54"/>
    </row>
    <row r="935" spans="1:26" ht="14.25" customHeight="1">
      <c r="A935" s="24"/>
      <c r="B935" s="24"/>
      <c r="C935" s="24"/>
      <c r="D935" s="24"/>
      <c r="E935" s="24"/>
      <c r="F935" s="24"/>
      <c r="G935" s="24"/>
      <c r="H935" s="24"/>
      <c r="I935" s="24"/>
      <c r="J935" s="24"/>
      <c r="K935" s="24"/>
      <c r="L935" s="24"/>
      <c r="M935" s="24"/>
      <c r="N935" s="35"/>
      <c r="O935" s="24"/>
      <c r="P935" s="35"/>
      <c r="Q935" s="24"/>
      <c r="R935" s="24"/>
      <c r="S935" s="24"/>
      <c r="T935" s="24"/>
      <c r="U935" s="54"/>
      <c r="V935" s="54"/>
      <c r="W935" s="54"/>
      <c r="X935" s="54"/>
      <c r="Y935" s="54"/>
      <c r="Z935" s="54"/>
    </row>
    <row r="936" spans="1:26" ht="14.25" customHeight="1">
      <c r="A936" s="24"/>
      <c r="B936" s="24"/>
      <c r="C936" s="24"/>
      <c r="D936" s="24"/>
      <c r="E936" s="24"/>
      <c r="F936" s="24"/>
      <c r="G936" s="24"/>
      <c r="H936" s="24"/>
      <c r="I936" s="24"/>
      <c r="J936" s="24"/>
      <c r="K936" s="24"/>
      <c r="L936" s="24"/>
      <c r="M936" s="24"/>
      <c r="N936" s="35"/>
      <c r="O936" s="24"/>
      <c r="P936" s="35"/>
      <c r="Q936" s="24"/>
      <c r="R936" s="24"/>
      <c r="S936" s="24"/>
      <c r="T936" s="24"/>
      <c r="U936" s="54"/>
      <c r="V936" s="54"/>
      <c r="W936" s="54"/>
      <c r="X936" s="54"/>
      <c r="Y936" s="54"/>
      <c r="Z936" s="54"/>
    </row>
    <row r="937" spans="1:26" ht="14.25" customHeight="1">
      <c r="A937" s="24"/>
      <c r="B937" s="24"/>
      <c r="C937" s="24"/>
      <c r="D937" s="24"/>
      <c r="E937" s="24"/>
      <c r="F937" s="24"/>
      <c r="G937" s="24"/>
      <c r="H937" s="24"/>
      <c r="I937" s="24"/>
      <c r="J937" s="24"/>
      <c r="K937" s="24"/>
      <c r="L937" s="24"/>
      <c r="M937" s="24"/>
      <c r="N937" s="35"/>
      <c r="O937" s="24"/>
      <c r="P937" s="35"/>
      <c r="Q937" s="24"/>
      <c r="R937" s="24"/>
      <c r="S937" s="24"/>
      <c r="T937" s="24"/>
      <c r="U937" s="54"/>
      <c r="V937" s="54"/>
      <c r="W937" s="54"/>
      <c r="X937" s="54"/>
      <c r="Y937" s="54"/>
      <c r="Z937" s="54"/>
    </row>
    <row r="938" spans="1:26" ht="14.25" customHeight="1">
      <c r="A938" s="24"/>
      <c r="B938" s="24"/>
      <c r="C938" s="24"/>
      <c r="D938" s="24"/>
      <c r="E938" s="24"/>
      <c r="F938" s="24"/>
      <c r="G938" s="24"/>
      <c r="H938" s="24"/>
      <c r="I938" s="24"/>
      <c r="J938" s="24"/>
      <c r="K938" s="24"/>
      <c r="L938" s="24"/>
      <c r="M938" s="24"/>
      <c r="N938" s="35"/>
      <c r="O938" s="24"/>
      <c r="P938" s="35"/>
      <c r="Q938" s="24"/>
      <c r="R938" s="24"/>
      <c r="S938" s="24"/>
      <c r="T938" s="24"/>
      <c r="U938" s="54"/>
      <c r="V938" s="54"/>
      <c r="W938" s="54"/>
      <c r="X938" s="54"/>
      <c r="Y938" s="54"/>
      <c r="Z938" s="54"/>
    </row>
    <row r="939" spans="1:26" ht="14.25" customHeight="1">
      <c r="A939" s="24"/>
      <c r="B939" s="24"/>
      <c r="C939" s="24"/>
      <c r="D939" s="24"/>
      <c r="E939" s="24"/>
      <c r="F939" s="24"/>
      <c r="G939" s="24"/>
      <c r="H939" s="24"/>
      <c r="I939" s="24"/>
      <c r="J939" s="24"/>
      <c r="K939" s="24"/>
      <c r="L939" s="24"/>
      <c r="M939" s="24"/>
      <c r="N939" s="35"/>
      <c r="O939" s="24"/>
      <c r="P939" s="35"/>
      <c r="Q939" s="24"/>
      <c r="R939" s="24"/>
      <c r="S939" s="24"/>
      <c r="T939" s="24"/>
      <c r="U939" s="54"/>
      <c r="V939" s="54"/>
      <c r="W939" s="54"/>
      <c r="X939" s="54"/>
      <c r="Y939" s="54"/>
      <c r="Z939" s="54"/>
    </row>
    <row r="940" spans="1:26" ht="14.25" customHeight="1">
      <c r="A940" s="24"/>
      <c r="B940" s="24"/>
      <c r="C940" s="24"/>
      <c r="D940" s="24"/>
      <c r="E940" s="24"/>
      <c r="F940" s="24"/>
      <c r="G940" s="24"/>
      <c r="H940" s="24"/>
      <c r="I940" s="24"/>
      <c r="J940" s="24"/>
      <c r="K940" s="24"/>
      <c r="L940" s="24"/>
      <c r="M940" s="24"/>
      <c r="N940" s="35"/>
      <c r="O940" s="24"/>
      <c r="P940" s="35"/>
      <c r="Q940" s="24"/>
      <c r="R940" s="24"/>
      <c r="S940" s="24"/>
      <c r="T940" s="24"/>
      <c r="U940" s="54"/>
      <c r="V940" s="54"/>
      <c r="W940" s="54"/>
      <c r="X940" s="54"/>
      <c r="Y940" s="54"/>
      <c r="Z940" s="54"/>
    </row>
    <row r="941" spans="1:26" ht="14.25" customHeight="1">
      <c r="A941" s="24"/>
      <c r="B941" s="24"/>
      <c r="C941" s="24"/>
      <c r="D941" s="24"/>
      <c r="E941" s="24"/>
      <c r="F941" s="24"/>
      <c r="G941" s="24"/>
      <c r="H941" s="24"/>
      <c r="I941" s="24"/>
      <c r="J941" s="24"/>
      <c r="K941" s="24"/>
      <c r="L941" s="24"/>
      <c r="M941" s="24"/>
      <c r="N941" s="35"/>
      <c r="O941" s="24"/>
      <c r="P941" s="35"/>
      <c r="Q941" s="24"/>
      <c r="R941" s="24"/>
      <c r="S941" s="24"/>
      <c r="T941" s="24"/>
      <c r="U941" s="54"/>
      <c r="V941" s="54"/>
      <c r="W941" s="54"/>
      <c r="X941" s="54"/>
      <c r="Y941" s="54"/>
      <c r="Z941" s="54"/>
    </row>
    <row r="942" spans="1:26" ht="14.25" customHeight="1">
      <c r="A942" s="24"/>
      <c r="B942" s="24"/>
      <c r="C942" s="24"/>
      <c r="D942" s="24"/>
      <c r="E942" s="24"/>
      <c r="F942" s="24"/>
      <c r="G942" s="24"/>
      <c r="H942" s="24"/>
      <c r="I942" s="24"/>
      <c r="J942" s="24"/>
      <c r="K942" s="24"/>
      <c r="L942" s="24"/>
      <c r="M942" s="24"/>
      <c r="N942" s="35"/>
      <c r="O942" s="24"/>
      <c r="P942" s="35"/>
      <c r="Q942" s="24"/>
      <c r="R942" s="24"/>
      <c r="S942" s="24"/>
      <c r="T942" s="24"/>
      <c r="U942" s="54"/>
      <c r="V942" s="54"/>
      <c r="W942" s="54"/>
      <c r="X942" s="54"/>
      <c r="Y942" s="54"/>
      <c r="Z942" s="54"/>
    </row>
    <row r="943" spans="1:26" ht="14.25" customHeight="1">
      <c r="A943" s="24"/>
      <c r="B943" s="24"/>
      <c r="C943" s="24"/>
      <c r="D943" s="24"/>
      <c r="E943" s="24"/>
      <c r="F943" s="24"/>
      <c r="G943" s="24"/>
      <c r="H943" s="24"/>
      <c r="I943" s="24"/>
      <c r="J943" s="24"/>
      <c r="K943" s="24"/>
      <c r="L943" s="24"/>
      <c r="M943" s="24"/>
      <c r="N943" s="35"/>
      <c r="O943" s="24"/>
      <c r="P943" s="35"/>
      <c r="Q943" s="24"/>
      <c r="R943" s="24"/>
      <c r="S943" s="24"/>
      <c r="T943" s="24"/>
      <c r="U943" s="54"/>
      <c r="V943" s="54"/>
      <c r="W943" s="54"/>
      <c r="X943" s="54"/>
      <c r="Y943" s="54"/>
      <c r="Z943" s="54"/>
    </row>
    <row r="944" spans="1:26" ht="14.25" customHeight="1">
      <c r="A944" s="24"/>
      <c r="B944" s="24"/>
      <c r="C944" s="24"/>
      <c r="D944" s="24"/>
      <c r="E944" s="24"/>
      <c r="F944" s="24"/>
      <c r="G944" s="24"/>
      <c r="H944" s="24"/>
      <c r="I944" s="24"/>
      <c r="J944" s="24"/>
      <c r="K944" s="24"/>
      <c r="L944" s="24"/>
      <c r="M944" s="24"/>
      <c r="N944" s="35"/>
      <c r="O944" s="24"/>
      <c r="P944" s="35"/>
      <c r="Q944" s="24"/>
      <c r="R944" s="24"/>
      <c r="S944" s="24"/>
      <c r="T944" s="24"/>
      <c r="U944" s="54"/>
      <c r="V944" s="54"/>
      <c r="W944" s="54"/>
      <c r="X944" s="54"/>
      <c r="Y944" s="54"/>
      <c r="Z944" s="54"/>
    </row>
    <row r="945" spans="1:26" ht="14.25" customHeight="1">
      <c r="A945" s="24"/>
      <c r="B945" s="24"/>
      <c r="C945" s="24"/>
      <c r="D945" s="24"/>
      <c r="E945" s="24"/>
      <c r="F945" s="24"/>
      <c r="G945" s="24"/>
      <c r="H945" s="24"/>
      <c r="I945" s="24"/>
      <c r="J945" s="24"/>
      <c r="K945" s="24"/>
      <c r="L945" s="24"/>
      <c r="M945" s="24"/>
      <c r="N945" s="35"/>
      <c r="O945" s="24"/>
      <c r="P945" s="35"/>
      <c r="Q945" s="24"/>
      <c r="R945" s="24"/>
      <c r="S945" s="24"/>
      <c r="T945" s="24"/>
      <c r="U945" s="54"/>
      <c r="V945" s="54"/>
      <c r="W945" s="54"/>
      <c r="X945" s="54"/>
      <c r="Y945" s="54"/>
      <c r="Z945" s="54"/>
    </row>
    <row r="946" spans="1:26" ht="14.25" customHeight="1">
      <c r="A946" s="24"/>
      <c r="B946" s="24"/>
      <c r="C946" s="24"/>
      <c r="D946" s="24"/>
      <c r="E946" s="24"/>
      <c r="F946" s="24"/>
      <c r="G946" s="24"/>
      <c r="H946" s="24"/>
      <c r="I946" s="24"/>
      <c r="J946" s="24"/>
      <c r="K946" s="24"/>
      <c r="L946" s="24"/>
      <c r="M946" s="24"/>
      <c r="N946" s="35"/>
      <c r="O946" s="24"/>
      <c r="P946" s="35"/>
      <c r="Q946" s="24"/>
      <c r="R946" s="24"/>
      <c r="S946" s="24"/>
      <c r="T946" s="24"/>
      <c r="U946" s="54"/>
      <c r="V946" s="54"/>
      <c r="W946" s="54"/>
      <c r="X946" s="54"/>
      <c r="Y946" s="54"/>
      <c r="Z946" s="54"/>
    </row>
    <row r="947" spans="1:26" ht="14.25" customHeight="1">
      <c r="A947" s="24"/>
      <c r="B947" s="24"/>
      <c r="C947" s="24"/>
      <c r="D947" s="24"/>
      <c r="E947" s="24"/>
      <c r="F947" s="24"/>
      <c r="G947" s="24"/>
      <c r="H947" s="24"/>
      <c r="I947" s="24"/>
      <c r="J947" s="24"/>
      <c r="K947" s="24"/>
      <c r="L947" s="24"/>
      <c r="M947" s="24"/>
      <c r="N947" s="35"/>
      <c r="O947" s="24"/>
      <c r="P947" s="35"/>
      <c r="Q947" s="24"/>
      <c r="R947" s="24"/>
      <c r="S947" s="24"/>
      <c r="T947" s="24"/>
      <c r="U947" s="54"/>
      <c r="V947" s="54"/>
      <c r="W947" s="54"/>
      <c r="X947" s="54"/>
      <c r="Y947" s="54"/>
      <c r="Z947" s="54"/>
    </row>
    <row r="948" spans="1:26" ht="14.25" customHeight="1">
      <c r="A948" s="24"/>
      <c r="B948" s="24"/>
      <c r="C948" s="24"/>
      <c r="D948" s="24"/>
      <c r="E948" s="24"/>
      <c r="F948" s="24"/>
      <c r="G948" s="24"/>
      <c r="H948" s="24"/>
      <c r="I948" s="24"/>
      <c r="J948" s="24"/>
      <c r="K948" s="24"/>
      <c r="L948" s="24"/>
      <c r="M948" s="24"/>
      <c r="N948" s="35"/>
      <c r="O948" s="24"/>
      <c r="P948" s="35"/>
      <c r="Q948" s="24"/>
      <c r="R948" s="24"/>
      <c r="S948" s="24"/>
      <c r="T948" s="24"/>
      <c r="U948" s="54"/>
      <c r="V948" s="54"/>
      <c r="W948" s="54"/>
      <c r="X948" s="54"/>
      <c r="Y948" s="54"/>
      <c r="Z948" s="54"/>
    </row>
    <row r="949" spans="1:26" ht="14.25" customHeight="1">
      <c r="A949" s="24"/>
      <c r="B949" s="24"/>
      <c r="C949" s="24"/>
      <c r="D949" s="24"/>
      <c r="E949" s="24"/>
      <c r="F949" s="24"/>
      <c r="G949" s="24"/>
      <c r="H949" s="24"/>
      <c r="I949" s="24"/>
      <c r="J949" s="24"/>
      <c r="K949" s="24"/>
      <c r="L949" s="24"/>
      <c r="M949" s="24"/>
      <c r="N949" s="35"/>
      <c r="O949" s="24"/>
      <c r="P949" s="35"/>
      <c r="Q949" s="24"/>
      <c r="R949" s="24"/>
      <c r="S949" s="24"/>
      <c r="T949" s="24"/>
      <c r="U949" s="54"/>
      <c r="V949" s="54"/>
      <c r="W949" s="54"/>
      <c r="X949" s="54"/>
      <c r="Y949" s="54"/>
      <c r="Z949" s="54"/>
    </row>
    <row r="950" spans="1:26" ht="14.25" customHeight="1">
      <c r="A950" s="24"/>
      <c r="B950" s="24"/>
      <c r="C950" s="24"/>
      <c r="D950" s="24"/>
      <c r="E950" s="24"/>
      <c r="F950" s="24"/>
      <c r="G950" s="24"/>
      <c r="H950" s="24"/>
      <c r="I950" s="24"/>
      <c r="J950" s="24"/>
      <c r="K950" s="24"/>
      <c r="L950" s="24"/>
      <c r="M950" s="24"/>
      <c r="N950" s="35"/>
      <c r="O950" s="24"/>
      <c r="P950" s="35"/>
      <c r="Q950" s="24"/>
      <c r="R950" s="24"/>
      <c r="S950" s="24"/>
      <c r="T950" s="24"/>
      <c r="U950" s="54"/>
      <c r="V950" s="54"/>
      <c r="W950" s="54"/>
      <c r="X950" s="54"/>
      <c r="Y950" s="54"/>
      <c r="Z950" s="54"/>
    </row>
    <row r="951" spans="1:26" ht="14.25" customHeight="1">
      <c r="A951" s="24"/>
      <c r="B951" s="24"/>
      <c r="C951" s="24"/>
      <c r="D951" s="24"/>
      <c r="E951" s="24"/>
      <c r="F951" s="24"/>
      <c r="G951" s="24"/>
      <c r="H951" s="24"/>
      <c r="I951" s="24"/>
      <c r="J951" s="24"/>
      <c r="K951" s="24"/>
      <c r="L951" s="24"/>
      <c r="M951" s="24"/>
      <c r="N951" s="35"/>
      <c r="O951" s="24"/>
      <c r="P951" s="35"/>
      <c r="Q951" s="24"/>
      <c r="R951" s="24"/>
      <c r="S951" s="24"/>
      <c r="T951" s="24"/>
      <c r="U951" s="54"/>
      <c r="V951" s="54"/>
      <c r="W951" s="54"/>
      <c r="X951" s="54"/>
      <c r="Y951" s="54"/>
      <c r="Z951" s="54"/>
    </row>
    <row r="952" spans="1:26" ht="14.25" customHeight="1">
      <c r="A952" s="24"/>
      <c r="B952" s="24"/>
      <c r="C952" s="24"/>
      <c r="D952" s="24"/>
      <c r="E952" s="24"/>
      <c r="F952" s="24"/>
      <c r="G952" s="24"/>
      <c r="H952" s="24"/>
      <c r="I952" s="24"/>
      <c r="J952" s="24"/>
      <c r="K952" s="24"/>
      <c r="L952" s="24"/>
      <c r="M952" s="24"/>
      <c r="N952" s="35"/>
      <c r="O952" s="24"/>
      <c r="P952" s="35"/>
      <c r="Q952" s="24"/>
      <c r="R952" s="24"/>
      <c r="S952" s="24"/>
      <c r="T952" s="24"/>
      <c r="U952" s="54"/>
      <c r="V952" s="54"/>
      <c r="W952" s="54"/>
      <c r="X952" s="54"/>
      <c r="Y952" s="54"/>
      <c r="Z952" s="54"/>
    </row>
    <row r="953" spans="1:26" ht="14.25" customHeight="1">
      <c r="A953" s="24"/>
      <c r="B953" s="24"/>
      <c r="C953" s="24"/>
      <c r="D953" s="24"/>
      <c r="E953" s="24"/>
      <c r="F953" s="24"/>
      <c r="G953" s="24"/>
      <c r="H953" s="24"/>
      <c r="I953" s="24"/>
      <c r="J953" s="24"/>
      <c r="K953" s="24"/>
      <c r="L953" s="24"/>
      <c r="M953" s="24"/>
      <c r="N953" s="35"/>
      <c r="O953" s="24"/>
      <c r="P953" s="35"/>
      <c r="Q953" s="24"/>
      <c r="R953" s="24"/>
      <c r="S953" s="24"/>
      <c r="T953" s="24"/>
      <c r="U953" s="54"/>
      <c r="V953" s="54"/>
      <c r="W953" s="54"/>
      <c r="X953" s="54"/>
      <c r="Y953" s="54"/>
      <c r="Z953" s="54"/>
    </row>
    <row r="954" spans="1:26" ht="14.25" customHeight="1">
      <c r="A954" s="24"/>
      <c r="B954" s="24"/>
      <c r="C954" s="24"/>
      <c r="D954" s="24"/>
      <c r="E954" s="24"/>
      <c r="F954" s="24"/>
      <c r="G954" s="24"/>
      <c r="H954" s="24"/>
      <c r="I954" s="24"/>
      <c r="J954" s="24"/>
      <c r="K954" s="24"/>
      <c r="L954" s="24"/>
      <c r="M954" s="24"/>
      <c r="N954" s="35"/>
      <c r="O954" s="24"/>
      <c r="P954" s="35"/>
      <c r="Q954" s="24"/>
      <c r="R954" s="24"/>
      <c r="S954" s="24"/>
      <c r="T954" s="24"/>
      <c r="U954" s="54"/>
      <c r="V954" s="54"/>
      <c r="W954" s="54"/>
      <c r="X954" s="54"/>
      <c r="Y954" s="54"/>
      <c r="Z954" s="54"/>
    </row>
    <row r="955" spans="1:26" ht="14.25" customHeight="1">
      <c r="A955" s="24"/>
      <c r="B955" s="24"/>
      <c r="C955" s="24"/>
      <c r="D955" s="24"/>
      <c r="E955" s="24"/>
      <c r="F955" s="24"/>
      <c r="G955" s="24"/>
      <c r="H955" s="24"/>
      <c r="I955" s="24"/>
      <c r="J955" s="24"/>
      <c r="K955" s="24"/>
      <c r="L955" s="24"/>
      <c r="M955" s="24"/>
      <c r="N955" s="35"/>
      <c r="O955" s="24"/>
      <c r="P955" s="35"/>
      <c r="Q955" s="24"/>
      <c r="R955" s="24"/>
      <c r="S955" s="24"/>
      <c r="T955" s="24"/>
      <c r="U955" s="54"/>
      <c r="V955" s="54"/>
      <c r="W955" s="54"/>
      <c r="X955" s="54"/>
      <c r="Y955" s="54"/>
      <c r="Z955" s="54"/>
    </row>
    <row r="956" spans="1:26" ht="14.25" customHeight="1">
      <c r="A956" s="24"/>
      <c r="B956" s="24"/>
      <c r="C956" s="24"/>
      <c r="D956" s="24"/>
      <c r="E956" s="24"/>
      <c r="F956" s="24"/>
      <c r="G956" s="24"/>
      <c r="H956" s="24"/>
      <c r="I956" s="24"/>
      <c r="J956" s="24"/>
      <c r="K956" s="24"/>
      <c r="L956" s="24"/>
      <c r="M956" s="24"/>
      <c r="N956" s="35"/>
      <c r="O956" s="24"/>
      <c r="P956" s="35"/>
      <c r="Q956" s="24"/>
      <c r="R956" s="24"/>
      <c r="S956" s="24"/>
      <c r="T956" s="24"/>
      <c r="U956" s="54"/>
      <c r="V956" s="54"/>
      <c r="W956" s="54"/>
      <c r="X956" s="54"/>
      <c r="Y956" s="54"/>
      <c r="Z956" s="54"/>
    </row>
    <row r="957" spans="1:26" ht="14.25" customHeight="1">
      <c r="A957" s="24"/>
      <c r="B957" s="24"/>
      <c r="C957" s="24"/>
      <c r="D957" s="24"/>
      <c r="E957" s="24"/>
      <c r="F957" s="24"/>
      <c r="G957" s="24"/>
      <c r="H957" s="24"/>
      <c r="I957" s="24"/>
      <c r="J957" s="24"/>
      <c r="K957" s="24"/>
      <c r="L957" s="24"/>
      <c r="M957" s="24"/>
      <c r="N957" s="35"/>
      <c r="O957" s="24"/>
      <c r="P957" s="35"/>
      <c r="Q957" s="24"/>
      <c r="R957" s="24"/>
      <c r="S957" s="24"/>
      <c r="T957" s="24"/>
      <c r="U957" s="54"/>
      <c r="V957" s="54"/>
      <c r="W957" s="54"/>
      <c r="X957" s="54"/>
      <c r="Y957" s="54"/>
      <c r="Z957" s="54"/>
    </row>
    <row r="958" spans="1:26" ht="14.25" customHeight="1">
      <c r="A958" s="24"/>
      <c r="B958" s="24"/>
      <c r="C958" s="24"/>
      <c r="D958" s="24"/>
      <c r="E958" s="24"/>
      <c r="F958" s="24"/>
      <c r="G958" s="24"/>
      <c r="H958" s="24"/>
      <c r="I958" s="24"/>
      <c r="J958" s="24"/>
      <c r="K958" s="24"/>
      <c r="L958" s="24"/>
      <c r="M958" s="24"/>
      <c r="N958" s="35"/>
      <c r="O958" s="24"/>
      <c r="P958" s="35"/>
      <c r="Q958" s="24"/>
      <c r="R958" s="24"/>
      <c r="S958" s="24"/>
      <c r="T958" s="24"/>
      <c r="U958" s="54"/>
      <c r="V958" s="54"/>
      <c r="W958" s="54"/>
      <c r="X958" s="54"/>
      <c r="Y958" s="54"/>
      <c r="Z958" s="54"/>
    </row>
    <row r="959" spans="1:26" ht="14.25" customHeight="1">
      <c r="A959" s="24"/>
      <c r="B959" s="24"/>
      <c r="C959" s="24"/>
      <c r="D959" s="24"/>
      <c r="E959" s="24"/>
      <c r="F959" s="24"/>
      <c r="G959" s="24"/>
      <c r="H959" s="24"/>
      <c r="I959" s="24"/>
      <c r="J959" s="24"/>
      <c r="K959" s="24"/>
      <c r="L959" s="24"/>
      <c r="M959" s="24"/>
      <c r="N959" s="35"/>
      <c r="O959" s="24"/>
      <c r="P959" s="35"/>
      <c r="Q959" s="24"/>
      <c r="R959" s="24"/>
      <c r="S959" s="24"/>
      <c r="T959" s="24"/>
      <c r="U959" s="54"/>
      <c r="V959" s="54"/>
      <c r="W959" s="54"/>
      <c r="X959" s="54"/>
      <c r="Y959" s="54"/>
      <c r="Z959" s="54"/>
    </row>
    <row r="960" spans="1:26" ht="14.25" customHeight="1">
      <c r="A960" s="24"/>
      <c r="B960" s="24"/>
      <c r="C960" s="24"/>
      <c r="D960" s="24"/>
      <c r="E960" s="24"/>
      <c r="F960" s="24"/>
      <c r="G960" s="24"/>
      <c r="H960" s="24"/>
      <c r="I960" s="24"/>
      <c r="J960" s="24"/>
      <c r="K960" s="24"/>
      <c r="L960" s="24"/>
      <c r="M960" s="24"/>
      <c r="N960" s="35"/>
      <c r="O960" s="24"/>
      <c r="P960" s="35"/>
      <c r="Q960" s="24"/>
      <c r="R960" s="24"/>
      <c r="S960" s="24"/>
      <c r="T960" s="24"/>
      <c r="U960" s="54"/>
      <c r="V960" s="54"/>
      <c r="W960" s="54"/>
      <c r="X960" s="54"/>
      <c r="Y960" s="54"/>
      <c r="Z960" s="54"/>
    </row>
    <row r="961" spans="1:26" ht="14.25" customHeight="1">
      <c r="A961" s="24"/>
      <c r="B961" s="24"/>
      <c r="C961" s="24"/>
      <c r="D961" s="24"/>
      <c r="E961" s="24"/>
      <c r="F961" s="24"/>
      <c r="G961" s="24"/>
      <c r="H961" s="24"/>
      <c r="I961" s="24"/>
      <c r="J961" s="24"/>
      <c r="K961" s="24"/>
      <c r="L961" s="24"/>
      <c r="M961" s="24"/>
      <c r="N961" s="35"/>
      <c r="O961" s="24"/>
      <c r="P961" s="35"/>
      <c r="Q961" s="24"/>
      <c r="R961" s="24"/>
      <c r="S961" s="24"/>
      <c r="T961" s="24"/>
      <c r="U961" s="54"/>
      <c r="V961" s="54"/>
      <c r="W961" s="54"/>
      <c r="X961" s="54"/>
      <c r="Y961" s="54"/>
      <c r="Z961" s="54"/>
    </row>
    <row r="962" spans="1:26" ht="14.25" customHeight="1">
      <c r="A962" s="24"/>
      <c r="B962" s="24"/>
      <c r="C962" s="24"/>
      <c r="D962" s="24"/>
      <c r="E962" s="24"/>
      <c r="F962" s="24"/>
      <c r="G962" s="24"/>
      <c r="H962" s="24"/>
      <c r="I962" s="24"/>
      <c r="J962" s="24"/>
      <c r="K962" s="24"/>
      <c r="L962" s="24"/>
      <c r="M962" s="24"/>
      <c r="N962" s="35"/>
      <c r="O962" s="24"/>
      <c r="P962" s="35"/>
      <c r="Q962" s="24"/>
      <c r="R962" s="24"/>
      <c r="S962" s="24"/>
      <c r="T962" s="24"/>
      <c r="U962" s="54"/>
      <c r="V962" s="54"/>
      <c r="W962" s="54"/>
      <c r="X962" s="54"/>
      <c r="Y962" s="54"/>
      <c r="Z962" s="54"/>
    </row>
    <row r="963" spans="1:26" ht="14.25" customHeight="1">
      <c r="A963" s="24"/>
      <c r="B963" s="24"/>
      <c r="C963" s="24"/>
      <c r="D963" s="24"/>
      <c r="E963" s="24"/>
      <c r="F963" s="24"/>
      <c r="G963" s="24"/>
      <c r="H963" s="24"/>
      <c r="I963" s="24"/>
      <c r="J963" s="24"/>
      <c r="K963" s="24"/>
      <c r="L963" s="24"/>
      <c r="M963" s="24"/>
      <c r="N963" s="35"/>
      <c r="O963" s="24"/>
      <c r="P963" s="35"/>
      <c r="Q963" s="24"/>
      <c r="R963" s="24"/>
      <c r="S963" s="24"/>
      <c r="T963" s="24"/>
      <c r="U963" s="54"/>
      <c r="V963" s="54"/>
      <c r="W963" s="54"/>
      <c r="X963" s="54"/>
      <c r="Y963" s="54"/>
      <c r="Z963" s="54"/>
    </row>
    <row r="964" spans="1:26" ht="14.25" customHeight="1">
      <c r="A964" s="24"/>
      <c r="B964" s="24"/>
      <c r="C964" s="24"/>
      <c r="D964" s="24"/>
      <c r="E964" s="24"/>
      <c r="F964" s="24"/>
      <c r="G964" s="24"/>
      <c r="H964" s="24"/>
      <c r="I964" s="24"/>
      <c r="J964" s="24"/>
      <c r="K964" s="24"/>
      <c r="L964" s="24"/>
      <c r="M964" s="24"/>
      <c r="N964" s="35"/>
      <c r="O964" s="24"/>
      <c r="P964" s="35"/>
      <c r="Q964" s="24"/>
      <c r="R964" s="24"/>
      <c r="S964" s="24"/>
      <c r="T964" s="24"/>
      <c r="U964" s="54"/>
      <c r="V964" s="54"/>
      <c r="W964" s="54"/>
      <c r="X964" s="54"/>
      <c r="Y964" s="54"/>
      <c r="Z964" s="54"/>
    </row>
    <row r="965" spans="1:26" ht="14.25" customHeight="1">
      <c r="A965" s="24"/>
      <c r="B965" s="24"/>
      <c r="C965" s="24"/>
      <c r="D965" s="24"/>
      <c r="E965" s="24"/>
      <c r="F965" s="24"/>
      <c r="G965" s="24"/>
      <c r="H965" s="24"/>
      <c r="I965" s="24"/>
      <c r="J965" s="24"/>
      <c r="K965" s="24"/>
      <c r="L965" s="24"/>
      <c r="M965" s="24"/>
      <c r="N965" s="35"/>
      <c r="O965" s="24"/>
      <c r="P965" s="35"/>
      <c r="Q965" s="24"/>
      <c r="R965" s="24"/>
      <c r="S965" s="24"/>
      <c r="T965" s="24"/>
      <c r="U965" s="54"/>
      <c r="V965" s="54"/>
      <c r="W965" s="54"/>
      <c r="X965" s="54"/>
      <c r="Y965" s="54"/>
      <c r="Z965" s="54"/>
    </row>
    <row r="966" spans="1:26" ht="14.25" customHeight="1">
      <c r="A966" s="24"/>
      <c r="B966" s="24"/>
      <c r="C966" s="24"/>
      <c r="D966" s="24"/>
      <c r="E966" s="24"/>
      <c r="F966" s="24"/>
      <c r="G966" s="24"/>
      <c r="H966" s="24"/>
      <c r="I966" s="24"/>
      <c r="J966" s="24"/>
      <c r="K966" s="24"/>
      <c r="L966" s="24"/>
      <c r="M966" s="24"/>
      <c r="N966" s="35"/>
      <c r="O966" s="24"/>
      <c r="P966" s="35"/>
      <c r="Q966" s="24"/>
      <c r="R966" s="24"/>
      <c r="S966" s="24"/>
      <c r="T966" s="24"/>
      <c r="U966" s="54"/>
      <c r="V966" s="54"/>
      <c r="W966" s="54"/>
      <c r="X966" s="54"/>
      <c r="Y966" s="54"/>
      <c r="Z966" s="54"/>
    </row>
    <row r="967" spans="1:26" ht="14.25" customHeight="1">
      <c r="A967" s="24"/>
      <c r="B967" s="24"/>
      <c r="C967" s="24"/>
      <c r="D967" s="24"/>
      <c r="E967" s="24"/>
      <c r="F967" s="24"/>
      <c r="G967" s="24"/>
      <c r="H967" s="24"/>
      <c r="I967" s="24"/>
      <c r="J967" s="24"/>
      <c r="K967" s="24"/>
      <c r="L967" s="24"/>
      <c r="M967" s="24"/>
      <c r="N967" s="35"/>
      <c r="O967" s="24"/>
      <c r="P967" s="35"/>
      <c r="Q967" s="24"/>
      <c r="R967" s="24"/>
      <c r="S967" s="24"/>
      <c r="T967" s="24"/>
      <c r="U967" s="54"/>
      <c r="V967" s="54"/>
      <c r="W967" s="54"/>
      <c r="X967" s="54"/>
      <c r="Y967" s="54"/>
      <c r="Z967" s="54"/>
    </row>
    <row r="968" spans="1:26" ht="14.25" customHeight="1">
      <c r="A968" s="24"/>
      <c r="B968" s="24"/>
      <c r="C968" s="24"/>
      <c r="D968" s="24"/>
      <c r="E968" s="24"/>
      <c r="F968" s="24"/>
      <c r="G968" s="24"/>
      <c r="H968" s="24"/>
      <c r="I968" s="24"/>
      <c r="J968" s="24"/>
      <c r="K968" s="24"/>
      <c r="L968" s="24"/>
      <c r="M968" s="24"/>
      <c r="N968" s="35"/>
      <c r="O968" s="24"/>
      <c r="P968" s="35"/>
      <c r="Q968" s="24"/>
      <c r="R968" s="24"/>
      <c r="S968" s="24"/>
      <c r="T968" s="24"/>
      <c r="U968" s="54"/>
      <c r="V968" s="54"/>
      <c r="W968" s="54"/>
      <c r="X968" s="54"/>
      <c r="Y968" s="54"/>
      <c r="Z968" s="54"/>
    </row>
    <row r="969" spans="1:26" ht="14.25" customHeight="1">
      <c r="A969" s="24"/>
      <c r="B969" s="24"/>
      <c r="C969" s="24"/>
      <c r="D969" s="24"/>
      <c r="E969" s="24"/>
      <c r="F969" s="24"/>
      <c r="G969" s="24"/>
      <c r="H969" s="24"/>
      <c r="I969" s="24"/>
      <c r="J969" s="24"/>
      <c r="K969" s="24"/>
      <c r="L969" s="24"/>
      <c r="M969" s="24"/>
      <c r="N969" s="35"/>
      <c r="O969" s="24"/>
      <c r="P969" s="35"/>
      <c r="Q969" s="24"/>
      <c r="R969" s="24"/>
      <c r="S969" s="24"/>
      <c r="T969" s="24"/>
      <c r="U969" s="54"/>
      <c r="V969" s="54"/>
      <c r="W969" s="54"/>
      <c r="X969" s="54"/>
      <c r="Y969" s="54"/>
      <c r="Z969" s="54"/>
    </row>
    <row r="970" spans="1:26" ht="14.25" customHeight="1">
      <c r="A970" s="24"/>
      <c r="B970" s="24"/>
      <c r="C970" s="24"/>
      <c r="D970" s="24"/>
      <c r="E970" s="24"/>
      <c r="F970" s="24"/>
      <c r="G970" s="24"/>
      <c r="H970" s="24"/>
      <c r="I970" s="24"/>
      <c r="J970" s="24"/>
      <c r="K970" s="24"/>
      <c r="L970" s="24"/>
      <c r="M970" s="24"/>
      <c r="N970" s="35"/>
      <c r="O970" s="24"/>
      <c r="P970" s="35"/>
      <c r="Q970" s="24"/>
      <c r="R970" s="24"/>
      <c r="S970" s="24"/>
      <c r="T970" s="24"/>
      <c r="U970" s="54"/>
      <c r="V970" s="54"/>
      <c r="W970" s="54"/>
      <c r="X970" s="54"/>
      <c r="Y970" s="54"/>
      <c r="Z970" s="54"/>
    </row>
    <row r="971" spans="1:26" ht="14.25" customHeight="1">
      <c r="A971" s="24"/>
      <c r="B971" s="24"/>
      <c r="C971" s="24"/>
      <c r="D971" s="24"/>
      <c r="E971" s="24"/>
      <c r="F971" s="24"/>
      <c r="G971" s="24"/>
      <c r="H971" s="24"/>
      <c r="I971" s="24"/>
      <c r="J971" s="24"/>
      <c r="K971" s="24"/>
      <c r="L971" s="24"/>
      <c r="M971" s="24"/>
      <c r="N971" s="35"/>
      <c r="O971" s="24"/>
      <c r="P971" s="35"/>
      <c r="Q971" s="24"/>
      <c r="R971" s="24"/>
      <c r="S971" s="24"/>
      <c r="T971" s="24"/>
      <c r="U971" s="54"/>
      <c r="V971" s="54"/>
      <c r="W971" s="54"/>
      <c r="X971" s="54"/>
      <c r="Y971" s="54"/>
      <c r="Z971" s="54"/>
    </row>
    <row r="972" spans="1:26" ht="14.25" customHeight="1">
      <c r="A972" s="24"/>
      <c r="B972" s="24"/>
      <c r="C972" s="24"/>
      <c r="D972" s="24"/>
      <c r="E972" s="24"/>
      <c r="F972" s="24"/>
      <c r="G972" s="24"/>
      <c r="H972" s="24"/>
      <c r="I972" s="24"/>
      <c r="J972" s="24"/>
      <c r="K972" s="24"/>
      <c r="L972" s="24"/>
      <c r="M972" s="24"/>
      <c r="N972" s="35"/>
      <c r="O972" s="24"/>
      <c r="P972" s="35"/>
      <c r="Q972" s="24"/>
      <c r="R972" s="24"/>
      <c r="S972" s="24"/>
      <c r="T972" s="24"/>
      <c r="U972" s="54"/>
      <c r="V972" s="54"/>
      <c r="W972" s="54"/>
      <c r="X972" s="54"/>
      <c r="Y972" s="54"/>
      <c r="Z972" s="54"/>
    </row>
    <row r="973" spans="1:26" ht="14.25" customHeight="1">
      <c r="A973" s="24"/>
      <c r="B973" s="24"/>
      <c r="C973" s="24"/>
      <c r="D973" s="24"/>
      <c r="E973" s="24"/>
      <c r="F973" s="24"/>
      <c r="G973" s="24"/>
      <c r="H973" s="24"/>
      <c r="I973" s="24"/>
      <c r="J973" s="24"/>
      <c r="K973" s="24"/>
      <c r="L973" s="24"/>
      <c r="M973" s="24"/>
      <c r="N973" s="35"/>
      <c r="O973" s="24"/>
      <c r="P973" s="35"/>
      <c r="Q973" s="24"/>
      <c r="R973" s="24"/>
      <c r="S973" s="24"/>
      <c r="T973" s="24"/>
      <c r="U973" s="54"/>
      <c r="V973" s="54"/>
      <c r="W973" s="54"/>
      <c r="X973" s="54"/>
      <c r="Y973" s="54"/>
      <c r="Z973" s="54"/>
    </row>
    <row r="974" spans="1:26" ht="14.25" customHeight="1">
      <c r="A974" s="24"/>
      <c r="B974" s="24"/>
      <c r="C974" s="24"/>
      <c r="D974" s="24"/>
      <c r="E974" s="24"/>
      <c r="F974" s="24"/>
      <c r="G974" s="24"/>
      <c r="H974" s="24"/>
      <c r="I974" s="24"/>
      <c r="J974" s="24"/>
      <c r="K974" s="24"/>
      <c r="L974" s="24"/>
      <c r="M974" s="24"/>
      <c r="N974" s="35"/>
      <c r="O974" s="24"/>
      <c r="P974" s="35"/>
      <c r="Q974" s="24"/>
      <c r="R974" s="24"/>
      <c r="S974" s="24"/>
      <c r="T974" s="24"/>
      <c r="U974" s="54"/>
      <c r="V974" s="54"/>
      <c r="W974" s="54"/>
      <c r="X974" s="54"/>
      <c r="Y974" s="54"/>
      <c r="Z974" s="54"/>
    </row>
    <row r="975" spans="1:26" ht="14.25" customHeight="1">
      <c r="A975" s="24"/>
      <c r="B975" s="24"/>
      <c r="C975" s="24"/>
      <c r="D975" s="24"/>
      <c r="E975" s="24"/>
      <c r="F975" s="24"/>
      <c r="G975" s="24"/>
      <c r="H975" s="24"/>
      <c r="I975" s="24"/>
      <c r="J975" s="24"/>
      <c r="K975" s="24"/>
      <c r="L975" s="24"/>
      <c r="M975" s="24"/>
      <c r="N975" s="35"/>
      <c r="O975" s="24"/>
      <c r="P975" s="35"/>
      <c r="Q975" s="24"/>
      <c r="R975" s="24"/>
      <c r="S975" s="24"/>
      <c r="T975" s="24"/>
      <c r="U975" s="54"/>
      <c r="V975" s="54"/>
      <c r="W975" s="54"/>
      <c r="X975" s="54"/>
      <c r="Y975" s="54"/>
      <c r="Z975" s="54"/>
    </row>
    <row r="976" spans="1:26" ht="14.25" customHeight="1">
      <c r="A976" s="24"/>
      <c r="B976" s="24"/>
      <c r="C976" s="24"/>
      <c r="D976" s="24"/>
      <c r="E976" s="24"/>
      <c r="F976" s="24"/>
      <c r="G976" s="24"/>
      <c r="H976" s="24"/>
      <c r="I976" s="24"/>
      <c r="J976" s="24"/>
      <c r="K976" s="24"/>
      <c r="L976" s="24"/>
      <c r="M976" s="24"/>
      <c r="N976" s="35"/>
      <c r="O976" s="24"/>
      <c r="P976" s="35"/>
      <c r="Q976" s="24"/>
      <c r="R976" s="24"/>
      <c r="S976" s="24"/>
      <c r="T976" s="24"/>
      <c r="U976" s="54"/>
      <c r="V976" s="54"/>
      <c r="W976" s="54"/>
      <c r="X976" s="54"/>
      <c r="Y976" s="54"/>
      <c r="Z976" s="54"/>
    </row>
    <row r="977" spans="1:26" ht="14.25" customHeight="1">
      <c r="A977" s="24"/>
      <c r="B977" s="24"/>
      <c r="C977" s="24"/>
      <c r="D977" s="24"/>
      <c r="E977" s="24"/>
      <c r="F977" s="24"/>
      <c r="G977" s="24"/>
      <c r="H977" s="24"/>
      <c r="I977" s="24"/>
      <c r="J977" s="24"/>
      <c r="K977" s="24"/>
      <c r="L977" s="24"/>
      <c r="M977" s="24"/>
      <c r="N977" s="35"/>
      <c r="O977" s="24"/>
      <c r="P977" s="35"/>
      <c r="Q977" s="24"/>
      <c r="R977" s="24"/>
      <c r="S977" s="24"/>
      <c r="T977" s="24"/>
      <c r="U977" s="54"/>
      <c r="V977" s="54"/>
      <c r="W977" s="54"/>
      <c r="X977" s="54"/>
      <c r="Y977" s="54"/>
      <c r="Z977" s="54"/>
    </row>
    <row r="978" spans="1:26" ht="14.25" customHeight="1">
      <c r="A978" s="24"/>
      <c r="B978" s="24"/>
      <c r="C978" s="24"/>
      <c r="D978" s="24"/>
      <c r="E978" s="24"/>
      <c r="F978" s="24"/>
      <c r="G978" s="24"/>
      <c r="H978" s="24"/>
      <c r="I978" s="24"/>
      <c r="J978" s="24"/>
      <c r="K978" s="24"/>
      <c r="L978" s="24"/>
      <c r="M978" s="24"/>
      <c r="N978" s="35"/>
      <c r="O978" s="24"/>
      <c r="P978" s="35"/>
      <c r="Q978" s="24"/>
      <c r="R978" s="24"/>
      <c r="S978" s="24"/>
      <c r="T978" s="24"/>
      <c r="U978" s="54"/>
      <c r="V978" s="54"/>
      <c r="W978" s="54"/>
      <c r="X978" s="54"/>
      <c r="Y978" s="54"/>
      <c r="Z978" s="54"/>
    </row>
    <row r="979" spans="1:26" ht="14.25" customHeight="1">
      <c r="A979" s="24"/>
      <c r="B979" s="24"/>
      <c r="C979" s="24"/>
      <c r="D979" s="24"/>
      <c r="E979" s="24"/>
      <c r="F979" s="24"/>
      <c r="G979" s="24"/>
      <c r="H979" s="24"/>
      <c r="I979" s="24"/>
      <c r="J979" s="24"/>
      <c r="K979" s="24"/>
      <c r="L979" s="24"/>
      <c r="M979" s="24"/>
      <c r="N979" s="35"/>
      <c r="O979" s="24"/>
      <c r="P979" s="35"/>
      <c r="Q979" s="24"/>
      <c r="R979" s="24"/>
      <c r="S979" s="24"/>
      <c r="T979" s="24"/>
      <c r="U979" s="54"/>
      <c r="V979" s="54"/>
      <c r="W979" s="54"/>
      <c r="X979" s="54"/>
      <c r="Y979" s="54"/>
      <c r="Z979" s="54"/>
    </row>
    <row r="980" spans="1:26" ht="14.25" customHeight="1">
      <c r="A980" s="24"/>
      <c r="B980" s="24"/>
      <c r="C980" s="24"/>
      <c r="D980" s="24"/>
      <c r="E980" s="24"/>
      <c r="F980" s="24"/>
      <c r="G980" s="24"/>
      <c r="H980" s="24"/>
      <c r="I980" s="24"/>
      <c r="J980" s="24"/>
      <c r="K980" s="24"/>
      <c r="L980" s="24"/>
      <c r="M980" s="24"/>
      <c r="N980" s="35"/>
      <c r="O980" s="24"/>
      <c r="P980" s="35"/>
      <c r="Q980" s="24"/>
      <c r="R980" s="24"/>
      <c r="S980" s="24"/>
      <c r="T980" s="24"/>
      <c r="U980" s="54"/>
      <c r="V980" s="54"/>
      <c r="W980" s="54"/>
      <c r="X980" s="54"/>
      <c r="Y980" s="54"/>
      <c r="Z980" s="54"/>
    </row>
    <row r="981" spans="1:26" ht="14.25" customHeight="1">
      <c r="A981" s="24"/>
      <c r="B981" s="24"/>
      <c r="C981" s="24"/>
      <c r="D981" s="24"/>
      <c r="E981" s="24"/>
      <c r="F981" s="24"/>
      <c r="G981" s="24"/>
      <c r="H981" s="24"/>
      <c r="I981" s="24"/>
      <c r="J981" s="24"/>
      <c r="K981" s="24"/>
      <c r="L981" s="24"/>
      <c r="M981" s="24"/>
      <c r="N981" s="35"/>
      <c r="O981" s="24"/>
      <c r="P981" s="35"/>
      <c r="Q981" s="24"/>
      <c r="R981" s="24"/>
      <c r="S981" s="24"/>
      <c r="T981" s="24"/>
      <c r="U981" s="54"/>
      <c r="V981" s="54"/>
      <c r="W981" s="54"/>
      <c r="X981" s="54"/>
      <c r="Y981" s="54"/>
      <c r="Z981" s="54"/>
    </row>
    <row r="982" spans="1:26" ht="14.25" customHeight="1">
      <c r="A982" s="24"/>
      <c r="B982" s="24"/>
      <c r="C982" s="24"/>
      <c r="D982" s="24"/>
      <c r="E982" s="24"/>
      <c r="F982" s="24"/>
      <c r="G982" s="24"/>
      <c r="H982" s="24"/>
      <c r="I982" s="24"/>
      <c r="J982" s="24"/>
      <c r="K982" s="24"/>
      <c r="L982" s="24"/>
      <c r="M982" s="24"/>
      <c r="N982" s="35"/>
      <c r="O982" s="24"/>
      <c r="P982" s="35"/>
      <c r="Q982" s="24"/>
      <c r="R982" s="24"/>
      <c r="S982" s="24"/>
      <c r="T982" s="24"/>
      <c r="U982" s="54"/>
      <c r="V982" s="54"/>
      <c r="W982" s="54"/>
      <c r="X982" s="54"/>
      <c r="Y982" s="54"/>
      <c r="Z982" s="54"/>
    </row>
    <row r="983" spans="1:26" ht="14.25" customHeight="1">
      <c r="A983" s="24"/>
      <c r="B983" s="24"/>
      <c r="C983" s="24"/>
      <c r="D983" s="24"/>
      <c r="E983" s="24"/>
      <c r="F983" s="24"/>
      <c r="G983" s="24"/>
      <c r="H983" s="24"/>
      <c r="I983" s="24"/>
      <c r="J983" s="24"/>
      <c r="K983" s="24"/>
      <c r="L983" s="24"/>
      <c r="M983" s="24"/>
      <c r="N983" s="35"/>
      <c r="O983" s="24"/>
      <c r="P983" s="35"/>
      <c r="Q983" s="24"/>
      <c r="R983" s="24"/>
      <c r="S983" s="24"/>
      <c r="T983" s="24"/>
      <c r="U983" s="54"/>
      <c r="V983" s="54"/>
      <c r="W983" s="54"/>
      <c r="X983" s="54"/>
      <c r="Y983" s="54"/>
      <c r="Z983" s="54"/>
    </row>
    <row r="984" spans="1:26" ht="14.25" customHeight="1">
      <c r="A984" s="24"/>
      <c r="B984" s="24"/>
      <c r="C984" s="24"/>
      <c r="D984" s="24"/>
      <c r="E984" s="24"/>
      <c r="F984" s="24"/>
      <c r="G984" s="24"/>
      <c r="H984" s="24"/>
      <c r="I984" s="24"/>
      <c r="J984" s="24"/>
      <c r="K984" s="24"/>
      <c r="L984" s="24"/>
      <c r="M984" s="24"/>
      <c r="N984" s="35"/>
      <c r="O984" s="24"/>
      <c r="P984" s="35"/>
      <c r="Q984" s="24"/>
      <c r="R984" s="24"/>
      <c r="S984" s="24"/>
      <c r="T984" s="24"/>
      <c r="U984" s="54"/>
      <c r="V984" s="54"/>
      <c r="W984" s="54"/>
      <c r="X984" s="54"/>
      <c r="Y984" s="54"/>
      <c r="Z984" s="54"/>
    </row>
    <row r="985" spans="1:26" ht="14.25" customHeight="1">
      <c r="A985" s="24"/>
      <c r="B985" s="24"/>
      <c r="C985" s="24"/>
      <c r="D985" s="24"/>
      <c r="E985" s="24"/>
      <c r="F985" s="24"/>
      <c r="G985" s="24"/>
      <c r="H985" s="24"/>
      <c r="I985" s="24"/>
      <c r="J985" s="24"/>
      <c r="K985" s="24"/>
      <c r="L985" s="24"/>
      <c r="M985" s="24"/>
      <c r="N985" s="35"/>
      <c r="O985" s="24"/>
      <c r="P985" s="35"/>
      <c r="Q985" s="24"/>
      <c r="R985" s="24"/>
      <c r="S985" s="24"/>
      <c r="T985" s="24"/>
      <c r="U985" s="54"/>
      <c r="V985" s="54"/>
      <c r="W985" s="54"/>
      <c r="X985" s="54"/>
      <c r="Y985" s="54"/>
      <c r="Z985" s="54"/>
    </row>
    <row r="986" spans="1:26" ht="14.25" customHeight="1">
      <c r="A986" s="24"/>
      <c r="B986" s="24"/>
      <c r="C986" s="24"/>
      <c r="D986" s="24"/>
      <c r="E986" s="24"/>
      <c r="F986" s="24"/>
      <c r="G986" s="24"/>
      <c r="H986" s="24"/>
      <c r="I986" s="24"/>
      <c r="J986" s="24"/>
      <c r="K986" s="24"/>
      <c r="L986" s="24"/>
      <c r="M986" s="24"/>
      <c r="N986" s="35"/>
      <c r="O986" s="24"/>
      <c r="P986" s="35"/>
      <c r="Q986" s="24"/>
      <c r="R986" s="24"/>
      <c r="S986" s="24"/>
      <c r="T986" s="24"/>
      <c r="U986" s="54"/>
      <c r="V986" s="54"/>
      <c r="W986" s="54"/>
      <c r="X986" s="54"/>
      <c r="Y986" s="54"/>
      <c r="Z986" s="54"/>
    </row>
    <row r="987" spans="1:26" ht="14.25" customHeight="1">
      <c r="A987" s="24"/>
      <c r="B987" s="24"/>
      <c r="C987" s="24"/>
      <c r="D987" s="24"/>
      <c r="E987" s="24"/>
      <c r="F987" s="24"/>
      <c r="G987" s="24"/>
      <c r="H987" s="24"/>
      <c r="I987" s="24"/>
      <c r="J987" s="24"/>
      <c r="K987" s="24"/>
      <c r="L987" s="24"/>
      <c r="M987" s="24"/>
      <c r="N987" s="35"/>
      <c r="O987" s="24"/>
      <c r="P987" s="35"/>
      <c r="Q987" s="24"/>
      <c r="R987" s="24"/>
      <c r="S987" s="24"/>
      <c r="T987" s="24"/>
      <c r="U987" s="54"/>
      <c r="V987" s="54"/>
      <c r="W987" s="54"/>
      <c r="X987" s="54"/>
      <c r="Y987" s="54"/>
      <c r="Z987" s="54"/>
    </row>
    <row r="988" spans="1:26" ht="14.25" customHeight="1">
      <c r="A988" s="24"/>
      <c r="B988" s="24"/>
      <c r="C988" s="24"/>
      <c r="D988" s="24"/>
      <c r="E988" s="24"/>
      <c r="F988" s="24"/>
      <c r="G988" s="24"/>
      <c r="H988" s="24"/>
      <c r="I988" s="24"/>
      <c r="J988" s="24"/>
      <c r="K988" s="24"/>
      <c r="L988" s="24"/>
      <c r="M988" s="24"/>
      <c r="N988" s="35"/>
      <c r="O988" s="24"/>
      <c r="P988" s="35"/>
      <c r="Q988" s="24"/>
      <c r="R988" s="24"/>
      <c r="S988" s="24"/>
      <c r="T988" s="24"/>
      <c r="U988" s="54"/>
      <c r="V988" s="54"/>
      <c r="W988" s="54"/>
      <c r="X988" s="54"/>
      <c r="Y988" s="54"/>
      <c r="Z988" s="54"/>
    </row>
    <row r="989" spans="1:26" ht="14.25" customHeight="1">
      <c r="A989" s="24"/>
      <c r="B989" s="24"/>
      <c r="C989" s="24"/>
      <c r="D989" s="24"/>
      <c r="E989" s="24"/>
      <c r="F989" s="24"/>
      <c r="G989" s="24"/>
      <c r="H989" s="24"/>
      <c r="I989" s="24"/>
      <c r="J989" s="24"/>
      <c r="K989" s="24"/>
      <c r="L989" s="24"/>
      <c r="M989" s="24"/>
      <c r="N989" s="35"/>
      <c r="O989" s="24"/>
      <c r="P989" s="35"/>
      <c r="Q989" s="24"/>
      <c r="R989" s="24"/>
      <c r="S989" s="24"/>
      <c r="T989" s="24"/>
      <c r="U989" s="54"/>
      <c r="V989" s="54"/>
      <c r="W989" s="54"/>
      <c r="X989" s="54"/>
      <c r="Y989" s="54"/>
      <c r="Z989" s="54"/>
    </row>
    <row r="990" spans="1:26" ht="14.25" customHeight="1">
      <c r="A990" s="24"/>
      <c r="B990" s="24"/>
      <c r="C990" s="24"/>
      <c r="D990" s="24"/>
      <c r="E990" s="24"/>
      <c r="F990" s="24"/>
      <c r="G990" s="24"/>
      <c r="H990" s="24"/>
      <c r="I990" s="24"/>
      <c r="J990" s="24"/>
      <c r="K990" s="24"/>
      <c r="L990" s="24"/>
      <c r="M990" s="24"/>
      <c r="N990" s="35"/>
      <c r="O990" s="24"/>
      <c r="P990" s="35"/>
      <c r="Q990" s="24"/>
      <c r="R990" s="24"/>
      <c r="S990" s="24"/>
      <c r="T990" s="24"/>
      <c r="U990" s="54"/>
      <c r="V990" s="54"/>
      <c r="W990" s="54"/>
      <c r="X990" s="54"/>
      <c r="Y990" s="54"/>
      <c r="Z990" s="54"/>
    </row>
    <row r="991" spans="1:26" ht="14.25" customHeight="1">
      <c r="A991" s="24"/>
      <c r="B991" s="24"/>
      <c r="C991" s="24"/>
      <c r="D991" s="24"/>
      <c r="E991" s="24"/>
      <c r="F991" s="24"/>
      <c r="G991" s="24"/>
      <c r="H991" s="24"/>
      <c r="I991" s="24"/>
      <c r="J991" s="24"/>
      <c r="K991" s="24"/>
      <c r="L991" s="24"/>
      <c r="M991" s="24"/>
      <c r="N991" s="35"/>
      <c r="O991" s="24"/>
      <c r="P991" s="35"/>
      <c r="Q991" s="24"/>
      <c r="R991" s="24"/>
      <c r="S991" s="24"/>
      <c r="T991" s="24"/>
      <c r="U991" s="54"/>
      <c r="V991" s="54"/>
      <c r="W991" s="54"/>
      <c r="X991" s="54"/>
      <c r="Y991" s="54"/>
      <c r="Z991" s="54"/>
    </row>
    <row r="992" spans="1:26" ht="14.25" customHeight="1">
      <c r="A992" s="24"/>
      <c r="B992" s="24"/>
      <c r="C992" s="24"/>
      <c r="D992" s="24"/>
      <c r="E992" s="24"/>
      <c r="F992" s="24"/>
      <c r="G992" s="24"/>
      <c r="H992" s="24"/>
      <c r="I992" s="24"/>
      <c r="J992" s="24"/>
      <c r="K992" s="24"/>
      <c r="L992" s="24"/>
      <c r="M992" s="24"/>
      <c r="N992" s="35"/>
      <c r="O992" s="24"/>
      <c r="P992" s="35"/>
      <c r="Q992" s="24"/>
      <c r="R992" s="24"/>
      <c r="S992" s="24"/>
      <c r="T992" s="24"/>
      <c r="U992" s="54"/>
      <c r="V992" s="54"/>
      <c r="W992" s="54"/>
      <c r="X992" s="54"/>
      <c r="Y992" s="54"/>
      <c r="Z992" s="54"/>
    </row>
    <row r="993" spans="1:26" ht="14.25" customHeight="1">
      <c r="A993" s="24"/>
      <c r="B993" s="24"/>
      <c r="C993" s="24"/>
      <c r="D993" s="24"/>
      <c r="E993" s="24"/>
      <c r="F993" s="24"/>
      <c r="G993" s="24"/>
      <c r="H993" s="24"/>
      <c r="I993" s="24"/>
      <c r="J993" s="24"/>
      <c r="K993" s="24"/>
      <c r="L993" s="24"/>
      <c r="M993" s="24"/>
      <c r="N993" s="35"/>
      <c r="O993" s="24"/>
      <c r="P993" s="35"/>
      <c r="Q993" s="24"/>
      <c r="R993" s="24"/>
      <c r="S993" s="24"/>
      <c r="T993" s="24"/>
      <c r="U993" s="54"/>
      <c r="V993" s="54"/>
      <c r="W993" s="54"/>
      <c r="X993" s="54"/>
      <c r="Y993" s="54"/>
      <c r="Z993" s="54"/>
    </row>
    <row r="994" spans="1:26" ht="14.25" customHeight="1">
      <c r="A994" s="24"/>
      <c r="B994" s="24"/>
      <c r="C994" s="24"/>
      <c r="D994" s="24"/>
      <c r="E994" s="24"/>
      <c r="F994" s="24"/>
      <c r="G994" s="24"/>
      <c r="H994" s="24"/>
      <c r="I994" s="24"/>
      <c r="J994" s="24"/>
      <c r="K994" s="24"/>
      <c r="L994" s="24"/>
      <c r="M994" s="24"/>
      <c r="N994" s="35"/>
      <c r="O994" s="24"/>
      <c r="P994" s="35"/>
      <c r="Q994" s="24"/>
      <c r="R994" s="24"/>
      <c r="S994" s="24"/>
      <c r="T994" s="24"/>
      <c r="U994" s="54"/>
      <c r="V994" s="54"/>
      <c r="W994" s="54"/>
      <c r="X994" s="54"/>
      <c r="Y994" s="54"/>
      <c r="Z994" s="54"/>
    </row>
    <row r="995" spans="1:26" ht="14.25" customHeight="1">
      <c r="A995" s="24"/>
      <c r="B995" s="24"/>
      <c r="C995" s="24"/>
      <c r="D995" s="24"/>
      <c r="E995" s="24"/>
      <c r="F995" s="24"/>
      <c r="G995" s="24"/>
      <c r="H995" s="24"/>
      <c r="I995" s="24"/>
      <c r="J995" s="24"/>
      <c r="K995" s="24"/>
      <c r="L995" s="24"/>
      <c r="M995" s="24"/>
      <c r="N995" s="35"/>
      <c r="O995" s="24"/>
      <c r="P995" s="35"/>
      <c r="Q995" s="24"/>
      <c r="R995" s="24"/>
      <c r="S995" s="24"/>
      <c r="T995" s="24"/>
      <c r="U995" s="54"/>
      <c r="V995" s="54"/>
      <c r="W995" s="54"/>
      <c r="X995" s="54"/>
      <c r="Y995" s="54"/>
      <c r="Z995" s="54"/>
    </row>
    <row r="996" spans="1:26" ht="14.25" customHeight="1">
      <c r="A996" s="24"/>
      <c r="B996" s="24"/>
      <c r="C996" s="24"/>
      <c r="D996" s="24"/>
      <c r="E996" s="24"/>
      <c r="F996" s="24"/>
      <c r="G996" s="24"/>
      <c r="H996" s="24"/>
      <c r="I996" s="24"/>
      <c r="J996" s="24"/>
      <c r="K996" s="24"/>
      <c r="L996" s="24"/>
      <c r="M996" s="24"/>
      <c r="N996" s="35"/>
      <c r="O996" s="24"/>
      <c r="P996" s="35"/>
      <c r="Q996" s="24"/>
      <c r="R996" s="24"/>
      <c r="S996" s="24"/>
      <c r="T996" s="24"/>
      <c r="U996" s="54"/>
      <c r="V996" s="54"/>
      <c r="W996" s="54"/>
      <c r="X996" s="54"/>
      <c r="Y996" s="54"/>
      <c r="Z996" s="54"/>
    </row>
    <row r="997" spans="1:26" ht="14.25" customHeight="1">
      <c r="A997" s="24"/>
      <c r="B997" s="24"/>
      <c r="C997" s="24"/>
      <c r="D997" s="24"/>
      <c r="E997" s="24"/>
      <c r="F997" s="24"/>
      <c r="G997" s="24"/>
      <c r="H997" s="24"/>
      <c r="I997" s="24"/>
      <c r="J997" s="24"/>
      <c r="K997" s="24"/>
      <c r="L997" s="24"/>
      <c r="M997" s="24"/>
      <c r="N997" s="35"/>
      <c r="O997" s="24"/>
      <c r="P997" s="35"/>
      <c r="Q997" s="24"/>
      <c r="R997" s="24"/>
      <c r="S997" s="24"/>
      <c r="T997" s="24"/>
      <c r="U997" s="54"/>
      <c r="V997" s="54"/>
      <c r="W997" s="54"/>
      <c r="X997" s="54"/>
      <c r="Y997" s="54"/>
      <c r="Z997" s="54"/>
    </row>
    <row r="998" spans="1:26" ht="14.25" customHeight="1">
      <c r="A998" s="24"/>
      <c r="B998" s="24"/>
      <c r="C998" s="24"/>
      <c r="D998" s="24"/>
      <c r="E998" s="24"/>
      <c r="F998" s="24"/>
      <c r="G998" s="24"/>
      <c r="H998" s="24"/>
      <c r="I998" s="24"/>
      <c r="J998" s="24"/>
      <c r="K998" s="24"/>
      <c r="L998" s="24"/>
      <c r="M998" s="24"/>
      <c r="N998" s="35"/>
      <c r="O998" s="24"/>
      <c r="P998" s="35"/>
      <c r="Q998" s="24"/>
      <c r="R998" s="24"/>
      <c r="S998" s="24"/>
      <c r="T998" s="24"/>
      <c r="U998" s="54"/>
      <c r="V998" s="54"/>
      <c r="W998" s="54"/>
      <c r="X998" s="54"/>
      <c r="Y998" s="54"/>
      <c r="Z998" s="54"/>
    </row>
    <row r="999" spans="1:26" ht="14.25" customHeight="1">
      <c r="A999" s="24"/>
      <c r="B999" s="24"/>
      <c r="C999" s="24"/>
      <c r="D999" s="24"/>
      <c r="E999" s="24"/>
      <c r="F999" s="24"/>
      <c r="G999" s="24"/>
      <c r="H999" s="24"/>
      <c r="I999" s="24"/>
      <c r="J999" s="24"/>
      <c r="K999" s="24"/>
      <c r="L999" s="24"/>
      <c r="M999" s="24"/>
      <c r="N999" s="35"/>
      <c r="O999" s="24"/>
      <c r="P999" s="35"/>
      <c r="Q999" s="24"/>
      <c r="R999" s="24"/>
      <c r="S999" s="24"/>
      <c r="T999" s="24"/>
      <c r="U999" s="54"/>
      <c r="V999" s="54"/>
      <c r="W999" s="54"/>
      <c r="X999" s="54"/>
      <c r="Y999" s="54"/>
      <c r="Z999" s="54"/>
    </row>
  </sheetData>
  <mergeCells count="10">
    <mergeCell ref="A2:D2"/>
    <mergeCell ref="I3:K3"/>
    <mergeCell ref="I6:K6"/>
    <mergeCell ref="I5:K5"/>
    <mergeCell ref="I4:K4"/>
    <mergeCell ref="F4:G4"/>
    <mergeCell ref="F5:G5"/>
    <mergeCell ref="F6:G6"/>
    <mergeCell ref="E2:G2"/>
    <mergeCell ref="F3:G3"/>
  </mergeCells>
  <pageMargins left="0.7" right="0.7" top="0.75" bottom="0.75" header="0.3" footer="0.3"/>
  <pageSetup orientation="portrait" horizontalDpi="4294967293"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tabColor theme="8"/>
  </sheetPr>
  <dimension ref="A1:AA987"/>
  <sheetViews>
    <sheetView workbookViewId="0">
      <selection activeCell="I5" sqref="I5:K5"/>
    </sheetView>
  </sheetViews>
  <sheetFormatPr defaultColWidth="11.125" defaultRowHeight="15" customHeight="1" outlineLevelRow="1"/>
  <cols>
    <col min="1" max="1" width="53.25" style="14" customWidth="1"/>
    <col min="2" max="3" width="25" style="14" customWidth="1"/>
    <col min="4" max="4" width="25.25" style="14" customWidth="1"/>
    <col min="5" max="14" width="10.625" style="13" customWidth="1"/>
    <col min="15" max="24" width="10.625" style="14" customWidth="1"/>
    <col min="25" max="16384" width="11.125" style="14"/>
  </cols>
  <sheetData>
    <row r="1" spans="1:27" s="86" customFormat="1" ht="24" customHeight="1">
      <c r="A1" s="210" t="s">
        <v>35</v>
      </c>
      <c r="B1" s="210"/>
      <c r="C1" s="210"/>
      <c r="D1" s="210"/>
      <c r="E1" s="163"/>
      <c r="F1" s="163"/>
      <c r="G1" s="904"/>
      <c r="H1" s="85"/>
      <c r="I1" s="85"/>
      <c r="J1" s="85"/>
      <c r="K1" s="85"/>
      <c r="L1" s="85"/>
      <c r="M1" s="85"/>
      <c r="N1" s="85"/>
      <c r="O1" s="85"/>
      <c r="P1" s="85"/>
      <c r="Q1" s="85"/>
      <c r="R1" s="85"/>
      <c r="S1" s="85"/>
      <c r="T1" s="85"/>
      <c r="U1" s="85"/>
      <c r="V1" s="85"/>
      <c r="W1" s="85"/>
      <c r="X1" s="85"/>
      <c r="Y1" s="85"/>
      <c r="Z1" s="85"/>
      <c r="AA1" s="85"/>
    </row>
    <row r="2" spans="1:27" ht="12.75">
      <c r="A2" s="1281" t="s">
        <v>224</v>
      </c>
      <c r="B2" s="1304"/>
      <c r="C2" s="1304"/>
      <c r="D2" s="1304"/>
      <c r="E2" s="1304"/>
      <c r="F2" s="957"/>
      <c r="G2" s="957"/>
      <c r="H2" s="957"/>
      <c r="I2" s="957"/>
      <c r="J2" s="957"/>
      <c r="K2" s="957"/>
      <c r="L2" s="957"/>
      <c r="M2" s="957"/>
      <c r="N2" s="957"/>
      <c r="O2" s="4"/>
      <c r="P2" s="4"/>
      <c r="Q2" s="4"/>
      <c r="R2" s="4"/>
      <c r="S2" s="4"/>
      <c r="T2" s="4"/>
      <c r="U2" s="4"/>
      <c r="V2" s="4"/>
      <c r="W2" s="4"/>
      <c r="X2" s="4"/>
    </row>
    <row r="3" spans="1:27" ht="20.25">
      <c r="A3" s="531" t="s">
        <v>431</v>
      </c>
      <c r="B3" s="502"/>
      <c r="C3" s="502"/>
      <c r="D3" s="503"/>
      <c r="E3" s="9"/>
      <c r="F3" s="957"/>
      <c r="G3" s="957"/>
      <c r="H3" s="957"/>
      <c r="I3" s="957"/>
      <c r="J3" s="957"/>
      <c r="K3" s="957"/>
      <c r="L3" s="957"/>
      <c r="M3" s="957"/>
      <c r="N3" s="957"/>
      <c r="O3" s="4"/>
      <c r="P3" s="4"/>
      <c r="Q3" s="4"/>
      <c r="R3" s="4"/>
      <c r="S3" s="4"/>
      <c r="T3" s="4"/>
      <c r="U3" s="4"/>
      <c r="V3" s="4"/>
      <c r="W3" s="4"/>
      <c r="X3" s="4"/>
    </row>
    <row r="4" spans="1:27" ht="18.75" outlineLevel="1">
      <c r="A4" s="678" t="s">
        <v>183</v>
      </c>
      <c r="B4" s="676" t="s">
        <v>56</v>
      </c>
      <c r="C4" s="676" t="s">
        <v>57</v>
      </c>
      <c r="D4" s="677" t="s">
        <v>1100</v>
      </c>
      <c r="E4" s="9"/>
      <c r="F4" s="957"/>
      <c r="G4" s="957"/>
      <c r="H4" s="957"/>
      <c r="I4" s="957"/>
      <c r="J4" s="957"/>
      <c r="K4" s="957"/>
      <c r="L4" s="957"/>
      <c r="M4" s="957"/>
      <c r="N4" s="957"/>
      <c r="O4" s="4"/>
      <c r="P4" s="4"/>
      <c r="Q4" s="4"/>
      <c r="R4" s="4"/>
      <c r="S4" s="4"/>
      <c r="T4" s="4"/>
      <c r="U4" s="4"/>
      <c r="V4" s="4"/>
      <c r="W4" s="4"/>
      <c r="X4" s="4"/>
    </row>
    <row r="5" spans="1:27" ht="12.75" outlineLevel="1">
      <c r="A5" s="165" t="s">
        <v>183</v>
      </c>
      <c r="B5" s="714">
        <f>'Waste_Recycling Data'!B53</f>
        <v>344748.72</v>
      </c>
      <c r="C5" s="189" t="s">
        <v>535</v>
      </c>
      <c r="D5" s="349">
        <f>-'Waste_Recycling Data'!G53</f>
        <v>804409.08335039997</v>
      </c>
      <c r="E5" s="9"/>
      <c r="F5" s="957"/>
      <c r="G5" s="957"/>
      <c r="H5" s="957"/>
      <c r="I5" s="957"/>
      <c r="J5" s="957"/>
      <c r="K5" s="957"/>
      <c r="L5" s="957"/>
      <c r="M5" s="957"/>
      <c r="N5" s="957"/>
      <c r="O5" s="4"/>
      <c r="P5" s="4"/>
      <c r="Q5" s="4"/>
      <c r="R5" s="4"/>
      <c r="S5" s="4"/>
      <c r="T5" s="4"/>
      <c r="U5" s="4"/>
      <c r="V5" s="4"/>
      <c r="W5" s="4"/>
      <c r="X5" s="4"/>
    </row>
    <row r="6" spans="1:27" ht="12.75" outlineLevel="1">
      <c r="A6" s="1308" t="s">
        <v>536</v>
      </c>
      <c r="B6" s="1309"/>
      <c r="C6" s="1310"/>
      <c r="D6" s="350">
        <f>SUM(D5)</f>
        <v>804409.08335039997</v>
      </c>
      <c r="E6" s="9"/>
      <c r="F6" s="957"/>
      <c r="G6" s="957"/>
      <c r="H6" s="957"/>
      <c r="I6" s="957"/>
      <c r="J6" s="957"/>
      <c r="K6" s="957"/>
      <c r="L6" s="957"/>
      <c r="M6" s="957"/>
      <c r="N6" s="957"/>
      <c r="O6" s="4"/>
      <c r="P6" s="4"/>
      <c r="Q6" s="4"/>
      <c r="R6" s="4"/>
      <c r="S6" s="4"/>
      <c r="T6" s="4"/>
      <c r="U6" s="4"/>
      <c r="V6" s="4"/>
      <c r="W6" s="4"/>
      <c r="X6" s="4"/>
    </row>
    <row r="7" spans="1:27" ht="18.75" outlineLevel="1">
      <c r="A7" s="678" t="s">
        <v>519</v>
      </c>
      <c r="B7" s="676" t="s">
        <v>56</v>
      </c>
      <c r="C7" s="676" t="s">
        <v>57</v>
      </c>
      <c r="D7" s="677" t="s">
        <v>1100</v>
      </c>
      <c r="E7" s="9"/>
      <c r="F7" s="957"/>
      <c r="G7" s="957"/>
      <c r="H7" s="957"/>
      <c r="I7" s="957"/>
      <c r="J7" s="957"/>
      <c r="K7" s="957"/>
      <c r="L7" s="957"/>
      <c r="M7" s="957"/>
      <c r="N7" s="957"/>
      <c r="O7" s="4"/>
      <c r="P7" s="4"/>
      <c r="Q7" s="4"/>
      <c r="R7" s="4"/>
      <c r="S7" s="4"/>
      <c r="T7" s="4"/>
      <c r="U7" s="4"/>
      <c r="V7" s="4"/>
      <c r="W7" s="4"/>
      <c r="X7" s="4"/>
    </row>
    <row r="8" spans="1:27" ht="12.75" outlineLevel="1">
      <c r="A8" s="188" t="s">
        <v>537</v>
      </c>
      <c r="B8" s="351">
        <f>'Stationary Energy Data'!$B$84</f>
        <v>62323920</v>
      </c>
      <c r="C8" s="189" t="s">
        <v>43</v>
      </c>
      <c r="D8" s="351">
        <f>'Stationary Energy Data'!$F$84</f>
        <v>32266.702098876725</v>
      </c>
      <c r="E8" s="9"/>
      <c r="F8" s="957"/>
      <c r="G8" s="957"/>
      <c r="H8" s="957"/>
      <c r="I8" s="957"/>
      <c r="J8" s="957"/>
      <c r="K8" s="957"/>
      <c r="L8" s="957"/>
      <c r="M8" s="957"/>
      <c r="N8" s="957"/>
      <c r="O8" s="4"/>
      <c r="P8" s="4"/>
      <c r="Q8" s="4"/>
      <c r="R8" s="4"/>
      <c r="S8" s="4"/>
      <c r="T8" s="4"/>
      <c r="U8" s="4"/>
      <c r="V8" s="4"/>
      <c r="W8" s="4"/>
      <c r="X8" s="4"/>
    </row>
    <row r="9" spans="1:27" ht="12.75" outlineLevel="1">
      <c r="A9" s="188" t="s">
        <v>538</v>
      </c>
      <c r="B9" s="351">
        <f>'Stationary Energy Data'!$B$85</f>
        <v>80253924.75</v>
      </c>
      <c r="C9" s="189" t="s">
        <v>43</v>
      </c>
      <c r="D9" s="351">
        <f>'Stationary Energy Data'!$F$85</f>
        <v>41549.528370069143</v>
      </c>
      <c r="E9" s="9"/>
      <c r="F9" s="957"/>
      <c r="G9" s="957"/>
      <c r="H9" s="957"/>
      <c r="I9" s="957"/>
      <c r="J9" s="957"/>
      <c r="K9" s="957"/>
      <c r="L9" s="957"/>
      <c r="M9" s="957"/>
      <c r="N9" s="957"/>
      <c r="O9" s="4"/>
      <c r="P9" s="4"/>
      <c r="Q9" s="4"/>
      <c r="R9" s="4"/>
      <c r="S9" s="4"/>
      <c r="T9" s="4"/>
      <c r="U9" s="4"/>
      <c r="V9" s="4"/>
      <c r="W9" s="4"/>
      <c r="X9" s="4"/>
    </row>
    <row r="10" spans="1:27" ht="12.75" outlineLevel="1">
      <c r="A10" s="1308" t="s">
        <v>539</v>
      </c>
      <c r="B10" s="1309"/>
      <c r="C10" s="1310"/>
      <c r="D10" s="350">
        <f>SUM(D8:D9)</f>
        <v>73816.230468945869</v>
      </c>
      <c r="E10" s="9"/>
      <c r="F10" s="957"/>
      <c r="G10" s="957"/>
      <c r="H10" s="957"/>
      <c r="I10" s="957"/>
      <c r="J10" s="957"/>
      <c r="K10" s="957"/>
      <c r="L10" s="957"/>
      <c r="M10" s="957"/>
      <c r="N10" s="957"/>
      <c r="O10" s="4"/>
      <c r="P10" s="4"/>
      <c r="Q10" s="4"/>
      <c r="R10" s="4"/>
      <c r="S10" s="4"/>
      <c r="T10" s="4"/>
      <c r="U10" s="4"/>
      <c r="V10" s="4"/>
      <c r="W10" s="4"/>
      <c r="X10" s="4"/>
    </row>
    <row r="11" spans="1:27" ht="12.75" outlineLevel="1">
      <c r="A11" s="1305" t="s">
        <v>540</v>
      </c>
      <c r="B11" s="1306"/>
      <c r="C11" s="1307"/>
      <c r="D11" s="202">
        <f>D6+D10</f>
        <v>878225.31381934579</v>
      </c>
      <c r="E11" s="9"/>
      <c r="F11" s="957"/>
      <c r="G11" s="957"/>
      <c r="H11" s="957"/>
      <c r="I11" s="957"/>
      <c r="J11" s="957"/>
      <c r="K11" s="957"/>
      <c r="L11" s="957"/>
      <c r="M11" s="957"/>
      <c r="N11" s="957"/>
      <c r="O11" s="4"/>
      <c r="P11" s="4"/>
      <c r="Q11" s="4"/>
      <c r="R11" s="4"/>
      <c r="S11" s="4"/>
      <c r="T11" s="4"/>
      <c r="U11" s="4"/>
      <c r="V11" s="4"/>
      <c r="W11" s="4"/>
      <c r="X11" s="4"/>
    </row>
    <row r="12" spans="1:27" ht="12.75">
      <c r="A12" s="6"/>
      <c r="B12" s="6"/>
      <c r="C12" s="6"/>
      <c r="D12" s="6"/>
      <c r="E12" s="9"/>
      <c r="F12" s="957"/>
      <c r="G12" s="957"/>
      <c r="H12" s="957"/>
      <c r="I12" s="957"/>
      <c r="J12" s="957"/>
      <c r="K12" s="957"/>
      <c r="L12" s="957"/>
      <c r="M12" s="957"/>
      <c r="N12" s="957"/>
      <c r="O12" s="4"/>
      <c r="P12" s="4"/>
      <c r="Q12" s="4"/>
      <c r="R12" s="4"/>
      <c r="S12" s="4"/>
      <c r="T12" s="4"/>
      <c r="U12" s="4"/>
      <c r="V12" s="4"/>
      <c r="W12" s="4"/>
      <c r="X12" s="4"/>
    </row>
    <row r="13" spans="1:27" ht="12.75">
      <c r="A13" s="4"/>
      <c r="B13" s="4"/>
      <c r="C13" s="4"/>
      <c r="D13" s="4"/>
      <c r="E13" s="957"/>
      <c r="F13" s="957"/>
      <c r="G13" s="957"/>
      <c r="H13" s="957"/>
      <c r="I13" s="957"/>
      <c r="J13" s="957"/>
      <c r="K13" s="957"/>
      <c r="L13" s="957"/>
      <c r="M13" s="957"/>
      <c r="N13" s="957"/>
      <c r="O13" s="4"/>
      <c r="P13" s="4"/>
      <c r="Q13" s="4"/>
      <c r="R13" s="4"/>
      <c r="S13" s="4"/>
      <c r="T13" s="4"/>
      <c r="U13" s="4"/>
      <c r="V13" s="4"/>
      <c r="W13" s="4"/>
      <c r="X13" s="4"/>
    </row>
    <row r="14" spans="1:27" ht="12.75">
      <c r="A14" s="4"/>
      <c r="B14" s="4"/>
      <c r="C14" s="4"/>
      <c r="D14" s="4"/>
      <c r="E14" s="957"/>
      <c r="F14" s="957"/>
      <c r="G14" s="957"/>
      <c r="H14" s="957"/>
      <c r="I14" s="957"/>
      <c r="J14" s="957"/>
      <c r="K14" s="957"/>
      <c r="L14" s="957"/>
      <c r="M14" s="957"/>
      <c r="N14" s="957"/>
      <c r="O14" s="4"/>
      <c r="P14" s="4"/>
      <c r="Q14" s="4"/>
      <c r="R14" s="4"/>
      <c r="S14" s="4"/>
      <c r="T14" s="4"/>
      <c r="U14" s="4"/>
      <c r="V14" s="4"/>
      <c r="W14" s="4"/>
      <c r="X14" s="4"/>
    </row>
    <row r="15" spans="1:27" ht="12.75">
      <c r="A15" s="4"/>
      <c r="B15" s="4"/>
      <c r="C15" s="4"/>
      <c r="D15" s="4"/>
      <c r="E15" s="957"/>
      <c r="F15" s="957"/>
      <c r="G15" s="957"/>
      <c r="H15" s="957"/>
      <c r="I15" s="957"/>
      <c r="J15" s="957"/>
      <c r="K15" s="957"/>
      <c r="L15" s="957"/>
      <c r="M15" s="957"/>
      <c r="N15" s="957"/>
      <c r="O15" s="4"/>
      <c r="P15" s="4"/>
      <c r="Q15" s="4"/>
      <c r="R15" s="4"/>
      <c r="S15" s="4"/>
      <c r="T15" s="4"/>
      <c r="U15" s="4"/>
      <c r="V15" s="4"/>
      <c r="W15" s="4"/>
      <c r="X15" s="4"/>
    </row>
    <row r="16" spans="1:27" ht="12.75">
      <c r="A16" s="4"/>
      <c r="B16" s="4"/>
      <c r="C16" s="4"/>
      <c r="D16" s="4"/>
      <c r="E16" s="957"/>
      <c r="F16" s="957"/>
      <c r="G16" s="957"/>
      <c r="H16" s="957"/>
      <c r="I16" s="957"/>
      <c r="J16" s="957"/>
      <c r="K16" s="957"/>
      <c r="L16" s="957"/>
      <c r="M16" s="957"/>
      <c r="N16" s="957"/>
      <c r="O16" s="4"/>
      <c r="P16" s="4"/>
      <c r="Q16" s="4"/>
      <c r="R16" s="4"/>
      <c r="S16" s="4"/>
      <c r="T16" s="4"/>
      <c r="U16" s="4"/>
      <c r="V16" s="4"/>
      <c r="W16" s="4"/>
      <c r="X16" s="4"/>
    </row>
    <row r="17" spans="1:24" ht="12.75">
      <c r="A17" s="4"/>
      <c r="B17" s="4"/>
      <c r="C17" s="4"/>
      <c r="D17" s="4"/>
      <c r="E17" s="957"/>
      <c r="F17" s="957"/>
      <c r="G17" s="957"/>
      <c r="H17" s="957"/>
      <c r="I17" s="957"/>
      <c r="J17" s="957"/>
      <c r="K17" s="957"/>
      <c r="L17" s="957"/>
      <c r="M17" s="957"/>
      <c r="N17" s="957"/>
      <c r="O17" s="4"/>
      <c r="P17" s="4"/>
      <c r="Q17" s="4"/>
      <c r="R17" s="4"/>
      <c r="S17" s="4"/>
      <c r="T17" s="4"/>
      <c r="U17" s="4"/>
      <c r="V17" s="4"/>
      <c r="W17" s="4"/>
      <c r="X17" s="4"/>
    </row>
    <row r="18" spans="1:24" ht="12.75">
      <c r="A18" s="4"/>
      <c r="B18" s="4"/>
      <c r="C18" s="4"/>
      <c r="D18" s="4"/>
      <c r="E18" s="957"/>
      <c r="F18" s="957"/>
      <c r="G18" s="957"/>
      <c r="H18" s="957"/>
      <c r="I18" s="957"/>
      <c r="J18" s="957"/>
      <c r="K18" s="957"/>
      <c r="L18" s="957"/>
      <c r="M18" s="957"/>
      <c r="N18" s="957"/>
      <c r="O18" s="4"/>
      <c r="P18" s="4"/>
      <c r="Q18" s="4"/>
      <c r="R18" s="4"/>
      <c r="S18" s="4"/>
      <c r="T18" s="4"/>
      <c r="U18" s="4"/>
      <c r="V18" s="4"/>
      <c r="W18" s="4"/>
      <c r="X18" s="4"/>
    </row>
    <row r="19" spans="1:24" ht="12.75">
      <c r="A19" s="4"/>
      <c r="B19" s="4"/>
      <c r="C19" s="4"/>
      <c r="D19" s="4"/>
      <c r="E19" s="957"/>
      <c r="F19" s="957"/>
      <c r="G19" s="957"/>
      <c r="H19" s="957"/>
      <c r="I19" s="957"/>
      <c r="J19" s="957"/>
      <c r="K19" s="957"/>
      <c r="L19" s="957"/>
      <c r="M19" s="957"/>
      <c r="N19" s="957"/>
      <c r="O19" s="4"/>
      <c r="P19" s="4"/>
      <c r="Q19" s="4"/>
      <c r="R19" s="4"/>
      <c r="S19" s="4"/>
      <c r="T19" s="4"/>
      <c r="U19" s="4"/>
      <c r="V19" s="4"/>
      <c r="W19" s="4"/>
      <c r="X19" s="4"/>
    </row>
    <row r="20" spans="1:24" ht="12.75">
      <c r="A20" s="4"/>
      <c r="B20" s="4"/>
      <c r="C20" s="4"/>
      <c r="D20" s="4"/>
      <c r="E20" s="957"/>
      <c r="F20" s="957"/>
      <c r="G20" s="957"/>
      <c r="H20" s="957"/>
      <c r="I20" s="957"/>
      <c r="J20" s="957"/>
      <c r="K20" s="957"/>
      <c r="L20" s="957"/>
      <c r="M20" s="957"/>
      <c r="N20" s="957"/>
      <c r="O20" s="4"/>
      <c r="P20" s="4"/>
      <c r="Q20" s="4"/>
      <c r="R20" s="4"/>
      <c r="S20" s="4"/>
      <c r="T20" s="4"/>
      <c r="U20" s="4"/>
      <c r="V20" s="4"/>
      <c r="W20" s="4"/>
      <c r="X20" s="4"/>
    </row>
    <row r="21" spans="1:24" ht="12.75">
      <c r="A21" s="4"/>
      <c r="B21" s="4"/>
      <c r="C21" s="4"/>
      <c r="D21" s="4"/>
      <c r="E21" s="957"/>
      <c r="F21" s="957"/>
      <c r="G21" s="957"/>
      <c r="H21" s="957"/>
      <c r="I21" s="957"/>
      <c r="J21" s="957"/>
      <c r="K21" s="957"/>
      <c r="L21" s="957"/>
      <c r="M21" s="957"/>
      <c r="N21" s="957"/>
      <c r="O21" s="4"/>
      <c r="P21" s="4"/>
      <c r="Q21" s="4"/>
      <c r="R21" s="4"/>
      <c r="S21" s="4"/>
      <c r="T21" s="4"/>
      <c r="U21" s="4"/>
      <c r="V21" s="4"/>
      <c r="W21" s="4"/>
      <c r="X21" s="4"/>
    </row>
    <row r="22" spans="1:24" ht="12.75">
      <c r="A22" s="4"/>
      <c r="B22" s="4"/>
      <c r="C22" s="4"/>
      <c r="D22" s="4"/>
      <c r="E22" s="957"/>
      <c r="F22" s="957"/>
      <c r="G22" s="957"/>
      <c r="H22" s="957"/>
      <c r="I22" s="957"/>
      <c r="J22" s="957"/>
      <c r="K22" s="957"/>
      <c r="L22" s="957"/>
      <c r="M22" s="957"/>
      <c r="N22" s="957"/>
      <c r="O22" s="4"/>
      <c r="P22" s="4"/>
      <c r="Q22" s="4"/>
      <c r="R22" s="4"/>
      <c r="S22" s="4"/>
      <c r="T22" s="4"/>
      <c r="U22" s="4"/>
      <c r="V22" s="4"/>
      <c r="W22" s="4"/>
      <c r="X22" s="4"/>
    </row>
    <row r="23" spans="1:24" ht="12.75">
      <c r="A23" s="4"/>
      <c r="B23" s="4"/>
      <c r="C23" s="4"/>
      <c r="D23" s="4"/>
      <c r="E23" s="957"/>
      <c r="F23" s="957"/>
      <c r="G23" s="957"/>
      <c r="H23" s="957"/>
      <c r="I23" s="957"/>
      <c r="J23" s="957"/>
      <c r="K23" s="957"/>
      <c r="L23" s="957"/>
      <c r="M23" s="957"/>
      <c r="N23" s="957"/>
      <c r="O23" s="4"/>
      <c r="P23" s="4"/>
      <c r="Q23" s="4"/>
      <c r="R23" s="4"/>
      <c r="S23" s="4"/>
      <c r="T23" s="4"/>
      <c r="U23" s="4"/>
      <c r="V23" s="4"/>
      <c r="W23" s="4"/>
      <c r="X23" s="4"/>
    </row>
    <row r="24" spans="1:24" ht="12.75">
      <c r="A24" s="4"/>
      <c r="B24" s="4"/>
      <c r="C24" s="4"/>
      <c r="D24" s="4"/>
      <c r="E24" s="957"/>
      <c r="F24" s="957"/>
      <c r="G24" s="957"/>
      <c r="H24" s="957"/>
      <c r="I24" s="957"/>
      <c r="J24" s="957"/>
      <c r="K24" s="957"/>
      <c r="L24" s="957"/>
      <c r="M24" s="957"/>
      <c r="N24" s="957"/>
      <c r="O24" s="4"/>
      <c r="P24" s="4"/>
      <c r="Q24" s="4"/>
      <c r="R24" s="4"/>
      <c r="S24" s="4"/>
      <c r="T24" s="4"/>
      <c r="U24" s="4"/>
      <c r="V24" s="4"/>
      <c r="W24" s="4"/>
      <c r="X24" s="4"/>
    </row>
    <row r="25" spans="1:24" ht="12.75">
      <c r="A25" s="4"/>
      <c r="B25" s="4"/>
      <c r="C25" s="4"/>
      <c r="D25" s="4"/>
      <c r="E25" s="957"/>
      <c r="F25" s="957"/>
      <c r="G25" s="957"/>
      <c r="H25" s="957"/>
      <c r="I25" s="957"/>
      <c r="J25" s="957"/>
      <c r="K25" s="957"/>
      <c r="L25" s="957"/>
      <c r="M25" s="957"/>
      <c r="N25" s="957"/>
      <c r="O25" s="4"/>
      <c r="P25" s="4"/>
      <c r="Q25" s="4"/>
      <c r="R25" s="4"/>
      <c r="S25" s="4"/>
      <c r="T25" s="4"/>
      <c r="U25" s="4"/>
      <c r="V25" s="4"/>
      <c r="W25" s="4"/>
      <c r="X25" s="4"/>
    </row>
    <row r="26" spans="1:24" ht="12.75">
      <c r="A26" s="4"/>
      <c r="B26" s="4"/>
      <c r="C26" s="4"/>
      <c r="D26" s="4"/>
      <c r="E26" s="957"/>
      <c r="F26" s="957"/>
      <c r="G26" s="957"/>
      <c r="H26" s="957"/>
      <c r="I26" s="957"/>
      <c r="J26" s="957"/>
      <c r="K26" s="957"/>
      <c r="L26" s="957"/>
      <c r="M26" s="957"/>
      <c r="N26" s="957"/>
      <c r="O26" s="4"/>
      <c r="P26" s="4"/>
      <c r="Q26" s="4"/>
      <c r="R26" s="4"/>
      <c r="S26" s="4"/>
      <c r="T26" s="4"/>
      <c r="U26" s="4"/>
      <c r="V26" s="4"/>
      <c r="W26" s="4"/>
      <c r="X26" s="4"/>
    </row>
    <row r="27" spans="1:24" ht="12.75">
      <c r="A27" s="4"/>
      <c r="B27" s="4"/>
      <c r="C27" s="4"/>
      <c r="D27" s="4"/>
      <c r="E27" s="957"/>
      <c r="F27" s="957"/>
      <c r="G27" s="957"/>
      <c r="H27" s="957"/>
      <c r="I27" s="957"/>
      <c r="J27" s="957"/>
      <c r="K27" s="957"/>
      <c r="L27" s="957"/>
      <c r="M27" s="957"/>
      <c r="N27" s="957"/>
      <c r="O27" s="4"/>
      <c r="P27" s="4"/>
      <c r="Q27" s="4"/>
      <c r="R27" s="4"/>
      <c r="S27" s="4"/>
      <c r="T27" s="4"/>
      <c r="U27" s="4"/>
      <c r="V27" s="4"/>
      <c r="W27" s="4"/>
      <c r="X27" s="4"/>
    </row>
    <row r="28" spans="1:24" ht="12.75">
      <c r="A28" s="4"/>
      <c r="B28" s="4"/>
      <c r="C28" s="4"/>
      <c r="D28" s="4"/>
      <c r="E28" s="957"/>
      <c r="F28" s="957"/>
      <c r="G28" s="957"/>
      <c r="H28" s="957"/>
      <c r="I28" s="957"/>
      <c r="J28" s="957"/>
      <c r="K28" s="957"/>
      <c r="L28" s="957"/>
      <c r="M28" s="957"/>
      <c r="N28" s="957"/>
      <c r="O28" s="4"/>
      <c r="P28" s="4"/>
      <c r="Q28" s="4"/>
      <c r="R28" s="4"/>
      <c r="S28" s="4"/>
      <c r="T28" s="4"/>
      <c r="U28" s="4"/>
      <c r="V28" s="4"/>
      <c r="W28" s="4"/>
      <c r="X28" s="4"/>
    </row>
    <row r="29" spans="1:24" ht="12.75">
      <c r="A29" s="4"/>
      <c r="B29" s="4"/>
      <c r="C29" s="4"/>
      <c r="D29" s="4"/>
      <c r="E29" s="957"/>
      <c r="F29" s="957"/>
      <c r="G29" s="957"/>
      <c r="H29" s="957"/>
      <c r="I29" s="957"/>
      <c r="J29" s="957"/>
      <c r="K29" s="957"/>
      <c r="L29" s="957"/>
      <c r="M29" s="957"/>
      <c r="N29" s="957"/>
      <c r="O29" s="4"/>
      <c r="P29" s="4"/>
      <c r="Q29" s="4"/>
      <c r="R29" s="4"/>
      <c r="S29" s="4"/>
      <c r="T29" s="4"/>
      <c r="U29" s="4"/>
      <c r="V29" s="4"/>
      <c r="W29" s="4"/>
      <c r="X29" s="4"/>
    </row>
    <row r="30" spans="1:24" ht="12.75">
      <c r="A30" s="4"/>
      <c r="B30" s="4"/>
      <c r="C30" s="4"/>
      <c r="D30" s="4"/>
      <c r="E30" s="957"/>
      <c r="F30" s="957"/>
      <c r="G30" s="957"/>
      <c r="H30" s="957"/>
      <c r="I30" s="957"/>
      <c r="J30" s="957"/>
      <c r="K30" s="957"/>
      <c r="L30" s="957"/>
      <c r="M30" s="957"/>
      <c r="N30" s="957"/>
      <c r="O30" s="4"/>
      <c r="P30" s="4"/>
      <c r="Q30" s="4"/>
      <c r="R30" s="4"/>
      <c r="S30" s="4"/>
      <c r="T30" s="4"/>
      <c r="U30" s="4"/>
      <c r="V30" s="4"/>
      <c r="W30" s="4"/>
      <c r="X30" s="4"/>
    </row>
    <row r="31" spans="1:24" ht="12.75">
      <c r="A31" s="4"/>
      <c r="B31" s="4"/>
      <c r="C31" s="4"/>
      <c r="D31" s="4"/>
      <c r="E31" s="957"/>
      <c r="F31" s="957"/>
      <c r="G31" s="957"/>
      <c r="H31" s="957"/>
      <c r="I31" s="957"/>
      <c r="J31" s="957"/>
      <c r="K31" s="957"/>
      <c r="L31" s="957"/>
      <c r="M31" s="957"/>
      <c r="N31" s="957"/>
      <c r="O31" s="4"/>
      <c r="P31" s="4"/>
      <c r="Q31" s="4"/>
      <c r="R31" s="4"/>
      <c r="S31" s="4"/>
      <c r="T31" s="4"/>
      <c r="U31" s="4"/>
      <c r="V31" s="4"/>
      <c r="W31" s="4"/>
      <c r="X31" s="4"/>
    </row>
    <row r="32" spans="1:24" ht="12.75">
      <c r="A32" s="4"/>
      <c r="B32" s="4"/>
      <c r="C32" s="4"/>
      <c r="D32" s="4"/>
      <c r="E32" s="957"/>
      <c r="F32" s="957"/>
      <c r="G32" s="957"/>
      <c r="H32" s="957"/>
      <c r="I32" s="957"/>
      <c r="J32" s="957"/>
      <c r="K32" s="957"/>
      <c r="L32" s="957"/>
      <c r="M32" s="957"/>
      <c r="N32" s="957"/>
      <c r="O32" s="4"/>
      <c r="P32" s="4"/>
      <c r="Q32" s="4"/>
      <c r="R32" s="4"/>
      <c r="S32" s="4"/>
      <c r="T32" s="4"/>
      <c r="U32" s="4"/>
      <c r="V32" s="4"/>
      <c r="W32" s="4"/>
      <c r="X32" s="4"/>
    </row>
    <row r="33" spans="1:24" ht="12.75">
      <c r="A33" s="4"/>
      <c r="B33" s="4"/>
      <c r="C33" s="4"/>
      <c r="D33" s="4"/>
      <c r="E33" s="957"/>
      <c r="F33" s="957"/>
      <c r="G33" s="957"/>
      <c r="H33" s="957"/>
      <c r="I33" s="957"/>
      <c r="J33" s="957"/>
      <c r="K33" s="957"/>
      <c r="L33" s="957"/>
      <c r="M33" s="957"/>
      <c r="N33" s="957"/>
      <c r="O33" s="4"/>
      <c r="P33" s="4"/>
      <c r="Q33" s="4"/>
      <c r="R33" s="4"/>
      <c r="S33" s="4"/>
      <c r="T33" s="4"/>
      <c r="U33" s="4"/>
      <c r="V33" s="4"/>
      <c r="W33" s="4"/>
      <c r="X33" s="4"/>
    </row>
    <row r="34" spans="1:24" ht="12.75">
      <c r="A34" s="4"/>
      <c r="B34" s="4"/>
      <c r="C34" s="4"/>
      <c r="D34" s="4"/>
      <c r="E34" s="957"/>
      <c r="F34" s="957"/>
      <c r="G34" s="957"/>
      <c r="H34" s="957"/>
      <c r="I34" s="957"/>
      <c r="J34" s="957"/>
      <c r="K34" s="957"/>
      <c r="L34" s="957"/>
      <c r="M34" s="957"/>
      <c r="N34" s="957"/>
      <c r="O34" s="4"/>
      <c r="P34" s="4"/>
      <c r="Q34" s="4"/>
      <c r="R34" s="4"/>
      <c r="S34" s="4"/>
      <c r="T34" s="4"/>
      <c r="U34" s="4"/>
      <c r="V34" s="4"/>
      <c r="W34" s="4"/>
      <c r="X34" s="4"/>
    </row>
    <row r="35" spans="1:24" ht="12.75">
      <c r="A35" s="4"/>
      <c r="B35" s="4"/>
      <c r="C35" s="4"/>
      <c r="D35" s="4"/>
      <c r="E35" s="957"/>
      <c r="F35" s="957"/>
      <c r="G35" s="957"/>
      <c r="H35" s="957"/>
      <c r="I35" s="957"/>
      <c r="J35" s="957"/>
      <c r="K35" s="957"/>
      <c r="L35" s="957"/>
      <c r="M35" s="957"/>
      <c r="N35" s="957"/>
      <c r="O35" s="4"/>
      <c r="P35" s="4"/>
      <c r="Q35" s="4"/>
      <c r="R35" s="4"/>
      <c r="S35" s="4"/>
      <c r="T35" s="4"/>
      <c r="U35" s="4"/>
      <c r="V35" s="4"/>
      <c r="W35" s="4"/>
      <c r="X35" s="4"/>
    </row>
    <row r="36" spans="1:24" ht="12.75">
      <c r="A36" s="4"/>
      <c r="B36" s="4"/>
      <c r="C36" s="4"/>
      <c r="D36" s="4"/>
      <c r="E36" s="957"/>
      <c r="F36" s="957"/>
      <c r="G36" s="957"/>
      <c r="H36" s="957"/>
      <c r="I36" s="957"/>
      <c r="J36" s="957"/>
      <c r="K36" s="957"/>
      <c r="L36" s="957"/>
      <c r="M36" s="957"/>
      <c r="N36" s="957"/>
      <c r="O36" s="4"/>
      <c r="P36" s="4"/>
      <c r="Q36" s="4"/>
      <c r="R36" s="4"/>
      <c r="S36" s="4"/>
      <c r="T36" s="4"/>
      <c r="U36" s="4"/>
      <c r="V36" s="4"/>
      <c r="W36" s="4"/>
      <c r="X36" s="4"/>
    </row>
    <row r="37" spans="1:24" ht="12.75">
      <c r="A37" s="4"/>
      <c r="B37" s="4"/>
      <c r="C37" s="4"/>
      <c r="D37" s="4"/>
      <c r="E37" s="957"/>
      <c r="F37" s="957"/>
      <c r="G37" s="957"/>
      <c r="H37" s="957"/>
      <c r="I37" s="957"/>
      <c r="J37" s="957"/>
      <c r="K37" s="957"/>
      <c r="L37" s="957"/>
      <c r="M37" s="957"/>
      <c r="N37" s="957"/>
      <c r="O37" s="4"/>
      <c r="P37" s="4"/>
      <c r="Q37" s="4"/>
      <c r="R37" s="4"/>
      <c r="S37" s="4"/>
      <c r="T37" s="4"/>
      <c r="U37" s="4"/>
      <c r="V37" s="4"/>
      <c r="W37" s="4"/>
      <c r="X37" s="4"/>
    </row>
    <row r="38" spans="1:24" ht="12.75">
      <c r="A38" s="4"/>
      <c r="B38" s="4"/>
      <c r="C38" s="4"/>
      <c r="D38" s="4"/>
      <c r="E38" s="957"/>
      <c r="F38" s="957"/>
      <c r="G38" s="957"/>
      <c r="H38" s="957"/>
      <c r="I38" s="957"/>
      <c r="J38" s="957"/>
      <c r="K38" s="957"/>
      <c r="L38" s="957"/>
      <c r="M38" s="957"/>
      <c r="N38" s="957"/>
      <c r="O38" s="4"/>
      <c r="P38" s="4"/>
      <c r="Q38" s="4"/>
      <c r="R38" s="4"/>
      <c r="S38" s="4"/>
      <c r="T38" s="4"/>
      <c r="U38" s="4"/>
      <c r="V38" s="4"/>
      <c r="W38" s="4"/>
      <c r="X38" s="4"/>
    </row>
    <row r="39" spans="1:24" ht="12.75">
      <c r="A39" s="4"/>
      <c r="B39" s="4"/>
      <c r="C39" s="4"/>
      <c r="D39" s="4"/>
      <c r="E39" s="957"/>
      <c r="F39" s="957"/>
      <c r="G39" s="957"/>
      <c r="H39" s="957"/>
      <c r="I39" s="957"/>
      <c r="J39" s="957"/>
      <c r="K39" s="957"/>
      <c r="L39" s="957"/>
      <c r="M39" s="957"/>
      <c r="N39" s="957"/>
      <c r="O39" s="4"/>
      <c r="P39" s="4"/>
      <c r="Q39" s="4"/>
      <c r="R39" s="4"/>
      <c r="S39" s="4"/>
      <c r="T39" s="4"/>
      <c r="U39" s="4"/>
      <c r="V39" s="4"/>
      <c r="W39" s="4"/>
      <c r="X39" s="4"/>
    </row>
    <row r="40" spans="1:24" ht="12.75">
      <c r="A40" s="4"/>
      <c r="B40" s="4"/>
      <c r="C40" s="4"/>
      <c r="D40" s="4"/>
      <c r="E40" s="957"/>
      <c r="F40" s="957"/>
      <c r="G40" s="957"/>
      <c r="H40" s="957"/>
      <c r="I40" s="957"/>
      <c r="J40" s="957"/>
      <c r="K40" s="957"/>
      <c r="L40" s="957"/>
      <c r="M40" s="957"/>
      <c r="N40" s="957"/>
      <c r="O40" s="4"/>
      <c r="P40" s="4"/>
      <c r="Q40" s="4"/>
      <c r="R40" s="4"/>
      <c r="S40" s="4"/>
      <c r="T40" s="4"/>
      <c r="U40" s="4"/>
      <c r="V40" s="4"/>
      <c r="W40" s="4"/>
      <c r="X40" s="4"/>
    </row>
    <row r="41" spans="1:24" ht="12.75">
      <c r="A41" s="4"/>
      <c r="B41" s="4"/>
      <c r="C41" s="4"/>
      <c r="D41" s="4"/>
      <c r="E41" s="957"/>
      <c r="F41" s="957"/>
      <c r="G41" s="957"/>
      <c r="H41" s="957"/>
      <c r="I41" s="957"/>
      <c r="J41" s="957"/>
      <c r="K41" s="957"/>
      <c r="L41" s="957"/>
      <c r="M41" s="957"/>
      <c r="N41" s="957"/>
      <c r="O41" s="4"/>
      <c r="P41" s="4"/>
      <c r="Q41" s="4"/>
      <c r="R41" s="4"/>
      <c r="S41" s="4"/>
      <c r="T41" s="4"/>
      <c r="U41" s="4"/>
      <c r="V41" s="4"/>
      <c r="W41" s="4"/>
      <c r="X41" s="4"/>
    </row>
    <row r="42" spans="1:24" ht="12.75">
      <c r="A42" s="4"/>
      <c r="B42" s="4"/>
      <c r="C42" s="4"/>
      <c r="D42" s="4"/>
      <c r="E42" s="957"/>
      <c r="F42" s="957"/>
      <c r="G42" s="957"/>
      <c r="H42" s="957"/>
      <c r="I42" s="957"/>
      <c r="J42" s="957"/>
      <c r="K42" s="957"/>
      <c r="L42" s="957"/>
      <c r="M42" s="957"/>
      <c r="N42" s="957"/>
      <c r="O42" s="4"/>
      <c r="P42" s="4"/>
      <c r="Q42" s="4"/>
      <c r="R42" s="4"/>
      <c r="S42" s="4"/>
      <c r="T42" s="4"/>
      <c r="U42" s="4"/>
      <c r="V42" s="4"/>
      <c r="W42" s="4"/>
      <c r="X42" s="4"/>
    </row>
    <row r="43" spans="1:24" ht="12.75">
      <c r="A43" s="4"/>
      <c r="B43" s="4"/>
      <c r="C43" s="4"/>
      <c r="D43" s="4"/>
      <c r="E43" s="957"/>
      <c r="F43" s="957"/>
      <c r="G43" s="957"/>
      <c r="H43" s="957"/>
      <c r="I43" s="957"/>
      <c r="J43" s="957"/>
      <c r="K43" s="957"/>
      <c r="L43" s="957"/>
      <c r="M43" s="957"/>
      <c r="N43" s="957"/>
      <c r="O43" s="4"/>
      <c r="P43" s="4"/>
      <c r="Q43" s="4"/>
      <c r="R43" s="4"/>
      <c r="S43" s="4"/>
      <c r="T43" s="4"/>
      <c r="U43" s="4"/>
      <c r="V43" s="4"/>
      <c r="W43" s="4"/>
      <c r="X43" s="4"/>
    </row>
    <row r="44" spans="1:24" ht="12.75">
      <c r="A44" s="4"/>
      <c r="B44" s="4"/>
      <c r="C44" s="4"/>
      <c r="D44" s="4"/>
      <c r="E44" s="957"/>
      <c r="F44" s="957"/>
      <c r="G44" s="957"/>
      <c r="H44" s="957"/>
      <c r="I44" s="957"/>
      <c r="J44" s="957"/>
      <c r="K44" s="957"/>
      <c r="L44" s="957"/>
      <c r="M44" s="957"/>
      <c r="N44" s="957"/>
      <c r="O44" s="4"/>
      <c r="P44" s="4"/>
      <c r="Q44" s="4"/>
      <c r="R44" s="4"/>
      <c r="S44" s="4"/>
      <c r="T44" s="4"/>
      <c r="U44" s="4"/>
      <c r="V44" s="4"/>
      <c r="W44" s="4"/>
      <c r="X44" s="4"/>
    </row>
    <row r="45" spans="1:24" ht="12.75">
      <c r="A45" s="4"/>
      <c r="B45" s="4"/>
      <c r="C45" s="4"/>
      <c r="D45" s="4"/>
      <c r="E45" s="957"/>
      <c r="F45" s="957"/>
      <c r="G45" s="957"/>
      <c r="H45" s="957"/>
      <c r="I45" s="957"/>
      <c r="J45" s="957"/>
      <c r="K45" s="957"/>
      <c r="L45" s="957"/>
      <c r="M45" s="957"/>
      <c r="N45" s="957"/>
      <c r="O45" s="4"/>
      <c r="P45" s="4"/>
      <c r="Q45" s="4"/>
      <c r="R45" s="4"/>
      <c r="S45" s="4"/>
      <c r="T45" s="4"/>
      <c r="U45" s="4"/>
      <c r="V45" s="4"/>
      <c r="W45" s="4"/>
      <c r="X45" s="4"/>
    </row>
    <row r="46" spans="1:24" ht="12.75">
      <c r="A46" s="4"/>
      <c r="B46" s="4"/>
      <c r="C46" s="4"/>
      <c r="D46" s="4"/>
      <c r="E46" s="957"/>
      <c r="F46" s="957"/>
      <c r="G46" s="957"/>
      <c r="H46" s="957"/>
      <c r="I46" s="957"/>
      <c r="J46" s="957"/>
      <c r="K46" s="957"/>
      <c r="L46" s="957"/>
      <c r="M46" s="957"/>
      <c r="N46" s="957"/>
      <c r="O46" s="4"/>
      <c r="P46" s="4"/>
      <c r="Q46" s="4"/>
      <c r="R46" s="4"/>
      <c r="S46" s="4"/>
      <c r="T46" s="4"/>
      <c r="U46" s="4"/>
      <c r="V46" s="4"/>
      <c r="W46" s="4"/>
      <c r="X46" s="4"/>
    </row>
    <row r="47" spans="1:24" ht="12.75">
      <c r="A47" s="4"/>
      <c r="B47" s="4"/>
      <c r="C47" s="4"/>
      <c r="D47" s="4"/>
      <c r="E47" s="957"/>
      <c r="F47" s="957"/>
      <c r="G47" s="957"/>
      <c r="H47" s="957"/>
      <c r="I47" s="957"/>
      <c r="J47" s="957"/>
      <c r="K47" s="957"/>
      <c r="L47" s="957"/>
      <c r="M47" s="957"/>
      <c r="N47" s="957"/>
      <c r="O47" s="4"/>
      <c r="P47" s="4"/>
      <c r="Q47" s="4"/>
      <c r="R47" s="4"/>
      <c r="S47" s="4"/>
      <c r="T47" s="4"/>
      <c r="U47" s="4"/>
      <c r="V47" s="4"/>
      <c r="W47" s="4"/>
      <c r="X47" s="4"/>
    </row>
    <row r="48" spans="1:24" ht="12.75">
      <c r="A48" s="4"/>
      <c r="B48" s="4"/>
      <c r="C48" s="4"/>
      <c r="D48" s="4"/>
      <c r="E48" s="957"/>
      <c r="F48" s="957"/>
      <c r="G48" s="957"/>
      <c r="H48" s="957"/>
      <c r="I48" s="957"/>
      <c r="J48" s="957"/>
      <c r="K48" s="957"/>
      <c r="L48" s="957"/>
      <c r="M48" s="957"/>
      <c r="N48" s="957"/>
      <c r="O48" s="4"/>
      <c r="P48" s="4"/>
      <c r="Q48" s="4"/>
      <c r="R48" s="4"/>
      <c r="S48" s="4"/>
      <c r="T48" s="4"/>
      <c r="U48" s="4"/>
      <c r="V48" s="4"/>
      <c r="W48" s="4"/>
      <c r="X48" s="4"/>
    </row>
    <row r="49" spans="1:24" ht="12.75">
      <c r="A49" s="4"/>
      <c r="B49" s="4"/>
      <c r="C49" s="4"/>
      <c r="D49" s="4"/>
      <c r="E49" s="957"/>
      <c r="F49" s="957"/>
      <c r="G49" s="957"/>
      <c r="H49" s="957"/>
      <c r="I49" s="957"/>
      <c r="J49" s="957"/>
      <c r="K49" s="957"/>
      <c r="L49" s="957"/>
      <c r="M49" s="957"/>
      <c r="N49" s="957"/>
      <c r="O49" s="4"/>
      <c r="P49" s="4"/>
      <c r="Q49" s="4"/>
      <c r="R49" s="4"/>
      <c r="S49" s="4"/>
      <c r="T49" s="4"/>
      <c r="U49" s="4"/>
      <c r="V49" s="4"/>
      <c r="W49" s="4"/>
      <c r="X49" s="4"/>
    </row>
    <row r="50" spans="1:24" ht="12.75">
      <c r="A50" s="4"/>
      <c r="B50" s="4"/>
      <c r="C50" s="4"/>
      <c r="D50" s="4"/>
      <c r="E50" s="957"/>
      <c r="F50" s="957"/>
      <c r="G50" s="957"/>
      <c r="H50" s="957"/>
      <c r="I50" s="957"/>
      <c r="J50" s="957"/>
      <c r="K50" s="957"/>
      <c r="L50" s="957"/>
      <c r="M50" s="957"/>
      <c r="N50" s="957"/>
      <c r="O50" s="4"/>
      <c r="P50" s="4"/>
      <c r="Q50" s="4"/>
      <c r="R50" s="4"/>
      <c r="S50" s="4"/>
      <c r="T50" s="4"/>
      <c r="U50" s="4"/>
      <c r="V50" s="4"/>
      <c r="W50" s="4"/>
      <c r="X50" s="4"/>
    </row>
    <row r="51" spans="1:24" ht="12.75">
      <c r="A51" s="4"/>
      <c r="B51" s="4"/>
      <c r="C51" s="4"/>
      <c r="D51" s="4"/>
      <c r="E51" s="957"/>
      <c r="F51" s="957"/>
      <c r="G51" s="957"/>
      <c r="H51" s="957"/>
      <c r="I51" s="957"/>
      <c r="J51" s="957"/>
      <c r="K51" s="957"/>
      <c r="L51" s="957"/>
      <c r="M51" s="957"/>
      <c r="N51" s="957"/>
      <c r="O51" s="4"/>
      <c r="P51" s="4"/>
      <c r="Q51" s="4"/>
      <c r="R51" s="4"/>
      <c r="S51" s="4"/>
      <c r="T51" s="4"/>
      <c r="U51" s="4"/>
      <c r="V51" s="4"/>
      <c r="W51" s="4"/>
      <c r="X51" s="4"/>
    </row>
    <row r="52" spans="1:24" ht="12.75">
      <c r="A52" s="4"/>
      <c r="B52" s="4"/>
      <c r="C52" s="4"/>
      <c r="D52" s="4"/>
      <c r="E52" s="957"/>
      <c r="F52" s="957"/>
      <c r="G52" s="957"/>
      <c r="H52" s="957"/>
      <c r="I52" s="957"/>
      <c r="J52" s="957"/>
      <c r="K52" s="957"/>
      <c r="L52" s="957"/>
      <c r="M52" s="957"/>
      <c r="N52" s="957"/>
      <c r="O52" s="4"/>
      <c r="P52" s="4"/>
      <c r="Q52" s="4"/>
      <c r="R52" s="4"/>
      <c r="S52" s="4"/>
      <c r="T52" s="4"/>
      <c r="U52" s="4"/>
      <c r="V52" s="4"/>
      <c r="W52" s="4"/>
      <c r="X52" s="4"/>
    </row>
    <row r="53" spans="1:24" ht="12.75">
      <c r="A53" s="4"/>
      <c r="B53" s="4"/>
      <c r="C53" s="4"/>
      <c r="D53" s="4"/>
      <c r="E53" s="957"/>
      <c r="F53" s="957"/>
      <c r="G53" s="957"/>
      <c r="H53" s="957"/>
      <c r="I53" s="957"/>
      <c r="J53" s="957"/>
      <c r="K53" s="957"/>
      <c r="L53" s="957"/>
      <c r="M53" s="957"/>
      <c r="N53" s="957"/>
      <c r="O53" s="4"/>
      <c r="P53" s="4"/>
      <c r="Q53" s="4"/>
      <c r="R53" s="4"/>
      <c r="S53" s="4"/>
      <c r="T53" s="4"/>
      <c r="U53" s="4"/>
      <c r="V53" s="4"/>
      <c r="W53" s="4"/>
      <c r="X53" s="4"/>
    </row>
    <row r="54" spans="1:24" ht="12.75">
      <c r="A54" s="4"/>
      <c r="B54" s="4"/>
      <c r="C54" s="4"/>
      <c r="D54" s="4"/>
      <c r="E54" s="957"/>
      <c r="F54" s="957"/>
      <c r="G54" s="957"/>
      <c r="H54" s="957"/>
      <c r="I54" s="957"/>
      <c r="J54" s="957"/>
      <c r="K54" s="957"/>
      <c r="L54" s="957"/>
      <c r="M54" s="957"/>
      <c r="N54" s="957"/>
      <c r="O54" s="4"/>
      <c r="P54" s="4"/>
      <c r="Q54" s="4"/>
      <c r="R54" s="4"/>
      <c r="S54" s="4"/>
      <c r="T54" s="4"/>
      <c r="U54" s="4"/>
      <c r="V54" s="4"/>
      <c r="W54" s="4"/>
      <c r="X54" s="4"/>
    </row>
    <row r="55" spans="1:24" ht="12.75">
      <c r="A55" s="4"/>
      <c r="B55" s="4"/>
      <c r="C55" s="4"/>
      <c r="D55" s="4"/>
      <c r="E55" s="957"/>
      <c r="F55" s="957"/>
      <c r="G55" s="957"/>
      <c r="H55" s="957"/>
      <c r="I55" s="957"/>
      <c r="J55" s="957"/>
      <c r="K55" s="957"/>
      <c r="L55" s="957"/>
      <c r="M55" s="957"/>
      <c r="N55" s="957"/>
      <c r="O55" s="4"/>
      <c r="P55" s="4"/>
      <c r="Q55" s="4"/>
      <c r="R55" s="4"/>
      <c r="S55" s="4"/>
      <c r="T55" s="4"/>
      <c r="U55" s="4"/>
      <c r="V55" s="4"/>
      <c r="W55" s="4"/>
      <c r="X55" s="4"/>
    </row>
    <row r="56" spans="1:24" ht="12.75">
      <c r="A56" s="4"/>
      <c r="B56" s="4"/>
      <c r="C56" s="4"/>
      <c r="D56" s="4"/>
      <c r="E56" s="957"/>
      <c r="F56" s="957"/>
      <c r="G56" s="957"/>
      <c r="H56" s="957"/>
      <c r="I56" s="957"/>
      <c r="J56" s="957"/>
      <c r="K56" s="957"/>
      <c r="L56" s="957"/>
      <c r="M56" s="957"/>
      <c r="N56" s="957"/>
      <c r="O56" s="4"/>
      <c r="P56" s="4"/>
      <c r="Q56" s="4"/>
      <c r="R56" s="4"/>
      <c r="S56" s="4"/>
      <c r="T56" s="4"/>
      <c r="U56" s="4"/>
      <c r="V56" s="4"/>
      <c r="W56" s="4"/>
      <c r="X56" s="4"/>
    </row>
    <row r="57" spans="1:24" ht="12.75">
      <c r="A57" s="4"/>
      <c r="B57" s="4"/>
      <c r="C57" s="4"/>
      <c r="D57" s="4"/>
      <c r="E57" s="957"/>
      <c r="F57" s="957"/>
      <c r="G57" s="957"/>
      <c r="H57" s="957"/>
      <c r="I57" s="957"/>
      <c r="J57" s="957"/>
      <c r="K57" s="957"/>
      <c r="L57" s="957"/>
      <c r="M57" s="957"/>
      <c r="N57" s="957"/>
      <c r="O57" s="4"/>
      <c r="P57" s="4"/>
      <c r="Q57" s="4"/>
      <c r="R57" s="4"/>
      <c r="S57" s="4"/>
      <c r="T57" s="4"/>
      <c r="U57" s="4"/>
      <c r="V57" s="4"/>
      <c r="W57" s="4"/>
      <c r="X57" s="4"/>
    </row>
    <row r="58" spans="1:24" ht="12.75">
      <c r="A58" s="4"/>
      <c r="B58" s="4"/>
      <c r="C58" s="4"/>
      <c r="D58" s="4"/>
      <c r="E58" s="957"/>
      <c r="F58" s="957"/>
      <c r="G58" s="957"/>
      <c r="H58" s="957"/>
      <c r="I58" s="957"/>
      <c r="J58" s="957"/>
      <c r="K58" s="957"/>
      <c r="L58" s="957"/>
      <c r="M58" s="957"/>
      <c r="N58" s="957"/>
      <c r="O58" s="4"/>
      <c r="P58" s="4"/>
      <c r="Q58" s="4"/>
      <c r="R58" s="4"/>
      <c r="S58" s="4"/>
      <c r="T58" s="4"/>
      <c r="U58" s="4"/>
      <c r="V58" s="4"/>
      <c r="W58" s="4"/>
      <c r="X58" s="4"/>
    </row>
    <row r="59" spans="1:24" ht="12.75">
      <c r="A59" s="4"/>
      <c r="B59" s="4"/>
      <c r="C59" s="4"/>
      <c r="D59" s="4"/>
      <c r="E59" s="957"/>
      <c r="F59" s="957"/>
      <c r="G59" s="957"/>
      <c r="H59" s="957"/>
      <c r="I59" s="957"/>
      <c r="J59" s="957"/>
      <c r="K59" s="957"/>
      <c r="L59" s="957"/>
      <c r="M59" s="957"/>
      <c r="N59" s="957"/>
      <c r="O59" s="4"/>
      <c r="P59" s="4"/>
      <c r="Q59" s="4"/>
      <c r="R59" s="4"/>
      <c r="S59" s="4"/>
      <c r="T59" s="4"/>
      <c r="U59" s="4"/>
      <c r="V59" s="4"/>
      <c r="W59" s="4"/>
      <c r="X59" s="4"/>
    </row>
    <row r="60" spans="1:24" ht="12.75">
      <c r="A60" s="4"/>
      <c r="B60" s="4"/>
      <c r="C60" s="4"/>
      <c r="D60" s="4"/>
      <c r="E60" s="957"/>
      <c r="F60" s="957"/>
      <c r="G60" s="957"/>
      <c r="H60" s="957"/>
      <c r="I60" s="957"/>
      <c r="J60" s="957"/>
      <c r="K60" s="957"/>
      <c r="L60" s="957"/>
      <c r="M60" s="957"/>
      <c r="N60" s="957"/>
      <c r="O60" s="4"/>
      <c r="P60" s="4"/>
      <c r="Q60" s="4"/>
      <c r="R60" s="4"/>
      <c r="S60" s="4"/>
      <c r="T60" s="4"/>
      <c r="U60" s="4"/>
      <c r="V60" s="4"/>
      <c r="W60" s="4"/>
      <c r="X60" s="4"/>
    </row>
    <row r="61" spans="1:24" ht="12.75">
      <c r="A61" s="4"/>
      <c r="B61" s="4"/>
      <c r="C61" s="4"/>
      <c r="D61" s="4"/>
      <c r="E61" s="957"/>
      <c r="F61" s="957"/>
      <c r="G61" s="957"/>
      <c r="H61" s="957"/>
      <c r="I61" s="957"/>
      <c r="J61" s="957"/>
      <c r="K61" s="957"/>
      <c r="L61" s="957"/>
      <c r="M61" s="957"/>
      <c r="N61" s="957"/>
      <c r="O61" s="4"/>
      <c r="P61" s="4"/>
      <c r="Q61" s="4"/>
      <c r="R61" s="4"/>
      <c r="S61" s="4"/>
      <c r="T61" s="4"/>
      <c r="U61" s="4"/>
      <c r="V61" s="4"/>
      <c r="W61" s="4"/>
      <c r="X61" s="4"/>
    </row>
    <row r="62" spans="1:24" ht="12.75">
      <c r="A62" s="4"/>
      <c r="B62" s="4"/>
      <c r="C62" s="4"/>
      <c r="D62" s="4"/>
      <c r="E62" s="957"/>
      <c r="F62" s="957"/>
      <c r="G62" s="957"/>
      <c r="H62" s="957"/>
      <c r="I62" s="957"/>
      <c r="J62" s="957"/>
      <c r="K62" s="957"/>
      <c r="L62" s="957"/>
      <c r="M62" s="957"/>
      <c r="N62" s="957"/>
      <c r="O62" s="4"/>
      <c r="P62" s="4"/>
      <c r="Q62" s="4"/>
      <c r="R62" s="4"/>
      <c r="S62" s="4"/>
      <c r="T62" s="4"/>
      <c r="U62" s="4"/>
      <c r="V62" s="4"/>
      <c r="W62" s="4"/>
      <c r="X62" s="4"/>
    </row>
    <row r="63" spans="1:24" ht="12.75">
      <c r="A63" s="4"/>
      <c r="B63" s="4"/>
      <c r="C63" s="4"/>
      <c r="D63" s="4"/>
      <c r="E63" s="957"/>
      <c r="F63" s="957"/>
      <c r="G63" s="957"/>
      <c r="H63" s="957"/>
      <c r="I63" s="957"/>
      <c r="J63" s="957"/>
      <c r="K63" s="957"/>
      <c r="L63" s="957"/>
      <c r="M63" s="957"/>
      <c r="N63" s="957"/>
      <c r="O63" s="4"/>
      <c r="P63" s="4"/>
      <c r="Q63" s="4"/>
      <c r="R63" s="4"/>
      <c r="S63" s="4"/>
      <c r="T63" s="4"/>
      <c r="U63" s="4"/>
      <c r="V63" s="4"/>
      <c r="W63" s="4"/>
      <c r="X63" s="4"/>
    </row>
    <row r="64" spans="1:24" ht="12.75">
      <c r="A64" s="4"/>
      <c r="B64" s="4"/>
      <c r="C64" s="4"/>
      <c r="D64" s="4"/>
      <c r="E64" s="957"/>
      <c r="F64" s="957"/>
      <c r="G64" s="957"/>
      <c r="H64" s="957"/>
      <c r="I64" s="957"/>
      <c r="J64" s="957"/>
      <c r="K64" s="957"/>
      <c r="L64" s="957"/>
      <c r="M64" s="957"/>
      <c r="N64" s="957"/>
      <c r="O64" s="4"/>
      <c r="P64" s="4"/>
      <c r="Q64" s="4"/>
      <c r="R64" s="4"/>
      <c r="S64" s="4"/>
      <c r="T64" s="4"/>
      <c r="U64" s="4"/>
      <c r="V64" s="4"/>
      <c r="W64" s="4"/>
      <c r="X64" s="4"/>
    </row>
    <row r="65" spans="1:24" ht="12.75">
      <c r="A65" s="4"/>
      <c r="B65" s="4"/>
      <c r="C65" s="4"/>
      <c r="D65" s="4"/>
      <c r="E65" s="957"/>
      <c r="F65" s="957"/>
      <c r="G65" s="957"/>
      <c r="H65" s="957"/>
      <c r="I65" s="957"/>
      <c r="J65" s="957"/>
      <c r="K65" s="957"/>
      <c r="L65" s="957"/>
      <c r="M65" s="957"/>
      <c r="N65" s="957"/>
      <c r="O65" s="4"/>
      <c r="P65" s="4"/>
      <c r="Q65" s="4"/>
      <c r="R65" s="4"/>
      <c r="S65" s="4"/>
      <c r="T65" s="4"/>
      <c r="U65" s="4"/>
      <c r="V65" s="4"/>
      <c r="W65" s="4"/>
      <c r="X65" s="4"/>
    </row>
    <row r="66" spans="1:24" ht="12.75">
      <c r="A66" s="4"/>
      <c r="B66" s="4"/>
      <c r="C66" s="4"/>
      <c r="D66" s="4"/>
      <c r="E66" s="957"/>
      <c r="F66" s="957"/>
      <c r="G66" s="957"/>
      <c r="H66" s="957"/>
      <c r="I66" s="957"/>
      <c r="J66" s="957"/>
      <c r="K66" s="957"/>
      <c r="L66" s="957"/>
      <c r="M66" s="957"/>
      <c r="N66" s="957"/>
      <c r="O66" s="4"/>
      <c r="P66" s="4"/>
      <c r="Q66" s="4"/>
      <c r="R66" s="4"/>
      <c r="S66" s="4"/>
      <c r="T66" s="4"/>
      <c r="U66" s="4"/>
      <c r="V66" s="4"/>
      <c r="W66" s="4"/>
      <c r="X66" s="4"/>
    </row>
    <row r="67" spans="1:24" ht="12.75">
      <c r="A67" s="4"/>
      <c r="B67" s="4"/>
      <c r="C67" s="4"/>
      <c r="D67" s="4"/>
      <c r="E67" s="957"/>
      <c r="F67" s="957"/>
      <c r="G67" s="957"/>
      <c r="H67" s="957"/>
      <c r="I67" s="957"/>
      <c r="J67" s="957"/>
      <c r="K67" s="957"/>
      <c r="L67" s="957"/>
      <c r="M67" s="957"/>
      <c r="N67" s="957"/>
      <c r="O67" s="4"/>
      <c r="P67" s="4"/>
      <c r="Q67" s="4"/>
      <c r="R67" s="4"/>
      <c r="S67" s="4"/>
      <c r="T67" s="4"/>
      <c r="U67" s="4"/>
      <c r="V67" s="4"/>
      <c r="W67" s="4"/>
      <c r="X67" s="4"/>
    </row>
    <row r="68" spans="1:24" ht="12.75">
      <c r="A68" s="4"/>
      <c r="B68" s="4"/>
      <c r="C68" s="4"/>
      <c r="D68" s="4"/>
      <c r="E68" s="957"/>
      <c r="F68" s="957"/>
      <c r="G68" s="957"/>
      <c r="H68" s="957"/>
      <c r="I68" s="957"/>
      <c r="J68" s="957"/>
      <c r="K68" s="957"/>
      <c r="L68" s="957"/>
      <c r="M68" s="957"/>
      <c r="N68" s="957"/>
      <c r="O68" s="4"/>
      <c r="P68" s="4"/>
      <c r="Q68" s="4"/>
      <c r="R68" s="4"/>
      <c r="S68" s="4"/>
      <c r="T68" s="4"/>
      <c r="U68" s="4"/>
      <c r="V68" s="4"/>
      <c r="W68" s="4"/>
      <c r="X68" s="4"/>
    </row>
    <row r="69" spans="1:24" ht="12.75">
      <c r="A69" s="4"/>
      <c r="B69" s="4"/>
      <c r="C69" s="4"/>
      <c r="D69" s="4"/>
      <c r="E69" s="957"/>
      <c r="F69" s="957"/>
      <c r="G69" s="957"/>
      <c r="H69" s="957"/>
      <c r="I69" s="957"/>
      <c r="J69" s="957"/>
      <c r="K69" s="957"/>
      <c r="L69" s="957"/>
      <c r="M69" s="957"/>
      <c r="N69" s="957"/>
      <c r="O69" s="4"/>
      <c r="P69" s="4"/>
      <c r="Q69" s="4"/>
      <c r="R69" s="4"/>
      <c r="S69" s="4"/>
      <c r="T69" s="4"/>
      <c r="U69" s="4"/>
      <c r="V69" s="4"/>
      <c r="W69" s="4"/>
      <c r="X69" s="4"/>
    </row>
    <row r="70" spans="1:24" ht="12.75">
      <c r="A70" s="4"/>
      <c r="B70" s="4"/>
      <c r="C70" s="4"/>
      <c r="D70" s="4"/>
      <c r="E70" s="957"/>
      <c r="F70" s="957"/>
      <c r="G70" s="957"/>
      <c r="H70" s="957"/>
      <c r="I70" s="957"/>
      <c r="J70" s="957"/>
      <c r="K70" s="957"/>
      <c r="L70" s="957"/>
      <c r="M70" s="957"/>
      <c r="N70" s="957"/>
      <c r="O70" s="4"/>
      <c r="P70" s="4"/>
      <c r="Q70" s="4"/>
      <c r="R70" s="4"/>
      <c r="S70" s="4"/>
      <c r="T70" s="4"/>
      <c r="U70" s="4"/>
      <c r="V70" s="4"/>
      <c r="W70" s="4"/>
      <c r="X70" s="4"/>
    </row>
    <row r="71" spans="1:24" ht="12.75">
      <c r="A71" s="4"/>
      <c r="B71" s="4"/>
      <c r="C71" s="4"/>
      <c r="D71" s="4"/>
      <c r="E71" s="957"/>
      <c r="F71" s="957"/>
      <c r="G71" s="957"/>
      <c r="H71" s="957"/>
      <c r="I71" s="957"/>
      <c r="J71" s="957"/>
      <c r="K71" s="957"/>
      <c r="L71" s="957"/>
      <c r="M71" s="957"/>
      <c r="N71" s="957"/>
      <c r="O71" s="4"/>
      <c r="P71" s="4"/>
      <c r="Q71" s="4"/>
      <c r="R71" s="4"/>
      <c r="S71" s="4"/>
      <c r="T71" s="4"/>
      <c r="U71" s="4"/>
      <c r="V71" s="4"/>
      <c r="W71" s="4"/>
      <c r="X71" s="4"/>
    </row>
    <row r="72" spans="1:24" ht="12.75">
      <c r="A72" s="4"/>
      <c r="B72" s="4"/>
      <c r="C72" s="4"/>
      <c r="D72" s="4"/>
      <c r="E72" s="957"/>
      <c r="F72" s="957"/>
      <c r="G72" s="957"/>
      <c r="H72" s="957"/>
      <c r="I72" s="957"/>
      <c r="J72" s="957"/>
      <c r="K72" s="957"/>
      <c r="L72" s="957"/>
      <c r="M72" s="957"/>
      <c r="N72" s="957"/>
      <c r="O72" s="4"/>
      <c r="P72" s="4"/>
      <c r="Q72" s="4"/>
      <c r="R72" s="4"/>
      <c r="S72" s="4"/>
      <c r="T72" s="4"/>
      <c r="U72" s="4"/>
      <c r="V72" s="4"/>
      <c r="W72" s="4"/>
      <c r="X72" s="4"/>
    </row>
    <row r="73" spans="1:24" ht="12.75">
      <c r="A73" s="4"/>
      <c r="B73" s="4"/>
      <c r="C73" s="4"/>
      <c r="D73" s="4"/>
      <c r="E73" s="957"/>
      <c r="F73" s="957"/>
      <c r="G73" s="957"/>
      <c r="H73" s="957"/>
      <c r="I73" s="957"/>
      <c r="J73" s="957"/>
      <c r="K73" s="957"/>
      <c r="L73" s="957"/>
      <c r="M73" s="957"/>
      <c r="N73" s="957"/>
      <c r="O73" s="4"/>
      <c r="P73" s="4"/>
      <c r="Q73" s="4"/>
      <c r="R73" s="4"/>
      <c r="S73" s="4"/>
      <c r="T73" s="4"/>
      <c r="U73" s="4"/>
      <c r="V73" s="4"/>
      <c r="W73" s="4"/>
      <c r="X73" s="4"/>
    </row>
    <row r="74" spans="1:24" ht="12.75">
      <c r="A74" s="4"/>
      <c r="B74" s="4"/>
      <c r="C74" s="4"/>
      <c r="D74" s="4"/>
      <c r="E74" s="957"/>
      <c r="F74" s="957"/>
      <c r="G74" s="957"/>
      <c r="H74" s="957"/>
      <c r="I74" s="957"/>
      <c r="J74" s="957"/>
      <c r="K74" s="957"/>
      <c r="L74" s="957"/>
      <c r="M74" s="957"/>
      <c r="N74" s="957"/>
      <c r="O74" s="4"/>
      <c r="P74" s="4"/>
      <c r="Q74" s="4"/>
      <c r="R74" s="4"/>
      <c r="S74" s="4"/>
      <c r="T74" s="4"/>
      <c r="U74" s="4"/>
      <c r="V74" s="4"/>
      <c r="W74" s="4"/>
      <c r="X74" s="4"/>
    </row>
    <row r="75" spans="1:24" ht="12.75">
      <c r="A75" s="4"/>
      <c r="B75" s="4"/>
      <c r="C75" s="4"/>
      <c r="D75" s="4"/>
      <c r="E75" s="957"/>
      <c r="F75" s="957"/>
      <c r="G75" s="957"/>
      <c r="H75" s="957"/>
      <c r="I75" s="957"/>
      <c r="J75" s="957"/>
      <c r="K75" s="957"/>
      <c r="L75" s="957"/>
      <c r="M75" s="957"/>
      <c r="N75" s="957"/>
      <c r="O75" s="4"/>
      <c r="P75" s="4"/>
      <c r="Q75" s="4"/>
      <c r="R75" s="4"/>
      <c r="S75" s="4"/>
      <c r="T75" s="4"/>
      <c r="U75" s="4"/>
      <c r="V75" s="4"/>
      <c r="W75" s="4"/>
      <c r="X75" s="4"/>
    </row>
    <row r="76" spans="1:24" ht="12.75">
      <c r="A76" s="4"/>
      <c r="B76" s="4"/>
      <c r="C76" s="4"/>
      <c r="D76" s="4"/>
      <c r="E76" s="957"/>
      <c r="F76" s="957"/>
      <c r="G76" s="957"/>
      <c r="H76" s="957"/>
      <c r="I76" s="957"/>
      <c r="J76" s="957"/>
      <c r="K76" s="957"/>
      <c r="L76" s="957"/>
      <c r="M76" s="957"/>
      <c r="N76" s="957"/>
      <c r="O76" s="4"/>
      <c r="P76" s="4"/>
      <c r="Q76" s="4"/>
      <c r="R76" s="4"/>
      <c r="S76" s="4"/>
      <c r="T76" s="4"/>
      <c r="U76" s="4"/>
      <c r="V76" s="4"/>
      <c r="W76" s="4"/>
      <c r="X76" s="4"/>
    </row>
    <row r="77" spans="1:24" ht="12.75">
      <c r="A77" s="4"/>
      <c r="B77" s="4"/>
      <c r="C77" s="4"/>
      <c r="D77" s="4"/>
      <c r="E77" s="957"/>
      <c r="F77" s="957"/>
      <c r="G77" s="957"/>
      <c r="H77" s="957"/>
      <c r="I77" s="957"/>
      <c r="J77" s="957"/>
      <c r="K77" s="957"/>
      <c r="L77" s="957"/>
      <c r="M77" s="957"/>
      <c r="N77" s="957"/>
      <c r="O77" s="4"/>
      <c r="P77" s="4"/>
      <c r="Q77" s="4"/>
      <c r="R77" s="4"/>
      <c r="S77" s="4"/>
      <c r="T77" s="4"/>
      <c r="U77" s="4"/>
      <c r="V77" s="4"/>
      <c r="W77" s="4"/>
      <c r="X77" s="4"/>
    </row>
    <row r="78" spans="1:24" ht="12.75">
      <c r="A78" s="4"/>
      <c r="B78" s="4"/>
      <c r="C78" s="4"/>
      <c r="D78" s="4"/>
      <c r="E78" s="957"/>
      <c r="F78" s="957"/>
      <c r="G78" s="957"/>
      <c r="H78" s="957"/>
      <c r="I78" s="957"/>
      <c r="J78" s="957"/>
      <c r="K78" s="957"/>
      <c r="L78" s="957"/>
      <c r="M78" s="957"/>
      <c r="N78" s="957"/>
      <c r="O78" s="4"/>
      <c r="P78" s="4"/>
      <c r="Q78" s="4"/>
      <c r="R78" s="4"/>
      <c r="S78" s="4"/>
      <c r="T78" s="4"/>
      <c r="U78" s="4"/>
      <c r="V78" s="4"/>
      <c r="W78" s="4"/>
      <c r="X78" s="4"/>
    </row>
    <row r="79" spans="1:24" ht="12.75">
      <c r="A79" s="4"/>
      <c r="B79" s="4"/>
      <c r="C79" s="4"/>
      <c r="D79" s="4"/>
      <c r="E79" s="957"/>
      <c r="F79" s="957"/>
      <c r="G79" s="957"/>
      <c r="H79" s="957"/>
      <c r="I79" s="957"/>
      <c r="J79" s="957"/>
      <c r="K79" s="957"/>
      <c r="L79" s="957"/>
      <c r="M79" s="957"/>
      <c r="N79" s="957"/>
      <c r="O79" s="4"/>
      <c r="P79" s="4"/>
      <c r="Q79" s="4"/>
      <c r="R79" s="4"/>
      <c r="S79" s="4"/>
      <c r="T79" s="4"/>
      <c r="U79" s="4"/>
      <c r="V79" s="4"/>
      <c r="W79" s="4"/>
      <c r="X79" s="4"/>
    </row>
    <row r="80" spans="1:24" ht="12.75">
      <c r="A80" s="4"/>
      <c r="B80" s="4"/>
      <c r="C80" s="4"/>
      <c r="D80" s="4"/>
      <c r="E80" s="957"/>
      <c r="F80" s="957"/>
      <c r="G80" s="957"/>
      <c r="H80" s="957"/>
      <c r="I80" s="957"/>
      <c r="J80" s="957"/>
      <c r="K80" s="957"/>
      <c r="L80" s="957"/>
      <c r="M80" s="957"/>
      <c r="N80" s="957"/>
      <c r="O80" s="4"/>
      <c r="P80" s="4"/>
      <c r="Q80" s="4"/>
      <c r="R80" s="4"/>
      <c r="S80" s="4"/>
      <c r="T80" s="4"/>
      <c r="U80" s="4"/>
      <c r="V80" s="4"/>
      <c r="W80" s="4"/>
      <c r="X80" s="4"/>
    </row>
    <row r="81" spans="1:24" ht="12.75">
      <c r="A81" s="4"/>
      <c r="B81" s="4"/>
      <c r="C81" s="4"/>
      <c r="D81" s="4"/>
      <c r="E81" s="957"/>
      <c r="F81" s="957"/>
      <c r="G81" s="957"/>
      <c r="H81" s="957"/>
      <c r="I81" s="957"/>
      <c r="J81" s="957"/>
      <c r="K81" s="957"/>
      <c r="L81" s="957"/>
      <c r="M81" s="957"/>
      <c r="N81" s="957"/>
      <c r="O81" s="4"/>
      <c r="P81" s="4"/>
      <c r="Q81" s="4"/>
      <c r="R81" s="4"/>
      <c r="S81" s="4"/>
      <c r="T81" s="4"/>
      <c r="U81" s="4"/>
      <c r="V81" s="4"/>
      <c r="W81" s="4"/>
      <c r="X81" s="4"/>
    </row>
    <row r="82" spans="1:24" ht="12.75">
      <c r="A82" s="4"/>
      <c r="B82" s="4"/>
      <c r="C82" s="4"/>
      <c r="D82" s="4"/>
      <c r="E82" s="957"/>
      <c r="F82" s="957"/>
      <c r="G82" s="957"/>
      <c r="H82" s="957"/>
      <c r="I82" s="957"/>
      <c r="J82" s="957"/>
      <c r="K82" s="957"/>
      <c r="L82" s="957"/>
      <c r="M82" s="957"/>
      <c r="N82" s="957"/>
      <c r="O82" s="4"/>
      <c r="P82" s="4"/>
      <c r="Q82" s="4"/>
      <c r="R82" s="4"/>
      <c r="S82" s="4"/>
      <c r="T82" s="4"/>
      <c r="U82" s="4"/>
      <c r="V82" s="4"/>
      <c r="W82" s="4"/>
      <c r="X82" s="4"/>
    </row>
    <row r="83" spans="1:24" ht="12.75">
      <c r="A83" s="4"/>
      <c r="B83" s="4"/>
      <c r="C83" s="4"/>
      <c r="D83" s="4"/>
      <c r="E83" s="957"/>
      <c r="F83" s="957"/>
      <c r="G83" s="957"/>
      <c r="H83" s="957"/>
      <c r="I83" s="957"/>
      <c r="J83" s="957"/>
      <c r="K83" s="957"/>
      <c r="L83" s="957"/>
      <c r="M83" s="957"/>
      <c r="N83" s="957"/>
      <c r="O83" s="4"/>
      <c r="P83" s="4"/>
      <c r="Q83" s="4"/>
      <c r="R83" s="4"/>
      <c r="S83" s="4"/>
      <c r="T83" s="4"/>
      <c r="U83" s="4"/>
      <c r="V83" s="4"/>
      <c r="W83" s="4"/>
      <c r="X83" s="4"/>
    </row>
    <row r="84" spans="1:24" ht="12.75">
      <c r="A84" s="4"/>
      <c r="B84" s="4"/>
      <c r="C84" s="4"/>
      <c r="D84" s="4"/>
      <c r="E84" s="957"/>
      <c r="F84" s="957"/>
      <c r="G84" s="957"/>
      <c r="H84" s="957"/>
      <c r="I84" s="957"/>
      <c r="J84" s="957"/>
      <c r="K84" s="957"/>
      <c r="L84" s="957"/>
      <c r="M84" s="957"/>
      <c r="N84" s="957"/>
      <c r="O84" s="4"/>
      <c r="P84" s="4"/>
      <c r="Q84" s="4"/>
      <c r="R84" s="4"/>
      <c r="S84" s="4"/>
      <c r="T84" s="4"/>
      <c r="U84" s="4"/>
      <c r="V84" s="4"/>
      <c r="W84" s="4"/>
      <c r="X84" s="4"/>
    </row>
    <row r="85" spans="1:24" ht="12.75">
      <c r="A85" s="4"/>
      <c r="B85" s="4"/>
      <c r="C85" s="4"/>
      <c r="D85" s="4"/>
      <c r="E85" s="957"/>
      <c r="F85" s="957"/>
      <c r="G85" s="957"/>
      <c r="H85" s="957"/>
      <c r="I85" s="957"/>
      <c r="J85" s="957"/>
      <c r="K85" s="957"/>
      <c r="L85" s="957"/>
      <c r="M85" s="957"/>
      <c r="N85" s="957"/>
      <c r="O85" s="4"/>
      <c r="P85" s="4"/>
      <c r="Q85" s="4"/>
      <c r="R85" s="4"/>
      <c r="S85" s="4"/>
      <c r="T85" s="4"/>
      <c r="U85" s="4"/>
      <c r="V85" s="4"/>
      <c r="W85" s="4"/>
      <c r="X85" s="4"/>
    </row>
    <row r="86" spans="1:24" ht="12.75">
      <c r="A86" s="4"/>
      <c r="B86" s="4"/>
      <c r="C86" s="4"/>
      <c r="D86" s="4"/>
      <c r="E86" s="957"/>
      <c r="F86" s="957"/>
      <c r="G86" s="957"/>
      <c r="H86" s="957"/>
      <c r="I86" s="957"/>
      <c r="J86" s="957"/>
      <c r="K86" s="957"/>
      <c r="L86" s="957"/>
      <c r="M86" s="957"/>
      <c r="N86" s="957"/>
      <c r="O86" s="4"/>
      <c r="P86" s="4"/>
      <c r="Q86" s="4"/>
      <c r="R86" s="4"/>
      <c r="S86" s="4"/>
      <c r="T86" s="4"/>
      <c r="U86" s="4"/>
      <c r="V86" s="4"/>
      <c r="W86" s="4"/>
      <c r="X86" s="4"/>
    </row>
    <row r="87" spans="1:24" ht="12.75">
      <c r="A87" s="4"/>
      <c r="B87" s="4"/>
      <c r="C87" s="4"/>
      <c r="D87" s="4"/>
      <c r="E87" s="957"/>
      <c r="F87" s="957"/>
      <c r="G87" s="957"/>
      <c r="H87" s="957"/>
      <c r="I87" s="957"/>
      <c r="J87" s="957"/>
      <c r="K87" s="957"/>
      <c r="L87" s="957"/>
      <c r="M87" s="957"/>
      <c r="N87" s="957"/>
      <c r="O87" s="4"/>
      <c r="P87" s="4"/>
      <c r="Q87" s="4"/>
      <c r="R87" s="4"/>
      <c r="S87" s="4"/>
      <c r="T87" s="4"/>
      <c r="U87" s="4"/>
      <c r="V87" s="4"/>
      <c r="W87" s="4"/>
      <c r="X87" s="4"/>
    </row>
    <row r="88" spans="1:24" ht="12.75">
      <c r="A88" s="4"/>
      <c r="B88" s="4"/>
      <c r="C88" s="4"/>
      <c r="D88" s="4"/>
      <c r="E88" s="957"/>
      <c r="F88" s="957"/>
      <c r="G88" s="957"/>
      <c r="H88" s="957"/>
      <c r="I88" s="957"/>
      <c r="J88" s="957"/>
      <c r="K88" s="957"/>
      <c r="L88" s="957"/>
      <c r="M88" s="957"/>
      <c r="N88" s="957"/>
      <c r="O88" s="4"/>
      <c r="P88" s="4"/>
      <c r="Q88" s="4"/>
      <c r="R88" s="4"/>
      <c r="S88" s="4"/>
      <c r="T88" s="4"/>
      <c r="U88" s="4"/>
      <c r="V88" s="4"/>
      <c r="W88" s="4"/>
      <c r="X88" s="4"/>
    </row>
    <row r="89" spans="1:24" ht="12.75">
      <c r="A89" s="4"/>
      <c r="B89" s="4"/>
      <c r="C89" s="4"/>
      <c r="D89" s="4"/>
      <c r="E89" s="957"/>
      <c r="F89" s="957"/>
      <c r="G89" s="957"/>
      <c r="H89" s="957"/>
      <c r="I89" s="957"/>
      <c r="J89" s="957"/>
      <c r="K89" s="957"/>
      <c r="L89" s="957"/>
      <c r="M89" s="957"/>
      <c r="N89" s="957"/>
      <c r="O89" s="4"/>
      <c r="P89" s="4"/>
      <c r="Q89" s="4"/>
      <c r="R89" s="4"/>
      <c r="S89" s="4"/>
      <c r="T89" s="4"/>
      <c r="U89" s="4"/>
      <c r="V89" s="4"/>
      <c r="W89" s="4"/>
      <c r="X89" s="4"/>
    </row>
    <row r="90" spans="1:24" ht="12.75">
      <c r="A90" s="4"/>
      <c r="B90" s="4"/>
      <c r="C90" s="4"/>
      <c r="D90" s="4"/>
      <c r="E90" s="957"/>
      <c r="F90" s="957"/>
      <c r="G90" s="957"/>
      <c r="H90" s="957"/>
      <c r="I90" s="957"/>
      <c r="J90" s="957"/>
      <c r="K90" s="957"/>
      <c r="L90" s="957"/>
      <c r="M90" s="957"/>
      <c r="N90" s="957"/>
      <c r="O90" s="4"/>
      <c r="P90" s="4"/>
      <c r="Q90" s="4"/>
      <c r="R90" s="4"/>
      <c r="S90" s="4"/>
      <c r="T90" s="4"/>
      <c r="U90" s="4"/>
      <c r="V90" s="4"/>
      <c r="W90" s="4"/>
      <c r="X90" s="4"/>
    </row>
    <row r="91" spans="1:24" ht="12.75">
      <c r="A91" s="4"/>
      <c r="B91" s="4"/>
      <c r="C91" s="4"/>
      <c r="D91" s="4"/>
      <c r="E91" s="957"/>
      <c r="F91" s="957"/>
      <c r="G91" s="957"/>
      <c r="H91" s="957"/>
      <c r="I91" s="957"/>
      <c r="J91" s="957"/>
      <c r="K91" s="957"/>
      <c r="L91" s="957"/>
      <c r="M91" s="957"/>
      <c r="N91" s="957"/>
      <c r="O91" s="4"/>
      <c r="P91" s="4"/>
      <c r="Q91" s="4"/>
      <c r="R91" s="4"/>
      <c r="S91" s="4"/>
      <c r="T91" s="4"/>
      <c r="U91" s="4"/>
      <c r="V91" s="4"/>
      <c r="W91" s="4"/>
      <c r="X91" s="4"/>
    </row>
    <row r="92" spans="1:24" ht="12.75">
      <c r="A92" s="4"/>
      <c r="B92" s="4"/>
      <c r="C92" s="4"/>
      <c r="D92" s="4"/>
      <c r="E92" s="957"/>
      <c r="F92" s="957"/>
      <c r="G92" s="957"/>
      <c r="H92" s="957"/>
      <c r="I92" s="957"/>
      <c r="J92" s="957"/>
      <c r="K92" s="957"/>
      <c r="L92" s="957"/>
      <c r="M92" s="957"/>
      <c r="N92" s="957"/>
      <c r="O92" s="4"/>
      <c r="P92" s="4"/>
      <c r="Q92" s="4"/>
      <c r="R92" s="4"/>
      <c r="S92" s="4"/>
      <c r="T92" s="4"/>
      <c r="U92" s="4"/>
      <c r="V92" s="4"/>
      <c r="W92" s="4"/>
      <c r="X92" s="4"/>
    </row>
    <row r="93" spans="1:24" ht="12.75">
      <c r="A93" s="4"/>
      <c r="B93" s="4"/>
      <c r="C93" s="4"/>
      <c r="D93" s="4"/>
      <c r="E93" s="957"/>
      <c r="F93" s="957"/>
      <c r="G93" s="957"/>
      <c r="H93" s="957"/>
      <c r="I93" s="957"/>
      <c r="J93" s="957"/>
      <c r="K93" s="957"/>
      <c r="L93" s="957"/>
      <c r="M93" s="957"/>
      <c r="N93" s="957"/>
      <c r="O93" s="4"/>
      <c r="P93" s="4"/>
      <c r="Q93" s="4"/>
      <c r="R93" s="4"/>
      <c r="S93" s="4"/>
      <c r="T93" s="4"/>
      <c r="U93" s="4"/>
      <c r="V93" s="4"/>
      <c r="W93" s="4"/>
      <c r="X93" s="4"/>
    </row>
    <row r="94" spans="1:24" ht="12.75">
      <c r="A94" s="4"/>
      <c r="B94" s="4"/>
      <c r="C94" s="4"/>
      <c r="D94" s="4"/>
      <c r="E94" s="957"/>
      <c r="F94" s="957"/>
      <c r="G94" s="957"/>
      <c r="H94" s="957"/>
      <c r="I94" s="957"/>
      <c r="J94" s="957"/>
      <c r="K94" s="957"/>
      <c r="L94" s="957"/>
      <c r="M94" s="957"/>
      <c r="N94" s="957"/>
      <c r="O94" s="4"/>
      <c r="P94" s="4"/>
      <c r="Q94" s="4"/>
      <c r="R94" s="4"/>
      <c r="S94" s="4"/>
      <c r="T94" s="4"/>
      <c r="U94" s="4"/>
      <c r="V94" s="4"/>
      <c r="W94" s="4"/>
      <c r="X94" s="4"/>
    </row>
    <row r="95" spans="1:24" ht="12.75">
      <c r="A95" s="4"/>
      <c r="B95" s="4"/>
      <c r="C95" s="4"/>
      <c r="D95" s="4"/>
      <c r="E95" s="957"/>
      <c r="F95" s="957"/>
      <c r="G95" s="957"/>
      <c r="H95" s="957"/>
      <c r="I95" s="957"/>
      <c r="J95" s="957"/>
      <c r="K95" s="957"/>
      <c r="L95" s="957"/>
      <c r="M95" s="957"/>
      <c r="N95" s="957"/>
      <c r="O95" s="4"/>
      <c r="P95" s="4"/>
      <c r="Q95" s="4"/>
      <c r="R95" s="4"/>
      <c r="S95" s="4"/>
      <c r="T95" s="4"/>
      <c r="U95" s="4"/>
      <c r="V95" s="4"/>
      <c r="W95" s="4"/>
      <c r="X95" s="4"/>
    </row>
    <row r="96" spans="1:24" ht="12.75">
      <c r="A96" s="4"/>
      <c r="B96" s="4"/>
      <c r="C96" s="4"/>
      <c r="D96" s="4"/>
      <c r="E96" s="957"/>
      <c r="F96" s="957"/>
      <c r="G96" s="957"/>
      <c r="H96" s="957"/>
      <c r="I96" s="957"/>
      <c r="J96" s="957"/>
      <c r="K96" s="957"/>
      <c r="L96" s="957"/>
      <c r="M96" s="957"/>
      <c r="N96" s="957"/>
      <c r="O96" s="4"/>
      <c r="P96" s="4"/>
      <c r="Q96" s="4"/>
      <c r="R96" s="4"/>
      <c r="S96" s="4"/>
      <c r="T96" s="4"/>
      <c r="U96" s="4"/>
      <c r="V96" s="4"/>
      <c r="W96" s="4"/>
      <c r="X96" s="4"/>
    </row>
    <row r="97" spans="1:24" ht="12.75">
      <c r="A97" s="4"/>
      <c r="B97" s="4"/>
      <c r="C97" s="4"/>
      <c r="D97" s="4"/>
      <c r="E97" s="957"/>
      <c r="F97" s="957"/>
      <c r="G97" s="957"/>
      <c r="H97" s="957"/>
      <c r="I97" s="957"/>
      <c r="J97" s="957"/>
      <c r="K97" s="957"/>
      <c r="L97" s="957"/>
      <c r="M97" s="957"/>
      <c r="N97" s="957"/>
      <c r="O97" s="4"/>
      <c r="P97" s="4"/>
      <c r="Q97" s="4"/>
      <c r="R97" s="4"/>
      <c r="S97" s="4"/>
      <c r="T97" s="4"/>
      <c r="U97" s="4"/>
      <c r="V97" s="4"/>
      <c r="W97" s="4"/>
      <c r="X97" s="4"/>
    </row>
    <row r="98" spans="1:24" ht="12.75">
      <c r="A98" s="4"/>
      <c r="B98" s="4"/>
      <c r="C98" s="4"/>
      <c r="D98" s="4"/>
      <c r="E98" s="957"/>
      <c r="F98" s="957"/>
      <c r="G98" s="957"/>
      <c r="H98" s="957"/>
      <c r="I98" s="957"/>
      <c r="J98" s="957"/>
      <c r="K98" s="957"/>
      <c r="L98" s="957"/>
      <c r="M98" s="957"/>
      <c r="N98" s="957"/>
      <c r="O98" s="4"/>
      <c r="P98" s="4"/>
      <c r="Q98" s="4"/>
      <c r="R98" s="4"/>
      <c r="S98" s="4"/>
      <c r="T98" s="4"/>
      <c r="U98" s="4"/>
      <c r="V98" s="4"/>
      <c r="W98" s="4"/>
      <c r="X98" s="4"/>
    </row>
    <row r="99" spans="1:24" ht="12.75">
      <c r="A99" s="4"/>
      <c r="B99" s="4"/>
      <c r="C99" s="4"/>
      <c r="D99" s="4"/>
      <c r="E99" s="957"/>
      <c r="F99" s="957"/>
      <c r="G99" s="957"/>
      <c r="H99" s="957"/>
      <c r="I99" s="957"/>
      <c r="J99" s="957"/>
      <c r="K99" s="957"/>
      <c r="L99" s="957"/>
      <c r="M99" s="957"/>
      <c r="N99" s="957"/>
      <c r="O99" s="4"/>
      <c r="P99" s="4"/>
      <c r="Q99" s="4"/>
      <c r="R99" s="4"/>
      <c r="S99" s="4"/>
      <c r="T99" s="4"/>
      <c r="U99" s="4"/>
      <c r="V99" s="4"/>
      <c r="W99" s="4"/>
      <c r="X99" s="4"/>
    </row>
    <row r="100" spans="1:24" ht="12.75">
      <c r="A100" s="4"/>
      <c r="B100" s="4"/>
      <c r="C100" s="4"/>
      <c r="D100" s="4"/>
      <c r="E100" s="957"/>
      <c r="F100" s="957"/>
      <c r="G100" s="957"/>
      <c r="H100" s="957"/>
      <c r="I100" s="957"/>
      <c r="J100" s="957"/>
      <c r="K100" s="957"/>
      <c r="L100" s="957"/>
      <c r="M100" s="957"/>
      <c r="N100" s="957"/>
      <c r="O100" s="4"/>
      <c r="P100" s="4"/>
      <c r="Q100" s="4"/>
      <c r="R100" s="4"/>
      <c r="S100" s="4"/>
      <c r="T100" s="4"/>
      <c r="U100" s="4"/>
      <c r="V100" s="4"/>
      <c r="W100" s="4"/>
      <c r="X100" s="4"/>
    </row>
    <row r="101" spans="1:24" ht="12.75">
      <c r="A101" s="4"/>
      <c r="B101" s="4"/>
      <c r="C101" s="4"/>
      <c r="D101" s="4"/>
      <c r="E101" s="957"/>
      <c r="F101" s="957"/>
      <c r="G101" s="957"/>
      <c r="H101" s="957"/>
      <c r="I101" s="957"/>
      <c r="J101" s="957"/>
      <c r="K101" s="957"/>
      <c r="L101" s="957"/>
      <c r="M101" s="957"/>
      <c r="N101" s="957"/>
      <c r="O101" s="4"/>
      <c r="P101" s="4"/>
      <c r="Q101" s="4"/>
      <c r="R101" s="4"/>
      <c r="S101" s="4"/>
      <c r="T101" s="4"/>
      <c r="U101" s="4"/>
      <c r="V101" s="4"/>
      <c r="W101" s="4"/>
      <c r="X101" s="4"/>
    </row>
    <row r="102" spans="1:24" ht="12.75">
      <c r="A102" s="4"/>
      <c r="B102" s="4"/>
      <c r="C102" s="4"/>
      <c r="D102" s="4"/>
      <c r="E102" s="957"/>
      <c r="F102" s="957"/>
      <c r="G102" s="957"/>
      <c r="H102" s="957"/>
      <c r="I102" s="957"/>
      <c r="J102" s="957"/>
      <c r="K102" s="957"/>
      <c r="L102" s="957"/>
      <c r="M102" s="957"/>
      <c r="N102" s="957"/>
      <c r="O102" s="4"/>
      <c r="P102" s="4"/>
      <c r="Q102" s="4"/>
      <c r="R102" s="4"/>
      <c r="S102" s="4"/>
      <c r="T102" s="4"/>
      <c r="U102" s="4"/>
      <c r="V102" s="4"/>
      <c r="W102" s="4"/>
      <c r="X102" s="4"/>
    </row>
    <row r="103" spans="1:24" ht="12.75">
      <c r="A103" s="4"/>
      <c r="B103" s="4"/>
      <c r="C103" s="4"/>
      <c r="D103" s="4"/>
      <c r="E103" s="957"/>
      <c r="F103" s="957"/>
      <c r="G103" s="957"/>
      <c r="H103" s="957"/>
      <c r="I103" s="957"/>
      <c r="J103" s="957"/>
      <c r="K103" s="957"/>
      <c r="L103" s="957"/>
      <c r="M103" s="957"/>
      <c r="N103" s="957"/>
      <c r="O103" s="4"/>
      <c r="P103" s="4"/>
      <c r="Q103" s="4"/>
      <c r="R103" s="4"/>
      <c r="S103" s="4"/>
      <c r="T103" s="4"/>
      <c r="U103" s="4"/>
      <c r="V103" s="4"/>
      <c r="W103" s="4"/>
      <c r="X103" s="4"/>
    </row>
    <row r="104" spans="1:24" ht="12.75">
      <c r="A104" s="4"/>
      <c r="B104" s="4"/>
      <c r="C104" s="4"/>
      <c r="D104" s="4"/>
      <c r="E104" s="957"/>
      <c r="F104" s="957"/>
      <c r="G104" s="957"/>
      <c r="H104" s="957"/>
      <c r="I104" s="957"/>
      <c r="J104" s="957"/>
      <c r="K104" s="957"/>
      <c r="L104" s="957"/>
      <c r="M104" s="957"/>
      <c r="N104" s="957"/>
      <c r="O104" s="4"/>
      <c r="P104" s="4"/>
      <c r="Q104" s="4"/>
      <c r="R104" s="4"/>
      <c r="S104" s="4"/>
      <c r="T104" s="4"/>
      <c r="U104" s="4"/>
      <c r="V104" s="4"/>
      <c r="W104" s="4"/>
      <c r="X104" s="4"/>
    </row>
    <row r="105" spans="1:24" ht="12.75">
      <c r="A105" s="4"/>
      <c r="B105" s="4"/>
      <c r="C105" s="4"/>
      <c r="D105" s="4"/>
      <c r="E105" s="957"/>
      <c r="F105" s="957"/>
      <c r="G105" s="957"/>
      <c r="H105" s="957"/>
      <c r="I105" s="957"/>
      <c r="J105" s="957"/>
      <c r="K105" s="957"/>
      <c r="L105" s="957"/>
      <c r="M105" s="957"/>
      <c r="N105" s="957"/>
      <c r="O105" s="4"/>
      <c r="P105" s="4"/>
      <c r="Q105" s="4"/>
      <c r="R105" s="4"/>
      <c r="S105" s="4"/>
      <c r="T105" s="4"/>
      <c r="U105" s="4"/>
      <c r="V105" s="4"/>
      <c r="W105" s="4"/>
      <c r="X105" s="4"/>
    </row>
    <row r="106" spans="1:24" ht="12.75">
      <c r="A106" s="4"/>
      <c r="B106" s="4"/>
      <c r="C106" s="4"/>
      <c r="D106" s="4"/>
      <c r="E106" s="957"/>
      <c r="F106" s="957"/>
      <c r="G106" s="957"/>
      <c r="H106" s="957"/>
      <c r="I106" s="957"/>
      <c r="J106" s="957"/>
      <c r="K106" s="957"/>
      <c r="L106" s="957"/>
      <c r="M106" s="957"/>
      <c r="N106" s="957"/>
      <c r="O106" s="4"/>
      <c r="P106" s="4"/>
      <c r="Q106" s="4"/>
      <c r="R106" s="4"/>
      <c r="S106" s="4"/>
      <c r="T106" s="4"/>
      <c r="U106" s="4"/>
      <c r="V106" s="4"/>
      <c r="W106" s="4"/>
      <c r="X106" s="4"/>
    </row>
    <row r="107" spans="1:24" ht="12.75">
      <c r="A107" s="4"/>
      <c r="B107" s="4"/>
      <c r="C107" s="4"/>
      <c r="D107" s="4"/>
      <c r="E107" s="957"/>
      <c r="F107" s="957"/>
      <c r="G107" s="957"/>
      <c r="H107" s="957"/>
      <c r="I107" s="957"/>
      <c r="J107" s="957"/>
      <c r="K107" s="957"/>
      <c r="L107" s="957"/>
      <c r="M107" s="957"/>
      <c r="N107" s="957"/>
      <c r="O107" s="4"/>
      <c r="P107" s="4"/>
      <c r="Q107" s="4"/>
      <c r="R107" s="4"/>
      <c r="S107" s="4"/>
      <c r="T107" s="4"/>
      <c r="U107" s="4"/>
      <c r="V107" s="4"/>
      <c r="W107" s="4"/>
      <c r="X107" s="4"/>
    </row>
    <row r="108" spans="1:24" ht="12.75">
      <c r="A108" s="4"/>
      <c r="B108" s="4"/>
      <c r="C108" s="4"/>
      <c r="D108" s="4"/>
      <c r="E108" s="957"/>
      <c r="F108" s="957"/>
      <c r="G108" s="957"/>
      <c r="H108" s="957"/>
      <c r="I108" s="957"/>
      <c r="J108" s="957"/>
      <c r="K108" s="957"/>
      <c r="L108" s="957"/>
      <c r="M108" s="957"/>
      <c r="N108" s="957"/>
      <c r="O108" s="4"/>
      <c r="P108" s="4"/>
      <c r="Q108" s="4"/>
      <c r="R108" s="4"/>
      <c r="S108" s="4"/>
      <c r="T108" s="4"/>
      <c r="U108" s="4"/>
      <c r="V108" s="4"/>
      <c r="W108" s="4"/>
      <c r="X108" s="4"/>
    </row>
    <row r="109" spans="1:24" ht="12.75">
      <c r="A109" s="4"/>
      <c r="B109" s="4"/>
      <c r="C109" s="4"/>
      <c r="D109" s="4"/>
      <c r="E109" s="957"/>
      <c r="F109" s="957"/>
      <c r="G109" s="957"/>
      <c r="H109" s="957"/>
      <c r="I109" s="957"/>
      <c r="J109" s="957"/>
      <c r="K109" s="957"/>
      <c r="L109" s="957"/>
      <c r="M109" s="957"/>
      <c r="N109" s="957"/>
      <c r="O109" s="4"/>
      <c r="P109" s="4"/>
      <c r="Q109" s="4"/>
      <c r="R109" s="4"/>
      <c r="S109" s="4"/>
      <c r="T109" s="4"/>
      <c r="U109" s="4"/>
      <c r="V109" s="4"/>
      <c r="W109" s="4"/>
      <c r="X109" s="4"/>
    </row>
    <row r="110" spans="1:24" ht="12.75">
      <c r="A110" s="4"/>
      <c r="B110" s="4"/>
      <c r="C110" s="4"/>
      <c r="D110" s="4"/>
      <c r="E110" s="957"/>
      <c r="F110" s="957"/>
      <c r="G110" s="957"/>
      <c r="H110" s="957"/>
      <c r="I110" s="957"/>
      <c r="J110" s="957"/>
      <c r="K110" s="957"/>
      <c r="L110" s="957"/>
      <c r="M110" s="957"/>
      <c r="N110" s="957"/>
      <c r="O110" s="4"/>
      <c r="P110" s="4"/>
      <c r="Q110" s="4"/>
      <c r="R110" s="4"/>
      <c r="S110" s="4"/>
      <c r="T110" s="4"/>
      <c r="U110" s="4"/>
      <c r="V110" s="4"/>
      <c r="W110" s="4"/>
      <c r="X110" s="4"/>
    </row>
    <row r="111" spans="1:24" ht="12.75">
      <c r="A111" s="4"/>
      <c r="B111" s="4"/>
      <c r="C111" s="4"/>
      <c r="D111" s="4"/>
      <c r="E111" s="957"/>
      <c r="F111" s="957"/>
      <c r="G111" s="957"/>
      <c r="H111" s="957"/>
      <c r="I111" s="957"/>
      <c r="J111" s="957"/>
      <c r="K111" s="957"/>
      <c r="L111" s="957"/>
      <c r="M111" s="957"/>
      <c r="N111" s="957"/>
      <c r="O111" s="4"/>
      <c r="P111" s="4"/>
      <c r="Q111" s="4"/>
      <c r="R111" s="4"/>
      <c r="S111" s="4"/>
      <c r="T111" s="4"/>
      <c r="U111" s="4"/>
      <c r="V111" s="4"/>
      <c r="W111" s="4"/>
      <c r="X111" s="4"/>
    </row>
    <row r="112" spans="1:24" ht="12.75">
      <c r="A112" s="4"/>
      <c r="B112" s="4"/>
      <c r="C112" s="4"/>
      <c r="D112" s="4"/>
      <c r="E112" s="957"/>
      <c r="F112" s="957"/>
      <c r="G112" s="957"/>
      <c r="H112" s="957"/>
      <c r="I112" s="957"/>
      <c r="J112" s="957"/>
      <c r="K112" s="957"/>
      <c r="L112" s="957"/>
      <c r="M112" s="957"/>
      <c r="N112" s="957"/>
      <c r="O112" s="4"/>
      <c r="P112" s="4"/>
      <c r="Q112" s="4"/>
      <c r="R112" s="4"/>
      <c r="S112" s="4"/>
      <c r="T112" s="4"/>
      <c r="U112" s="4"/>
      <c r="V112" s="4"/>
      <c r="W112" s="4"/>
      <c r="X112" s="4"/>
    </row>
    <row r="113" spans="1:24" ht="12.75">
      <c r="A113" s="4"/>
      <c r="B113" s="4"/>
      <c r="C113" s="4"/>
      <c r="D113" s="4"/>
      <c r="E113" s="957"/>
      <c r="F113" s="957"/>
      <c r="G113" s="957"/>
      <c r="H113" s="957"/>
      <c r="I113" s="957"/>
      <c r="J113" s="957"/>
      <c r="K113" s="957"/>
      <c r="L113" s="957"/>
      <c r="M113" s="957"/>
      <c r="N113" s="957"/>
      <c r="O113" s="4"/>
      <c r="P113" s="4"/>
      <c r="Q113" s="4"/>
      <c r="R113" s="4"/>
      <c r="S113" s="4"/>
      <c r="T113" s="4"/>
      <c r="U113" s="4"/>
      <c r="V113" s="4"/>
      <c r="W113" s="4"/>
      <c r="X113" s="4"/>
    </row>
    <row r="114" spans="1:24" ht="12.75">
      <c r="A114" s="4"/>
      <c r="B114" s="4"/>
      <c r="C114" s="4"/>
      <c r="D114" s="4"/>
      <c r="E114" s="957"/>
      <c r="F114" s="957"/>
      <c r="G114" s="957"/>
      <c r="H114" s="957"/>
      <c r="I114" s="957"/>
      <c r="J114" s="957"/>
      <c r="K114" s="957"/>
      <c r="L114" s="957"/>
      <c r="M114" s="957"/>
      <c r="N114" s="957"/>
      <c r="O114" s="4"/>
      <c r="P114" s="4"/>
      <c r="Q114" s="4"/>
      <c r="R114" s="4"/>
      <c r="S114" s="4"/>
      <c r="T114" s="4"/>
      <c r="U114" s="4"/>
      <c r="V114" s="4"/>
      <c r="W114" s="4"/>
      <c r="X114" s="4"/>
    </row>
    <row r="115" spans="1:24" ht="12.75">
      <c r="A115" s="4"/>
      <c r="B115" s="4"/>
      <c r="C115" s="4"/>
      <c r="D115" s="4"/>
      <c r="E115" s="957"/>
      <c r="F115" s="957"/>
      <c r="G115" s="957"/>
      <c r="H115" s="957"/>
      <c r="I115" s="957"/>
      <c r="J115" s="957"/>
      <c r="K115" s="957"/>
      <c r="L115" s="957"/>
      <c r="M115" s="957"/>
      <c r="N115" s="957"/>
      <c r="O115" s="4"/>
      <c r="P115" s="4"/>
      <c r="Q115" s="4"/>
      <c r="R115" s="4"/>
      <c r="S115" s="4"/>
      <c r="T115" s="4"/>
      <c r="U115" s="4"/>
      <c r="V115" s="4"/>
      <c r="W115" s="4"/>
      <c r="X115" s="4"/>
    </row>
    <row r="116" spans="1:24" ht="12.75">
      <c r="A116" s="4"/>
      <c r="B116" s="4"/>
      <c r="C116" s="4"/>
      <c r="D116" s="4"/>
      <c r="E116" s="957"/>
      <c r="F116" s="957"/>
      <c r="G116" s="957"/>
      <c r="H116" s="957"/>
      <c r="I116" s="957"/>
      <c r="J116" s="957"/>
      <c r="K116" s="957"/>
      <c r="L116" s="957"/>
      <c r="M116" s="957"/>
      <c r="N116" s="957"/>
      <c r="O116" s="4"/>
      <c r="P116" s="4"/>
      <c r="Q116" s="4"/>
      <c r="R116" s="4"/>
      <c r="S116" s="4"/>
      <c r="T116" s="4"/>
      <c r="U116" s="4"/>
      <c r="V116" s="4"/>
      <c r="W116" s="4"/>
      <c r="X116" s="4"/>
    </row>
    <row r="117" spans="1:24" ht="12.75">
      <c r="A117" s="4"/>
      <c r="B117" s="4"/>
      <c r="C117" s="4"/>
      <c r="D117" s="4"/>
      <c r="E117" s="957"/>
      <c r="F117" s="957"/>
      <c r="G117" s="957"/>
      <c r="H117" s="957"/>
      <c r="I117" s="957"/>
      <c r="J117" s="957"/>
      <c r="K117" s="957"/>
      <c r="L117" s="957"/>
      <c r="M117" s="957"/>
      <c r="N117" s="957"/>
      <c r="O117" s="4"/>
      <c r="P117" s="4"/>
      <c r="Q117" s="4"/>
      <c r="R117" s="4"/>
      <c r="S117" s="4"/>
      <c r="T117" s="4"/>
      <c r="U117" s="4"/>
      <c r="V117" s="4"/>
      <c r="W117" s="4"/>
      <c r="X117" s="4"/>
    </row>
    <row r="118" spans="1:24" ht="12.75">
      <c r="A118" s="4"/>
      <c r="B118" s="4"/>
      <c r="C118" s="4"/>
      <c r="D118" s="4"/>
      <c r="E118" s="957"/>
      <c r="F118" s="957"/>
      <c r="G118" s="957"/>
      <c r="H118" s="957"/>
      <c r="I118" s="957"/>
      <c r="J118" s="957"/>
      <c r="K118" s="957"/>
      <c r="L118" s="957"/>
      <c r="M118" s="957"/>
      <c r="N118" s="957"/>
      <c r="O118" s="4"/>
      <c r="P118" s="4"/>
      <c r="Q118" s="4"/>
      <c r="R118" s="4"/>
      <c r="S118" s="4"/>
      <c r="T118" s="4"/>
      <c r="U118" s="4"/>
      <c r="V118" s="4"/>
      <c r="W118" s="4"/>
      <c r="X118" s="4"/>
    </row>
    <row r="119" spans="1:24" ht="12.75">
      <c r="A119" s="4"/>
      <c r="B119" s="4"/>
      <c r="C119" s="4"/>
      <c r="D119" s="4"/>
      <c r="E119" s="957"/>
      <c r="F119" s="957"/>
      <c r="G119" s="957"/>
      <c r="H119" s="957"/>
      <c r="I119" s="957"/>
      <c r="J119" s="957"/>
      <c r="K119" s="957"/>
      <c r="L119" s="957"/>
      <c r="M119" s="957"/>
      <c r="N119" s="957"/>
      <c r="O119" s="4"/>
      <c r="P119" s="4"/>
      <c r="Q119" s="4"/>
      <c r="R119" s="4"/>
      <c r="S119" s="4"/>
      <c r="T119" s="4"/>
      <c r="U119" s="4"/>
      <c r="V119" s="4"/>
      <c r="W119" s="4"/>
      <c r="X119" s="4"/>
    </row>
    <row r="120" spans="1:24" ht="12.75">
      <c r="A120" s="4"/>
      <c r="B120" s="4"/>
      <c r="C120" s="4"/>
      <c r="D120" s="4"/>
      <c r="E120" s="957"/>
      <c r="F120" s="957"/>
      <c r="G120" s="957"/>
      <c r="H120" s="957"/>
      <c r="I120" s="957"/>
      <c r="J120" s="957"/>
      <c r="K120" s="957"/>
      <c r="L120" s="957"/>
      <c r="M120" s="957"/>
      <c r="N120" s="957"/>
      <c r="O120" s="4"/>
      <c r="P120" s="4"/>
      <c r="Q120" s="4"/>
      <c r="R120" s="4"/>
      <c r="S120" s="4"/>
      <c r="T120" s="4"/>
      <c r="U120" s="4"/>
      <c r="V120" s="4"/>
      <c r="W120" s="4"/>
      <c r="X120" s="4"/>
    </row>
    <row r="121" spans="1:24" ht="12.75">
      <c r="A121" s="4"/>
      <c r="B121" s="4"/>
      <c r="C121" s="4"/>
      <c r="D121" s="4"/>
      <c r="E121" s="957"/>
      <c r="F121" s="957"/>
      <c r="G121" s="957"/>
      <c r="H121" s="957"/>
      <c r="I121" s="957"/>
      <c r="J121" s="957"/>
      <c r="K121" s="957"/>
      <c r="L121" s="957"/>
      <c r="M121" s="957"/>
      <c r="N121" s="957"/>
      <c r="O121" s="4"/>
      <c r="P121" s="4"/>
      <c r="Q121" s="4"/>
      <c r="R121" s="4"/>
      <c r="S121" s="4"/>
      <c r="T121" s="4"/>
      <c r="U121" s="4"/>
      <c r="V121" s="4"/>
      <c r="W121" s="4"/>
      <c r="X121" s="4"/>
    </row>
    <row r="122" spans="1:24" ht="12.75">
      <c r="A122" s="4"/>
      <c r="B122" s="4"/>
      <c r="C122" s="4"/>
      <c r="D122" s="4"/>
      <c r="E122" s="957"/>
      <c r="F122" s="957"/>
      <c r="G122" s="957"/>
      <c r="H122" s="957"/>
      <c r="I122" s="957"/>
      <c r="J122" s="957"/>
      <c r="K122" s="957"/>
      <c r="L122" s="957"/>
      <c r="M122" s="957"/>
      <c r="N122" s="957"/>
      <c r="O122" s="4"/>
      <c r="P122" s="4"/>
      <c r="Q122" s="4"/>
      <c r="R122" s="4"/>
      <c r="S122" s="4"/>
      <c r="T122" s="4"/>
      <c r="U122" s="4"/>
      <c r="V122" s="4"/>
      <c r="W122" s="4"/>
      <c r="X122" s="4"/>
    </row>
    <row r="123" spans="1:24" ht="12.75">
      <c r="A123" s="4"/>
      <c r="B123" s="4"/>
      <c r="C123" s="4"/>
      <c r="D123" s="4"/>
      <c r="E123" s="957"/>
      <c r="F123" s="957"/>
      <c r="G123" s="957"/>
      <c r="H123" s="957"/>
      <c r="I123" s="957"/>
      <c r="J123" s="957"/>
      <c r="K123" s="957"/>
      <c r="L123" s="957"/>
      <c r="M123" s="957"/>
      <c r="N123" s="957"/>
      <c r="O123" s="4"/>
      <c r="P123" s="4"/>
      <c r="Q123" s="4"/>
      <c r="R123" s="4"/>
      <c r="S123" s="4"/>
      <c r="T123" s="4"/>
      <c r="U123" s="4"/>
      <c r="V123" s="4"/>
      <c r="W123" s="4"/>
      <c r="X123" s="4"/>
    </row>
    <row r="124" spans="1:24" ht="12.75">
      <c r="A124" s="4"/>
      <c r="B124" s="4"/>
      <c r="C124" s="4"/>
      <c r="D124" s="4"/>
      <c r="E124" s="957"/>
      <c r="F124" s="957"/>
      <c r="G124" s="957"/>
      <c r="H124" s="957"/>
      <c r="I124" s="957"/>
      <c r="J124" s="957"/>
      <c r="K124" s="957"/>
      <c r="L124" s="957"/>
      <c r="M124" s="957"/>
      <c r="N124" s="957"/>
      <c r="O124" s="4"/>
      <c r="P124" s="4"/>
      <c r="Q124" s="4"/>
      <c r="R124" s="4"/>
      <c r="S124" s="4"/>
      <c r="T124" s="4"/>
      <c r="U124" s="4"/>
      <c r="V124" s="4"/>
      <c r="W124" s="4"/>
      <c r="X124" s="4"/>
    </row>
    <row r="125" spans="1:24" ht="12.75">
      <c r="A125" s="4"/>
      <c r="B125" s="4"/>
      <c r="C125" s="4"/>
      <c r="D125" s="4"/>
      <c r="E125" s="957"/>
      <c r="F125" s="957"/>
      <c r="G125" s="957"/>
      <c r="H125" s="957"/>
      <c r="I125" s="957"/>
      <c r="J125" s="957"/>
      <c r="K125" s="957"/>
      <c r="L125" s="957"/>
      <c r="M125" s="957"/>
      <c r="N125" s="957"/>
      <c r="O125" s="4"/>
      <c r="P125" s="4"/>
      <c r="Q125" s="4"/>
      <c r="R125" s="4"/>
      <c r="S125" s="4"/>
      <c r="T125" s="4"/>
      <c r="U125" s="4"/>
      <c r="V125" s="4"/>
      <c r="W125" s="4"/>
      <c r="X125" s="4"/>
    </row>
    <row r="126" spans="1:24" ht="12.75">
      <c r="A126" s="4"/>
      <c r="B126" s="4"/>
      <c r="C126" s="4"/>
      <c r="D126" s="4"/>
      <c r="E126" s="957"/>
      <c r="F126" s="957"/>
      <c r="G126" s="957"/>
      <c r="H126" s="957"/>
      <c r="I126" s="957"/>
      <c r="J126" s="957"/>
      <c r="K126" s="957"/>
      <c r="L126" s="957"/>
      <c r="M126" s="957"/>
      <c r="N126" s="957"/>
      <c r="O126" s="4"/>
      <c r="P126" s="4"/>
      <c r="Q126" s="4"/>
      <c r="R126" s="4"/>
      <c r="S126" s="4"/>
      <c r="T126" s="4"/>
      <c r="U126" s="4"/>
      <c r="V126" s="4"/>
      <c r="W126" s="4"/>
      <c r="X126" s="4"/>
    </row>
    <row r="127" spans="1:24" ht="12.75">
      <c r="A127" s="4"/>
      <c r="B127" s="4"/>
      <c r="C127" s="4"/>
      <c r="D127" s="4"/>
      <c r="E127" s="957"/>
      <c r="F127" s="957"/>
      <c r="G127" s="957"/>
      <c r="H127" s="957"/>
      <c r="I127" s="957"/>
      <c r="J127" s="957"/>
      <c r="K127" s="957"/>
      <c r="L127" s="957"/>
      <c r="M127" s="957"/>
      <c r="N127" s="957"/>
      <c r="O127" s="4"/>
      <c r="P127" s="4"/>
      <c r="Q127" s="4"/>
      <c r="R127" s="4"/>
      <c r="S127" s="4"/>
      <c r="T127" s="4"/>
      <c r="U127" s="4"/>
      <c r="V127" s="4"/>
      <c r="W127" s="4"/>
      <c r="X127" s="4"/>
    </row>
    <row r="128" spans="1:24" ht="12.75">
      <c r="A128" s="4"/>
      <c r="B128" s="4"/>
      <c r="C128" s="4"/>
      <c r="D128" s="4"/>
      <c r="E128" s="957"/>
      <c r="F128" s="957"/>
      <c r="G128" s="957"/>
      <c r="H128" s="957"/>
      <c r="I128" s="957"/>
      <c r="J128" s="957"/>
      <c r="K128" s="957"/>
      <c r="L128" s="957"/>
      <c r="M128" s="957"/>
      <c r="N128" s="957"/>
      <c r="O128" s="4"/>
      <c r="P128" s="4"/>
      <c r="Q128" s="4"/>
      <c r="R128" s="4"/>
      <c r="S128" s="4"/>
      <c r="T128" s="4"/>
      <c r="U128" s="4"/>
      <c r="V128" s="4"/>
      <c r="W128" s="4"/>
      <c r="X128" s="4"/>
    </row>
    <row r="129" spans="1:24" ht="12.75">
      <c r="A129" s="4"/>
      <c r="B129" s="4"/>
      <c r="C129" s="4"/>
      <c r="D129" s="4"/>
      <c r="E129" s="957"/>
      <c r="F129" s="957"/>
      <c r="G129" s="957"/>
      <c r="H129" s="957"/>
      <c r="I129" s="957"/>
      <c r="J129" s="957"/>
      <c r="K129" s="957"/>
      <c r="L129" s="957"/>
      <c r="M129" s="957"/>
      <c r="N129" s="957"/>
      <c r="O129" s="4"/>
      <c r="P129" s="4"/>
      <c r="Q129" s="4"/>
      <c r="R129" s="4"/>
      <c r="S129" s="4"/>
      <c r="T129" s="4"/>
      <c r="U129" s="4"/>
      <c r="V129" s="4"/>
      <c r="W129" s="4"/>
      <c r="X129" s="4"/>
    </row>
    <row r="130" spans="1:24" ht="12.75">
      <c r="A130" s="4"/>
      <c r="B130" s="4"/>
      <c r="C130" s="4"/>
      <c r="D130" s="4"/>
      <c r="E130" s="957"/>
      <c r="F130" s="957"/>
      <c r="G130" s="957"/>
      <c r="H130" s="957"/>
      <c r="I130" s="957"/>
      <c r="J130" s="957"/>
      <c r="K130" s="957"/>
      <c r="L130" s="957"/>
      <c r="M130" s="957"/>
      <c r="N130" s="957"/>
      <c r="O130" s="4"/>
      <c r="P130" s="4"/>
      <c r="Q130" s="4"/>
      <c r="R130" s="4"/>
      <c r="S130" s="4"/>
      <c r="T130" s="4"/>
      <c r="U130" s="4"/>
      <c r="V130" s="4"/>
      <c r="W130" s="4"/>
      <c r="X130" s="4"/>
    </row>
    <row r="131" spans="1:24" ht="12.75">
      <c r="A131" s="4"/>
      <c r="B131" s="4"/>
      <c r="C131" s="4"/>
      <c r="D131" s="4"/>
      <c r="E131" s="957"/>
      <c r="F131" s="957"/>
      <c r="G131" s="957"/>
      <c r="H131" s="957"/>
      <c r="I131" s="957"/>
      <c r="J131" s="957"/>
      <c r="K131" s="957"/>
      <c r="L131" s="957"/>
      <c r="M131" s="957"/>
      <c r="N131" s="957"/>
      <c r="O131" s="4"/>
      <c r="P131" s="4"/>
      <c r="Q131" s="4"/>
      <c r="R131" s="4"/>
      <c r="S131" s="4"/>
      <c r="T131" s="4"/>
      <c r="U131" s="4"/>
      <c r="V131" s="4"/>
      <c r="W131" s="4"/>
      <c r="X131" s="4"/>
    </row>
    <row r="132" spans="1:24" ht="12.75">
      <c r="A132" s="4"/>
      <c r="B132" s="4"/>
      <c r="C132" s="4"/>
      <c r="D132" s="4"/>
      <c r="E132" s="957"/>
      <c r="F132" s="957"/>
      <c r="G132" s="957"/>
      <c r="H132" s="957"/>
      <c r="I132" s="957"/>
      <c r="J132" s="957"/>
      <c r="K132" s="957"/>
      <c r="L132" s="957"/>
      <c r="M132" s="957"/>
      <c r="N132" s="957"/>
      <c r="O132" s="4"/>
      <c r="P132" s="4"/>
      <c r="Q132" s="4"/>
      <c r="R132" s="4"/>
      <c r="S132" s="4"/>
      <c r="T132" s="4"/>
      <c r="U132" s="4"/>
      <c r="V132" s="4"/>
      <c r="W132" s="4"/>
      <c r="X132" s="4"/>
    </row>
    <row r="133" spans="1:24" ht="12.75">
      <c r="A133" s="4"/>
      <c r="B133" s="4"/>
      <c r="C133" s="4"/>
      <c r="D133" s="4"/>
      <c r="E133" s="957"/>
      <c r="F133" s="957"/>
      <c r="G133" s="957"/>
      <c r="H133" s="957"/>
      <c r="I133" s="957"/>
      <c r="J133" s="957"/>
      <c r="K133" s="957"/>
      <c r="L133" s="957"/>
      <c r="M133" s="957"/>
      <c r="N133" s="957"/>
      <c r="O133" s="4"/>
      <c r="P133" s="4"/>
      <c r="Q133" s="4"/>
      <c r="R133" s="4"/>
      <c r="S133" s="4"/>
      <c r="T133" s="4"/>
      <c r="U133" s="4"/>
      <c r="V133" s="4"/>
      <c r="W133" s="4"/>
      <c r="X133" s="4"/>
    </row>
    <row r="134" spans="1:24" ht="12.75">
      <c r="A134" s="4"/>
      <c r="B134" s="4"/>
      <c r="C134" s="4"/>
      <c r="D134" s="4"/>
      <c r="E134" s="957"/>
      <c r="F134" s="957"/>
      <c r="G134" s="957"/>
      <c r="H134" s="957"/>
      <c r="I134" s="957"/>
      <c r="J134" s="957"/>
      <c r="K134" s="957"/>
      <c r="L134" s="957"/>
      <c r="M134" s="957"/>
      <c r="N134" s="957"/>
      <c r="O134" s="4"/>
      <c r="P134" s="4"/>
      <c r="Q134" s="4"/>
      <c r="R134" s="4"/>
      <c r="S134" s="4"/>
      <c r="T134" s="4"/>
      <c r="U134" s="4"/>
      <c r="V134" s="4"/>
      <c r="W134" s="4"/>
      <c r="X134" s="4"/>
    </row>
    <row r="135" spans="1:24" ht="12.75">
      <c r="A135" s="4"/>
      <c r="B135" s="4"/>
      <c r="C135" s="4"/>
      <c r="D135" s="4"/>
      <c r="E135" s="957"/>
      <c r="F135" s="957"/>
      <c r="G135" s="957"/>
      <c r="H135" s="957"/>
      <c r="I135" s="957"/>
      <c r="J135" s="957"/>
      <c r="K135" s="957"/>
      <c r="L135" s="957"/>
      <c r="M135" s="957"/>
      <c r="N135" s="957"/>
      <c r="O135" s="4"/>
      <c r="P135" s="4"/>
      <c r="Q135" s="4"/>
      <c r="R135" s="4"/>
      <c r="S135" s="4"/>
      <c r="T135" s="4"/>
      <c r="U135" s="4"/>
      <c r="V135" s="4"/>
      <c r="W135" s="4"/>
      <c r="X135" s="4"/>
    </row>
    <row r="136" spans="1:24" ht="12.75">
      <c r="A136" s="4"/>
      <c r="B136" s="4"/>
      <c r="C136" s="4"/>
      <c r="D136" s="4"/>
      <c r="E136" s="957"/>
      <c r="F136" s="957"/>
      <c r="G136" s="957"/>
      <c r="H136" s="957"/>
      <c r="I136" s="957"/>
      <c r="J136" s="957"/>
      <c r="K136" s="957"/>
      <c r="L136" s="957"/>
      <c r="M136" s="957"/>
      <c r="N136" s="957"/>
      <c r="O136" s="4"/>
      <c r="P136" s="4"/>
      <c r="Q136" s="4"/>
      <c r="R136" s="4"/>
      <c r="S136" s="4"/>
      <c r="T136" s="4"/>
      <c r="U136" s="4"/>
      <c r="V136" s="4"/>
      <c r="W136" s="4"/>
      <c r="X136" s="4"/>
    </row>
    <row r="137" spans="1:24" ht="12.75">
      <c r="A137" s="4"/>
      <c r="B137" s="4"/>
      <c r="C137" s="4"/>
      <c r="D137" s="4"/>
      <c r="E137" s="957"/>
      <c r="F137" s="957"/>
      <c r="G137" s="957"/>
      <c r="H137" s="957"/>
      <c r="I137" s="957"/>
      <c r="J137" s="957"/>
      <c r="K137" s="957"/>
      <c r="L137" s="957"/>
      <c r="M137" s="957"/>
      <c r="N137" s="957"/>
      <c r="O137" s="4"/>
      <c r="P137" s="4"/>
      <c r="Q137" s="4"/>
      <c r="R137" s="4"/>
      <c r="S137" s="4"/>
      <c r="T137" s="4"/>
      <c r="U137" s="4"/>
      <c r="V137" s="4"/>
      <c r="W137" s="4"/>
      <c r="X137" s="4"/>
    </row>
    <row r="138" spans="1:24" ht="12.75">
      <c r="A138" s="4"/>
      <c r="B138" s="4"/>
      <c r="C138" s="4"/>
      <c r="D138" s="4"/>
      <c r="E138" s="957"/>
      <c r="F138" s="957"/>
      <c r="G138" s="957"/>
      <c r="H138" s="957"/>
      <c r="I138" s="957"/>
      <c r="J138" s="957"/>
      <c r="K138" s="957"/>
      <c r="L138" s="957"/>
      <c r="M138" s="957"/>
      <c r="N138" s="957"/>
      <c r="O138" s="4"/>
      <c r="P138" s="4"/>
      <c r="Q138" s="4"/>
      <c r="R138" s="4"/>
      <c r="S138" s="4"/>
      <c r="T138" s="4"/>
      <c r="U138" s="4"/>
      <c r="V138" s="4"/>
      <c r="W138" s="4"/>
      <c r="X138" s="4"/>
    </row>
    <row r="139" spans="1:24" ht="12.75">
      <c r="A139" s="4"/>
      <c r="B139" s="4"/>
      <c r="C139" s="4"/>
      <c r="D139" s="4"/>
      <c r="E139" s="957"/>
      <c r="F139" s="957"/>
      <c r="G139" s="957"/>
      <c r="H139" s="957"/>
      <c r="I139" s="957"/>
      <c r="J139" s="957"/>
      <c r="K139" s="957"/>
      <c r="L139" s="957"/>
      <c r="M139" s="957"/>
      <c r="N139" s="957"/>
      <c r="O139" s="4"/>
      <c r="P139" s="4"/>
      <c r="Q139" s="4"/>
      <c r="R139" s="4"/>
      <c r="S139" s="4"/>
      <c r="T139" s="4"/>
      <c r="U139" s="4"/>
      <c r="V139" s="4"/>
      <c r="W139" s="4"/>
      <c r="X139" s="4"/>
    </row>
    <row r="140" spans="1:24" ht="12.75">
      <c r="A140" s="4"/>
      <c r="B140" s="4"/>
      <c r="C140" s="4"/>
      <c r="D140" s="4"/>
      <c r="E140" s="957"/>
      <c r="F140" s="957"/>
      <c r="G140" s="957"/>
      <c r="H140" s="957"/>
      <c r="I140" s="957"/>
      <c r="J140" s="957"/>
      <c r="K140" s="957"/>
      <c r="L140" s="957"/>
      <c r="M140" s="957"/>
      <c r="N140" s="957"/>
      <c r="O140" s="4"/>
      <c r="P140" s="4"/>
      <c r="Q140" s="4"/>
      <c r="R140" s="4"/>
      <c r="S140" s="4"/>
      <c r="T140" s="4"/>
      <c r="U140" s="4"/>
      <c r="V140" s="4"/>
      <c r="W140" s="4"/>
      <c r="X140" s="4"/>
    </row>
    <row r="141" spans="1:24" ht="12.75">
      <c r="A141" s="4"/>
      <c r="B141" s="4"/>
      <c r="C141" s="4"/>
      <c r="D141" s="4"/>
      <c r="E141" s="957"/>
      <c r="F141" s="957"/>
      <c r="G141" s="957"/>
      <c r="H141" s="957"/>
      <c r="I141" s="957"/>
      <c r="J141" s="957"/>
      <c r="K141" s="957"/>
      <c r="L141" s="957"/>
      <c r="M141" s="957"/>
      <c r="N141" s="957"/>
      <c r="O141" s="4"/>
      <c r="P141" s="4"/>
      <c r="Q141" s="4"/>
      <c r="R141" s="4"/>
      <c r="S141" s="4"/>
      <c r="T141" s="4"/>
      <c r="U141" s="4"/>
      <c r="V141" s="4"/>
      <c r="W141" s="4"/>
      <c r="X141" s="4"/>
    </row>
    <row r="142" spans="1:24" ht="12.75">
      <c r="A142" s="4"/>
      <c r="B142" s="4"/>
      <c r="C142" s="4"/>
      <c r="D142" s="4"/>
      <c r="E142" s="957"/>
      <c r="F142" s="957"/>
      <c r="G142" s="957"/>
      <c r="H142" s="957"/>
      <c r="I142" s="957"/>
      <c r="J142" s="957"/>
      <c r="K142" s="957"/>
      <c r="L142" s="957"/>
      <c r="M142" s="957"/>
      <c r="N142" s="957"/>
      <c r="O142" s="4"/>
      <c r="P142" s="4"/>
      <c r="Q142" s="4"/>
      <c r="R142" s="4"/>
      <c r="S142" s="4"/>
      <c r="T142" s="4"/>
      <c r="U142" s="4"/>
      <c r="V142" s="4"/>
      <c r="W142" s="4"/>
      <c r="X142" s="4"/>
    </row>
    <row r="143" spans="1:24" ht="12.75">
      <c r="A143" s="4"/>
      <c r="B143" s="4"/>
      <c r="C143" s="4"/>
      <c r="D143" s="4"/>
      <c r="E143" s="957"/>
      <c r="F143" s="957"/>
      <c r="G143" s="957"/>
      <c r="H143" s="957"/>
      <c r="I143" s="957"/>
      <c r="J143" s="957"/>
      <c r="K143" s="957"/>
      <c r="L143" s="957"/>
      <c r="M143" s="957"/>
      <c r="N143" s="957"/>
      <c r="O143" s="4"/>
      <c r="P143" s="4"/>
      <c r="Q143" s="4"/>
      <c r="R143" s="4"/>
      <c r="S143" s="4"/>
      <c r="T143" s="4"/>
      <c r="U143" s="4"/>
      <c r="V143" s="4"/>
      <c r="W143" s="4"/>
      <c r="X143" s="4"/>
    </row>
    <row r="144" spans="1:24" ht="12.75">
      <c r="A144" s="4"/>
      <c r="B144" s="4"/>
      <c r="C144" s="4"/>
      <c r="D144" s="4"/>
      <c r="E144" s="957"/>
      <c r="F144" s="957"/>
      <c r="G144" s="957"/>
      <c r="H144" s="957"/>
      <c r="I144" s="957"/>
      <c r="J144" s="957"/>
      <c r="K144" s="957"/>
      <c r="L144" s="957"/>
      <c r="M144" s="957"/>
      <c r="N144" s="957"/>
      <c r="O144" s="4"/>
      <c r="P144" s="4"/>
      <c r="Q144" s="4"/>
      <c r="R144" s="4"/>
      <c r="S144" s="4"/>
      <c r="T144" s="4"/>
      <c r="U144" s="4"/>
      <c r="V144" s="4"/>
      <c r="W144" s="4"/>
      <c r="X144" s="4"/>
    </row>
    <row r="145" spans="1:24" ht="12.75">
      <c r="A145" s="4"/>
      <c r="B145" s="4"/>
      <c r="C145" s="4"/>
      <c r="D145" s="4"/>
      <c r="E145" s="957"/>
      <c r="F145" s="957"/>
      <c r="G145" s="957"/>
      <c r="H145" s="957"/>
      <c r="I145" s="957"/>
      <c r="J145" s="957"/>
      <c r="K145" s="957"/>
      <c r="L145" s="957"/>
      <c r="M145" s="957"/>
      <c r="N145" s="957"/>
      <c r="O145" s="4"/>
      <c r="P145" s="4"/>
      <c r="Q145" s="4"/>
      <c r="R145" s="4"/>
      <c r="S145" s="4"/>
      <c r="T145" s="4"/>
      <c r="U145" s="4"/>
      <c r="V145" s="4"/>
      <c r="W145" s="4"/>
      <c r="X145" s="4"/>
    </row>
    <row r="146" spans="1:24" ht="12.75">
      <c r="A146" s="4"/>
      <c r="B146" s="4"/>
      <c r="C146" s="4"/>
      <c r="D146" s="4"/>
      <c r="E146" s="957"/>
      <c r="F146" s="957"/>
      <c r="G146" s="957"/>
      <c r="H146" s="957"/>
      <c r="I146" s="957"/>
      <c r="J146" s="957"/>
      <c r="K146" s="957"/>
      <c r="L146" s="957"/>
      <c r="M146" s="957"/>
      <c r="N146" s="957"/>
      <c r="O146" s="4"/>
      <c r="P146" s="4"/>
      <c r="Q146" s="4"/>
      <c r="R146" s="4"/>
      <c r="S146" s="4"/>
      <c r="T146" s="4"/>
      <c r="U146" s="4"/>
      <c r="V146" s="4"/>
      <c r="W146" s="4"/>
      <c r="X146" s="4"/>
    </row>
    <row r="147" spans="1:24" ht="12.75">
      <c r="A147" s="4"/>
      <c r="B147" s="4"/>
      <c r="C147" s="4"/>
      <c r="D147" s="4"/>
      <c r="E147" s="957"/>
      <c r="F147" s="957"/>
      <c r="G147" s="957"/>
      <c r="H147" s="957"/>
      <c r="I147" s="957"/>
      <c r="J147" s="957"/>
      <c r="K147" s="957"/>
      <c r="L147" s="957"/>
      <c r="M147" s="957"/>
      <c r="N147" s="957"/>
      <c r="O147" s="4"/>
      <c r="P147" s="4"/>
      <c r="Q147" s="4"/>
      <c r="R147" s="4"/>
      <c r="S147" s="4"/>
      <c r="T147" s="4"/>
      <c r="U147" s="4"/>
      <c r="V147" s="4"/>
      <c r="W147" s="4"/>
      <c r="X147" s="4"/>
    </row>
    <row r="148" spans="1:24" ht="12.75">
      <c r="A148" s="4"/>
      <c r="B148" s="4"/>
      <c r="C148" s="4"/>
      <c r="D148" s="4"/>
      <c r="E148" s="957"/>
      <c r="F148" s="957"/>
      <c r="G148" s="957"/>
      <c r="H148" s="957"/>
      <c r="I148" s="957"/>
      <c r="J148" s="957"/>
      <c r="K148" s="957"/>
      <c r="L148" s="957"/>
      <c r="M148" s="957"/>
      <c r="N148" s="957"/>
      <c r="O148" s="4"/>
      <c r="P148" s="4"/>
      <c r="Q148" s="4"/>
      <c r="R148" s="4"/>
      <c r="S148" s="4"/>
      <c r="T148" s="4"/>
      <c r="U148" s="4"/>
      <c r="V148" s="4"/>
      <c r="W148" s="4"/>
      <c r="X148" s="4"/>
    </row>
    <row r="149" spans="1:24" ht="12.75">
      <c r="A149" s="4"/>
      <c r="B149" s="4"/>
      <c r="C149" s="4"/>
      <c r="D149" s="4"/>
      <c r="E149" s="957"/>
      <c r="F149" s="957"/>
      <c r="G149" s="957"/>
      <c r="H149" s="957"/>
      <c r="I149" s="957"/>
      <c r="J149" s="957"/>
      <c r="K149" s="957"/>
      <c r="L149" s="957"/>
      <c r="M149" s="957"/>
      <c r="N149" s="957"/>
      <c r="O149" s="4"/>
      <c r="P149" s="4"/>
      <c r="Q149" s="4"/>
      <c r="R149" s="4"/>
      <c r="S149" s="4"/>
      <c r="T149" s="4"/>
      <c r="U149" s="4"/>
      <c r="V149" s="4"/>
      <c r="W149" s="4"/>
      <c r="X149" s="4"/>
    </row>
    <row r="150" spans="1:24" ht="12.75">
      <c r="A150" s="4"/>
      <c r="B150" s="4"/>
      <c r="C150" s="4"/>
      <c r="D150" s="4"/>
      <c r="E150" s="957"/>
      <c r="F150" s="957"/>
      <c r="G150" s="957"/>
      <c r="H150" s="957"/>
      <c r="I150" s="957"/>
      <c r="J150" s="957"/>
      <c r="K150" s="957"/>
      <c r="L150" s="957"/>
      <c r="M150" s="957"/>
      <c r="N150" s="957"/>
      <c r="O150" s="4"/>
      <c r="P150" s="4"/>
      <c r="Q150" s="4"/>
      <c r="R150" s="4"/>
      <c r="S150" s="4"/>
      <c r="T150" s="4"/>
      <c r="U150" s="4"/>
      <c r="V150" s="4"/>
      <c r="W150" s="4"/>
      <c r="X150" s="4"/>
    </row>
    <row r="151" spans="1:24" ht="12.75">
      <c r="A151" s="4"/>
      <c r="B151" s="4"/>
      <c r="C151" s="4"/>
      <c r="D151" s="4"/>
      <c r="E151" s="957"/>
      <c r="F151" s="957"/>
      <c r="G151" s="957"/>
      <c r="H151" s="957"/>
      <c r="I151" s="957"/>
      <c r="J151" s="957"/>
      <c r="K151" s="957"/>
      <c r="L151" s="957"/>
      <c r="M151" s="957"/>
      <c r="N151" s="957"/>
      <c r="O151" s="4"/>
      <c r="P151" s="4"/>
      <c r="Q151" s="4"/>
      <c r="R151" s="4"/>
      <c r="S151" s="4"/>
      <c r="T151" s="4"/>
      <c r="U151" s="4"/>
      <c r="V151" s="4"/>
      <c r="W151" s="4"/>
      <c r="X151" s="4"/>
    </row>
    <row r="152" spans="1:24" ht="12.75">
      <c r="A152" s="4"/>
      <c r="B152" s="4"/>
      <c r="C152" s="4"/>
      <c r="D152" s="4"/>
      <c r="E152" s="957"/>
      <c r="F152" s="957"/>
      <c r="G152" s="957"/>
      <c r="H152" s="957"/>
      <c r="I152" s="957"/>
      <c r="J152" s="957"/>
      <c r="K152" s="957"/>
      <c r="L152" s="957"/>
      <c r="M152" s="957"/>
      <c r="N152" s="957"/>
      <c r="O152" s="4"/>
      <c r="P152" s="4"/>
      <c r="Q152" s="4"/>
      <c r="R152" s="4"/>
      <c r="S152" s="4"/>
      <c r="T152" s="4"/>
      <c r="U152" s="4"/>
      <c r="V152" s="4"/>
      <c r="W152" s="4"/>
      <c r="X152" s="4"/>
    </row>
    <row r="153" spans="1:24" ht="12.75">
      <c r="A153" s="4"/>
      <c r="B153" s="4"/>
      <c r="C153" s="4"/>
      <c r="D153" s="4"/>
      <c r="E153" s="957"/>
      <c r="F153" s="957"/>
      <c r="G153" s="957"/>
      <c r="H153" s="957"/>
      <c r="I153" s="957"/>
      <c r="J153" s="957"/>
      <c r="K153" s="957"/>
      <c r="L153" s="957"/>
      <c r="M153" s="957"/>
      <c r="N153" s="957"/>
      <c r="O153" s="4"/>
      <c r="P153" s="4"/>
      <c r="Q153" s="4"/>
      <c r="R153" s="4"/>
      <c r="S153" s="4"/>
      <c r="T153" s="4"/>
      <c r="U153" s="4"/>
      <c r="V153" s="4"/>
      <c r="W153" s="4"/>
      <c r="X153" s="4"/>
    </row>
    <row r="154" spans="1:24" ht="12.75">
      <c r="A154" s="4"/>
      <c r="B154" s="4"/>
      <c r="C154" s="4"/>
      <c r="D154" s="4"/>
      <c r="E154" s="957"/>
      <c r="F154" s="957"/>
      <c r="G154" s="957"/>
      <c r="H154" s="957"/>
      <c r="I154" s="957"/>
      <c r="J154" s="957"/>
      <c r="K154" s="957"/>
      <c r="L154" s="957"/>
      <c r="M154" s="957"/>
      <c r="N154" s="957"/>
      <c r="O154" s="4"/>
      <c r="P154" s="4"/>
      <c r="Q154" s="4"/>
      <c r="R154" s="4"/>
      <c r="S154" s="4"/>
      <c r="T154" s="4"/>
      <c r="U154" s="4"/>
      <c r="V154" s="4"/>
      <c r="W154" s="4"/>
      <c r="X154" s="4"/>
    </row>
    <row r="155" spans="1:24" ht="12.75">
      <c r="A155" s="4"/>
      <c r="B155" s="4"/>
      <c r="C155" s="4"/>
      <c r="D155" s="4"/>
      <c r="E155" s="957"/>
      <c r="F155" s="957"/>
      <c r="G155" s="957"/>
      <c r="H155" s="957"/>
      <c r="I155" s="957"/>
      <c r="J155" s="957"/>
      <c r="K155" s="957"/>
      <c r="L155" s="957"/>
      <c r="M155" s="957"/>
      <c r="N155" s="957"/>
      <c r="O155" s="4"/>
      <c r="P155" s="4"/>
      <c r="Q155" s="4"/>
      <c r="R155" s="4"/>
      <c r="S155" s="4"/>
      <c r="T155" s="4"/>
      <c r="U155" s="4"/>
      <c r="V155" s="4"/>
      <c r="W155" s="4"/>
      <c r="X155" s="4"/>
    </row>
    <row r="156" spans="1:24" ht="12.75">
      <c r="A156" s="4"/>
      <c r="B156" s="4"/>
      <c r="C156" s="4"/>
      <c r="D156" s="4"/>
      <c r="E156" s="957"/>
      <c r="F156" s="957"/>
      <c r="G156" s="957"/>
      <c r="H156" s="957"/>
      <c r="I156" s="957"/>
      <c r="J156" s="957"/>
      <c r="K156" s="957"/>
      <c r="L156" s="957"/>
      <c r="M156" s="957"/>
      <c r="N156" s="957"/>
      <c r="O156" s="4"/>
      <c r="P156" s="4"/>
      <c r="Q156" s="4"/>
      <c r="R156" s="4"/>
      <c r="S156" s="4"/>
      <c r="T156" s="4"/>
      <c r="U156" s="4"/>
      <c r="V156" s="4"/>
      <c r="W156" s="4"/>
      <c r="X156" s="4"/>
    </row>
    <row r="157" spans="1:24" ht="12.75">
      <c r="A157" s="4"/>
      <c r="B157" s="4"/>
      <c r="C157" s="4"/>
      <c r="D157" s="4"/>
      <c r="E157" s="957"/>
      <c r="F157" s="957"/>
      <c r="G157" s="957"/>
      <c r="H157" s="957"/>
      <c r="I157" s="957"/>
      <c r="J157" s="957"/>
      <c r="K157" s="957"/>
      <c r="L157" s="957"/>
      <c r="M157" s="957"/>
      <c r="N157" s="957"/>
      <c r="O157" s="4"/>
      <c r="P157" s="4"/>
      <c r="Q157" s="4"/>
      <c r="R157" s="4"/>
      <c r="S157" s="4"/>
      <c r="T157" s="4"/>
      <c r="U157" s="4"/>
      <c r="V157" s="4"/>
      <c r="W157" s="4"/>
      <c r="X157" s="4"/>
    </row>
    <row r="158" spans="1:24" ht="12.75">
      <c r="A158" s="4"/>
      <c r="B158" s="4"/>
      <c r="C158" s="4"/>
      <c r="D158" s="4"/>
      <c r="E158" s="957"/>
      <c r="F158" s="957"/>
      <c r="G158" s="957"/>
      <c r="H158" s="957"/>
      <c r="I158" s="957"/>
      <c r="J158" s="957"/>
      <c r="K158" s="957"/>
      <c r="L158" s="957"/>
      <c r="M158" s="957"/>
      <c r="N158" s="957"/>
      <c r="O158" s="4"/>
      <c r="P158" s="4"/>
      <c r="Q158" s="4"/>
      <c r="R158" s="4"/>
      <c r="S158" s="4"/>
      <c r="T158" s="4"/>
      <c r="U158" s="4"/>
      <c r="V158" s="4"/>
      <c r="W158" s="4"/>
      <c r="X158" s="4"/>
    </row>
    <row r="159" spans="1:24" ht="12.75">
      <c r="A159" s="4"/>
      <c r="B159" s="4"/>
      <c r="C159" s="4"/>
      <c r="D159" s="4"/>
      <c r="E159" s="957"/>
      <c r="F159" s="957"/>
      <c r="G159" s="957"/>
      <c r="H159" s="957"/>
      <c r="I159" s="957"/>
      <c r="J159" s="957"/>
      <c r="K159" s="957"/>
      <c r="L159" s="957"/>
      <c r="M159" s="957"/>
      <c r="N159" s="957"/>
      <c r="O159" s="4"/>
      <c r="P159" s="4"/>
      <c r="Q159" s="4"/>
      <c r="R159" s="4"/>
      <c r="S159" s="4"/>
      <c r="T159" s="4"/>
      <c r="U159" s="4"/>
      <c r="V159" s="4"/>
      <c r="W159" s="4"/>
      <c r="X159" s="4"/>
    </row>
    <row r="160" spans="1:24" ht="12.75">
      <c r="A160" s="4"/>
      <c r="B160" s="4"/>
      <c r="C160" s="4"/>
      <c r="D160" s="4"/>
      <c r="E160" s="957"/>
      <c r="F160" s="957"/>
      <c r="G160" s="957"/>
      <c r="H160" s="957"/>
      <c r="I160" s="957"/>
      <c r="J160" s="957"/>
      <c r="K160" s="957"/>
      <c r="L160" s="957"/>
      <c r="M160" s="957"/>
      <c r="N160" s="957"/>
      <c r="O160" s="4"/>
      <c r="P160" s="4"/>
      <c r="Q160" s="4"/>
      <c r="R160" s="4"/>
      <c r="S160" s="4"/>
      <c r="T160" s="4"/>
      <c r="U160" s="4"/>
      <c r="V160" s="4"/>
      <c r="W160" s="4"/>
      <c r="X160" s="4"/>
    </row>
    <row r="161" spans="1:24" ht="12.75">
      <c r="A161" s="4"/>
      <c r="B161" s="4"/>
      <c r="C161" s="4"/>
      <c r="D161" s="4"/>
      <c r="E161" s="957"/>
      <c r="F161" s="957"/>
      <c r="G161" s="957"/>
      <c r="H161" s="957"/>
      <c r="I161" s="957"/>
      <c r="J161" s="957"/>
      <c r="K161" s="957"/>
      <c r="L161" s="957"/>
      <c r="M161" s="957"/>
      <c r="N161" s="957"/>
      <c r="O161" s="4"/>
      <c r="P161" s="4"/>
      <c r="Q161" s="4"/>
      <c r="R161" s="4"/>
      <c r="S161" s="4"/>
      <c r="T161" s="4"/>
      <c r="U161" s="4"/>
      <c r="V161" s="4"/>
      <c r="W161" s="4"/>
      <c r="X161" s="4"/>
    </row>
    <row r="162" spans="1:24" ht="12.75">
      <c r="A162" s="4"/>
      <c r="B162" s="4"/>
      <c r="C162" s="4"/>
      <c r="D162" s="4"/>
      <c r="E162" s="957"/>
      <c r="F162" s="957"/>
      <c r="G162" s="957"/>
      <c r="H162" s="957"/>
      <c r="I162" s="957"/>
      <c r="J162" s="957"/>
      <c r="K162" s="957"/>
      <c r="L162" s="957"/>
      <c r="M162" s="957"/>
      <c r="N162" s="957"/>
      <c r="O162" s="4"/>
      <c r="P162" s="4"/>
      <c r="Q162" s="4"/>
      <c r="R162" s="4"/>
      <c r="S162" s="4"/>
      <c r="T162" s="4"/>
      <c r="U162" s="4"/>
      <c r="V162" s="4"/>
      <c r="W162" s="4"/>
      <c r="X162" s="4"/>
    </row>
    <row r="163" spans="1:24" ht="12.75">
      <c r="A163" s="4"/>
      <c r="B163" s="4"/>
      <c r="C163" s="4"/>
      <c r="D163" s="4"/>
      <c r="E163" s="957"/>
      <c r="F163" s="957"/>
      <c r="G163" s="957"/>
      <c r="H163" s="957"/>
      <c r="I163" s="957"/>
      <c r="J163" s="957"/>
      <c r="K163" s="957"/>
      <c r="L163" s="957"/>
      <c r="M163" s="957"/>
      <c r="N163" s="957"/>
      <c r="O163" s="4"/>
      <c r="P163" s="4"/>
      <c r="Q163" s="4"/>
      <c r="R163" s="4"/>
      <c r="S163" s="4"/>
      <c r="T163" s="4"/>
      <c r="U163" s="4"/>
      <c r="V163" s="4"/>
      <c r="W163" s="4"/>
      <c r="X163" s="4"/>
    </row>
    <row r="164" spans="1:24" ht="12.75">
      <c r="A164" s="4"/>
      <c r="B164" s="4"/>
      <c r="C164" s="4"/>
      <c r="D164" s="4"/>
      <c r="E164" s="957"/>
      <c r="F164" s="957"/>
      <c r="G164" s="957"/>
      <c r="H164" s="957"/>
      <c r="I164" s="957"/>
      <c r="J164" s="957"/>
      <c r="K164" s="957"/>
      <c r="L164" s="957"/>
      <c r="M164" s="957"/>
      <c r="N164" s="957"/>
      <c r="O164" s="4"/>
      <c r="P164" s="4"/>
      <c r="Q164" s="4"/>
      <c r="R164" s="4"/>
      <c r="S164" s="4"/>
      <c r="T164" s="4"/>
      <c r="U164" s="4"/>
      <c r="V164" s="4"/>
      <c r="W164" s="4"/>
      <c r="X164" s="4"/>
    </row>
    <row r="165" spans="1:24" ht="12.75">
      <c r="A165" s="4"/>
      <c r="B165" s="4"/>
      <c r="C165" s="4"/>
      <c r="D165" s="4"/>
      <c r="E165" s="957"/>
      <c r="F165" s="957"/>
      <c r="G165" s="957"/>
      <c r="H165" s="957"/>
      <c r="I165" s="957"/>
      <c r="J165" s="957"/>
      <c r="K165" s="957"/>
      <c r="L165" s="957"/>
      <c r="M165" s="957"/>
      <c r="N165" s="957"/>
      <c r="O165" s="4"/>
      <c r="P165" s="4"/>
      <c r="Q165" s="4"/>
      <c r="R165" s="4"/>
      <c r="S165" s="4"/>
      <c r="T165" s="4"/>
      <c r="U165" s="4"/>
      <c r="V165" s="4"/>
      <c r="W165" s="4"/>
      <c r="X165" s="4"/>
    </row>
    <row r="166" spans="1:24" ht="12.75">
      <c r="A166" s="4"/>
      <c r="B166" s="4"/>
      <c r="C166" s="4"/>
      <c r="D166" s="4"/>
      <c r="E166" s="957"/>
      <c r="F166" s="957"/>
      <c r="G166" s="957"/>
      <c r="H166" s="957"/>
      <c r="I166" s="957"/>
      <c r="J166" s="957"/>
      <c r="K166" s="957"/>
      <c r="L166" s="957"/>
      <c r="M166" s="957"/>
      <c r="N166" s="957"/>
      <c r="O166" s="4"/>
      <c r="P166" s="4"/>
      <c r="Q166" s="4"/>
      <c r="R166" s="4"/>
      <c r="S166" s="4"/>
      <c r="T166" s="4"/>
      <c r="U166" s="4"/>
      <c r="V166" s="4"/>
      <c r="W166" s="4"/>
      <c r="X166" s="4"/>
    </row>
    <row r="167" spans="1:24" ht="12.75">
      <c r="A167" s="4"/>
      <c r="B167" s="4"/>
      <c r="C167" s="4"/>
      <c r="D167" s="4"/>
      <c r="E167" s="957"/>
      <c r="F167" s="957"/>
      <c r="G167" s="957"/>
      <c r="H167" s="957"/>
      <c r="I167" s="957"/>
      <c r="J167" s="957"/>
      <c r="K167" s="957"/>
      <c r="L167" s="957"/>
      <c r="M167" s="957"/>
      <c r="N167" s="957"/>
      <c r="O167" s="4"/>
      <c r="P167" s="4"/>
      <c r="Q167" s="4"/>
      <c r="R167" s="4"/>
      <c r="S167" s="4"/>
      <c r="T167" s="4"/>
      <c r="U167" s="4"/>
      <c r="V167" s="4"/>
      <c r="W167" s="4"/>
      <c r="X167" s="4"/>
    </row>
    <row r="168" spans="1:24" ht="12.75">
      <c r="A168" s="4"/>
      <c r="B168" s="4"/>
      <c r="C168" s="4"/>
      <c r="D168" s="4"/>
      <c r="E168" s="957"/>
      <c r="F168" s="957"/>
      <c r="G168" s="957"/>
      <c r="H168" s="957"/>
      <c r="I168" s="957"/>
      <c r="J168" s="957"/>
      <c r="K168" s="957"/>
      <c r="L168" s="957"/>
      <c r="M168" s="957"/>
      <c r="N168" s="957"/>
      <c r="O168" s="4"/>
      <c r="P168" s="4"/>
      <c r="Q168" s="4"/>
      <c r="R168" s="4"/>
      <c r="S168" s="4"/>
      <c r="T168" s="4"/>
      <c r="U168" s="4"/>
      <c r="V168" s="4"/>
      <c r="W168" s="4"/>
      <c r="X168" s="4"/>
    </row>
    <row r="169" spans="1:24" ht="12.75">
      <c r="A169" s="4"/>
      <c r="B169" s="4"/>
      <c r="C169" s="4"/>
      <c r="D169" s="4"/>
      <c r="E169" s="957"/>
      <c r="F169" s="957"/>
      <c r="G169" s="957"/>
      <c r="H169" s="957"/>
      <c r="I169" s="957"/>
      <c r="J169" s="957"/>
      <c r="K169" s="957"/>
      <c r="L169" s="957"/>
      <c r="M169" s="957"/>
      <c r="N169" s="957"/>
      <c r="O169" s="4"/>
      <c r="P169" s="4"/>
      <c r="Q169" s="4"/>
      <c r="R169" s="4"/>
      <c r="S169" s="4"/>
      <c r="T169" s="4"/>
      <c r="U169" s="4"/>
      <c r="V169" s="4"/>
      <c r="W169" s="4"/>
      <c r="X169" s="4"/>
    </row>
    <row r="170" spans="1:24" ht="12.75">
      <c r="A170" s="4"/>
      <c r="B170" s="4"/>
      <c r="C170" s="4"/>
      <c r="D170" s="4"/>
      <c r="E170" s="957"/>
      <c r="F170" s="957"/>
      <c r="G170" s="957"/>
      <c r="H170" s="957"/>
      <c r="I170" s="957"/>
      <c r="J170" s="957"/>
      <c r="K170" s="957"/>
      <c r="L170" s="957"/>
      <c r="M170" s="957"/>
      <c r="N170" s="957"/>
      <c r="O170" s="4"/>
      <c r="P170" s="4"/>
      <c r="Q170" s="4"/>
      <c r="R170" s="4"/>
      <c r="S170" s="4"/>
      <c r="T170" s="4"/>
      <c r="U170" s="4"/>
      <c r="V170" s="4"/>
      <c r="W170" s="4"/>
      <c r="X170" s="4"/>
    </row>
    <row r="171" spans="1:24" ht="12.75">
      <c r="A171" s="4"/>
      <c r="B171" s="4"/>
      <c r="C171" s="4"/>
      <c r="D171" s="4"/>
      <c r="E171" s="957"/>
      <c r="F171" s="957"/>
      <c r="G171" s="957"/>
      <c r="H171" s="957"/>
      <c r="I171" s="957"/>
      <c r="J171" s="957"/>
      <c r="K171" s="957"/>
      <c r="L171" s="957"/>
      <c r="M171" s="957"/>
      <c r="N171" s="957"/>
      <c r="O171" s="4"/>
      <c r="P171" s="4"/>
      <c r="Q171" s="4"/>
      <c r="R171" s="4"/>
      <c r="S171" s="4"/>
      <c r="T171" s="4"/>
      <c r="U171" s="4"/>
      <c r="V171" s="4"/>
      <c r="W171" s="4"/>
      <c r="X171" s="4"/>
    </row>
    <row r="172" spans="1:24" ht="12.75">
      <c r="A172" s="4"/>
      <c r="B172" s="4"/>
      <c r="C172" s="4"/>
      <c r="D172" s="4"/>
      <c r="E172" s="957"/>
      <c r="F172" s="957"/>
      <c r="G172" s="957"/>
      <c r="H172" s="957"/>
      <c r="I172" s="957"/>
      <c r="J172" s="957"/>
      <c r="K172" s="957"/>
      <c r="L172" s="957"/>
      <c r="M172" s="957"/>
      <c r="N172" s="957"/>
      <c r="O172" s="4"/>
      <c r="P172" s="4"/>
      <c r="Q172" s="4"/>
      <c r="R172" s="4"/>
      <c r="S172" s="4"/>
      <c r="T172" s="4"/>
      <c r="U172" s="4"/>
      <c r="V172" s="4"/>
      <c r="W172" s="4"/>
      <c r="X172" s="4"/>
    </row>
    <row r="173" spans="1:24" ht="12.75">
      <c r="A173" s="4"/>
      <c r="B173" s="4"/>
      <c r="C173" s="4"/>
      <c r="D173" s="4"/>
      <c r="E173" s="957"/>
      <c r="F173" s="957"/>
      <c r="G173" s="957"/>
      <c r="H173" s="957"/>
      <c r="I173" s="957"/>
      <c r="J173" s="957"/>
      <c r="K173" s="957"/>
      <c r="L173" s="957"/>
      <c r="M173" s="957"/>
      <c r="N173" s="957"/>
      <c r="O173" s="4"/>
      <c r="P173" s="4"/>
      <c r="Q173" s="4"/>
      <c r="R173" s="4"/>
      <c r="S173" s="4"/>
      <c r="T173" s="4"/>
      <c r="U173" s="4"/>
      <c r="V173" s="4"/>
      <c r="W173" s="4"/>
      <c r="X173" s="4"/>
    </row>
    <row r="174" spans="1:24" ht="12.75">
      <c r="A174" s="4"/>
      <c r="B174" s="4"/>
      <c r="C174" s="4"/>
      <c r="D174" s="4"/>
      <c r="E174" s="957"/>
      <c r="F174" s="957"/>
      <c r="G174" s="957"/>
      <c r="H174" s="957"/>
      <c r="I174" s="957"/>
      <c r="J174" s="957"/>
      <c r="K174" s="957"/>
      <c r="L174" s="957"/>
      <c r="M174" s="957"/>
      <c r="N174" s="957"/>
      <c r="O174" s="4"/>
      <c r="P174" s="4"/>
      <c r="Q174" s="4"/>
      <c r="R174" s="4"/>
      <c r="S174" s="4"/>
      <c r="T174" s="4"/>
      <c r="U174" s="4"/>
      <c r="V174" s="4"/>
      <c r="W174" s="4"/>
      <c r="X174" s="4"/>
    </row>
    <row r="175" spans="1:24" ht="12.75">
      <c r="A175" s="4"/>
      <c r="B175" s="4"/>
      <c r="C175" s="4"/>
      <c r="D175" s="4"/>
      <c r="E175" s="957"/>
      <c r="F175" s="957"/>
      <c r="G175" s="957"/>
      <c r="H175" s="957"/>
      <c r="I175" s="957"/>
      <c r="J175" s="957"/>
      <c r="K175" s="957"/>
      <c r="L175" s="957"/>
      <c r="M175" s="957"/>
      <c r="N175" s="957"/>
      <c r="O175" s="4"/>
      <c r="P175" s="4"/>
      <c r="Q175" s="4"/>
      <c r="R175" s="4"/>
      <c r="S175" s="4"/>
      <c r="T175" s="4"/>
      <c r="U175" s="4"/>
      <c r="V175" s="4"/>
      <c r="W175" s="4"/>
      <c r="X175" s="4"/>
    </row>
    <row r="176" spans="1:24" ht="12.75">
      <c r="A176" s="4"/>
      <c r="B176" s="4"/>
      <c r="C176" s="4"/>
      <c r="D176" s="4"/>
      <c r="E176" s="957"/>
      <c r="F176" s="957"/>
      <c r="G176" s="957"/>
      <c r="H176" s="957"/>
      <c r="I176" s="957"/>
      <c r="J176" s="957"/>
      <c r="K176" s="957"/>
      <c r="L176" s="957"/>
      <c r="M176" s="957"/>
      <c r="N176" s="957"/>
      <c r="O176" s="4"/>
      <c r="P176" s="4"/>
      <c r="Q176" s="4"/>
      <c r="R176" s="4"/>
      <c r="S176" s="4"/>
      <c r="T176" s="4"/>
      <c r="U176" s="4"/>
      <c r="V176" s="4"/>
      <c r="W176" s="4"/>
      <c r="X176" s="4"/>
    </row>
    <row r="177" spans="1:24" ht="12.75">
      <c r="A177" s="4"/>
      <c r="B177" s="4"/>
      <c r="C177" s="4"/>
      <c r="D177" s="4"/>
      <c r="E177" s="957"/>
      <c r="F177" s="957"/>
      <c r="G177" s="957"/>
      <c r="H177" s="957"/>
      <c r="I177" s="957"/>
      <c r="J177" s="957"/>
      <c r="K177" s="957"/>
      <c r="L177" s="957"/>
      <c r="M177" s="957"/>
      <c r="N177" s="957"/>
      <c r="O177" s="4"/>
      <c r="P177" s="4"/>
      <c r="Q177" s="4"/>
      <c r="R177" s="4"/>
      <c r="S177" s="4"/>
      <c r="T177" s="4"/>
      <c r="U177" s="4"/>
      <c r="V177" s="4"/>
      <c r="W177" s="4"/>
      <c r="X177" s="4"/>
    </row>
    <row r="178" spans="1:24" ht="12.75">
      <c r="A178" s="4"/>
      <c r="B178" s="4"/>
      <c r="C178" s="4"/>
      <c r="D178" s="4"/>
      <c r="E178" s="957"/>
      <c r="F178" s="957"/>
      <c r="G178" s="957"/>
      <c r="H178" s="957"/>
      <c r="I178" s="957"/>
      <c r="J178" s="957"/>
      <c r="K178" s="957"/>
      <c r="L178" s="957"/>
      <c r="M178" s="957"/>
      <c r="N178" s="957"/>
      <c r="O178" s="4"/>
      <c r="P178" s="4"/>
      <c r="Q178" s="4"/>
      <c r="R178" s="4"/>
      <c r="S178" s="4"/>
      <c r="T178" s="4"/>
      <c r="U178" s="4"/>
      <c r="V178" s="4"/>
      <c r="W178" s="4"/>
      <c r="X178" s="4"/>
    </row>
    <row r="179" spans="1:24" ht="12.75">
      <c r="A179" s="4"/>
      <c r="B179" s="4"/>
      <c r="C179" s="4"/>
      <c r="D179" s="4"/>
      <c r="E179" s="957"/>
      <c r="F179" s="957"/>
      <c r="G179" s="957"/>
      <c r="H179" s="957"/>
      <c r="I179" s="957"/>
      <c r="J179" s="957"/>
      <c r="K179" s="957"/>
      <c r="L179" s="957"/>
      <c r="M179" s="957"/>
      <c r="N179" s="957"/>
      <c r="O179" s="4"/>
      <c r="P179" s="4"/>
      <c r="Q179" s="4"/>
      <c r="R179" s="4"/>
      <c r="S179" s="4"/>
      <c r="T179" s="4"/>
      <c r="U179" s="4"/>
      <c r="V179" s="4"/>
      <c r="W179" s="4"/>
      <c r="X179" s="4"/>
    </row>
    <row r="180" spans="1:24" ht="12.75">
      <c r="A180" s="4"/>
      <c r="B180" s="4"/>
      <c r="C180" s="4"/>
      <c r="D180" s="4"/>
      <c r="E180" s="957"/>
      <c r="F180" s="957"/>
      <c r="G180" s="957"/>
      <c r="H180" s="957"/>
      <c r="I180" s="957"/>
      <c r="J180" s="957"/>
      <c r="K180" s="957"/>
      <c r="L180" s="957"/>
      <c r="M180" s="957"/>
      <c r="N180" s="957"/>
      <c r="O180" s="4"/>
      <c r="P180" s="4"/>
      <c r="Q180" s="4"/>
      <c r="R180" s="4"/>
      <c r="S180" s="4"/>
      <c r="T180" s="4"/>
      <c r="U180" s="4"/>
      <c r="V180" s="4"/>
      <c r="W180" s="4"/>
      <c r="X180" s="4"/>
    </row>
    <row r="181" spans="1:24" ht="12.75">
      <c r="A181" s="4"/>
      <c r="B181" s="4"/>
      <c r="C181" s="4"/>
      <c r="D181" s="4"/>
      <c r="E181" s="957"/>
      <c r="F181" s="957"/>
      <c r="G181" s="957"/>
      <c r="H181" s="957"/>
      <c r="I181" s="957"/>
      <c r="J181" s="957"/>
      <c r="K181" s="957"/>
      <c r="L181" s="957"/>
      <c r="M181" s="957"/>
      <c r="N181" s="957"/>
      <c r="O181" s="4"/>
      <c r="P181" s="4"/>
      <c r="Q181" s="4"/>
      <c r="R181" s="4"/>
      <c r="S181" s="4"/>
      <c r="T181" s="4"/>
      <c r="U181" s="4"/>
      <c r="V181" s="4"/>
      <c r="W181" s="4"/>
      <c r="X181" s="4"/>
    </row>
    <row r="182" spans="1:24" ht="12.75">
      <c r="A182" s="4"/>
      <c r="B182" s="4"/>
      <c r="C182" s="4"/>
      <c r="D182" s="4"/>
      <c r="E182" s="957"/>
      <c r="F182" s="957"/>
      <c r="G182" s="957"/>
      <c r="H182" s="957"/>
      <c r="I182" s="957"/>
      <c r="J182" s="957"/>
      <c r="K182" s="957"/>
      <c r="L182" s="957"/>
      <c r="M182" s="957"/>
      <c r="N182" s="957"/>
      <c r="O182" s="4"/>
      <c r="P182" s="4"/>
      <c r="Q182" s="4"/>
      <c r="R182" s="4"/>
      <c r="S182" s="4"/>
      <c r="T182" s="4"/>
      <c r="U182" s="4"/>
      <c r="V182" s="4"/>
      <c r="W182" s="4"/>
      <c r="X182" s="4"/>
    </row>
    <row r="183" spans="1:24" ht="12.75">
      <c r="A183" s="4"/>
      <c r="B183" s="4"/>
      <c r="C183" s="4"/>
      <c r="D183" s="4"/>
      <c r="E183" s="957"/>
      <c r="F183" s="957"/>
      <c r="G183" s="957"/>
      <c r="H183" s="957"/>
      <c r="I183" s="957"/>
      <c r="J183" s="957"/>
      <c r="K183" s="957"/>
      <c r="L183" s="957"/>
      <c r="M183" s="957"/>
      <c r="N183" s="957"/>
      <c r="O183" s="4"/>
      <c r="P183" s="4"/>
      <c r="Q183" s="4"/>
      <c r="R183" s="4"/>
      <c r="S183" s="4"/>
      <c r="T183" s="4"/>
      <c r="U183" s="4"/>
      <c r="V183" s="4"/>
      <c r="W183" s="4"/>
      <c r="X183" s="4"/>
    </row>
    <row r="184" spans="1:24" ht="12.75">
      <c r="A184" s="4"/>
      <c r="B184" s="4"/>
      <c r="C184" s="4"/>
      <c r="D184" s="4"/>
      <c r="E184" s="957"/>
      <c r="F184" s="957"/>
      <c r="G184" s="957"/>
      <c r="H184" s="957"/>
      <c r="I184" s="957"/>
      <c r="J184" s="957"/>
      <c r="K184" s="957"/>
      <c r="L184" s="957"/>
      <c r="M184" s="957"/>
      <c r="N184" s="957"/>
      <c r="O184" s="4"/>
      <c r="P184" s="4"/>
      <c r="Q184" s="4"/>
      <c r="R184" s="4"/>
      <c r="S184" s="4"/>
      <c r="T184" s="4"/>
      <c r="U184" s="4"/>
      <c r="V184" s="4"/>
      <c r="W184" s="4"/>
      <c r="X184" s="4"/>
    </row>
    <row r="185" spans="1:24" ht="12.75">
      <c r="A185" s="4"/>
      <c r="B185" s="4"/>
      <c r="C185" s="4"/>
      <c r="D185" s="4"/>
      <c r="E185" s="957"/>
      <c r="F185" s="957"/>
      <c r="G185" s="957"/>
      <c r="H185" s="957"/>
      <c r="I185" s="957"/>
      <c r="J185" s="957"/>
      <c r="K185" s="957"/>
      <c r="L185" s="957"/>
      <c r="M185" s="957"/>
      <c r="N185" s="957"/>
      <c r="O185" s="4"/>
      <c r="P185" s="4"/>
      <c r="Q185" s="4"/>
      <c r="R185" s="4"/>
      <c r="S185" s="4"/>
      <c r="T185" s="4"/>
      <c r="U185" s="4"/>
      <c r="V185" s="4"/>
      <c r="W185" s="4"/>
      <c r="X185" s="4"/>
    </row>
    <row r="186" spans="1:24" ht="12.75">
      <c r="A186" s="4"/>
      <c r="B186" s="4"/>
      <c r="C186" s="4"/>
      <c r="D186" s="4"/>
      <c r="E186" s="957"/>
      <c r="F186" s="957"/>
      <c r="G186" s="957"/>
      <c r="H186" s="957"/>
      <c r="I186" s="957"/>
      <c r="J186" s="957"/>
      <c r="K186" s="957"/>
      <c r="L186" s="957"/>
      <c r="M186" s="957"/>
      <c r="N186" s="957"/>
      <c r="O186" s="4"/>
      <c r="P186" s="4"/>
      <c r="Q186" s="4"/>
      <c r="R186" s="4"/>
      <c r="S186" s="4"/>
      <c r="T186" s="4"/>
      <c r="U186" s="4"/>
      <c r="V186" s="4"/>
      <c r="W186" s="4"/>
      <c r="X186" s="4"/>
    </row>
    <row r="187" spans="1:24" ht="12.75">
      <c r="A187" s="4"/>
      <c r="B187" s="4"/>
      <c r="C187" s="4"/>
      <c r="D187" s="4"/>
      <c r="E187" s="957"/>
      <c r="F187" s="957"/>
      <c r="G187" s="957"/>
      <c r="H187" s="957"/>
      <c r="I187" s="957"/>
      <c r="J187" s="957"/>
      <c r="K187" s="957"/>
      <c r="L187" s="957"/>
      <c r="M187" s="957"/>
      <c r="N187" s="957"/>
      <c r="O187" s="4"/>
      <c r="P187" s="4"/>
      <c r="Q187" s="4"/>
      <c r="R187" s="4"/>
      <c r="S187" s="4"/>
      <c r="T187" s="4"/>
      <c r="U187" s="4"/>
      <c r="V187" s="4"/>
      <c r="W187" s="4"/>
      <c r="X187" s="4"/>
    </row>
    <row r="188" spans="1:24" ht="12.75">
      <c r="A188" s="4"/>
      <c r="B188" s="4"/>
      <c r="C188" s="4"/>
      <c r="D188" s="4"/>
      <c r="E188" s="957"/>
      <c r="F188" s="957"/>
      <c r="G188" s="957"/>
      <c r="H188" s="957"/>
      <c r="I188" s="957"/>
      <c r="J188" s="957"/>
      <c r="K188" s="957"/>
      <c r="L188" s="957"/>
      <c r="M188" s="957"/>
      <c r="N188" s="957"/>
      <c r="O188" s="4"/>
      <c r="P188" s="4"/>
      <c r="Q188" s="4"/>
      <c r="R188" s="4"/>
      <c r="S188" s="4"/>
      <c r="T188" s="4"/>
      <c r="U188" s="4"/>
      <c r="V188" s="4"/>
      <c r="W188" s="4"/>
      <c r="X188" s="4"/>
    </row>
    <row r="189" spans="1:24" ht="12.75">
      <c r="A189" s="4"/>
      <c r="B189" s="4"/>
      <c r="C189" s="4"/>
      <c r="D189" s="4"/>
      <c r="E189" s="957"/>
      <c r="F189" s="957"/>
      <c r="G189" s="957"/>
      <c r="H189" s="957"/>
      <c r="I189" s="957"/>
      <c r="J189" s="957"/>
      <c r="K189" s="957"/>
      <c r="L189" s="957"/>
      <c r="M189" s="957"/>
      <c r="N189" s="957"/>
      <c r="O189" s="4"/>
      <c r="P189" s="4"/>
      <c r="Q189" s="4"/>
      <c r="R189" s="4"/>
      <c r="S189" s="4"/>
      <c r="T189" s="4"/>
      <c r="U189" s="4"/>
      <c r="V189" s="4"/>
      <c r="W189" s="4"/>
      <c r="X189" s="4"/>
    </row>
    <row r="190" spans="1:24" ht="12.75">
      <c r="A190" s="4"/>
      <c r="B190" s="4"/>
      <c r="C190" s="4"/>
      <c r="D190" s="4"/>
      <c r="E190" s="957"/>
      <c r="F190" s="957"/>
      <c r="G190" s="957"/>
      <c r="H190" s="957"/>
      <c r="I190" s="957"/>
      <c r="J190" s="957"/>
      <c r="K190" s="957"/>
      <c r="L190" s="957"/>
      <c r="M190" s="957"/>
      <c r="N190" s="957"/>
      <c r="O190" s="4"/>
      <c r="P190" s="4"/>
      <c r="Q190" s="4"/>
      <c r="R190" s="4"/>
      <c r="S190" s="4"/>
      <c r="T190" s="4"/>
      <c r="U190" s="4"/>
      <c r="V190" s="4"/>
      <c r="W190" s="4"/>
      <c r="X190" s="4"/>
    </row>
    <row r="191" spans="1:24" ht="12.75">
      <c r="A191" s="4"/>
      <c r="B191" s="4"/>
      <c r="C191" s="4"/>
      <c r="D191" s="4"/>
      <c r="E191" s="957"/>
      <c r="F191" s="957"/>
      <c r="G191" s="957"/>
      <c r="H191" s="957"/>
      <c r="I191" s="957"/>
      <c r="J191" s="957"/>
      <c r="K191" s="957"/>
      <c r="L191" s="957"/>
      <c r="M191" s="957"/>
      <c r="N191" s="957"/>
      <c r="O191" s="4"/>
      <c r="P191" s="4"/>
      <c r="Q191" s="4"/>
      <c r="R191" s="4"/>
      <c r="S191" s="4"/>
      <c r="T191" s="4"/>
      <c r="U191" s="4"/>
      <c r="V191" s="4"/>
      <c r="W191" s="4"/>
      <c r="X191" s="4"/>
    </row>
    <row r="192" spans="1:24" ht="12.75">
      <c r="A192" s="4"/>
      <c r="B192" s="4"/>
      <c r="C192" s="4"/>
      <c r="D192" s="4"/>
      <c r="E192" s="957"/>
      <c r="F192" s="957"/>
      <c r="G192" s="957"/>
      <c r="H192" s="957"/>
      <c r="I192" s="957"/>
      <c r="J192" s="957"/>
      <c r="K192" s="957"/>
      <c r="L192" s="957"/>
      <c r="M192" s="957"/>
      <c r="N192" s="957"/>
      <c r="O192" s="4"/>
      <c r="P192" s="4"/>
      <c r="Q192" s="4"/>
      <c r="R192" s="4"/>
      <c r="S192" s="4"/>
      <c r="T192" s="4"/>
      <c r="U192" s="4"/>
      <c r="V192" s="4"/>
      <c r="W192" s="4"/>
      <c r="X192" s="4"/>
    </row>
    <row r="193" spans="1:24" ht="12.75">
      <c r="A193" s="4"/>
      <c r="B193" s="4"/>
      <c r="C193" s="4"/>
      <c r="D193" s="4"/>
      <c r="E193" s="957"/>
      <c r="F193" s="957"/>
      <c r="G193" s="957"/>
      <c r="H193" s="957"/>
      <c r="I193" s="957"/>
      <c r="J193" s="957"/>
      <c r="K193" s="957"/>
      <c r="L193" s="957"/>
      <c r="M193" s="957"/>
      <c r="N193" s="957"/>
      <c r="O193" s="4"/>
      <c r="P193" s="4"/>
      <c r="Q193" s="4"/>
      <c r="R193" s="4"/>
      <c r="S193" s="4"/>
      <c r="T193" s="4"/>
      <c r="U193" s="4"/>
      <c r="V193" s="4"/>
      <c r="W193" s="4"/>
      <c r="X193" s="4"/>
    </row>
    <row r="194" spans="1:24" ht="12.75">
      <c r="A194" s="4"/>
      <c r="B194" s="4"/>
      <c r="C194" s="4"/>
      <c r="D194" s="4"/>
      <c r="E194" s="957"/>
      <c r="F194" s="957"/>
      <c r="G194" s="957"/>
      <c r="H194" s="957"/>
      <c r="I194" s="957"/>
      <c r="J194" s="957"/>
      <c r="K194" s="957"/>
      <c r="L194" s="957"/>
      <c r="M194" s="957"/>
      <c r="N194" s="957"/>
      <c r="O194" s="4"/>
      <c r="P194" s="4"/>
      <c r="Q194" s="4"/>
      <c r="R194" s="4"/>
      <c r="S194" s="4"/>
      <c r="T194" s="4"/>
      <c r="U194" s="4"/>
      <c r="V194" s="4"/>
      <c r="W194" s="4"/>
      <c r="X194" s="4"/>
    </row>
    <row r="195" spans="1:24" ht="12.75">
      <c r="A195" s="4"/>
      <c r="B195" s="4"/>
      <c r="C195" s="4"/>
      <c r="D195" s="4"/>
      <c r="E195" s="957"/>
      <c r="F195" s="957"/>
      <c r="G195" s="957"/>
      <c r="H195" s="957"/>
      <c r="I195" s="957"/>
      <c r="J195" s="957"/>
      <c r="K195" s="957"/>
      <c r="L195" s="957"/>
      <c r="M195" s="957"/>
      <c r="N195" s="957"/>
      <c r="O195" s="4"/>
      <c r="P195" s="4"/>
      <c r="Q195" s="4"/>
      <c r="R195" s="4"/>
      <c r="S195" s="4"/>
      <c r="T195" s="4"/>
      <c r="U195" s="4"/>
      <c r="V195" s="4"/>
      <c r="W195" s="4"/>
      <c r="X195" s="4"/>
    </row>
    <row r="196" spans="1:24" ht="12.75">
      <c r="A196" s="4"/>
      <c r="B196" s="4"/>
      <c r="C196" s="4"/>
      <c r="D196" s="4"/>
      <c r="E196" s="957"/>
      <c r="F196" s="957"/>
      <c r="G196" s="957"/>
      <c r="H196" s="957"/>
      <c r="I196" s="957"/>
      <c r="J196" s="957"/>
      <c r="K196" s="957"/>
      <c r="L196" s="957"/>
      <c r="M196" s="957"/>
      <c r="N196" s="957"/>
      <c r="O196" s="4"/>
      <c r="P196" s="4"/>
      <c r="Q196" s="4"/>
      <c r="R196" s="4"/>
      <c r="S196" s="4"/>
      <c r="T196" s="4"/>
      <c r="U196" s="4"/>
      <c r="V196" s="4"/>
      <c r="W196" s="4"/>
      <c r="X196" s="4"/>
    </row>
    <row r="197" spans="1:24" ht="12.75">
      <c r="A197" s="4"/>
      <c r="B197" s="4"/>
      <c r="C197" s="4"/>
      <c r="D197" s="4"/>
      <c r="E197" s="957"/>
      <c r="F197" s="957"/>
      <c r="G197" s="957"/>
      <c r="H197" s="957"/>
      <c r="I197" s="957"/>
      <c r="J197" s="957"/>
      <c r="K197" s="957"/>
      <c r="L197" s="957"/>
      <c r="M197" s="957"/>
      <c r="N197" s="957"/>
      <c r="O197" s="4"/>
      <c r="P197" s="4"/>
      <c r="Q197" s="4"/>
      <c r="R197" s="4"/>
      <c r="S197" s="4"/>
      <c r="T197" s="4"/>
      <c r="U197" s="4"/>
      <c r="V197" s="4"/>
      <c r="W197" s="4"/>
      <c r="X197" s="4"/>
    </row>
    <row r="198" spans="1:24" ht="12.75">
      <c r="A198" s="4"/>
      <c r="B198" s="4"/>
      <c r="C198" s="4"/>
      <c r="D198" s="4"/>
      <c r="E198" s="957"/>
      <c r="F198" s="957"/>
      <c r="G198" s="957"/>
      <c r="H198" s="957"/>
      <c r="I198" s="957"/>
      <c r="J198" s="957"/>
      <c r="K198" s="957"/>
      <c r="L198" s="957"/>
      <c r="M198" s="957"/>
      <c r="N198" s="957"/>
      <c r="O198" s="4"/>
      <c r="P198" s="4"/>
      <c r="Q198" s="4"/>
      <c r="R198" s="4"/>
      <c r="S198" s="4"/>
      <c r="T198" s="4"/>
      <c r="U198" s="4"/>
      <c r="V198" s="4"/>
      <c r="W198" s="4"/>
      <c r="X198" s="4"/>
    </row>
    <row r="199" spans="1:24" ht="12.75">
      <c r="A199" s="4"/>
      <c r="B199" s="4"/>
      <c r="C199" s="4"/>
      <c r="D199" s="4"/>
      <c r="E199" s="957"/>
      <c r="F199" s="957"/>
      <c r="G199" s="957"/>
      <c r="H199" s="957"/>
      <c r="I199" s="957"/>
      <c r="J199" s="957"/>
      <c r="K199" s="957"/>
      <c r="L199" s="957"/>
      <c r="M199" s="957"/>
      <c r="N199" s="957"/>
      <c r="O199" s="4"/>
      <c r="P199" s="4"/>
      <c r="Q199" s="4"/>
      <c r="R199" s="4"/>
      <c r="S199" s="4"/>
      <c r="T199" s="4"/>
      <c r="U199" s="4"/>
      <c r="V199" s="4"/>
      <c r="W199" s="4"/>
      <c r="X199" s="4"/>
    </row>
    <row r="200" spans="1:24" ht="12.75">
      <c r="A200" s="4"/>
      <c r="B200" s="4"/>
      <c r="C200" s="4"/>
      <c r="D200" s="4"/>
      <c r="E200" s="957"/>
      <c r="F200" s="957"/>
      <c r="G200" s="957"/>
      <c r="H200" s="957"/>
      <c r="I200" s="957"/>
      <c r="J200" s="957"/>
      <c r="K200" s="957"/>
      <c r="L200" s="957"/>
      <c r="M200" s="957"/>
      <c r="N200" s="957"/>
      <c r="O200" s="4"/>
      <c r="P200" s="4"/>
      <c r="Q200" s="4"/>
      <c r="R200" s="4"/>
      <c r="S200" s="4"/>
      <c r="T200" s="4"/>
      <c r="U200" s="4"/>
      <c r="V200" s="4"/>
      <c r="W200" s="4"/>
      <c r="X200" s="4"/>
    </row>
    <row r="201" spans="1:24" ht="12.75">
      <c r="A201" s="4"/>
      <c r="B201" s="4"/>
      <c r="C201" s="4"/>
      <c r="D201" s="4"/>
      <c r="E201" s="957"/>
      <c r="F201" s="957"/>
      <c r="G201" s="957"/>
      <c r="H201" s="957"/>
      <c r="I201" s="957"/>
      <c r="J201" s="957"/>
      <c r="K201" s="957"/>
      <c r="L201" s="957"/>
      <c r="M201" s="957"/>
      <c r="N201" s="957"/>
      <c r="O201" s="4"/>
      <c r="P201" s="4"/>
      <c r="Q201" s="4"/>
      <c r="R201" s="4"/>
      <c r="S201" s="4"/>
      <c r="T201" s="4"/>
      <c r="U201" s="4"/>
      <c r="V201" s="4"/>
      <c r="W201" s="4"/>
      <c r="X201" s="4"/>
    </row>
    <row r="202" spans="1:24" ht="12.75">
      <c r="A202" s="4"/>
      <c r="B202" s="4"/>
      <c r="C202" s="4"/>
      <c r="D202" s="4"/>
      <c r="E202" s="957"/>
      <c r="F202" s="957"/>
      <c r="G202" s="957"/>
      <c r="H202" s="957"/>
      <c r="I202" s="957"/>
      <c r="J202" s="957"/>
      <c r="K202" s="957"/>
      <c r="L202" s="957"/>
      <c r="M202" s="957"/>
      <c r="N202" s="957"/>
      <c r="O202" s="4"/>
      <c r="P202" s="4"/>
      <c r="Q202" s="4"/>
      <c r="R202" s="4"/>
      <c r="S202" s="4"/>
      <c r="T202" s="4"/>
      <c r="U202" s="4"/>
      <c r="V202" s="4"/>
      <c r="W202" s="4"/>
      <c r="X202" s="4"/>
    </row>
    <row r="203" spans="1:24" ht="12.75">
      <c r="A203" s="4"/>
      <c r="B203" s="4"/>
      <c r="C203" s="4"/>
      <c r="D203" s="4"/>
      <c r="E203" s="957"/>
      <c r="F203" s="957"/>
      <c r="G203" s="957"/>
      <c r="H203" s="957"/>
      <c r="I203" s="957"/>
      <c r="J203" s="957"/>
      <c r="K203" s="957"/>
      <c r="L203" s="957"/>
      <c r="M203" s="957"/>
      <c r="N203" s="957"/>
      <c r="O203" s="4"/>
      <c r="P203" s="4"/>
      <c r="Q203" s="4"/>
      <c r="R203" s="4"/>
      <c r="S203" s="4"/>
      <c r="T203" s="4"/>
      <c r="U203" s="4"/>
      <c r="V203" s="4"/>
      <c r="W203" s="4"/>
      <c r="X203" s="4"/>
    </row>
    <row r="204" spans="1:24" ht="12.75">
      <c r="A204" s="4"/>
      <c r="B204" s="4"/>
      <c r="C204" s="4"/>
      <c r="D204" s="4"/>
      <c r="E204" s="957"/>
      <c r="F204" s="957"/>
      <c r="G204" s="957"/>
      <c r="H204" s="957"/>
      <c r="I204" s="957"/>
      <c r="J204" s="957"/>
      <c r="K204" s="957"/>
      <c r="L204" s="957"/>
      <c r="M204" s="957"/>
      <c r="N204" s="957"/>
      <c r="O204" s="4"/>
      <c r="P204" s="4"/>
      <c r="Q204" s="4"/>
      <c r="R204" s="4"/>
      <c r="S204" s="4"/>
      <c r="T204" s="4"/>
      <c r="U204" s="4"/>
      <c r="V204" s="4"/>
      <c r="W204" s="4"/>
      <c r="X204" s="4"/>
    </row>
    <row r="205" spans="1:24" ht="12.75">
      <c r="A205" s="4"/>
      <c r="B205" s="4"/>
      <c r="C205" s="4"/>
      <c r="D205" s="4"/>
      <c r="E205" s="957"/>
      <c r="F205" s="957"/>
      <c r="G205" s="957"/>
      <c r="H205" s="957"/>
      <c r="I205" s="957"/>
      <c r="J205" s="957"/>
      <c r="K205" s="957"/>
      <c r="L205" s="957"/>
      <c r="M205" s="957"/>
      <c r="N205" s="957"/>
      <c r="O205" s="4"/>
      <c r="P205" s="4"/>
      <c r="Q205" s="4"/>
      <c r="R205" s="4"/>
      <c r="S205" s="4"/>
      <c r="T205" s="4"/>
      <c r="U205" s="4"/>
      <c r="V205" s="4"/>
      <c r="W205" s="4"/>
      <c r="X205" s="4"/>
    </row>
    <row r="206" spans="1:24" ht="12.75">
      <c r="A206" s="4"/>
      <c r="B206" s="4"/>
      <c r="C206" s="4"/>
      <c r="D206" s="4"/>
      <c r="E206" s="957"/>
      <c r="F206" s="957"/>
      <c r="G206" s="957"/>
      <c r="H206" s="957"/>
      <c r="I206" s="957"/>
      <c r="J206" s="957"/>
      <c r="K206" s="957"/>
      <c r="L206" s="957"/>
      <c r="M206" s="957"/>
      <c r="N206" s="957"/>
      <c r="O206" s="4"/>
      <c r="P206" s="4"/>
      <c r="Q206" s="4"/>
      <c r="R206" s="4"/>
      <c r="S206" s="4"/>
      <c r="T206" s="4"/>
      <c r="U206" s="4"/>
      <c r="V206" s="4"/>
      <c r="W206" s="4"/>
      <c r="X206" s="4"/>
    </row>
    <row r="207" spans="1:24" ht="12.75">
      <c r="A207" s="4"/>
      <c r="B207" s="4"/>
      <c r="C207" s="4"/>
      <c r="D207" s="4"/>
      <c r="E207" s="957"/>
      <c r="F207" s="957"/>
      <c r="G207" s="957"/>
      <c r="H207" s="957"/>
      <c r="I207" s="957"/>
      <c r="J207" s="957"/>
      <c r="K207" s="957"/>
      <c r="L207" s="957"/>
      <c r="M207" s="957"/>
      <c r="N207" s="957"/>
      <c r="O207" s="4"/>
      <c r="P207" s="4"/>
      <c r="Q207" s="4"/>
      <c r="R207" s="4"/>
      <c r="S207" s="4"/>
      <c r="T207" s="4"/>
      <c r="U207" s="4"/>
      <c r="V207" s="4"/>
      <c r="W207" s="4"/>
      <c r="X207" s="4"/>
    </row>
    <row r="208" spans="1:24" ht="12.75">
      <c r="A208" s="4"/>
      <c r="B208" s="4"/>
      <c r="C208" s="4"/>
      <c r="D208" s="4"/>
      <c r="E208" s="957"/>
      <c r="F208" s="957"/>
      <c r="G208" s="957"/>
      <c r="H208" s="957"/>
      <c r="I208" s="957"/>
      <c r="J208" s="957"/>
      <c r="K208" s="957"/>
      <c r="L208" s="957"/>
      <c r="M208" s="957"/>
      <c r="N208" s="957"/>
      <c r="O208" s="4"/>
      <c r="P208" s="4"/>
      <c r="Q208" s="4"/>
      <c r="R208" s="4"/>
      <c r="S208" s="4"/>
      <c r="T208" s="4"/>
      <c r="U208" s="4"/>
      <c r="V208" s="4"/>
      <c r="W208" s="4"/>
      <c r="X208" s="4"/>
    </row>
    <row r="209" spans="1:24" ht="12.75">
      <c r="A209" s="4"/>
      <c r="B209" s="4"/>
      <c r="C209" s="4"/>
      <c r="D209" s="4"/>
      <c r="E209" s="957"/>
      <c r="F209" s="957"/>
      <c r="G209" s="957"/>
      <c r="H209" s="957"/>
      <c r="I209" s="957"/>
      <c r="J209" s="957"/>
      <c r="K209" s="957"/>
      <c r="L209" s="957"/>
      <c r="M209" s="957"/>
      <c r="N209" s="957"/>
      <c r="O209" s="4"/>
      <c r="P209" s="4"/>
      <c r="Q209" s="4"/>
      <c r="R209" s="4"/>
      <c r="S209" s="4"/>
      <c r="T209" s="4"/>
      <c r="U209" s="4"/>
      <c r="V209" s="4"/>
      <c r="W209" s="4"/>
      <c r="X209" s="4"/>
    </row>
    <row r="210" spans="1:24" ht="12.75">
      <c r="A210" s="4"/>
      <c r="B210" s="4"/>
      <c r="C210" s="4"/>
      <c r="D210" s="4"/>
      <c r="E210" s="957"/>
      <c r="F210" s="957"/>
      <c r="G210" s="957"/>
      <c r="H210" s="957"/>
      <c r="I210" s="957"/>
      <c r="J210" s="957"/>
      <c r="K210" s="957"/>
      <c r="L210" s="957"/>
      <c r="M210" s="957"/>
      <c r="N210" s="957"/>
      <c r="O210" s="4"/>
      <c r="P210" s="4"/>
      <c r="Q210" s="4"/>
      <c r="R210" s="4"/>
      <c r="S210" s="4"/>
      <c r="T210" s="4"/>
      <c r="U210" s="4"/>
      <c r="V210" s="4"/>
      <c r="W210" s="4"/>
      <c r="X210" s="4"/>
    </row>
    <row r="211" spans="1:24" ht="12.75">
      <c r="A211" s="4"/>
      <c r="B211" s="4"/>
      <c r="C211" s="4"/>
      <c r="D211" s="4"/>
      <c r="E211" s="957"/>
      <c r="F211" s="957"/>
      <c r="G211" s="957"/>
      <c r="H211" s="957"/>
      <c r="I211" s="957"/>
      <c r="J211" s="957"/>
      <c r="K211" s="957"/>
      <c r="L211" s="957"/>
      <c r="M211" s="957"/>
      <c r="N211" s="957"/>
      <c r="O211" s="4"/>
      <c r="P211" s="4"/>
      <c r="Q211" s="4"/>
      <c r="R211" s="4"/>
      <c r="S211" s="4"/>
      <c r="T211" s="4"/>
      <c r="U211" s="4"/>
      <c r="V211" s="4"/>
      <c r="W211" s="4"/>
      <c r="X211" s="4"/>
    </row>
    <row r="212" spans="1:24" ht="12.75">
      <c r="A212" s="4"/>
      <c r="B212" s="4"/>
      <c r="C212" s="4"/>
      <c r="D212" s="4"/>
      <c r="E212" s="957"/>
      <c r="F212" s="957"/>
      <c r="G212" s="957"/>
      <c r="H212" s="957"/>
      <c r="I212" s="957"/>
      <c r="J212" s="957"/>
      <c r="K212" s="957"/>
      <c r="L212" s="957"/>
      <c r="M212" s="957"/>
      <c r="N212" s="957"/>
      <c r="O212" s="4"/>
      <c r="P212" s="4"/>
      <c r="Q212" s="4"/>
      <c r="R212" s="4"/>
      <c r="S212" s="4"/>
      <c r="T212" s="4"/>
      <c r="U212" s="4"/>
      <c r="V212" s="4"/>
      <c r="W212" s="4"/>
      <c r="X212" s="4"/>
    </row>
    <row r="213" spans="1:24" ht="12.75">
      <c r="A213" s="4"/>
      <c r="B213" s="4"/>
      <c r="C213" s="4"/>
      <c r="D213" s="4"/>
      <c r="E213" s="957"/>
      <c r="F213" s="957"/>
      <c r="G213" s="957"/>
      <c r="H213" s="957"/>
      <c r="I213" s="957"/>
      <c r="J213" s="957"/>
      <c r="K213" s="957"/>
      <c r="L213" s="957"/>
      <c r="M213" s="957"/>
      <c r="N213" s="957"/>
      <c r="O213" s="4"/>
      <c r="P213" s="4"/>
      <c r="Q213" s="4"/>
      <c r="R213" s="4"/>
      <c r="S213" s="4"/>
      <c r="T213" s="4"/>
      <c r="U213" s="4"/>
      <c r="V213" s="4"/>
      <c r="W213" s="4"/>
      <c r="X213" s="4"/>
    </row>
    <row r="214" spans="1:24" ht="12.75">
      <c r="A214" s="4"/>
      <c r="B214" s="4"/>
      <c r="C214" s="4"/>
      <c r="D214" s="4"/>
      <c r="E214" s="957"/>
      <c r="F214" s="957"/>
      <c r="G214" s="957"/>
      <c r="H214" s="957"/>
      <c r="I214" s="957"/>
      <c r="J214" s="957"/>
      <c r="K214" s="957"/>
      <c r="L214" s="957"/>
      <c r="M214" s="957"/>
      <c r="N214" s="957"/>
      <c r="O214" s="4"/>
      <c r="P214" s="4"/>
      <c r="Q214" s="4"/>
      <c r="R214" s="4"/>
      <c r="S214" s="4"/>
      <c r="T214" s="4"/>
      <c r="U214" s="4"/>
      <c r="V214" s="4"/>
      <c r="W214" s="4"/>
      <c r="X214" s="4"/>
    </row>
    <row r="215" spans="1:24" ht="12.75">
      <c r="A215" s="4"/>
      <c r="B215" s="4"/>
      <c r="C215" s="4"/>
      <c r="D215" s="4"/>
      <c r="E215" s="957"/>
      <c r="F215" s="957"/>
      <c r="G215" s="957"/>
      <c r="H215" s="957"/>
      <c r="I215" s="957"/>
      <c r="J215" s="957"/>
      <c r="K215" s="957"/>
      <c r="L215" s="957"/>
      <c r="M215" s="957"/>
      <c r="N215" s="957"/>
      <c r="O215" s="4"/>
      <c r="P215" s="4"/>
      <c r="Q215" s="4"/>
      <c r="R215" s="4"/>
      <c r="S215" s="4"/>
      <c r="T215" s="4"/>
      <c r="U215" s="4"/>
      <c r="V215" s="4"/>
      <c r="W215" s="4"/>
      <c r="X215" s="4"/>
    </row>
    <row r="216" spans="1:24" ht="12.75">
      <c r="A216" s="4"/>
      <c r="B216" s="4"/>
      <c r="C216" s="4"/>
      <c r="D216" s="4"/>
      <c r="E216" s="957"/>
      <c r="F216" s="957"/>
      <c r="G216" s="957"/>
      <c r="H216" s="957"/>
      <c r="I216" s="957"/>
      <c r="J216" s="957"/>
      <c r="K216" s="957"/>
      <c r="L216" s="957"/>
      <c r="M216" s="957"/>
      <c r="N216" s="957"/>
      <c r="O216" s="4"/>
      <c r="P216" s="4"/>
      <c r="Q216" s="4"/>
      <c r="R216" s="4"/>
      <c r="S216" s="4"/>
      <c r="T216" s="4"/>
      <c r="U216" s="4"/>
      <c r="V216" s="4"/>
      <c r="W216" s="4"/>
      <c r="X216" s="4"/>
    </row>
    <row r="217" spans="1:24" ht="12.75">
      <c r="A217" s="4"/>
      <c r="B217" s="4"/>
      <c r="C217" s="4"/>
      <c r="D217" s="4"/>
      <c r="E217" s="957"/>
      <c r="F217" s="957"/>
      <c r="G217" s="957"/>
      <c r="H217" s="957"/>
      <c r="I217" s="957"/>
      <c r="J217" s="957"/>
      <c r="K217" s="957"/>
      <c r="L217" s="957"/>
      <c r="M217" s="957"/>
      <c r="N217" s="957"/>
      <c r="O217" s="4"/>
      <c r="P217" s="4"/>
      <c r="Q217" s="4"/>
      <c r="R217" s="4"/>
      <c r="S217" s="4"/>
      <c r="T217" s="4"/>
      <c r="U217" s="4"/>
      <c r="V217" s="4"/>
      <c r="W217" s="4"/>
      <c r="X217" s="4"/>
    </row>
    <row r="218" spans="1:24" ht="12.75">
      <c r="A218" s="4"/>
      <c r="B218" s="4"/>
      <c r="C218" s="4"/>
      <c r="D218" s="4"/>
      <c r="E218" s="957"/>
      <c r="F218" s="957"/>
      <c r="G218" s="957"/>
      <c r="H218" s="957"/>
      <c r="I218" s="957"/>
      <c r="J218" s="957"/>
      <c r="K218" s="957"/>
      <c r="L218" s="957"/>
      <c r="M218" s="957"/>
      <c r="N218" s="957"/>
      <c r="O218" s="4"/>
      <c r="P218" s="4"/>
      <c r="Q218" s="4"/>
      <c r="R218" s="4"/>
      <c r="S218" s="4"/>
      <c r="T218" s="4"/>
      <c r="U218" s="4"/>
      <c r="V218" s="4"/>
      <c r="W218" s="4"/>
      <c r="X218" s="4"/>
    </row>
    <row r="219" spans="1:24" ht="12.75">
      <c r="A219" s="4"/>
      <c r="B219" s="4"/>
      <c r="C219" s="4"/>
      <c r="D219" s="4"/>
      <c r="E219" s="957"/>
      <c r="F219" s="957"/>
      <c r="G219" s="957"/>
      <c r="H219" s="957"/>
      <c r="I219" s="957"/>
      <c r="J219" s="957"/>
      <c r="K219" s="957"/>
      <c r="L219" s="957"/>
      <c r="M219" s="957"/>
      <c r="N219" s="957"/>
      <c r="O219" s="4"/>
      <c r="P219" s="4"/>
      <c r="Q219" s="4"/>
      <c r="R219" s="4"/>
      <c r="S219" s="4"/>
      <c r="T219" s="4"/>
      <c r="U219" s="4"/>
      <c r="V219" s="4"/>
      <c r="W219" s="4"/>
      <c r="X219" s="4"/>
    </row>
    <row r="220" spans="1:24" ht="12.75">
      <c r="A220" s="4"/>
      <c r="B220" s="4"/>
      <c r="C220" s="4"/>
      <c r="D220" s="4"/>
      <c r="E220" s="957"/>
      <c r="F220" s="957"/>
      <c r="G220" s="957"/>
      <c r="H220" s="957"/>
      <c r="I220" s="957"/>
      <c r="J220" s="957"/>
      <c r="K220" s="957"/>
      <c r="L220" s="957"/>
      <c r="M220" s="957"/>
      <c r="N220" s="957"/>
      <c r="O220" s="4"/>
      <c r="P220" s="4"/>
      <c r="Q220" s="4"/>
      <c r="R220" s="4"/>
      <c r="S220" s="4"/>
      <c r="T220" s="4"/>
      <c r="U220" s="4"/>
      <c r="V220" s="4"/>
      <c r="W220" s="4"/>
      <c r="X220" s="4"/>
    </row>
    <row r="221" spans="1:24" ht="12.75">
      <c r="A221" s="4"/>
      <c r="B221" s="4"/>
      <c r="C221" s="4"/>
      <c r="D221" s="4"/>
      <c r="E221" s="957"/>
      <c r="F221" s="957"/>
      <c r="G221" s="957"/>
      <c r="H221" s="957"/>
      <c r="I221" s="957"/>
      <c r="J221" s="957"/>
      <c r="K221" s="957"/>
      <c r="L221" s="957"/>
      <c r="M221" s="957"/>
      <c r="N221" s="957"/>
      <c r="O221" s="4"/>
      <c r="P221" s="4"/>
      <c r="Q221" s="4"/>
      <c r="R221" s="4"/>
      <c r="S221" s="4"/>
      <c r="T221" s="4"/>
      <c r="U221" s="4"/>
      <c r="V221" s="4"/>
      <c r="W221" s="4"/>
      <c r="X221" s="4"/>
    </row>
    <row r="222" spans="1:24" ht="12.75">
      <c r="A222" s="4"/>
      <c r="B222" s="4"/>
      <c r="C222" s="4"/>
      <c r="D222" s="4"/>
      <c r="E222" s="957"/>
      <c r="F222" s="957"/>
      <c r="G222" s="957"/>
      <c r="H222" s="957"/>
      <c r="I222" s="957"/>
      <c r="J222" s="957"/>
      <c r="K222" s="957"/>
      <c r="L222" s="957"/>
      <c r="M222" s="957"/>
      <c r="N222" s="957"/>
      <c r="O222" s="4"/>
      <c r="P222" s="4"/>
      <c r="Q222" s="4"/>
      <c r="R222" s="4"/>
      <c r="S222" s="4"/>
      <c r="T222" s="4"/>
      <c r="U222" s="4"/>
      <c r="V222" s="4"/>
      <c r="W222" s="4"/>
      <c r="X222" s="4"/>
    </row>
    <row r="223" spans="1:24" ht="12.75">
      <c r="A223" s="4"/>
      <c r="B223" s="4"/>
      <c r="C223" s="4"/>
      <c r="D223" s="4"/>
      <c r="E223" s="957"/>
      <c r="F223" s="957"/>
      <c r="G223" s="957"/>
      <c r="H223" s="957"/>
      <c r="I223" s="957"/>
      <c r="J223" s="957"/>
      <c r="K223" s="957"/>
      <c r="L223" s="957"/>
      <c r="M223" s="957"/>
      <c r="N223" s="957"/>
      <c r="O223" s="4"/>
      <c r="P223" s="4"/>
      <c r="Q223" s="4"/>
      <c r="R223" s="4"/>
      <c r="S223" s="4"/>
      <c r="T223" s="4"/>
      <c r="U223" s="4"/>
      <c r="V223" s="4"/>
      <c r="W223" s="4"/>
      <c r="X223" s="4"/>
    </row>
    <row r="224" spans="1:24" ht="12.75">
      <c r="A224" s="4"/>
      <c r="B224" s="4"/>
      <c r="C224" s="4"/>
      <c r="D224" s="4"/>
      <c r="E224" s="957"/>
      <c r="F224" s="957"/>
      <c r="G224" s="957"/>
      <c r="H224" s="957"/>
      <c r="I224" s="957"/>
      <c r="J224" s="957"/>
      <c r="K224" s="957"/>
      <c r="L224" s="957"/>
      <c r="M224" s="957"/>
      <c r="N224" s="957"/>
      <c r="O224" s="4"/>
      <c r="P224" s="4"/>
      <c r="Q224" s="4"/>
      <c r="R224" s="4"/>
      <c r="S224" s="4"/>
      <c r="T224" s="4"/>
      <c r="U224" s="4"/>
      <c r="V224" s="4"/>
      <c r="W224" s="4"/>
      <c r="X224" s="4"/>
    </row>
    <row r="225" spans="1:24" ht="12.75">
      <c r="A225" s="4"/>
      <c r="B225" s="4"/>
      <c r="C225" s="4"/>
      <c r="D225" s="4"/>
      <c r="E225" s="957"/>
      <c r="F225" s="957"/>
      <c r="G225" s="957"/>
      <c r="H225" s="957"/>
      <c r="I225" s="957"/>
      <c r="J225" s="957"/>
      <c r="K225" s="957"/>
      <c r="L225" s="957"/>
      <c r="M225" s="957"/>
      <c r="N225" s="957"/>
      <c r="O225" s="4"/>
      <c r="P225" s="4"/>
      <c r="Q225" s="4"/>
      <c r="R225" s="4"/>
      <c r="S225" s="4"/>
      <c r="T225" s="4"/>
      <c r="U225" s="4"/>
      <c r="V225" s="4"/>
      <c r="W225" s="4"/>
      <c r="X225" s="4"/>
    </row>
    <row r="226" spans="1:24" ht="12.75">
      <c r="A226" s="4"/>
      <c r="B226" s="4"/>
      <c r="C226" s="4"/>
      <c r="D226" s="4"/>
      <c r="E226" s="957"/>
      <c r="F226" s="957"/>
      <c r="G226" s="957"/>
      <c r="H226" s="957"/>
      <c r="I226" s="957"/>
      <c r="J226" s="957"/>
      <c r="K226" s="957"/>
      <c r="L226" s="957"/>
      <c r="M226" s="957"/>
      <c r="N226" s="957"/>
      <c r="O226" s="4"/>
      <c r="P226" s="4"/>
      <c r="Q226" s="4"/>
      <c r="R226" s="4"/>
      <c r="S226" s="4"/>
      <c r="T226" s="4"/>
      <c r="U226" s="4"/>
      <c r="V226" s="4"/>
      <c r="W226" s="4"/>
      <c r="X226" s="4"/>
    </row>
    <row r="227" spans="1:24" ht="12.75">
      <c r="A227" s="4"/>
      <c r="B227" s="4"/>
      <c r="C227" s="4"/>
      <c r="D227" s="4"/>
      <c r="E227" s="957"/>
      <c r="F227" s="957"/>
      <c r="G227" s="957"/>
      <c r="H227" s="957"/>
      <c r="I227" s="957"/>
      <c r="J227" s="957"/>
      <c r="K227" s="957"/>
      <c r="L227" s="957"/>
      <c r="M227" s="957"/>
      <c r="N227" s="957"/>
      <c r="O227" s="4"/>
      <c r="P227" s="4"/>
      <c r="Q227" s="4"/>
      <c r="R227" s="4"/>
      <c r="S227" s="4"/>
      <c r="T227" s="4"/>
      <c r="U227" s="4"/>
      <c r="V227" s="4"/>
      <c r="W227" s="4"/>
      <c r="X227" s="4"/>
    </row>
    <row r="228" spans="1:24" ht="12.75">
      <c r="A228" s="4"/>
      <c r="B228" s="4"/>
      <c r="C228" s="4"/>
      <c r="D228" s="4"/>
      <c r="E228" s="957"/>
      <c r="F228" s="957"/>
      <c r="G228" s="957"/>
      <c r="H228" s="957"/>
      <c r="I228" s="957"/>
      <c r="J228" s="957"/>
      <c r="K228" s="957"/>
      <c r="L228" s="957"/>
      <c r="M228" s="957"/>
      <c r="N228" s="957"/>
      <c r="O228" s="4"/>
      <c r="P228" s="4"/>
      <c r="Q228" s="4"/>
      <c r="R228" s="4"/>
      <c r="S228" s="4"/>
      <c r="T228" s="4"/>
      <c r="U228" s="4"/>
      <c r="V228" s="4"/>
      <c r="W228" s="4"/>
      <c r="X228" s="4"/>
    </row>
    <row r="229" spans="1:24" ht="12.75">
      <c r="A229" s="4"/>
      <c r="B229" s="4"/>
      <c r="C229" s="4"/>
      <c r="D229" s="4"/>
      <c r="E229" s="957"/>
      <c r="F229" s="957"/>
      <c r="G229" s="957"/>
      <c r="H229" s="957"/>
      <c r="I229" s="957"/>
      <c r="J229" s="957"/>
      <c r="K229" s="957"/>
      <c r="L229" s="957"/>
      <c r="M229" s="957"/>
      <c r="N229" s="957"/>
      <c r="O229" s="4"/>
      <c r="P229" s="4"/>
      <c r="Q229" s="4"/>
      <c r="R229" s="4"/>
      <c r="S229" s="4"/>
      <c r="T229" s="4"/>
      <c r="U229" s="4"/>
      <c r="V229" s="4"/>
      <c r="W229" s="4"/>
      <c r="X229" s="4"/>
    </row>
    <row r="230" spans="1:24" ht="12.75">
      <c r="A230" s="4"/>
      <c r="B230" s="4"/>
      <c r="C230" s="4"/>
      <c r="D230" s="4"/>
      <c r="E230" s="957"/>
      <c r="F230" s="957"/>
      <c r="G230" s="957"/>
      <c r="H230" s="957"/>
      <c r="I230" s="957"/>
      <c r="J230" s="957"/>
      <c r="K230" s="957"/>
      <c r="L230" s="957"/>
      <c r="M230" s="957"/>
      <c r="N230" s="957"/>
      <c r="O230" s="4"/>
      <c r="P230" s="4"/>
      <c r="Q230" s="4"/>
      <c r="R230" s="4"/>
      <c r="S230" s="4"/>
      <c r="T230" s="4"/>
      <c r="U230" s="4"/>
      <c r="V230" s="4"/>
      <c r="W230" s="4"/>
      <c r="X230" s="4"/>
    </row>
    <row r="231" spans="1:24" ht="12.75">
      <c r="A231" s="4"/>
      <c r="B231" s="4"/>
      <c r="C231" s="4"/>
      <c r="D231" s="4"/>
      <c r="E231" s="957"/>
      <c r="F231" s="957"/>
      <c r="G231" s="957"/>
      <c r="H231" s="957"/>
      <c r="I231" s="957"/>
      <c r="J231" s="957"/>
      <c r="K231" s="957"/>
      <c r="L231" s="957"/>
      <c r="M231" s="957"/>
      <c r="N231" s="957"/>
      <c r="O231" s="4"/>
      <c r="P231" s="4"/>
      <c r="Q231" s="4"/>
      <c r="R231" s="4"/>
      <c r="S231" s="4"/>
      <c r="T231" s="4"/>
      <c r="U231" s="4"/>
      <c r="V231" s="4"/>
      <c r="W231" s="4"/>
      <c r="X231" s="4"/>
    </row>
    <row r="232" spans="1:24" ht="12.75">
      <c r="A232" s="4"/>
      <c r="B232" s="4"/>
      <c r="C232" s="4"/>
      <c r="D232" s="4"/>
      <c r="E232" s="957"/>
      <c r="F232" s="957"/>
      <c r="G232" s="957"/>
      <c r="H232" s="957"/>
      <c r="I232" s="957"/>
      <c r="J232" s="957"/>
      <c r="K232" s="957"/>
      <c r="L232" s="957"/>
      <c r="M232" s="957"/>
      <c r="N232" s="957"/>
      <c r="O232" s="4"/>
      <c r="P232" s="4"/>
      <c r="Q232" s="4"/>
      <c r="R232" s="4"/>
      <c r="S232" s="4"/>
      <c r="T232" s="4"/>
      <c r="U232" s="4"/>
      <c r="V232" s="4"/>
      <c r="W232" s="4"/>
      <c r="X232" s="4"/>
    </row>
    <row r="233" spans="1:24" ht="12.75">
      <c r="A233" s="4"/>
      <c r="B233" s="4"/>
      <c r="C233" s="4"/>
      <c r="D233" s="4"/>
      <c r="E233" s="957"/>
      <c r="F233" s="957"/>
      <c r="G233" s="957"/>
      <c r="H233" s="957"/>
      <c r="I233" s="957"/>
      <c r="J233" s="957"/>
      <c r="K233" s="957"/>
      <c r="L233" s="957"/>
      <c r="M233" s="957"/>
      <c r="N233" s="957"/>
      <c r="O233" s="4"/>
      <c r="P233" s="4"/>
      <c r="Q233" s="4"/>
      <c r="R233" s="4"/>
      <c r="S233" s="4"/>
      <c r="T233" s="4"/>
      <c r="U233" s="4"/>
      <c r="V233" s="4"/>
      <c r="W233" s="4"/>
      <c r="X233" s="4"/>
    </row>
    <row r="234" spans="1:24" ht="12.75">
      <c r="A234" s="4"/>
      <c r="B234" s="4"/>
      <c r="C234" s="4"/>
      <c r="D234" s="4"/>
      <c r="E234" s="957"/>
      <c r="F234" s="957"/>
      <c r="G234" s="957"/>
      <c r="H234" s="957"/>
      <c r="I234" s="957"/>
      <c r="J234" s="957"/>
      <c r="K234" s="957"/>
      <c r="L234" s="957"/>
      <c r="M234" s="957"/>
      <c r="N234" s="957"/>
      <c r="O234" s="4"/>
      <c r="P234" s="4"/>
      <c r="Q234" s="4"/>
      <c r="R234" s="4"/>
      <c r="S234" s="4"/>
      <c r="T234" s="4"/>
      <c r="U234" s="4"/>
      <c r="V234" s="4"/>
      <c r="W234" s="4"/>
      <c r="X234" s="4"/>
    </row>
    <row r="235" spans="1:24" ht="12.75">
      <c r="A235" s="4"/>
      <c r="B235" s="4"/>
      <c r="C235" s="4"/>
      <c r="D235" s="4"/>
      <c r="E235" s="957"/>
      <c r="F235" s="957"/>
      <c r="G235" s="957"/>
      <c r="H235" s="957"/>
      <c r="I235" s="957"/>
      <c r="J235" s="957"/>
      <c r="K235" s="957"/>
      <c r="L235" s="957"/>
      <c r="M235" s="957"/>
      <c r="N235" s="957"/>
      <c r="O235" s="4"/>
      <c r="P235" s="4"/>
      <c r="Q235" s="4"/>
      <c r="R235" s="4"/>
      <c r="S235" s="4"/>
      <c r="T235" s="4"/>
      <c r="U235" s="4"/>
      <c r="V235" s="4"/>
      <c r="W235" s="4"/>
      <c r="X235" s="4"/>
    </row>
    <row r="236" spans="1:24" ht="12.75">
      <c r="A236" s="4"/>
      <c r="B236" s="4"/>
      <c r="C236" s="4"/>
      <c r="D236" s="4"/>
      <c r="E236" s="957"/>
      <c r="F236" s="957"/>
      <c r="G236" s="957"/>
      <c r="H236" s="957"/>
      <c r="I236" s="957"/>
      <c r="J236" s="957"/>
      <c r="K236" s="957"/>
      <c r="L236" s="957"/>
      <c r="M236" s="957"/>
      <c r="N236" s="957"/>
      <c r="O236" s="4"/>
      <c r="P236" s="4"/>
      <c r="Q236" s="4"/>
      <c r="R236" s="4"/>
      <c r="S236" s="4"/>
      <c r="T236" s="4"/>
      <c r="U236" s="4"/>
      <c r="V236" s="4"/>
      <c r="W236" s="4"/>
      <c r="X236" s="4"/>
    </row>
    <row r="237" spans="1:24" ht="12.75">
      <c r="A237" s="4"/>
      <c r="B237" s="4"/>
      <c r="C237" s="4"/>
      <c r="D237" s="4"/>
      <c r="E237" s="957"/>
      <c r="F237" s="957"/>
      <c r="G237" s="957"/>
      <c r="H237" s="957"/>
      <c r="I237" s="957"/>
      <c r="J237" s="957"/>
      <c r="K237" s="957"/>
      <c r="L237" s="957"/>
      <c r="M237" s="957"/>
      <c r="N237" s="957"/>
      <c r="O237" s="4"/>
      <c r="P237" s="4"/>
      <c r="Q237" s="4"/>
      <c r="R237" s="4"/>
      <c r="S237" s="4"/>
      <c r="T237" s="4"/>
      <c r="U237" s="4"/>
      <c r="V237" s="4"/>
      <c r="W237" s="4"/>
      <c r="X237" s="4"/>
    </row>
    <row r="238" spans="1:24" ht="12.75">
      <c r="A238" s="4"/>
      <c r="B238" s="4"/>
      <c r="C238" s="4"/>
      <c r="D238" s="4"/>
      <c r="E238" s="957"/>
      <c r="F238" s="957"/>
      <c r="G238" s="957"/>
      <c r="H238" s="957"/>
      <c r="I238" s="957"/>
      <c r="J238" s="957"/>
      <c r="K238" s="957"/>
      <c r="L238" s="957"/>
      <c r="M238" s="957"/>
      <c r="N238" s="957"/>
      <c r="O238" s="4"/>
      <c r="P238" s="4"/>
      <c r="Q238" s="4"/>
      <c r="R238" s="4"/>
      <c r="S238" s="4"/>
      <c r="T238" s="4"/>
      <c r="U238" s="4"/>
      <c r="V238" s="4"/>
      <c r="W238" s="4"/>
      <c r="X238" s="4"/>
    </row>
    <row r="239" spans="1:24" ht="12.75">
      <c r="A239" s="4"/>
      <c r="B239" s="4"/>
      <c r="C239" s="4"/>
      <c r="D239" s="4"/>
      <c r="E239" s="957"/>
      <c r="F239" s="957"/>
      <c r="G239" s="957"/>
      <c r="H239" s="957"/>
      <c r="I239" s="957"/>
      <c r="J239" s="957"/>
      <c r="K239" s="957"/>
      <c r="L239" s="957"/>
      <c r="M239" s="957"/>
      <c r="N239" s="957"/>
      <c r="O239" s="4"/>
      <c r="P239" s="4"/>
      <c r="Q239" s="4"/>
      <c r="R239" s="4"/>
      <c r="S239" s="4"/>
      <c r="T239" s="4"/>
      <c r="U239" s="4"/>
      <c r="V239" s="4"/>
      <c r="W239" s="4"/>
      <c r="X239" s="4"/>
    </row>
    <row r="240" spans="1:24" ht="12.75">
      <c r="A240" s="4"/>
      <c r="B240" s="4"/>
      <c r="C240" s="4"/>
      <c r="D240" s="4"/>
      <c r="E240" s="957"/>
      <c r="F240" s="957"/>
      <c r="G240" s="957"/>
      <c r="H240" s="957"/>
      <c r="I240" s="957"/>
      <c r="J240" s="957"/>
      <c r="K240" s="957"/>
      <c r="L240" s="957"/>
      <c r="M240" s="957"/>
      <c r="N240" s="957"/>
      <c r="O240" s="4"/>
      <c r="P240" s="4"/>
      <c r="Q240" s="4"/>
      <c r="R240" s="4"/>
      <c r="S240" s="4"/>
      <c r="T240" s="4"/>
      <c r="U240" s="4"/>
      <c r="V240" s="4"/>
      <c r="W240" s="4"/>
      <c r="X240" s="4"/>
    </row>
    <row r="241" spans="1:24" ht="12.75">
      <c r="A241" s="4"/>
      <c r="B241" s="4"/>
      <c r="C241" s="4"/>
      <c r="D241" s="4"/>
      <c r="E241" s="957"/>
      <c r="F241" s="957"/>
      <c r="G241" s="957"/>
      <c r="H241" s="957"/>
      <c r="I241" s="957"/>
      <c r="J241" s="957"/>
      <c r="K241" s="957"/>
      <c r="L241" s="957"/>
      <c r="M241" s="957"/>
      <c r="N241" s="957"/>
      <c r="O241" s="4"/>
      <c r="P241" s="4"/>
      <c r="Q241" s="4"/>
      <c r="R241" s="4"/>
      <c r="S241" s="4"/>
      <c r="T241" s="4"/>
      <c r="U241" s="4"/>
      <c r="V241" s="4"/>
      <c r="W241" s="4"/>
      <c r="X241" s="4"/>
    </row>
    <row r="242" spans="1:24" ht="12.75">
      <c r="A242" s="4"/>
      <c r="B242" s="4"/>
      <c r="C242" s="4"/>
      <c r="D242" s="4"/>
      <c r="E242" s="957"/>
      <c r="F242" s="957"/>
      <c r="G242" s="957"/>
      <c r="H242" s="957"/>
      <c r="I242" s="957"/>
      <c r="J242" s="957"/>
      <c r="K242" s="957"/>
      <c r="L242" s="957"/>
      <c r="M242" s="957"/>
      <c r="N242" s="957"/>
      <c r="O242" s="4"/>
      <c r="P242" s="4"/>
      <c r="Q242" s="4"/>
      <c r="R242" s="4"/>
      <c r="S242" s="4"/>
      <c r="T242" s="4"/>
      <c r="U242" s="4"/>
      <c r="V242" s="4"/>
      <c r="W242" s="4"/>
      <c r="X242" s="4"/>
    </row>
    <row r="243" spans="1:24" ht="12.75">
      <c r="A243" s="4"/>
      <c r="B243" s="4"/>
      <c r="C243" s="4"/>
      <c r="D243" s="4"/>
      <c r="E243" s="957"/>
      <c r="F243" s="957"/>
      <c r="G243" s="957"/>
      <c r="H243" s="957"/>
      <c r="I243" s="957"/>
      <c r="J243" s="957"/>
      <c r="K243" s="957"/>
      <c r="L243" s="957"/>
      <c r="M243" s="957"/>
      <c r="N243" s="957"/>
      <c r="O243" s="4"/>
      <c r="P243" s="4"/>
      <c r="Q243" s="4"/>
      <c r="R243" s="4"/>
      <c r="S243" s="4"/>
      <c r="T243" s="4"/>
      <c r="U243" s="4"/>
      <c r="V243" s="4"/>
      <c r="W243" s="4"/>
      <c r="X243" s="4"/>
    </row>
    <row r="244" spans="1:24" ht="12.75">
      <c r="A244" s="4"/>
      <c r="B244" s="4"/>
      <c r="C244" s="4"/>
      <c r="D244" s="4"/>
      <c r="E244" s="957"/>
      <c r="F244" s="957"/>
      <c r="G244" s="957"/>
      <c r="H244" s="957"/>
      <c r="I244" s="957"/>
      <c r="J244" s="957"/>
      <c r="K244" s="957"/>
      <c r="L244" s="957"/>
      <c r="M244" s="957"/>
      <c r="N244" s="957"/>
      <c r="O244" s="4"/>
      <c r="P244" s="4"/>
      <c r="Q244" s="4"/>
      <c r="R244" s="4"/>
      <c r="S244" s="4"/>
      <c r="T244" s="4"/>
      <c r="U244" s="4"/>
      <c r="V244" s="4"/>
      <c r="W244" s="4"/>
      <c r="X244" s="4"/>
    </row>
    <row r="245" spans="1:24" ht="12.75">
      <c r="A245" s="4"/>
      <c r="B245" s="4"/>
      <c r="C245" s="4"/>
      <c r="D245" s="4"/>
      <c r="E245" s="957"/>
      <c r="F245" s="957"/>
      <c r="G245" s="957"/>
      <c r="H245" s="957"/>
      <c r="I245" s="957"/>
      <c r="J245" s="957"/>
      <c r="K245" s="957"/>
      <c r="L245" s="957"/>
      <c r="M245" s="957"/>
      <c r="N245" s="957"/>
      <c r="O245" s="4"/>
      <c r="P245" s="4"/>
      <c r="Q245" s="4"/>
      <c r="R245" s="4"/>
      <c r="S245" s="4"/>
      <c r="T245" s="4"/>
      <c r="U245" s="4"/>
      <c r="V245" s="4"/>
      <c r="W245" s="4"/>
      <c r="X245" s="4"/>
    </row>
    <row r="246" spans="1:24" ht="12.75">
      <c r="A246" s="4"/>
      <c r="B246" s="4"/>
      <c r="C246" s="4"/>
      <c r="D246" s="4"/>
      <c r="E246" s="957"/>
      <c r="F246" s="957"/>
      <c r="G246" s="957"/>
      <c r="H246" s="957"/>
      <c r="I246" s="957"/>
      <c r="J246" s="957"/>
      <c r="K246" s="957"/>
      <c r="L246" s="957"/>
      <c r="M246" s="957"/>
      <c r="N246" s="957"/>
      <c r="O246" s="4"/>
      <c r="P246" s="4"/>
      <c r="Q246" s="4"/>
      <c r="R246" s="4"/>
      <c r="S246" s="4"/>
      <c r="T246" s="4"/>
      <c r="U246" s="4"/>
      <c r="V246" s="4"/>
      <c r="W246" s="4"/>
      <c r="X246" s="4"/>
    </row>
    <row r="247" spans="1:24" ht="12.75">
      <c r="A247" s="4"/>
      <c r="B247" s="4"/>
      <c r="C247" s="4"/>
      <c r="D247" s="4"/>
      <c r="E247" s="957"/>
      <c r="F247" s="957"/>
      <c r="G247" s="957"/>
      <c r="H247" s="957"/>
      <c r="I247" s="957"/>
      <c r="J247" s="957"/>
      <c r="K247" s="957"/>
      <c r="L247" s="957"/>
      <c r="M247" s="957"/>
      <c r="N247" s="957"/>
      <c r="O247" s="4"/>
      <c r="P247" s="4"/>
      <c r="Q247" s="4"/>
      <c r="R247" s="4"/>
      <c r="S247" s="4"/>
      <c r="T247" s="4"/>
      <c r="U247" s="4"/>
      <c r="V247" s="4"/>
      <c r="W247" s="4"/>
      <c r="X247" s="4"/>
    </row>
    <row r="248" spans="1:24" ht="12.75">
      <c r="A248" s="4"/>
      <c r="B248" s="4"/>
      <c r="C248" s="4"/>
      <c r="D248" s="4"/>
      <c r="E248" s="957"/>
      <c r="F248" s="957"/>
      <c r="G248" s="957"/>
      <c r="H248" s="957"/>
      <c r="I248" s="957"/>
      <c r="J248" s="957"/>
      <c r="K248" s="957"/>
      <c r="L248" s="957"/>
      <c r="M248" s="957"/>
      <c r="N248" s="957"/>
      <c r="O248" s="4"/>
      <c r="P248" s="4"/>
      <c r="Q248" s="4"/>
      <c r="R248" s="4"/>
      <c r="S248" s="4"/>
      <c r="T248" s="4"/>
      <c r="U248" s="4"/>
      <c r="V248" s="4"/>
      <c r="W248" s="4"/>
      <c r="X248" s="4"/>
    </row>
    <row r="249" spans="1:24" ht="12.75">
      <c r="A249" s="4"/>
      <c r="B249" s="4"/>
      <c r="C249" s="4"/>
      <c r="D249" s="4"/>
      <c r="E249" s="957"/>
      <c r="F249" s="957"/>
      <c r="G249" s="957"/>
      <c r="H249" s="957"/>
      <c r="I249" s="957"/>
      <c r="J249" s="957"/>
      <c r="K249" s="957"/>
      <c r="L249" s="957"/>
      <c r="M249" s="957"/>
      <c r="N249" s="957"/>
      <c r="O249" s="4"/>
      <c r="P249" s="4"/>
      <c r="Q249" s="4"/>
      <c r="R249" s="4"/>
      <c r="S249" s="4"/>
      <c r="T249" s="4"/>
      <c r="U249" s="4"/>
      <c r="V249" s="4"/>
      <c r="W249" s="4"/>
      <c r="X249" s="4"/>
    </row>
    <row r="250" spans="1:24" ht="12.75">
      <c r="A250" s="4"/>
      <c r="B250" s="4"/>
      <c r="C250" s="4"/>
      <c r="D250" s="4"/>
      <c r="E250" s="957"/>
      <c r="F250" s="957"/>
      <c r="G250" s="957"/>
      <c r="H250" s="957"/>
      <c r="I250" s="957"/>
      <c r="J250" s="957"/>
      <c r="K250" s="957"/>
      <c r="L250" s="957"/>
      <c r="M250" s="957"/>
      <c r="N250" s="957"/>
      <c r="O250" s="4"/>
      <c r="P250" s="4"/>
      <c r="Q250" s="4"/>
      <c r="R250" s="4"/>
      <c r="S250" s="4"/>
      <c r="T250" s="4"/>
      <c r="U250" s="4"/>
      <c r="V250" s="4"/>
      <c r="W250" s="4"/>
      <c r="X250" s="4"/>
    </row>
    <row r="251" spans="1:24" ht="12.75">
      <c r="A251" s="4"/>
      <c r="B251" s="4"/>
      <c r="C251" s="4"/>
      <c r="D251" s="4"/>
      <c r="E251" s="957"/>
      <c r="F251" s="957"/>
      <c r="G251" s="957"/>
      <c r="H251" s="957"/>
      <c r="I251" s="957"/>
      <c r="J251" s="957"/>
      <c r="K251" s="957"/>
      <c r="L251" s="957"/>
      <c r="M251" s="957"/>
      <c r="N251" s="957"/>
      <c r="O251" s="4"/>
      <c r="P251" s="4"/>
      <c r="Q251" s="4"/>
      <c r="R251" s="4"/>
      <c r="S251" s="4"/>
      <c r="T251" s="4"/>
      <c r="U251" s="4"/>
      <c r="V251" s="4"/>
      <c r="W251" s="4"/>
      <c r="X251" s="4"/>
    </row>
    <row r="252" spans="1:24" ht="12.75">
      <c r="A252" s="4"/>
      <c r="B252" s="4"/>
      <c r="C252" s="4"/>
      <c r="D252" s="4"/>
      <c r="E252" s="957"/>
      <c r="F252" s="957"/>
      <c r="G252" s="957"/>
      <c r="H252" s="957"/>
      <c r="I252" s="957"/>
      <c r="J252" s="957"/>
      <c r="K252" s="957"/>
      <c r="L252" s="957"/>
      <c r="M252" s="957"/>
      <c r="N252" s="957"/>
      <c r="O252" s="4"/>
      <c r="P252" s="4"/>
      <c r="Q252" s="4"/>
      <c r="R252" s="4"/>
      <c r="S252" s="4"/>
      <c r="T252" s="4"/>
      <c r="U252" s="4"/>
      <c r="V252" s="4"/>
      <c r="W252" s="4"/>
      <c r="X252" s="4"/>
    </row>
    <row r="253" spans="1:24" ht="12.75">
      <c r="A253" s="4"/>
      <c r="B253" s="4"/>
      <c r="C253" s="4"/>
      <c r="D253" s="4"/>
      <c r="E253" s="957"/>
      <c r="F253" s="957"/>
      <c r="G253" s="957"/>
      <c r="H253" s="957"/>
      <c r="I253" s="957"/>
      <c r="J253" s="957"/>
      <c r="K253" s="957"/>
      <c r="L253" s="957"/>
      <c r="M253" s="957"/>
      <c r="N253" s="957"/>
      <c r="O253" s="4"/>
      <c r="P253" s="4"/>
      <c r="Q253" s="4"/>
      <c r="R253" s="4"/>
      <c r="S253" s="4"/>
      <c r="T253" s="4"/>
      <c r="U253" s="4"/>
      <c r="V253" s="4"/>
      <c r="W253" s="4"/>
      <c r="X253" s="4"/>
    </row>
    <row r="254" spans="1:24" ht="12.75">
      <c r="A254" s="4"/>
      <c r="B254" s="4"/>
      <c r="C254" s="4"/>
      <c r="D254" s="4"/>
      <c r="E254" s="957"/>
      <c r="F254" s="957"/>
      <c r="G254" s="957"/>
      <c r="H254" s="957"/>
      <c r="I254" s="957"/>
      <c r="J254" s="957"/>
      <c r="K254" s="957"/>
      <c r="L254" s="957"/>
      <c r="M254" s="957"/>
      <c r="N254" s="957"/>
      <c r="O254" s="4"/>
      <c r="P254" s="4"/>
      <c r="Q254" s="4"/>
      <c r="R254" s="4"/>
      <c r="S254" s="4"/>
      <c r="T254" s="4"/>
      <c r="U254" s="4"/>
      <c r="V254" s="4"/>
      <c r="W254" s="4"/>
      <c r="X254" s="4"/>
    </row>
    <row r="255" spans="1:24" ht="12.75">
      <c r="A255" s="4"/>
      <c r="B255" s="4"/>
      <c r="C255" s="4"/>
      <c r="D255" s="4"/>
      <c r="E255" s="957"/>
      <c r="F255" s="957"/>
      <c r="G255" s="957"/>
      <c r="H255" s="957"/>
      <c r="I255" s="957"/>
      <c r="J255" s="957"/>
      <c r="K255" s="957"/>
      <c r="L255" s="957"/>
      <c r="M255" s="957"/>
      <c r="N255" s="957"/>
      <c r="O255" s="4"/>
      <c r="P255" s="4"/>
      <c r="Q255" s="4"/>
      <c r="R255" s="4"/>
      <c r="S255" s="4"/>
      <c r="T255" s="4"/>
      <c r="U255" s="4"/>
      <c r="V255" s="4"/>
      <c r="W255" s="4"/>
      <c r="X255" s="4"/>
    </row>
    <row r="256" spans="1:24" ht="12.75">
      <c r="A256" s="4"/>
      <c r="B256" s="4"/>
      <c r="C256" s="4"/>
      <c r="D256" s="4"/>
      <c r="E256" s="957"/>
      <c r="F256" s="957"/>
      <c r="G256" s="957"/>
      <c r="H256" s="957"/>
      <c r="I256" s="957"/>
      <c r="J256" s="957"/>
      <c r="K256" s="957"/>
      <c r="L256" s="957"/>
      <c r="M256" s="957"/>
      <c r="N256" s="957"/>
      <c r="O256" s="4"/>
      <c r="P256" s="4"/>
      <c r="Q256" s="4"/>
      <c r="R256" s="4"/>
      <c r="S256" s="4"/>
      <c r="T256" s="4"/>
      <c r="U256" s="4"/>
      <c r="V256" s="4"/>
      <c r="W256" s="4"/>
      <c r="X256" s="4"/>
    </row>
    <row r="257" spans="1:24" ht="12.75">
      <c r="A257" s="4"/>
      <c r="B257" s="4"/>
      <c r="C257" s="4"/>
      <c r="D257" s="4"/>
      <c r="E257" s="957"/>
      <c r="F257" s="957"/>
      <c r="G257" s="957"/>
      <c r="H257" s="957"/>
      <c r="I257" s="957"/>
      <c r="J257" s="957"/>
      <c r="K257" s="957"/>
      <c r="L257" s="957"/>
      <c r="M257" s="957"/>
      <c r="N257" s="957"/>
      <c r="O257" s="4"/>
      <c r="P257" s="4"/>
      <c r="Q257" s="4"/>
      <c r="R257" s="4"/>
      <c r="S257" s="4"/>
      <c r="T257" s="4"/>
      <c r="U257" s="4"/>
      <c r="V257" s="4"/>
      <c r="W257" s="4"/>
      <c r="X257" s="4"/>
    </row>
    <row r="258" spans="1:24" ht="12.75">
      <c r="A258" s="4"/>
      <c r="B258" s="4"/>
      <c r="C258" s="4"/>
      <c r="D258" s="4"/>
      <c r="E258" s="957"/>
      <c r="F258" s="957"/>
      <c r="G258" s="957"/>
      <c r="H258" s="957"/>
      <c r="I258" s="957"/>
      <c r="J258" s="957"/>
      <c r="K258" s="957"/>
      <c r="L258" s="957"/>
      <c r="M258" s="957"/>
      <c r="N258" s="957"/>
      <c r="O258" s="4"/>
      <c r="P258" s="4"/>
      <c r="Q258" s="4"/>
      <c r="R258" s="4"/>
      <c r="S258" s="4"/>
      <c r="T258" s="4"/>
      <c r="U258" s="4"/>
      <c r="V258" s="4"/>
      <c r="W258" s="4"/>
      <c r="X258" s="4"/>
    </row>
    <row r="259" spans="1:24" ht="12.75">
      <c r="A259" s="4"/>
      <c r="B259" s="4"/>
      <c r="C259" s="4"/>
      <c r="D259" s="4"/>
      <c r="E259" s="957"/>
      <c r="F259" s="957"/>
      <c r="G259" s="957"/>
      <c r="H259" s="957"/>
      <c r="I259" s="957"/>
      <c r="J259" s="957"/>
      <c r="K259" s="957"/>
      <c r="L259" s="957"/>
      <c r="M259" s="957"/>
      <c r="N259" s="957"/>
      <c r="O259" s="4"/>
      <c r="P259" s="4"/>
      <c r="Q259" s="4"/>
      <c r="R259" s="4"/>
      <c r="S259" s="4"/>
      <c r="T259" s="4"/>
      <c r="U259" s="4"/>
      <c r="V259" s="4"/>
      <c r="W259" s="4"/>
      <c r="X259" s="4"/>
    </row>
    <row r="260" spans="1:24" ht="12.75">
      <c r="A260" s="4"/>
      <c r="B260" s="4"/>
      <c r="C260" s="4"/>
      <c r="D260" s="4"/>
      <c r="E260" s="957"/>
      <c r="F260" s="957"/>
      <c r="G260" s="957"/>
      <c r="H260" s="957"/>
      <c r="I260" s="957"/>
      <c r="J260" s="957"/>
      <c r="K260" s="957"/>
      <c r="L260" s="957"/>
      <c r="M260" s="957"/>
      <c r="N260" s="957"/>
      <c r="O260" s="4"/>
      <c r="P260" s="4"/>
      <c r="Q260" s="4"/>
      <c r="R260" s="4"/>
      <c r="S260" s="4"/>
      <c r="T260" s="4"/>
      <c r="U260" s="4"/>
      <c r="V260" s="4"/>
      <c r="W260" s="4"/>
      <c r="X260" s="4"/>
    </row>
    <row r="261" spans="1:24" ht="12.75">
      <c r="A261" s="4"/>
      <c r="B261" s="4"/>
      <c r="C261" s="4"/>
      <c r="D261" s="4"/>
      <c r="E261" s="957"/>
      <c r="F261" s="957"/>
      <c r="G261" s="957"/>
      <c r="H261" s="957"/>
      <c r="I261" s="957"/>
      <c r="J261" s="957"/>
      <c r="K261" s="957"/>
      <c r="L261" s="957"/>
      <c r="M261" s="957"/>
      <c r="N261" s="957"/>
      <c r="O261" s="4"/>
      <c r="P261" s="4"/>
      <c r="Q261" s="4"/>
      <c r="R261" s="4"/>
      <c r="S261" s="4"/>
      <c r="T261" s="4"/>
      <c r="U261" s="4"/>
      <c r="V261" s="4"/>
      <c r="W261" s="4"/>
      <c r="X261" s="4"/>
    </row>
    <row r="262" spans="1:24" ht="12.75">
      <c r="A262" s="4"/>
      <c r="B262" s="4"/>
      <c r="C262" s="4"/>
      <c r="D262" s="4"/>
      <c r="E262" s="957"/>
      <c r="F262" s="957"/>
      <c r="G262" s="957"/>
      <c r="H262" s="957"/>
      <c r="I262" s="957"/>
      <c r="J262" s="957"/>
      <c r="K262" s="957"/>
      <c r="L262" s="957"/>
      <c r="M262" s="957"/>
      <c r="N262" s="957"/>
      <c r="O262" s="4"/>
      <c r="P262" s="4"/>
      <c r="Q262" s="4"/>
      <c r="R262" s="4"/>
      <c r="S262" s="4"/>
      <c r="T262" s="4"/>
      <c r="U262" s="4"/>
      <c r="V262" s="4"/>
      <c r="W262" s="4"/>
      <c r="X262" s="4"/>
    </row>
    <row r="263" spans="1:24" ht="12.75">
      <c r="A263" s="4"/>
      <c r="B263" s="4"/>
      <c r="C263" s="4"/>
      <c r="D263" s="4"/>
      <c r="E263" s="957"/>
      <c r="F263" s="957"/>
      <c r="G263" s="957"/>
      <c r="H263" s="957"/>
      <c r="I263" s="957"/>
      <c r="J263" s="957"/>
      <c r="K263" s="957"/>
      <c r="L263" s="957"/>
      <c r="M263" s="957"/>
      <c r="N263" s="957"/>
      <c r="O263" s="4"/>
      <c r="P263" s="4"/>
      <c r="Q263" s="4"/>
      <c r="R263" s="4"/>
      <c r="S263" s="4"/>
      <c r="T263" s="4"/>
      <c r="U263" s="4"/>
      <c r="V263" s="4"/>
      <c r="W263" s="4"/>
      <c r="X263" s="4"/>
    </row>
    <row r="264" spans="1:24" ht="12.75">
      <c r="A264" s="4"/>
      <c r="B264" s="4"/>
      <c r="C264" s="4"/>
      <c r="D264" s="4"/>
      <c r="E264" s="957"/>
      <c r="F264" s="957"/>
      <c r="G264" s="957"/>
      <c r="H264" s="957"/>
      <c r="I264" s="957"/>
      <c r="J264" s="957"/>
      <c r="K264" s="957"/>
      <c r="L264" s="957"/>
      <c r="M264" s="957"/>
      <c r="N264" s="957"/>
      <c r="O264" s="4"/>
      <c r="P264" s="4"/>
      <c r="Q264" s="4"/>
      <c r="R264" s="4"/>
      <c r="S264" s="4"/>
      <c r="T264" s="4"/>
      <c r="U264" s="4"/>
      <c r="V264" s="4"/>
      <c r="W264" s="4"/>
      <c r="X264" s="4"/>
    </row>
    <row r="265" spans="1:24" ht="12.75">
      <c r="A265" s="4"/>
      <c r="B265" s="4"/>
      <c r="C265" s="4"/>
      <c r="D265" s="4"/>
      <c r="E265" s="957"/>
      <c r="F265" s="957"/>
      <c r="G265" s="957"/>
      <c r="H265" s="957"/>
      <c r="I265" s="957"/>
      <c r="J265" s="957"/>
      <c r="K265" s="957"/>
      <c r="L265" s="957"/>
      <c r="M265" s="957"/>
      <c r="N265" s="957"/>
      <c r="O265" s="4"/>
      <c r="P265" s="4"/>
      <c r="Q265" s="4"/>
      <c r="R265" s="4"/>
      <c r="S265" s="4"/>
      <c r="T265" s="4"/>
      <c r="U265" s="4"/>
      <c r="V265" s="4"/>
      <c r="W265" s="4"/>
      <c r="X265" s="4"/>
    </row>
    <row r="266" spans="1:24" ht="12.75">
      <c r="A266" s="4"/>
      <c r="B266" s="4"/>
      <c r="C266" s="4"/>
      <c r="D266" s="4"/>
      <c r="E266" s="957"/>
      <c r="F266" s="957"/>
      <c r="G266" s="957"/>
      <c r="H266" s="957"/>
      <c r="I266" s="957"/>
      <c r="J266" s="957"/>
      <c r="K266" s="957"/>
      <c r="L266" s="957"/>
      <c r="M266" s="957"/>
      <c r="N266" s="957"/>
      <c r="O266" s="4"/>
      <c r="P266" s="4"/>
      <c r="Q266" s="4"/>
      <c r="R266" s="4"/>
      <c r="S266" s="4"/>
      <c r="T266" s="4"/>
      <c r="U266" s="4"/>
      <c r="V266" s="4"/>
      <c r="W266" s="4"/>
      <c r="X266" s="4"/>
    </row>
    <row r="267" spans="1:24" ht="12.75">
      <c r="A267" s="4"/>
      <c r="B267" s="4"/>
      <c r="C267" s="4"/>
      <c r="D267" s="4"/>
      <c r="E267" s="957"/>
      <c r="F267" s="957"/>
      <c r="G267" s="957"/>
      <c r="H267" s="957"/>
      <c r="I267" s="957"/>
      <c r="J267" s="957"/>
      <c r="K267" s="957"/>
      <c r="L267" s="957"/>
      <c r="M267" s="957"/>
      <c r="N267" s="957"/>
      <c r="O267" s="4"/>
      <c r="P267" s="4"/>
      <c r="Q267" s="4"/>
      <c r="R267" s="4"/>
      <c r="S267" s="4"/>
      <c r="T267" s="4"/>
      <c r="U267" s="4"/>
      <c r="V267" s="4"/>
      <c r="W267" s="4"/>
      <c r="X267" s="4"/>
    </row>
    <row r="268" spans="1:24" ht="12.75">
      <c r="A268" s="4"/>
      <c r="B268" s="4"/>
      <c r="C268" s="4"/>
      <c r="D268" s="4"/>
      <c r="E268" s="957"/>
      <c r="F268" s="957"/>
      <c r="G268" s="957"/>
      <c r="H268" s="957"/>
      <c r="I268" s="957"/>
      <c r="J268" s="957"/>
      <c r="K268" s="957"/>
      <c r="L268" s="957"/>
      <c r="M268" s="957"/>
      <c r="N268" s="957"/>
      <c r="O268" s="4"/>
      <c r="P268" s="4"/>
      <c r="Q268" s="4"/>
      <c r="R268" s="4"/>
      <c r="S268" s="4"/>
      <c r="T268" s="4"/>
      <c r="U268" s="4"/>
      <c r="V268" s="4"/>
      <c r="W268" s="4"/>
      <c r="X268" s="4"/>
    </row>
    <row r="269" spans="1:24" ht="12.75">
      <c r="A269" s="4"/>
      <c r="B269" s="4"/>
      <c r="C269" s="4"/>
      <c r="D269" s="4"/>
      <c r="E269" s="957"/>
      <c r="F269" s="957"/>
      <c r="G269" s="957"/>
      <c r="H269" s="957"/>
      <c r="I269" s="957"/>
      <c r="J269" s="957"/>
      <c r="K269" s="957"/>
      <c r="L269" s="957"/>
      <c r="M269" s="957"/>
      <c r="N269" s="957"/>
      <c r="O269" s="4"/>
      <c r="P269" s="4"/>
      <c r="Q269" s="4"/>
      <c r="R269" s="4"/>
      <c r="S269" s="4"/>
      <c r="T269" s="4"/>
      <c r="U269" s="4"/>
      <c r="V269" s="4"/>
      <c r="W269" s="4"/>
      <c r="X269" s="4"/>
    </row>
    <row r="270" spans="1:24" ht="12.75">
      <c r="A270" s="4"/>
      <c r="B270" s="4"/>
      <c r="C270" s="4"/>
      <c r="D270" s="4"/>
      <c r="E270" s="957"/>
      <c r="F270" s="957"/>
      <c r="G270" s="957"/>
      <c r="H270" s="957"/>
      <c r="I270" s="957"/>
      <c r="J270" s="957"/>
      <c r="K270" s="957"/>
      <c r="L270" s="957"/>
      <c r="M270" s="957"/>
      <c r="N270" s="957"/>
      <c r="O270" s="4"/>
      <c r="P270" s="4"/>
      <c r="Q270" s="4"/>
      <c r="R270" s="4"/>
      <c r="S270" s="4"/>
      <c r="T270" s="4"/>
      <c r="U270" s="4"/>
      <c r="V270" s="4"/>
      <c r="W270" s="4"/>
      <c r="X270" s="4"/>
    </row>
    <row r="271" spans="1:24" ht="12.75">
      <c r="A271" s="4"/>
      <c r="B271" s="4"/>
      <c r="C271" s="4"/>
      <c r="D271" s="4"/>
      <c r="E271" s="957"/>
      <c r="F271" s="957"/>
      <c r="G271" s="957"/>
      <c r="H271" s="957"/>
      <c r="I271" s="957"/>
      <c r="J271" s="957"/>
      <c r="K271" s="957"/>
      <c r="L271" s="957"/>
      <c r="M271" s="957"/>
      <c r="N271" s="957"/>
      <c r="O271" s="4"/>
      <c r="P271" s="4"/>
      <c r="Q271" s="4"/>
      <c r="R271" s="4"/>
      <c r="S271" s="4"/>
      <c r="T271" s="4"/>
      <c r="U271" s="4"/>
      <c r="V271" s="4"/>
      <c r="W271" s="4"/>
      <c r="X271" s="4"/>
    </row>
    <row r="272" spans="1:24" ht="12.75">
      <c r="A272" s="4"/>
      <c r="B272" s="4"/>
      <c r="C272" s="4"/>
      <c r="D272" s="4"/>
      <c r="E272" s="957"/>
      <c r="F272" s="957"/>
      <c r="G272" s="957"/>
      <c r="H272" s="957"/>
      <c r="I272" s="957"/>
      <c r="J272" s="957"/>
      <c r="K272" s="957"/>
      <c r="L272" s="957"/>
      <c r="M272" s="957"/>
      <c r="N272" s="957"/>
      <c r="O272" s="4"/>
      <c r="P272" s="4"/>
      <c r="Q272" s="4"/>
      <c r="R272" s="4"/>
      <c r="S272" s="4"/>
      <c r="T272" s="4"/>
      <c r="U272" s="4"/>
      <c r="V272" s="4"/>
      <c r="W272" s="4"/>
      <c r="X272" s="4"/>
    </row>
    <row r="273" spans="1:24" ht="12.75">
      <c r="A273" s="4"/>
      <c r="B273" s="4"/>
      <c r="C273" s="4"/>
      <c r="D273" s="4"/>
      <c r="E273" s="957"/>
      <c r="F273" s="957"/>
      <c r="G273" s="957"/>
      <c r="H273" s="957"/>
      <c r="I273" s="957"/>
      <c r="J273" s="957"/>
      <c r="K273" s="957"/>
      <c r="L273" s="957"/>
      <c r="M273" s="957"/>
      <c r="N273" s="957"/>
      <c r="O273" s="4"/>
      <c r="P273" s="4"/>
      <c r="Q273" s="4"/>
      <c r="R273" s="4"/>
      <c r="S273" s="4"/>
      <c r="T273" s="4"/>
      <c r="U273" s="4"/>
      <c r="V273" s="4"/>
      <c r="W273" s="4"/>
      <c r="X273" s="4"/>
    </row>
    <row r="274" spans="1:24" ht="12.75">
      <c r="A274" s="4"/>
      <c r="B274" s="4"/>
      <c r="C274" s="4"/>
      <c r="D274" s="4"/>
      <c r="E274" s="957"/>
      <c r="F274" s="957"/>
      <c r="G274" s="957"/>
      <c r="H274" s="957"/>
      <c r="I274" s="957"/>
      <c r="J274" s="957"/>
      <c r="K274" s="957"/>
      <c r="L274" s="957"/>
      <c r="M274" s="957"/>
      <c r="N274" s="957"/>
      <c r="O274" s="4"/>
      <c r="P274" s="4"/>
      <c r="Q274" s="4"/>
      <c r="R274" s="4"/>
      <c r="S274" s="4"/>
      <c r="T274" s="4"/>
      <c r="U274" s="4"/>
      <c r="V274" s="4"/>
      <c r="W274" s="4"/>
      <c r="X274" s="4"/>
    </row>
    <row r="275" spans="1:24" ht="12.75">
      <c r="A275" s="4"/>
      <c r="B275" s="4"/>
      <c r="C275" s="4"/>
      <c r="D275" s="4"/>
      <c r="E275" s="957"/>
      <c r="F275" s="957"/>
      <c r="G275" s="957"/>
      <c r="H275" s="957"/>
      <c r="I275" s="957"/>
      <c r="J275" s="957"/>
      <c r="K275" s="957"/>
      <c r="L275" s="957"/>
      <c r="M275" s="957"/>
      <c r="N275" s="957"/>
      <c r="O275" s="4"/>
      <c r="P275" s="4"/>
      <c r="Q275" s="4"/>
      <c r="R275" s="4"/>
      <c r="S275" s="4"/>
      <c r="T275" s="4"/>
      <c r="U275" s="4"/>
      <c r="V275" s="4"/>
      <c r="W275" s="4"/>
      <c r="X275" s="4"/>
    </row>
    <row r="276" spans="1:24" ht="12.75">
      <c r="A276" s="4"/>
      <c r="B276" s="4"/>
      <c r="C276" s="4"/>
      <c r="D276" s="4"/>
      <c r="E276" s="957"/>
      <c r="F276" s="957"/>
      <c r="G276" s="957"/>
      <c r="H276" s="957"/>
      <c r="I276" s="957"/>
      <c r="J276" s="957"/>
      <c r="K276" s="957"/>
      <c r="L276" s="957"/>
      <c r="M276" s="957"/>
      <c r="N276" s="957"/>
      <c r="O276" s="4"/>
      <c r="P276" s="4"/>
      <c r="Q276" s="4"/>
      <c r="R276" s="4"/>
      <c r="S276" s="4"/>
      <c r="T276" s="4"/>
      <c r="U276" s="4"/>
      <c r="V276" s="4"/>
      <c r="W276" s="4"/>
      <c r="X276" s="4"/>
    </row>
    <row r="277" spans="1:24" ht="12.75">
      <c r="A277" s="4"/>
      <c r="B277" s="4"/>
      <c r="C277" s="4"/>
      <c r="D277" s="4"/>
      <c r="E277" s="957"/>
      <c r="F277" s="957"/>
      <c r="G277" s="957"/>
      <c r="H277" s="957"/>
      <c r="I277" s="957"/>
      <c r="J277" s="957"/>
      <c r="K277" s="957"/>
      <c r="L277" s="957"/>
      <c r="M277" s="957"/>
      <c r="N277" s="957"/>
      <c r="O277" s="4"/>
      <c r="P277" s="4"/>
      <c r="Q277" s="4"/>
      <c r="R277" s="4"/>
      <c r="S277" s="4"/>
      <c r="T277" s="4"/>
      <c r="U277" s="4"/>
      <c r="V277" s="4"/>
      <c r="W277" s="4"/>
      <c r="X277" s="4"/>
    </row>
    <row r="278" spans="1:24" ht="12.75">
      <c r="A278" s="4"/>
      <c r="B278" s="4"/>
      <c r="C278" s="4"/>
      <c r="D278" s="4"/>
      <c r="E278" s="957"/>
      <c r="F278" s="957"/>
      <c r="G278" s="957"/>
      <c r="H278" s="957"/>
      <c r="I278" s="957"/>
      <c r="J278" s="957"/>
      <c r="K278" s="957"/>
      <c r="L278" s="957"/>
      <c r="M278" s="957"/>
      <c r="N278" s="957"/>
      <c r="O278" s="4"/>
      <c r="P278" s="4"/>
      <c r="Q278" s="4"/>
      <c r="R278" s="4"/>
      <c r="S278" s="4"/>
      <c r="T278" s="4"/>
      <c r="U278" s="4"/>
      <c r="V278" s="4"/>
      <c r="W278" s="4"/>
      <c r="X278" s="4"/>
    </row>
    <row r="279" spans="1:24" ht="12.75">
      <c r="A279" s="4"/>
      <c r="B279" s="4"/>
      <c r="C279" s="4"/>
      <c r="D279" s="4"/>
      <c r="E279" s="957"/>
      <c r="F279" s="957"/>
      <c r="G279" s="957"/>
      <c r="H279" s="957"/>
      <c r="I279" s="957"/>
      <c r="J279" s="957"/>
      <c r="K279" s="957"/>
      <c r="L279" s="957"/>
      <c r="M279" s="957"/>
      <c r="N279" s="957"/>
      <c r="O279" s="4"/>
      <c r="P279" s="4"/>
      <c r="Q279" s="4"/>
      <c r="R279" s="4"/>
      <c r="S279" s="4"/>
      <c r="T279" s="4"/>
      <c r="U279" s="4"/>
      <c r="V279" s="4"/>
      <c r="W279" s="4"/>
      <c r="X279" s="4"/>
    </row>
    <row r="280" spans="1:24" ht="12.75">
      <c r="A280" s="4"/>
      <c r="B280" s="4"/>
      <c r="C280" s="4"/>
      <c r="D280" s="4"/>
      <c r="E280" s="957"/>
      <c r="F280" s="957"/>
      <c r="G280" s="957"/>
      <c r="H280" s="957"/>
      <c r="I280" s="957"/>
      <c r="J280" s="957"/>
      <c r="K280" s="957"/>
      <c r="L280" s="957"/>
      <c r="M280" s="957"/>
      <c r="N280" s="957"/>
      <c r="O280" s="4"/>
      <c r="P280" s="4"/>
      <c r="Q280" s="4"/>
      <c r="R280" s="4"/>
      <c r="S280" s="4"/>
      <c r="T280" s="4"/>
      <c r="U280" s="4"/>
      <c r="V280" s="4"/>
      <c r="W280" s="4"/>
      <c r="X280" s="4"/>
    </row>
    <row r="281" spans="1:24" ht="12.75">
      <c r="A281" s="4"/>
      <c r="B281" s="4"/>
      <c r="C281" s="4"/>
      <c r="D281" s="4"/>
      <c r="E281" s="957"/>
      <c r="F281" s="957"/>
      <c r="G281" s="957"/>
      <c r="H281" s="957"/>
      <c r="I281" s="957"/>
      <c r="J281" s="957"/>
      <c r="K281" s="957"/>
      <c r="L281" s="957"/>
      <c r="M281" s="957"/>
      <c r="N281" s="957"/>
      <c r="O281" s="4"/>
      <c r="P281" s="4"/>
      <c r="Q281" s="4"/>
      <c r="R281" s="4"/>
      <c r="S281" s="4"/>
      <c r="T281" s="4"/>
      <c r="U281" s="4"/>
      <c r="V281" s="4"/>
      <c r="W281" s="4"/>
      <c r="X281" s="4"/>
    </row>
    <row r="282" spans="1:24" ht="12.75">
      <c r="A282" s="4"/>
      <c r="B282" s="4"/>
      <c r="C282" s="4"/>
      <c r="D282" s="4"/>
      <c r="E282" s="957"/>
      <c r="F282" s="957"/>
      <c r="G282" s="957"/>
      <c r="H282" s="957"/>
      <c r="I282" s="957"/>
      <c r="J282" s="957"/>
      <c r="K282" s="957"/>
      <c r="L282" s="957"/>
      <c r="M282" s="957"/>
      <c r="N282" s="957"/>
      <c r="O282" s="4"/>
      <c r="P282" s="4"/>
      <c r="Q282" s="4"/>
      <c r="R282" s="4"/>
      <c r="S282" s="4"/>
      <c r="T282" s="4"/>
      <c r="U282" s="4"/>
      <c r="V282" s="4"/>
      <c r="W282" s="4"/>
      <c r="X282" s="4"/>
    </row>
    <row r="283" spans="1:24" ht="12.75">
      <c r="A283" s="4"/>
      <c r="B283" s="4"/>
      <c r="C283" s="4"/>
      <c r="D283" s="4"/>
      <c r="E283" s="957"/>
      <c r="F283" s="957"/>
      <c r="G283" s="957"/>
      <c r="H283" s="957"/>
      <c r="I283" s="957"/>
      <c r="J283" s="957"/>
      <c r="K283" s="957"/>
      <c r="L283" s="957"/>
      <c r="M283" s="957"/>
      <c r="N283" s="957"/>
      <c r="O283" s="4"/>
      <c r="P283" s="4"/>
      <c r="Q283" s="4"/>
      <c r="R283" s="4"/>
      <c r="S283" s="4"/>
      <c r="T283" s="4"/>
      <c r="U283" s="4"/>
      <c r="V283" s="4"/>
      <c r="W283" s="4"/>
      <c r="X283" s="4"/>
    </row>
    <row r="284" spans="1:24" ht="12.75">
      <c r="A284" s="4"/>
      <c r="B284" s="4"/>
      <c r="C284" s="4"/>
      <c r="D284" s="4"/>
      <c r="E284" s="957"/>
      <c r="F284" s="957"/>
      <c r="G284" s="957"/>
      <c r="H284" s="957"/>
      <c r="I284" s="957"/>
      <c r="J284" s="957"/>
      <c r="K284" s="957"/>
      <c r="L284" s="957"/>
      <c r="M284" s="957"/>
      <c r="N284" s="957"/>
      <c r="O284" s="4"/>
      <c r="P284" s="4"/>
      <c r="Q284" s="4"/>
      <c r="R284" s="4"/>
      <c r="S284" s="4"/>
      <c r="T284" s="4"/>
      <c r="U284" s="4"/>
      <c r="V284" s="4"/>
      <c r="W284" s="4"/>
      <c r="X284" s="4"/>
    </row>
    <row r="285" spans="1:24" ht="12.75">
      <c r="A285" s="4"/>
      <c r="B285" s="4"/>
      <c r="C285" s="4"/>
      <c r="D285" s="4"/>
      <c r="E285" s="957"/>
      <c r="F285" s="957"/>
      <c r="G285" s="957"/>
      <c r="H285" s="957"/>
      <c r="I285" s="957"/>
      <c r="J285" s="957"/>
      <c r="K285" s="957"/>
      <c r="L285" s="957"/>
      <c r="M285" s="957"/>
      <c r="N285" s="957"/>
      <c r="O285" s="4"/>
      <c r="P285" s="4"/>
      <c r="Q285" s="4"/>
      <c r="R285" s="4"/>
      <c r="S285" s="4"/>
      <c r="T285" s="4"/>
      <c r="U285" s="4"/>
      <c r="V285" s="4"/>
      <c r="W285" s="4"/>
      <c r="X285" s="4"/>
    </row>
    <row r="286" spans="1:24" ht="12.75">
      <c r="A286" s="4"/>
      <c r="B286" s="4"/>
      <c r="C286" s="4"/>
      <c r="D286" s="4"/>
      <c r="E286" s="957"/>
      <c r="F286" s="957"/>
      <c r="G286" s="957"/>
      <c r="H286" s="957"/>
      <c r="I286" s="957"/>
      <c r="J286" s="957"/>
      <c r="K286" s="957"/>
      <c r="L286" s="957"/>
      <c r="M286" s="957"/>
      <c r="N286" s="957"/>
      <c r="O286" s="4"/>
      <c r="P286" s="4"/>
      <c r="Q286" s="4"/>
      <c r="R286" s="4"/>
      <c r="S286" s="4"/>
      <c r="T286" s="4"/>
      <c r="U286" s="4"/>
      <c r="V286" s="4"/>
      <c r="W286" s="4"/>
      <c r="X286" s="4"/>
    </row>
    <row r="287" spans="1:24" ht="12.75">
      <c r="A287" s="4"/>
      <c r="B287" s="4"/>
      <c r="C287" s="4"/>
      <c r="D287" s="4"/>
      <c r="E287" s="957"/>
      <c r="F287" s="957"/>
      <c r="G287" s="957"/>
      <c r="H287" s="957"/>
      <c r="I287" s="957"/>
      <c r="J287" s="957"/>
      <c r="K287" s="957"/>
      <c r="L287" s="957"/>
      <c r="M287" s="957"/>
      <c r="N287" s="957"/>
      <c r="O287" s="4"/>
      <c r="P287" s="4"/>
      <c r="Q287" s="4"/>
      <c r="R287" s="4"/>
      <c r="S287" s="4"/>
      <c r="T287" s="4"/>
      <c r="U287" s="4"/>
      <c r="V287" s="4"/>
      <c r="W287" s="4"/>
      <c r="X287" s="4"/>
    </row>
    <row r="288" spans="1:24" ht="12.75">
      <c r="A288" s="4"/>
      <c r="B288" s="4"/>
      <c r="C288" s="4"/>
      <c r="D288" s="4"/>
      <c r="E288" s="957"/>
      <c r="F288" s="957"/>
      <c r="G288" s="957"/>
      <c r="H288" s="957"/>
      <c r="I288" s="957"/>
      <c r="J288" s="957"/>
      <c r="K288" s="957"/>
      <c r="L288" s="957"/>
      <c r="M288" s="957"/>
      <c r="N288" s="957"/>
      <c r="O288" s="4"/>
      <c r="P288" s="4"/>
      <c r="Q288" s="4"/>
      <c r="R288" s="4"/>
      <c r="S288" s="4"/>
      <c r="T288" s="4"/>
      <c r="U288" s="4"/>
      <c r="V288" s="4"/>
      <c r="W288" s="4"/>
      <c r="X288" s="4"/>
    </row>
    <row r="289" spans="1:24" ht="12.75">
      <c r="A289" s="4"/>
      <c r="B289" s="4"/>
      <c r="C289" s="4"/>
      <c r="D289" s="4"/>
      <c r="E289" s="957"/>
      <c r="F289" s="957"/>
      <c r="G289" s="957"/>
      <c r="H289" s="957"/>
      <c r="I289" s="957"/>
      <c r="J289" s="957"/>
      <c r="K289" s="957"/>
      <c r="L289" s="957"/>
      <c r="M289" s="957"/>
      <c r="N289" s="957"/>
      <c r="O289" s="4"/>
      <c r="P289" s="4"/>
      <c r="Q289" s="4"/>
      <c r="R289" s="4"/>
      <c r="S289" s="4"/>
      <c r="T289" s="4"/>
      <c r="U289" s="4"/>
      <c r="V289" s="4"/>
      <c r="W289" s="4"/>
      <c r="X289" s="4"/>
    </row>
    <row r="290" spans="1:24" ht="12.75">
      <c r="A290" s="4"/>
      <c r="B290" s="4"/>
      <c r="C290" s="4"/>
      <c r="D290" s="4"/>
      <c r="E290" s="957"/>
      <c r="F290" s="957"/>
      <c r="G290" s="957"/>
      <c r="H290" s="957"/>
      <c r="I290" s="957"/>
      <c r="J290" s="957"/>
      <c r="K290" s="957"/>
      <c r="L290" s="957"/>
      <c r="M290" s="957"/>
      <c r="N290" s="957"/>
      <c r="O290" s="4"/>
      <c r="P290" s="4"/>
      <c r="Q290" s="4"/>
      <c r="R290" s="4"/>
      <c r="S290" s="4"/>
      <c r="T290" s="4"/>
      <c r="U290" s="4"/>
      <c r="V290" s="4"/>
      <c r="W290" s="4"/>
      <c r="X290" s="4"/>
    </row>
    <row r="291" spans="1:24" ht="12.75">
      <c r="A291" s="4"/>
      <c r="B291" s="4"/>
      <c r="C291" s="4"/>
      <c r="D291" s="4"/>
      <c r="E291" s="957"/>
      <c r="F291" s="957"/>
      <c r="G291" s="957"/>
      <c r="H291" s="957"/>
      <c r="I291" s="957"/>
      <c r="J291" s="957"/>
      <c r="K291" s="957"/>
      <c r="L291" s="957"/>
      <c r="M291" s="957"/>
      <c r="N291" s="957"/>
      <c r="O291" s="4"/>
      <c r="P291" s="4"/>
      <c r="Q291" s="4"/>
      <c r="R291" s="4"/>
      <c r="S291" s="4"/>
      <c r="T291" s="4"/>
      <c r="U291" s="4"/>
      <c r="V291" s="4"/>
      <c r="W291" s="4"/>
      <c r="X291" s="4"/>
    </row>
    <row r="292" spans="1:24" ht="12.75">
      <c r="A292" s="4"/>
      <c r="B292" s="4"/>
      <c r="C292" s="4"/>
      <c r="D292" s="4"/>
      <c r="E292" s="957"/>
      <c r="F292" s="957"/>
      <c r="G292" s="957"/>
      <c r="H292" s="957"/>
      <c r="I292" s="957"/>
      <c r="J292" s="957"/>
      <c r="K292" s="957"/>
      <c r="L292" s="957"/>
      <c r="M292" s="957"/>
      <c r="N292" s="957"/>
      <c r="O292" s="4"/>
      <c r="P292" s="4"/>
      <c r="Q292" s="4"/>
      <c r="R292" s="4"/>
      <c r="S292" s="4"/>
      <c r="T292" s="4"/>
      <c r="U292" s="4"/>
      <c r="V292" s="4"/>
      <c r="W292" s="4"/>
      <c r="X292" s="4"/>
    </row>
    <row r="293" spans="1:24" ht="12.75">
      <c r="A293" s="4"/>
      <c r="B293" s="4"/>
      <c r="C293" s="4"/>
      <c r="D293" s="4"/>
      <c r="E293" s="957"/>
      <c r="F293" s="957"/>
      <c r="G293" s="957"/>
      <c r="H293" s="957"/>
      <c r="I293" s="957"/>
      <c r="J293" s="957"/>
      <c r="K293" s="957"/>
      <c r="L293" s="957"/>
      <c r="M293" s="957"/>
      <c r="N293" s="957"/>
      <c r="O293" s="4"/>
      <c r="P293" s="4"/>
      <c r="Q293" s="4"/>
      <c r="R293" s="4"/>
      <c r="S293" s="4"/>
      <c r="T293" s="4"/>
      <c r="U293" s="4"/>
      <c r="V293" s="4"/>
      <c r="W293" s="4"/>
      <c r="X293" s="4"/>
    </row>
    <row r="294" spans="1:24" ht="12.75">
      <c r="A294" s="4"/>
      <c r="B294" s="4"/>
      <c r="C294" s="4"/>
      <c r="D294" s="4"/>
      <c r="E294" s="957"/>
      <c r="F294" s="957"/>
      <c r="G294" s="957"/>
      <c r="H294" s="957"/>
      <c r="I294" s="957"/>
      <c r="J294" s="957"/>
      <c r="K294" s="957"/>
      <c r="L294" s="957"/>
      <c r="M294" s="957"/>
      <c r="N294" s="957"/>
      <c r="O294" s="4"/>
      <c r="P294" s="4"/>
      <c r="Q294" s="4"/>
      <c r="R294" s="4"/>
      <c r="S294" s="4"/>
      <c r="T294" s="4"/>
      <c r="U294" s="4"/>
      <c r="V294" s="4"/>
      <c r="W294" s="4"/>
      <c r="X294" s="4"/>
    </row>
    <row r="295" spans="1:24" ht="12.75">
      <c r="A295" s="4"/>
      <c r="B295" s="4"/>
      <c r="C295" s="4"/>
      <c r="D295" s="4"/>
      <c r="E295" s="957"/>
      <c r="F295" s="957"/>
      <c r="G295" s="957"/>
      <c r="H295" s="957"/>
      <c r="I295" s="957"/>
      <c r="J295" s="957"/>
      <c r="K295" s="957"/>
      <c r="L295" s="957"/>
      <c r="M295" s="957"/>
      <c r="N295" s="957"/>
      <c r="O295" s="4"/>
      <c r="P295" s="4"/>
      <c r="Q295" s="4"/>
      <c r="R295" s="4"/>
      <c r="S295" s="4"/>
      <c r="T295" s="4"/>
      <c r="U295" s="4"/>
      <c r="V295" s="4"/>
      <c r="W295" s="4"/>
      <c r="X295" s="4"/>
    </row>
    <row r="296" spans="1:24" ht="12.75">
      <c r="A296" s="4"/>
      <c r="B296" s="4"/>
      <c r="C296" s="4"/>
      <c r="D296" s="4"/>
      <c r="E296" s="957"/>
      <c r="F296" s="957"/>
      <c r="G296" s="957"/>
      <c r="H296" s="957"/>
      <c r="I296" s="957"/>
      <c r="J296" s="957"/>
      <c r="K296" s="957"/>
      <c r="L296" s="957"/>
      <c r="M296" s="957"/>
      <c r="N296" s="957"/>
      <c r="O296" s="4"/>
      <c r="P296" s="4"/>
      <c r="Q296" s="4"/>
      <c r="R296" s="4"/>
      <c r="S296" s="4"/>
      <c r="T296" s="4"/>
      <c r="U296" s="4"/>
      <c r="V296" s="4"/>
      <c r="W296" s="4"/>
      <c r="X296" s="4"/>
    </row>
    <row r="297" spans="1:24" ht="12.75">
      <c r="A297" s="4"/>
      <c r="B297" s="4"/>
      <c r="C297" s="4"/>
      <c r="D297" s="4"/>
      <c r="E297" s="957"/>
      <c r="F297" s="957"/>
      <c r="G297" s="957"/>
      <c r="H297" s="957"/>
      <c r="I297" s="957"/>
      <c r="J297" s="957"/>
      <c r="K297" s="957"/>
      <c r="L297" s="957"/>
      <c r="M297" s="957"/>
      <c r="N297" s="957"/>
      <c r="O297" s="4"/>
      <c r="P297" s="4"/>
      <c r="Q297" s="4"/>
      <c r="R297" s="4"/>
      <c r="S297" s="4"/>
      <c r="T297" s="4"/>
      <c r="U297" s="4"/>
      <c r="V297" s="4"/>
      <c r="W297" s="4"/>
      <c r="X297" s="4"/>
    </row>
    <row r="298" spans="1:24" ht="12.75">
      <c r="A298" s="4"/>
      <c r="B298" s="4"/>
      <c r="C298" s="4"/>
      <c r="D298" s="4"/>
      <c r="E298" s="957"/>
      <c r="F298" s="957"/>
      <c r="G298" s="957"/>
      <c r="H298" s="957"/>
      <c r="I298" s="957"/>
      <c r="J298" s="957"/>
      <c r="K298" s="957"/>
      <c r="L298" s="957"/>
      <c r="M298" s="957"/>
      <c r="N298" s="957"/>
      <c r="O298" s="4"/>
      <c r="P298" s="4"/>
      <c r="Q298" s="4"/>
      <c r="R298" s="4"/>
      <c r="S298" s="4"/>
      <c r="T298" s="4"/>
      <c r="U298" s="4"/>
      <c r="V298" s="4"/>
      <c r="W298" s="4"/>
      <c r="X298" s="4"/>
    </row>
    <row r="299" spans="1:24" ht="12.75">
      <c r="A299" s="4"/>
      <c r="B299" s="4"/>
      <c r="C299" s="4"/>
      <c r="D299" s="4"/>
      <c r="E299" s="957"/>
      <c r="F299" s="957"/>
      <c r="G299" s="957"/>
      <c r="H299" s="957"/>
      <c r="I299" s="957"/>
      <c r="J299" s="957"/>
      <c r="K299" s="957"/>
      <c r="L299" s="957"/>
      <c r="M299" s="957"/>
      <c r="N299" s="957"/>
      <c r="O299" s="4"/>
      <c r="P299" s="4"/>
      <c r="Q299" s="4"/>
      <c r="R299" s="4"/>
      <c r="S299" s="4"/>
      <c r="T299" s="4"/>
      <c r="U299" s="4"/>
      <c r="V299" s="4"/>
      <c r="W299" s="4"/>
      <c r="X299" s="4"/>
    </row>
    <row r="300" spans="1:24" ht="12.75">
      <c r="A300" s="4"/>
      <c r="B300" s="4"/>
      <c r="C300" s="4"/>
      <c r="D300" s="4"/>
      <c r="E300" s="957"/>
      <c r="F300" s="957"/>
      <c r="G300" s="957"/>
      <c r="H300" s="957"/>
      <c r="I300" s="957"/>
      <c r="J300" s="957"/>
      <c r="K300" s="957"/>
      <c r="L300" s="957"/>
      <c r="M300" s="957"/>
      <c r="N300" s="957"/>
      <c r="O300" s="4"/>
      <c r="P300" s="4"/>
      <c r="Q300" s="4"/>
      <c r="R300" s="4"/>
      <c r="S300" s="4"/>
      <c r="T300" s="4"/>
      <c r="U300" s="4"/>
      <c r="V300" s="4"/>
      <c r="W300" s="4"/>
      <c r="X300" s="4"/>
    </row>
    <row r="301" spans="1:24" ht="12.75">
      <c r="A301" s="4"/>
      <c r="B301" s="4"/>
      <c r="C301" s="4"/>
      <c r="D301" s="4"/>
      <c r="E301" s="957"/>
      <c r="F301" s="957"/>
      <c r="G301" s="957"/>
      <c r="H301" s="957"/>
      <c r="I301" s="957"/>
      <c r="J301" s="957"/>
      <c r="K301" s="957"/>
      <c r="L301" s="957"/>
      <c r="M301" s="957"/>
      <c r="N301" s="957"/>
      <c r="O301" s="4"/>
      <c r="P301" s="4"/>
      <c r="Q301" s="4"/>
      <c r="R301" s="4"/>
      <c r="S301" s="4"/>
      <c r="T301" s="4"/>
      <c r="U301" s="4"/>
      <c r="V301" s="4"/>
      <c r="W301" s="4"/>
      <c r="X301" s="4"/>
    </row>
    <row r="302" spans="1:24" ht="12.75">
      <c r="A302" s="4"/>
      <c r="B302" s="4"/>
      <c r="C302" s="4"/>
      <c r="D302" s="4"/>
      <c r="E302" s="957"/>
      <c r="F302" s="957"/>
      <c r="G302" s="957"/>
      <c r="H302" s="957"/>
      <c r="I302" s="957"/>
      <c r="J302" s="957"/>
      <c r="K302" s="957"/>
      <c r="L302" s="957"/>
      <c r="M302" s="957"/>
      <c r="N302" s="957"/>
      <c r="O302" s="4"/>
      <c r="P302" s="4"/>
      <c r="Q302" s="4"/>
      <c r="R302" s="4"/>
      <c r="S302" s="4"/>
      <c r="T302" s="4"/>
      <c r="U302" s="4"/>
      <c r="V302" s="4"/>
      <c r="W302" s="4"/>
      <c r="X302" s="4"/>
    </row>
    <row r="303" spans="1:24" ht="12.75">
      <c r="A303" s="4"/>
      <c r="B303" s="4"/>
      <c r="C303" s="4"/>
      <c r="D303" s="4"/>
      <c r="E303" s="957"/>
      <c r="F303" s="957"/>
      <c r="G303" s="957"/>
      <c r="H303" s="957"/>
      <c r="I303" s="957"/>
      <c r="J303" s="957"/>
      <c r="K303" s="957"/>
      <c r="L303" s="957"/>
      <c r="M303" s="957"/>
      <c r="N303" s="957"/>
      <c r="O303" s="4"/>
      <c r="P303" s="4"/>
      <c r="Q303" s="4"/>
      <c r="R303" s="4"/>
      <c r="S303" s="4"/>
      <c r="T303" s="4"/>
      <c r="U303" s="4"/>
      <c r="V303" s="4"/>
      <c r="W303" s="4"/>
      <c r="X303" s="4"/>
    </row>
    <row r="304" spans="1:24" ht="12.75">
      <c r="A304" s="4"/>
      <c r="B304" s="4"/>
      <c r="C304" s="4"/>
      <c r="D304" s="4"/>
      <c r="E304" s="957"/>
      <c r="F304" s="957"/>
      <c r="G304" s="957"/>
      <c r="H304" s="957"/>
      <c r="I304" s="957"/>
      <c r="J304" s="957"/>
      <c r="K304" s="957"/>
      <c r="L304" s="957"/>
      <c r="M304" s="957"/>
      <c r="N304" s="957"/>
      <c r="O304" s="4"/>
      <c r="P304" s="4"/>
      <c r="Q304" s="4"/>
      <c r="R304" s="4"/>
      <c r="S304" s="4"/>
      <c r="T304" s="4"/>
      <c r="U304" s="4"/>
      <c r="V304" s="4"/>
      <c r="W304" s="4"/>
      <c r="X304" s="4"/>
    </row>
    <row r="305" spans="1:24" ht="12.75">
      <c r="A305" s="4"/>
      <c r="B305" s="4"/>
      <c r="C305" s="4"/>
      <c r="D305" s="4"/>
      <c r="E305" s="957"/>
      <c r="F305" s="957"/>
      <c r="G305" s="957"/>
      <c r="H305" s="957"/>
      <c r="I305" s="957"/>
      <c r="J305" s="957"/>
      <c r="K305" s="957"/>
      <c r="L305" s="957"/>
      <c r="M305" s="957"/>
      <c r="N305" s="957"/>
      <c r="O305" s="4"/>
      <c r="P305" s="4"/>
      <c r="Q305" s="4"/>
      <c r="R305" s="4"/>
      <c r="S305" s="4"/>
      <c r="T305" s="4"/>
      <c r="U305" s="4"/>
      <c r="V305" s="4"/>
      <c r="W305" s="4"/>
      <c r="X305" s="4"/>
    </row>
    <row r="306" spans="1:24" ht="12.75">
      <c r="A306" s="4"/>
      <c r="B306" s="4"/>
      <c r="C306" s="4"/>
      <c r="D306" s="4"/>
      <c r="E306" s="957"/>
      <c r="F306" s="957"/>
      <c r="G306" s="957"/>
      <c r="H306" s="957"/>
      <c r="I306" s="957"/>
      <c r="J306" s="957"/>
      <c r="K306" s="957"/>
      <c r="L306" s="957"/>
      <c r="M306" s="957"/>
      <c r="N306" s="957"/>
      <c r="O306" s="4"/>
      <c r="P306" s="4"/>
      <c r="Q306" s="4"/>
      <c r="R306" s="4"/>
      <c r="S306" s="4"/>
      <c r="T306" s="4"/>
      <c r="U306" s="4"/>
      <c r="V306" s="4"/>
      <c r="W306" s="4"/>
      <c r="X306" s="4"/>
    </row>
    <row r="307" spans="1:24" ht="12.75">
      <c r="A307" s="4"/>
      <c r="B307" s="4"/>
      <c r="C307" s="4"/>
      <c r="D307" s="4"/>
      <c r="E307" s="957"/>
      <c r="F307" s="957"/>
      <c r="G307" s="957"/>
      <c r="H307" s="957"/>
      <c r="I307" s="957"/>
      <c r="J307" s="957"/>
      <c r="K307" s="957"/>
      <c r="L307" s="957"/>
      <c r="M307" s="957"/>
      <c r="N307" s="957"/>
      <c r="O307" s="4"/>
      <c r="P307" s="4"/>
      <c r="Q307" s="4"/>
      <c r="R307" s="4"/>
      <c r="S307" s="4"/>
      <c r="T307" s="4"/>
      <c r="U307" s="4"/>
      <c r="V307" s="4"/>
      <c r="W307" s="4"/>
      <c r="X307" s="4"/>
    </row>
    <row r="308" spans="1:24" ht="12.75">
      <c r="A308" s="4"/>
      <c r="B308" s="4"/>
      <c r="C308" s="4"/>
      <c r="D308" s="4"/>
      <c r="E308" s="957"/>
      <c r="F308" s="957"/>
      <c r="G308" s="957"/>
      <c r="H308" s="957"/>
      <c r="I308" s="957"/>
      <c r="J308" s="957"/>
      <c r="K308" s="957"/>
      <c r="L308" s="957"/>
      <c r="M308" s="957"/>
      <c r="N308" s="957"/>
      <c r="O308" s="4"/>
      <c r="P308" s="4"/>
      <c r="Q308" s="4"/>
      <c r="R308" s="4"/>
      <c r="S308" s="4"/>
      <c r="T308" s="4"/>
      <c r="U308" s="4"/>
      <c r="V308" s="4"/>
      <c r="W308" s="4"/>
      <c r="X308" s="4"/>
    </row>
    <row r="309" spans="1:24" ht="12.75">
      <c r="A309" s="4"/>
      <c r="B309" s="4"/>
      <c r="C309" s="4"/>
      <c r="D309" s="4"/>
      <c r="E309" s="957"/>
      <c r="F309" s="957"/>
      <c r="G309" s="957"/>
      <c r="H309" s="957"/>
      <c r="I309" s="957"/>
      <c r="J309" s="957"/>
      <c r="K309" s="957"/>
      <c r="L309" s="957"/>
      <c r="M309" s="957"/>
      <c r="N309" s="957"/>
      <c r="O309" s="4"/>
      <c r="P309" s="4"/>
      <c r="Q309" s="4"/>
      <c r="R309" s="4"/>
      <c r="S309" s="4"/>
      <c r="T309" s="4"/>
      <c r="U309" s="4"/>
      <c r="V309" s="4"/>
      <c r="W309" s="4"/>
      <c r="X309" s="4"/>
    </row>
    <row r="310" spans="1:24" ht="12.75">
      <c r="A310" s="4"/>
      <c r="B310" s="4"/>
      <c r="C310" s="4"/>
      <c r="D310" s="4"/>
      <c r="E310" s="957"/>
      <c r="F310" s="957"/>
      <c r="G310" s="957"/>
      <c r="H310" s="957"/>
      <c r="I310" s="957"/>
      <c r="J310" s="957"/>
      <c r="K310" s="957"/>
      <c r="L310" s="957"/>
      <c r="M310" s="957"/>
      <c r="N310" s="957"/>
      <c r="O310" s="4"/>
      <c r="P310" s="4"/>
      <c r="Q310" s="4"/>
      <c r="R310" s="4"/>
      <c r="S310" s="4"/>
      <c r="T310" s="4"/>
      <c r="U310" s="4"/>
      <c r="V310" s="4"/>
      <c r="W310" s="4"/>
      <c r="X310" s="4"/>
    </row>
    <row r="311" spans="1:24" ht="12.75">
      <c r="A311" s="4"/>
      <c r="B311" s="4"/>
      <c r="C311" s="4"/>
      <c r="D311" s="4"/>
      <c r="E311" s="957"/>
      <c r="F311" s="957"/>
      <c r="G311" s="957"/>
      <c r="H311" s="957"/>
      <c r="I311" s="957"/>
      <c r="J311" s="957"/>
      <c r="K311" s="957"/>
      <c r="L311" s="957"/>
      <c r="M311" s="957"/>
      <c r="N311" s="957"/>
      <c r="O311" s="4"/>
      <c r="P311" s="4"/>
      <c r="Q311" s="4"/>
      <c r="R311" s="4"/>
      <c r="S311" s="4"/>
      <c r="T311" s="4"/>
      <c r="U311" s="4"/>
      <c r="V311" s="4"/>
      <c r="W311" s="4"/>
      <c r="X311" s="4"/>
    </row>
    <row r="312" spans="1:24" ht="12.75">
      <c r="A312" s="4"/>
      <c r="B312" s="4"/>
      <c r="C312" s="4"/>
      <c r="D312" s="4"/>
      <c r="E312" s="957"/>
      <c r="F312" s="957"/>
      <c r="G312" s="957"/>
      <c r="H312" s="957"/>
      <c r="I312" s="957"/>
      <c r="J312" s="957"/>
      <c r="K312" s="957"/>
      <c r="L312" s="957"/>
      <c r="M312" s="957"/>
      <c r="N312" s="957"/>
      <c r="O312" s="4"/>
      <c r="P312" s="4"/>
      <c r="Q312" s="4"/>
      <c r="R312" s="4"/>
      <c r="S312" s="4"/>
      <c r="T312" s="4"/>
      <c r="U312" s="4"/>
      <c r="V312" s="4"/>
      <c r="W312" s="4"/>
      <c r="X312" s="4"/>
    </row>
    <row r="313" spans="1:24" ht="12.75">
      <c r="A313" s="4"/>
      <c r="B313" s="4"/>
      <c r="C313" s="4"/>
      <c r="D313" s="4"/>
      <c r="E313" s="957"/>
      <c r="F313" s="957"/>
      <c r="G313" s="957"/>
      <c r="H313" s="957"/>
      <c r="I313" s="957"/>
      <c r="J313" s="957"/>
      <c r="K313" s="957"/>
      <c r="L313" s="957"/>
      <c r="M313" s="957"/>
      <c r="N313" s="957"/>
      <c r="O313" s="4"/>
      <c r="P313" s="4"/>
      <c r="Q313" s="4"/>
      <c r="R313" s="4"/>
      <c r="S313" s="4"/>
      <c r="T313" s="4"/>
      <c r="U313" s="4"/>
      <c r="V313" s="4"/>
      <c r="W313" s="4"/>
      <c r="X313" s="4"/>
    </row>
    <row r="314" spans="1:24" ht="12.75">
      <c r="A314" s="4"/>
      <c r="B314" s="4"/>
      <c r="C314" s="4"/>
      <c r="D314" s="4"/>
      <c r="E314" s="957"/>
      <c r="F314" s="957"/>
      <c r="G314" s="957"/>
      <c r="H314" s="957"/>
      <c r="I314" s="957"/>
      <c r="J314" s="957"/>
      <c r="K314" s="957"/>
      <c r="L314" s="957"/>
      <c r="M314" s="957"/>
      <c r="N314" s="957"/>
      <c r="O314" s="4"/>
      <c r="P314" s="4"/>
      <c r="Q314" s="4"/>
      <c r="R314" s="4"/>
      <c r="S314" s="4"/>
      <c r="T314" s="4"/>
      <c r="U314" s="4"/>
      <c r="V314" s="4"/>
      <c r="W314" s="4"/>
      <c r="X314" s="4"/>
    </row>
    <row r="315" spans="1:24" ht="12.75">
      <c r="A315" s="4"/>
      <c r="B315" s="4"/>
      <c r="C315" s="4"/>
      <c r="D315" s="4"/>
      <c r="E315" s="957"/>
      <c r="F315" s="957"/>
      <c r="G315" s="957"/>
      <c r="H315" s="957"/>
      <c r="I315" s="957"/>
      <c r="J315" s="957"/>
      <c r="K315" s="957"/>
      <c r="L315" s="957"/>
      <c r="M315" s="957"/>
      <c r="N315" s="957"/>
      <c r="O315" s="4"/>
      <c r="P315" s="4"/>
      <c r="Q315" s="4"/>
      <c r="R315" s="4"/>
      <c r="S315" s="4"/>
      <c r="T315" s="4"/>
      <c r="U315" s="4"/>
      <c r="V315" s="4"/>
      <c r="W315" s="4"/>
      <c r="X315" s="4"/>
    </row>
    <row r="316" spans="1:24" ht="12.75">
      <c r="A316" s="4"/>
      <c r="B316" s="4"/>
      <c r="C316" s="4"/>
      <c r="D316" s="4"/>
      <c r="E316" s="957"/>
      <c r="F316" s="957"/>
      <c r="G316" s="957"/>
      <c r="H316" s="957"/>
      <c r="I316" s="957"/>
      <c r="J316" s="957"/>
      <c r="K316" s="957"/>
      <c r="L316" s="957"/>
      <c r="M316" s="957"/>
      <c r="N316" s="957"/>
      <c r="O316" s="4"/>
      <c r="P316" s="4"/>
      <c r="Q316" s="4"/>
      <c r="R316" s="4"/>
      <c r="S316" s="4"/>
      <c r="T316" s="4"/>
      <c r="U316" s="4"/>
      <c r="V316" s="4"/>
      <c r="W316" s="4"/>
      <c r="X316" s="4"/>
    </row>
    <row r="317" spans="1:24" ht="12.75">
      <c r="A317" s="4"/>
      <c r="B317" s="4"/>
      <c r="C317" s="4"/>
      <c r="D317" s="4"/>
      <c r="E317" s="957"/>
      <c r="F317" s="957"/>
      <c r="G317" s="957"/>
      <c r="H317" s="957"/>
      <c r="I317" s="957"/>
      <c r="J317" s="957"/>
      <c r="K317" s="957"/>
      <c r="L317" s="957"/>
      <c r="M317" s="957"/>
      <c r="N317" s="957"/>
      <c r="O317" s="4"/>
      <c r="P317" s="4"/>
      <c r="Q317" s="4"/>
      <c r="R317" s="4"/>
      <c r="S317" s="4"/>
      <c r="T317" s="4"/>
      <c r="U317" s="4"/>
      <c r="V317" s="4"/>
      <c r="W317" s="4"/>
      <c r="X317" s="4"/>
    </row>
    <row r="318" spans="1:24" ht="12.75">
      <c r="A318" s="4"/>
      <c r="B318" s="4"/>
      <c r="C318" s="4"/>
      <c r="D318" s="4"/>
      <c r="E318" s="957"/>
      <c r="F318" s="957"/>
      <c r="G318" s="957"/>
      <c r="H318" s="957"/>
      <c r="I318" s="957"/>
      <c r="J318" s="957"/>
      <c r="K318" s="957"/>
      <c r="L318" s="957"/>
      <c r="M318" s="957"/>
      <c r="N318" s="957"/>
      <c r="O318" s="4"/>
      <c r="P318" s="4"/>
      <c r="Q318" s="4"/>
      <c r="R318" s="4"/>
      <c r="S318" s="4"/>
      <c r="T318" s="4"/>
      <c r="U318" s="4"/>
      <c r="V318" s="4"/>
      <c r="W318" s="4"/>
      <c r="X318" s="4"/>
    </row>
    <row r="319" spans="1:24" ht="12.75">
      <c r="A319" s="4"/>
      <c r="B319" s="4"/>
      <c r="C319" s="4"/>
      <c r="D319" s="4"/>
      <c r="E319" s="957"/>
      <c r="F319" s="957"/>
      <c r="G319" s="957"/>
      <c r="H319" s="957"/>
      <c r="I319" s="957"/>
      <c r="J319" s="957"/>
      <c r="K319" s="957"/>
      <c r="L319" s="957"/>
      <c r="M319" s="957"/>
      <c r="N319" s="957"/>
      <c r="O319" s="4"/>
      <c r="P319" s="4"/>
      <c r="Q319" s="4"/>
      <c r="R319" s="4"/>
      <c r="S319" s="4"/>
      <c r="T319" s="4"/>
      <c r="U319" s="4"/>
      <c r="V319" s="4"/>
      <c r="W319" s="4"/>
      <c r="X319" s="4"/>
    </row>
    <row r="320" spans="1:24" ht="12.75">
      <c r="A320" s="4"/>
      <c r="B320" s="4"/>
      <c r="C320" s="4"/>
      <c r="D320" s="4"/>
      <c r="E320" s="957"/>
      <c r="F320" s="957"/>
      <c r="G320" s="957"/>
      <c r="H320" s="957"/>
      <c r="I320" s="957"/>
      <c r="J320" s="957"/>
      <c r="K320" s="957"/>
      <c r="L320" s="957"/>
      <c r="M320" s="957"/>
      <c r="N320" s="957"/>
      <c r="O320" s="4"/>
      <c r="P320" s="4"/>
      <c r="Q320" s="4"/>
      <c r="R320" s="4"/>
      <c r="S320" s="4"/>
      <c r="T320" s="4"/>
      <c r="U320" s="4"/>
      <c r="V320" s="4"/>
      <c r="W320" s="4"/>
      <c r="X320" s="4"/>
    </row>
    <row r="321" spans="1:24" ht="12.75">
      <c r="A321" s="4"/>
      <c r="B321" s="4"/>
      <c r="C321" s="4"/>
      <c r="D321" s="4"/>
      <c r="E321" s="957"/>
      <c r="F321" s="957"/>
      <c r="G321" s="957"/>
      <c r="H321" s="957"/>
      <c r="I321" s="957"/>
      <c r="J321" s="957"/>
      <c r="K321" s="957"/>
      <c r="L321" s="957"/>
      <c r="M321" s="957"/>
      <c r="N321" s="957"/>
      <c r="O321" s="4"/>
      <c r="P321" s="4"/>
      <c r="Q321" s="4"/>
      <c r="R321" s="4"/>
      <c r="S321" s="4"/>
      <c r="T321" s="4"/>
      <c r="U321" s="4"/>
      <c r="V321" s="4"/>
      <c r="W321" s="4"/>
      <c r="X321" s="4"/>
    </row>
    <row r="322" spans="1:24" ht="12.75">
      <c r="A322" s="4"/>
      <c r="B322" s="4"/>
      <c r="C322" s="4"/>
      <c r="D322" s="4"/>
      <c r="E322" s="957"/>
      <c r="F322" s="957"/>
      <c r="G322" s="957"/>
      <c r="H322" s="957"/>
      <c r="I322" s="957"/>
      <c r="J322" s="957"/>
      <c r="K322" s="957"/>
      <c r="L322" s="957"/>
      <c r="M322" s="957"/>
      <c r="N322" s="957"/>
      <c r="O322" s="4"/>
      <c r="P322" s="4"/>
      <c r="Q322" s="4"/>
      <c r="R322" s="4"/>
      <c r="S322" s="4"/>
      <c r="T322" s="4"/>
      <c r="U322" s="4"/>
      <c r="V322" s="4"/>
      <c r="W322" s="4"/>
      <c r="X322" s="4"/>
    </row>
    <row r="323" spans="1:24" ht="12.75">
      <c r="A323" s="4"/>
      <c r="B323" s="4"/>
      <c r="C323" s="4"/>
      <c r="D323" s="4"/>
      <c r="E323" s="957"/>
      <c r="F323" s="957"/>
      <c r="G323" s="957"/>
      <c r="H323" s="957"/>
      <c r="I323" s="957"/>
      <c r="J323" s="957"/>
      <c r="K323" s="957"/>
      <c r="L323" s="957"/>
      <c r="M323" s="957"/>
      <c r="N323" s="957"/>
      <c r="O323" s="4"/>
      <c r="P323" s="4"/>
      <c r="Q323" s="4"/>
      <c r="R323" s="4"/>
      <c r="S323" s="4"/>
      <c r="T323" s="4"/>
      <c r="U323" s="4"/>
      <c r="V323" s="4"/>
      <c r="W323" s="4"/>
      <c r="X323" s="4"/>
    </row>
    <row r="324" spans="1:24" ht="12.75">
      <c r="A324" s="4"/>
      <c r="B324" s="4"/>
      <c r="C324" s="4"/>
      <c r="D324" s="4"/>
      <c r="E324" s="957"/>
      <c r="F324" s="957"/>
      <c r="G324" s="957"/>
      <c r="H324" s="957"/>
      <c r="I324" s="957"/>
      <c r="J324" s="957"/>
      <c r="K324" s="957"/>
      <c r="L324" s="957"/>
      <c r="M324" s="957"/>
      <c r="N324" s="957"/>
      <c r="O324" s="4"/>
      <c r="P324" s="4"/>
      <c r="Q324" s="4"/>
      <c r="R324" s="4"/>
      <c r="S324" s="4"/>
      <c r="T324" s="4"/>
      <c r="U324" s="4"/>
      <c r="V324" s="4"/>
      <c r="W324" s="4"/>
      <c r="X324" s="4"/>
    </row>
    <row r="325" spans="1:24" ht="12.75">
      <c r="A325" s="4"/>
      <c r="B325" s="4"/>
      <c r="C325" s="4"/>
      <c r="D325" s="4"/>
      <c r="E325" s="957"/>
      <c r="F325" s="957"/>
      <c r="G325" s="957"/>
      <c r="H325" s="957"/>
      <c r="I325" s="957"/>
      <c r="J325" s="957"/>
      <c r="K325" s="957"/>
      <c r="L325" s="957"/>
      <c r="M325" s="957"/>
      <c r="N325" s="957"/>
      <c r="O325" s="4"/>
      <c r="P325" s="4"/>
      <c r="Q325" s="4"/>
      <c r="R325" s="4"/>
      <c r="S325" s="4"/>
      <c r="T325" s="4"/>
      <c r="U325" s="4"/>
      <c r="V325" s="4"/>
      <c r="W325" s="4"/>
      <c r="X325" s="4"/>
    </row>
    <row r="326" spans="1:24" ht="12.75">
      <c r="A326" s="4"/>
      <c r="B326" s="4"/>
      <c r="C326" s="4"/>
      <c r="D326" s="4"/>
      <c r="E326" s="957"/>
      <c r="F326" s="957"/>
      <c r="G326" s="957"/>
      <c r="H326" s="957"/>
      <c r="I326" s="957"/>
      <c r="J326" s="957"/>
      <c r="K326" s="957"/>
      <c r="L326" s="957"/>
      <c r="M326" s="957"/>
      <c r="N326" s="957"/>
      <c r="O326" s="4"/>
      <c r="P326" s="4"/>
      <c r="Q326" s="4"/>
      <c r="R326" s="4"/>
      <c r="S326" s="4"/>
      <c r="T326" s="4"/>
      <c r="U326" s="4"/>
      <c r="V326" s="4"/>
      <c r="W326" s="4"/>
      <c r="X326" s="4"/>
    </row>
    <row r="327" spans="1:24" ht="12.75">
      <c r="A327" s="4"/>
      <c r="B327" s="4"/>
      <c r="C327" s="4"/>
      <c r="D327" s="4"/>
      <c r="E327" s="957"/>
      <c r="F327" s="957"/>
      <c r="G327" s="957"/>
      <c r="H327" s="957"/>
      <c r="I327" s="957"/>
      <c r="J327" s="957"/>
      <c r="K327" s="957"/>
      <c r="L327" s="957"/>
      <c r="M327" s="957"/>
      <c r="N327" s="957"/>
      <c r="O327" s="4"/>
      <c r="P327" s="4"/>
      <c r="Q327" s="4"/>
      <c r="R327" s="4"/>
      <c r="S327" s="4"/>
      <c r="T327" s="4"/>
      <c r="U327" s="4"/>
      <c r="V327" s="4"/>
      <c r="W327" s="4"/>
      <c r="X327" s="4"/>
    </row>
    <row r="328" spans="1:24" ht="12.75">
      <c r="A328" s="4"/>
      <c r="B328" s="4"/>
      <c r="C328" s="4"/>
      <c r="D328" s="4"/>
      <c r="E328" s="957"/>
      <c r="F328" s="957"/>
      <c r="G328" s="957"/>
      <c r="H328" s="957"/>
      <c r="I328" s="957"/>
      <c r="J328" s="957"/>
      <c r="K328" s="957"/>
      <c r="L328" s="957"/>
      <c r="M328" s="957"/>
      <c r="N328" s="957"/>
      <c r="O328" s="4"/>
      <c r="P328" s="4"/>
      <c r="Q328" s="4"/>
      <c r="R328" s="4"/>
      <c r="S328" s="4"/>
      <c r="T328" s="4"/>
      <c r="U328" s="4"/>
      <c r="V328" s="4"/>
      <c r="W328" s="4"/>
      <c r="X328" s="4"/>
    </row>
    <row r="329" spans="1:24" ht="12.75">
      <c r="A329" s="4"/>
      <c r="B329" s="4"/>
      <c r="C329" s="4"/>
      <c r="D329" s="4"/>
      <c r="E329" s="957"/>
      <c r="F329" s="957"/>
      <c r="G329" s="957"/>
      <c r="H329" s="957"/>
      <c r="I329" s="957"/>
      <c r="J329" s="957"/>
      <c r="K329" s="957"/>
      <c r="L329" s="957"/>
      <c r="M329" s="957"/>
      <c r="N329" s="957"/>
      <c r="O329" s="4"/>
      <c r="P329" s="4"/>
      <c r="Q329" s="4"/>
      <c r="R329" s="4"/>
      <c r="S329" s="4"/>
      <c r="T329" s="4"/>
      <c r="U329" s="4"/>
      <c r="V329" s="4"/>
      <c r="W329" s="4"/>
      <c r="X329" s="4"/>
    </row>
    <row r="330" spans="1:24" ht="12.75">
      <c r="A330" s="4"/>
      <c r="B330" s="4"/>
      <c r="C330" s="4"/>
      <c r="D330" s="4"/>
      <c r="E330" s="957"/>
      <c r="F330" s="957"/>
      <c r="G330" s="957"/>
      <c r="H330" s="957"/>
      <c r="I330" s="957"/>
      <c r="J330" s="957"/>
      <c r="K330" s="957"/>
      <c r="L330" s="957"/>
      <c r="M330" s="957"/>
      <c r="N330" s="957"/>
      <c r="O330" s="4"/>
      <c r="P330" s="4"/>
      <c r="Q330" s="4"/>
      <c r="R330" s="4"/>
      <c r="S330" s="4"/>
      <c r="T330" s="4"/>
      <c r="U330" s="4"/>
      <c r="V330" s="4"/>
      <c r="W330" s="4"/>
      <c r="X330" s="4"/>
    </row>
    <row r="331" spans="1:24" ht="12.75">
      <c r="A331" s="4"/>
      <c r="B331" s="4"/>
      <c r="C331" s="4"/>
      <c r="D331" s="4"/>
      <c r="E331" s="957"/>
      <c r="F331" s="957"/>
      <c r="G331" s="957"/>
      <c r="H331" s="957"/>
      <c r="I331" s="957"/>
      <c r="J331" s="957"/>
      <c r="K331" s="957"/>
      <c r="L331" s="957"/>
      <c r="M331" s="957"/>
      <c r="N331" s="957"/>
      <c r="O331" s="4"/>
      <c r="P331" s="4"/>
      <c r="Q331" s="4"/>
      <c r="R331" s="4"/>
      <c r="S331" s="4"/>
      <c r="T331" s="4"/>
      <c r="U331" s="4"/>
      <c r="V331" s="4"/>
      <c r="W331" s="4"/>
      <c r="X331" s="4"/>
    </row>
    <row r="332" spans="1:24" ht="12.75">
      <c r="A332" s="4"/>
      <c r="B332" s="4"/>
      <c r="C332" s="4"/>
      <c r="D332" s="4"/>
      <c r="E332" s="957"/>
      <c r="F332" s="957"/>
      <c r="G332" s="957"/>
      <c r="H332" s="957"/>
      <c r="I332" s="957"/>
      <c r="J332" s="957"/>
      <c r="K332" s="957"/>
      <c r="L332" s="957"/>
      <c r="M332" s="957"/>
      <c r="N332" s="957"/>
      <c r="O332" s="4"/>
      <c r="P332" s="4"/>
      <c r="Q332" s="4"/>
      <c r="R332" s="4"/>
      <c r="S332" s="4"/>
      <c r="T332" s="4"/>
      <c r="U332" s="4"/>
      <c r="V332" s="4"/>
      <c r="W332" s="4"/>
      <c r="X332" s="4"/>
    </row>
    <row r="333" spans="1:24" ht="12.75">
      <c r="A333" s="4"/>
      <c r="B333" s="4"/>
      <c r="C333" s="4"/>
      <c r="D333" s="4"/>
      <c r="E333" s="957"/>
      <c r="F333" s="957"/>
      <c r="G333" s="957"/>
      <c r="H333" s="957"/>
      <c r="I333" s="957"/>
      <c r="J333" s="957"/>
      <c r="K333" s="957"/>
      <c r="L333" s="957"/>
      <c r="M333" s="957"/>
      <c r="N333" s="957"/>
      <c r="O333" s="4"/>
      <c r="P333" s="4"/>
      <c r="Q333" s="4"/>
      <c r="R333" s="4"/>
      <c r="S333" s="4"/>
      <c r="T333" s="4"/>
      <c r="U333" s="4"/>
      <c r="V333" s="4"/>
      <c r="W333" s="4"/>
      <c r="X333" s="4"/>
    </row>
    <row r="334" spans="1:24" ht="12.75">
      <c r="A334" s="4"/>
      <c r="B334" s="4"/>
      <c r="C334" s="4"/>
      <c r="D334" s="4"/>
      <c r="E334" s="957"/>
      <c r="F334" s="957"/>
      <c r="G334" s="957"/>
      <c r="H334" s="957"/>
      <c r="I334" s="957"/>
      <c r="J334" s="957"/>
      <c r="K334" s="957"/>
      <c r="L334" s="957"/>
      <c r="M334" s="957"/>
      <c r="N334" s="957"/>
      <c r="O334" s="4"/>
      <c r="P334" s="4"/>
      <c r="Q334" s="4"/>
      <c r="R334" s="4"/>
      <c r="S334" s="4"/>
      <c r="T334" s="4"/>
      <c r="U334" s="4"/>
      <c r="V334" s="4"/>
      <c r="W334" s="4"/>
      <c r="X334" s="4"/>
    </row>
    <row r="335" spans="1:24" ht="12.75">
      <c r="A335" s="4"/>
      <c r="B335" s="4"/>
      <c r="C335" s="4"/>
      <c r="D335" s="4"/>
      <c r="E335" s="957"/>
      <c r="F335" s="957"/>
      <c r="G335" s="957"/>
      <c r="H335" s="957"/>
      <c r="I335" s="957"/>
      <c r="J335" s="957"/>
      <c r="K335" s="957"/>
      <c r="L335" s="957"/>
      <c r="M335" s="957"/>
      <c r="N335" s="957"/>
      <c r="O335" s="4"/>
      <c r="P335" s="4"/>
      <c r="Q335" s="4"/>
      <c r="R335" s="4"/>
      <c r="S335" s="4"/>
      <c r="T335" s="4"/>
      <c r="U335" s="4"/>
      <c r="V335" s="4"/>
      <c r="W335" s="4"/>
      <c r="X335" s="4"/>
    </row>
    <row r="336" spans="1:24" ht="12.75">
      <c r="A336" s="4"/>
      <c r="B336" s="4"/>
      <c r="C336" s="4"/>
      <c r="D336" s="4"/>
      <c r="E336" s="957"/>
      <c r="F336" s="957"/>
      <c r="G336" s="957"/>
      <c r="H336" s="957"/>
      <c r="I336" s="957"/>
      <c r="J336" s="957"/>
      <c r="K336" s="957"/>
      <c r="L336" s="957"/>
      <c r="M336" s="957"/>
      <c r="N336" s="957"/>
      <c r="O336" s="4"/>
      <c r="P336" s="4"/>
      <c r="Q336" s="4"/>
      <c r="R336" s="4"/>
      <c r="S336" s="4"/>
      <c r="T336" s="4"/>
      <c r="U336" s="4"/>
      <c r="V336" s="4"/>
      <c r="W336" s="4"/>
      <c r="X336" s="4"/>
    </row>
    <row r="337" spans="1:24" ht="12.75">
      <c r="A337" s="4"/>
      <c r="B337" s="4"/>
      <c r="C337" s="4"/>
      <c r="D337" s="4"/>
      <c r="E337" s="957"/>
      <c r="F337" s="957"/>
      <c r="G337" s="957"/>
      <c r="H337" s="957"/>
      <c r="I337" s="957"/>
      <c r="J337" s="957"/>
      <c r="K337" s="957"/>
      <c r="L337" s="957"/>
      <c r="M337" s="957"/>
      <c r="N337" s="957"/>
      <c r="O337" s="4"/>
      <c r="P337" s="4"/>
      <c r="Q337" s="4"/>
      <c r="R337" s="4"/>
      <c r="S337" s="4"/>
      <c r="T337" s="4"/>
      <c r="U337" s="4"/>
      <c r="V337" s="4"/>
      <c r="W337" s="4"/>
      <c r="X337" s="4"/>
    </row>
    <row r="338" spans="1:24" ht="12.75">
      <c r="A338" s="4"/>
      <c r="B338" s="4"/>
      <c r="C338" s="4"/>
      <c r="D338" s="4"/>
      <c r="E338" s="957"/>
      <c r="F338" s="957"/>
      <c r="G338" s="957"/>
      <c r="H338" s="957"/>
      <c r="I338" s="957"/>
      <c r="J338" s="957"/>
      <c r="K338" s="957"/>
      <c r="L338" s="957"/>
      <c r="M338" s="957"/>
      <c r="N338" s="957"/>
      <c r="O338" s="4"/>
      <c r="P338" s="4"/>
      <c r="Q338" s="4"/>
      <c r="R338" s="4"/>
      <c r="S338" s="4"/>
      <c r="T338" s="4"/>
      <c r="U338" s="4"/>
      <c r="V338" s="4"/>
      <c r="W338" s="4"/>
      <c r="X338" s="4"/>
    </row>
    <row r="339" spans="1:24" ht="12.75">
      <c r="A339" s="4"/>
      <c r="B339" s="4"/>
      <c r="C339" s="4"/>
      <c r="D339" s="4"/>
      <c r="E339" s="957"/>
      <c r="F339" s="957"/>
      <c r="G339" s="957"/>
      <c r="H339" s="957"/>
      <c r="I339" s="957"/>
      <c r="J339" s="957"/>
      <c r="K339" s="957"/>
      <c r="L339" s="957"/>
      <c r="M339" s="957"/>
      <c r="N339" s="957"/>
      <c r="O339" s="4"/>
      <c r="P339" s="4"/>
      <c r="Q339" s="4"/>
      <c r="R339" s="4"/>
      <c r="S339" s="4"/>
      <c r="T339" s="4"/>
      <c r="U339" s="4"/>
      <c r="V339" s="4"/>
      <c r="W339" s="4"/>
      <c r="X339" s="4"/>
    </row>
    <row r="340" spans="1:24" ht="12.75">
      <c r="A340" s="4"/>
      <c r="B340" s="4"/>
      <c r="C340" s="4"/>
      <c r="D340" s="4"/>
      <c r="E340" s="957"/>
      <c r="F340" s="957"/>
      <c r="G340" s="957"/>
      <c r="H340" s="957"/>
      <c r="I340" s="957"/>
      <c r="J340" s="957"/>
      <c r="K340" s="957"/>
      <c r="L340" s="957"/>
      <c r="M340" s="957"/>
      <c r="N340" s="957"/>
      <c r="O340" s="4"/>
      <c r="P340" s="4"/>
      <c r="Q340" s="4"/>
      <c r="R340" s="4"/>
      <c r="S340" s="4"/>
      <c r="T340" s="4"/>
      <c r="U340" s="4"/>
      <c r="V340" s="4"/>
      <c r="W340" s="4"/>
      <c r="X340" s="4"/>
    </row>
    <row r="341" spans="1:24" ht="12.75">
      <c r="A341" s="4"/>
      <c r="B341" s="4"/>
      <c r="C341" s="4"/>
      <c r="D341" s="4"/>
      <c r="E341" s="957"/>
      <c r="F341" s="957"/>
      <c r="G341" s="957"/>
      <c r="H341" s="957"/>
      <c r="I341" s="957"/>
      <c r="J341" s="957"/>
      <c r="K341" s="957"/>
      <c r="L341" s="957"/>
      <c r="M341" s="957"/>
      <c r="N341" s="957"/>
      <c r="O341" s="4"/>
      <c r="P341" s="4"/>
      <c r="Q341" s="4"/>
      <c r="R341" s="4"/>
      <c r="S341" s="4"/>
      <c r="T341" s="4"/>
      <c r="U341" s="4"/>
      <c r="V341" s="4"/>
      <c r="W341" s="4"/>
      <c r="X341" s="4"/>
    </row>
    <row r="342" spans="1:24" ht="12.75">
      <c r="A342" s="4"/>
      <c r="B342" s="4"/>
      <c r="C342" s="4"/>
      <c r="D342" s="4"/>
      <c r="E342" s="957"/>
      <c r="F342" s="957"/>
      <c r="G342" s="957"/>
      <c r="H342" s="957"/>
      <c r="I342" s="957"/>
      <c r="J342" s="957"/>
      <c r="K342" s="957"/>
      <c r="L342" s="957"/>
      <c r="M342" s="957"/>
      <c r="N342" s="957"/>
      <c r="O342" s="4"/>
      <c r="P342" s="4"/>
      <c r="Q342" s="4"/>
      <c r="R342" s="4"/>
      <c r="S342" s="4"/>
      <c r="T342" s="4"/>
      <c r="U342" s="4"/>
      <c r="V342" s="4"/>
      <c r="W342" s="4"/>
      <c r="X342" s="4"/>
    </row>
    <row r="343" spans="1:24" ht="12.75">
      <c r="A343" s="4"/>
      <c r="B343" s="4"/>
      <c r="C343" s="4"/>
      <c r="D343" s="4"/>
      <c r="E343" s="957"/>
      <c r="F343" s="957"/>
      <c r="G343" s="957"/>
      <c r="H343" s="957"/>
      <c r="I343" s="957"/>
      <c r="J343" s="957"/>
      <c r="K343" s="957"/>
      <c r="L343" s="957"/>
      <c r="M343" s="957"/>
      <c r="N343" s="957"/>
      <c r="O343" s="4"/>
      <c r="P343" s="4"/>
      <c r="Q343" s="4"/>
      <c r="R343" s="4"/>
      <c r="S343" s="4"/>
      <c r="T343" s="4"/>
      <c r="U343" s="4"/>
      <c r="V343" s="4"/>
      <c r="W343" s="4"/>
      <c r="X343" s="4"/>
    </row>
    <row r="344" spans="1:24" ht="12.75">
      <c r="A344" s="4"/>
      <c r="B344" s="4"/>
      <c r="C344" s="4"/>
      <c r="D344" s="4"/>
      <c r="E344" s="957"/>
      <c r="F344" s="957"/>
      <c r="G344" s="957"/>
      <c r="H344" s="957"/>
      <c r="I344" s="957"/>
      <c r="J344" s="957"/>
      <c r="K344" s="957"/>
      <c r="L344" s="957"/>
      <c r="M344" s="957"/>
      <c r="N344" s="957"/>
      <c r="O344" s="4"/>
      <c r="P344" s="4"/>
      <c r="Q344" s="4"/>
      <c r="R344" s="4"/>
      <c r="S344" s="4"/>
      <c r="T344" s="4"/>
      <c r="U344" s="4"/>
      <c r="V344" s="4"/>
      <c r="W344" s="4"/>
      <c r="X344" s="4"/>
    </row>
    <row r="345" spans="1:24" ht="12.75">
      <c r="A345" s="4"/>
      <c r="B345" s="4"/>
      <c r="C345" s="4"/>
      <c r="D345" s="4"/>
      <c r="E345" s="957"/>
      <c r="F345" s="957"/>
      <c r="G345" s="957"/>
      <c r="H345" s="957"/>
      <c r="I345" s="957"/>
      <c r="J345" s="957"/>
      <c r="K345" s="957"/>
      <c r="L345" s="957"/>
      <c r="M345" s="957"/>
      <c r="N345" s="957"/>
      <c r="O345" s="4"/>
      <c r="P345" s="4"/>
      <c r="Q345" s="4"/>
      <c r="R345" s="4"/>
      <c r="S345" s="4"/>
      <c r="T345" s="4"/>
      <c r="U345" s="4"/>
      <c r="V345" s="4"/>
      <c r="W345" s="4"/>
      <c r="X345" s="4"/>
    </row>
    <row r="346" spans="1:24" ht="12.75">
      <c r="A346" s="4"/>
      <c r="B346" s="4"/>
      <c r="C346" s="4"/>
      <c r="D346" s="4"/>
      <c r="E346" s="957"/>
      <c r="F346" s="957"/>
      <c r="G346" s="957"/>
      <c r="H346" s="957"/>
      <c r="I346" s="957"/>
      <c r="J346" s="957"/>
      <c r="K346" s="957"/>
      <c r="L346" s="957"/>
      <c r="M346" s="957"/>
      <c r="N346" s="957"/>
      <c r="O346" s="4"/>
      <c r="P346" s="4"/>
      <c r="Q346" s="4"/>
      <c r="R346" s="4"/>
      <c r="S346" s="4"/>
      <c r="T346" s="4"/>
      <c r="U346" s="4"/>
      <c r="V346" s="4"/>
      <c r="W346" s="4"/>
      <c r="X346" s="4"/>
    </row>
    <row r="347" spans="1:24" ht="12.75">
      <c r="A347" s="4"/>
      <c r="B347" s="4"/>
      <c r="C347" s="4"/>
      <c r="D347" s="4"/>
      <c r="E347" s="957"/>
      <c r="F347" s="957"/>
      <c r="G347" s="957"/>
      <c r="H347" s="957"/>
      <c r="I347" s="957"/>
      <c r="J347" s="957"/>
      <c r="K347" s="957"/>
      <c r="L347" s="957"/>
      <c r="M347" s="957"/>
      <c r="N347" s="957"/>
      <c r="O347" s="4"/>
      <c r="P347" s="4"/>
      <c r="Q347" s="4"/>
      <c r="R347" s="4"/>
      <c r="S347" s="4"/>
      <c r="T347" s="4"/>
      <c r="U347" s="4"/>
      <c r="V347" s="4"/>
      <c r="W347" s="4"/>
      <c r="X347" s="4"/>
    </row>
    <row r="348" spans="1:24" ht="12.75">
      <c r="A348" s="4"/>
      <c r="B348" s="4"/>
      <c r="C348" s="4"/>
      <c r="D348" s="4"/>
      <c r="E348" s="957"/>
      <c r="F348" s="957"/>
      <c r="G348" s="957"/>
      <c r="H348" s="957"/>
      <c r="I348" s="957"/>
      <c r="J348" s="957"/>
      <c r="K348" s="957"/>
      <c r="L348" s="957"/>
      <c r="M348" s="957"/>
      <c r="N348" s="957"/>
      <c r="O348" s="4"/>
      <c r="P348" s="4"/>
      <c r="Q348" s="4"/>
      <c r="R348" s="4"/>
      <c r="S348" s="4"/>
      <c r="T348" s="4"/>
      <c r="U348" s="4"/>
      <c r="V348" s="4"/>
      <c r="W348" s="4"/>
      <c r="X348" s="4"/>
    </row>
    <row r="349" spans="1:24" ht="12.75">
      <c r="A349" s="4"/>
      <c r="B349" s="4"/>
      <c r="C349" s="4"/>
      <c r="D349" s="4"/>
      <c r="E349" s="957"/>
      <c r="F349" s="957"/>
      <c r="G349" s="957"/>
      <c r="H349" s="957"/>
      <c r="I349" s="957"/>
      <c r="J349" s="957"/>
      <c r="K349" s="957"/>
      <c r="L349" s="957"/>
      <c r="M349" s="957"/>
      <c r="N349" s="957"/>
      <c r="O349" s="4"/>
      <c r="P349" s="4"/>
      <c r="Q349" s="4"/>
      <c r="R349" s="4"/>
      <c r="S349" s="4"/>
      <c r="T349" s="4"/>
      <c r="U349" s="4"/>
      <c r="V349" s="4"/>
      <c r="W349" s="4"/>
      <c r="X349" s="4"/>
    </row>
    <row r="350" spans="1:24" ht="12.75">
      <c r="A350" s="4"/>
      <c r="B350" s="4"/>
      <c r="C350" s="4"/>
      <c r="D350" s="4"/>
      <c r="E350" s="957"/>
      <c r="F350" s="957"/>
      <c r="G350" s="957"/>
      <c r="H350" s="957"/>
      <c r="I350" s="957"/>
      <c r="J350" s="957"/>
      <c r="K350" s="957"/>
      <c r="L350" s="957"/>
      <c r="M350" s="957"/>
      <c r="N350" s="957"/>
      <c r="O350" s="4"/>
      <c r="P350" s="4"/>
      <c r="Q350" s="4"/>
      <c r="R350" s="4"/>
      <c r="S350" s="4"/>
      <c r="T350" s="4"/>
      <c r="U350" s="4"/>
      <c r="V350" s="4"/>
      <c r="W350" s="4"/>
      <c r="X350" s="4"/>
    </row>
    <row r="351" spans="1:24" ht="12.75">
      <c r="A351" s="4"/>
      <c r="B351" s="4"/>
      <c r="C351" s="4"/>
      <c r="D351" s="4"/>
      <c r="E351" s="957"/>
      <c r="F351" s="957"/>
      <c r="G351" s="957"/>
      <c r="H351" s="957"/>
      <c r="I351" s="957"/>
      <c r="J351" s="957"/>
      <c r="K351" s="957"/>
      <c r="L351" s="957"/>
      <c r="M351" s="957"/>
      <c r="N351" s="957"/>
      <c r="O351" s="4"/>
      <c r="P351" s="4"/>
      <c r="Q351" s="4"/>
      <c r="R351" s="4"/>
      <c r="S351" s="4"/>
      <c r="T351" s="4"/>
      <c r="U351" s="4"/>
      <c r="V351" s="4"/>
      <c r="W351" s="4"/>
      <c r="X351" s="4"/>
    </row>
    <row r="352" spans="1:24" ht="12.75">
      <c r="A352" s="4"/>
      <c r="B352" s="4"/>
      <c r="C352" s="4"/>
      <c r="D352" s="4"/>
      <c r="E352" s="957"/>
      <c r="F352" s="957"/>
      <c r="G352" s="957"/>
      <c r="H352" s="957"/>
      <c r="I352" s="957"/>
      <c r="J352" s="957"/>
      <c r="K352" s="957"/>
      <c r="L352" s="957"/>
      <c r="M352" s="957"/>
      <c r="N352" s="957"/>
      <c r="O352" s="4"/>
      <c r="P352" s="4"/>
      <c r="Q352" s="4"/>
      <c r="R352" s="4"/>
      <c r="S352" s="4"/>
      <c r="T352" s="4"/>
      <c r="U352" s="4"/>
      <c r="V352" s="4"/>
      <c r="W352" s="4"/>
      <c r="X352" s="4"/>
    </row>
    <row r="353" spans="1:24" ht="12.75">
      <c r="A353" s="4"/>
      <c r="B353" s="4"/>
      <c r="C353" s="4"/>
      <c r="D353" s="4"/>
      <c r="E353" s="957"/>
      <c r="F353" s="957"/>
      <c r="G353" s="957"/>
      <c r="H353" s="957"/>
      <c r="I353" s="957"/>
      <c r="J353" s="957"/>
      <c r="K353" s="957"/>
      <c r="L353" s="957"/>
      <c r="M353" s="957"/>
      <c r="N353" s="957"/>
      <c r="O353" s="4"/>
      <c r="P353" s="4"/>
      <c r="Q353" s="4"/>
      <c r="R353" s="4"/>
      <c r="S353" s="4"/>
      <c r="T353" s="4"/>
      <c r="U353" s="4"/>
      <c r="V353" s="4"/>
      <c r="W353" s="4"/>
      <c r="X353" s="4"/>
    </row>
    <row r="354" spans="1:24" ht="12.75">
      <c r="A354" s="4"/>
      <c r="B354" s="4"/>
      <c r="C354" s="4"/>
      <c r="D354" s="4"/>
      <c r="E354" s="957"/>
      <c r="F354" s="957"/>
      <c r="G354" s="957"/>
      <c r="H354" s="957"/>
      <c r="I354" s="957"/>
      <c r="J354" s="957"/>
      <c r="K354" s="957"/>
      <c r="L354" s="957"/>
      <c r="M354" s="957"/>
      <c r="N354" s="957"/>
      <c r="O354" s="4"/>
      <c r="P354" s="4"/>
      <c r="Q354" s="4"/>
      <c r="R354" s="4"/>
      <c r="S354" s="4"/>
      <c r="T354" s="4"/>
      <c r="U354" s="4"/>
      <c r="V354" s="4"/>
      <c r="W354" s="4"/>
      <c r="X354" s="4"/>
    </row>
    <row r="355" spans="1:24" ht="12.75">
      <c r="A355" s="4"/>
      <c r="B355" s="4"/>
      <c r="C355" s="4"/>
      <c r="D355" s="4"/>
      <c r="E355" s="957"/>
      <c r="F355" s="957"/>
      <c r="G355" s="957"/>
      <c r="H355" s="957"/>
      <c r="I355" s="957"/>
      <c r="J355" s="957"/>
      <c r="K355" s="957"/>
      <c r="L355" s="957"/>
      <c r="M355" s="957"/>
      <c r="N355" s="957"/>
      <c r="O355" s="4"/>
      <c r="P355" s="4"/>
      <c r="Q355" s="4"/>
      <c r="R355" s="4"/>
      <c r="S355" s="4"/>
      <c r="T355" s="4"/>
      <c r="U355" s="4"/>
      <c r="V355" s="4"/>
      <c r="W355" s="4"/>
      <c r="X355" s="4"/>
    </row>
    <row r="356" spans="1:24" ht="12.75">
      <c r="A356" s="4"/>
      <c r="B356" s="4"/>
      <c r="C356" s="4"/>
      <c r="D356" s="4"/>
      <c r="E356" s="957"/>
      <c r="F356" s="957"/>
      <c r="G356" s="957"/>
      <c r="H356" s="957"/>
      <c r="I356" s="957"/>
      <c r="J356" s="957"/>
      <c r="K356" s="957"/>
      <c r="L356" s="957"/>
      <c r="M356" s="957"/>
      <c r="N356" s="957"/>
      <c r="O356" s="4"/>
      <c r="P356" s="4"/>
      <c r="Q356" s="4"/>
      <c r="R356" s="4"/>
      <c r="S356" s="4"/>
      <c r="T356" s="4"/>
      <c r="U356" s="4"/>
      <c r="V356" s="4"/>
      <c r="W356" s="4"/>
      <c r="X356" s="4"/>
    </row>
    <row r="357" spans="1:24" ht="12.75">
      <c r="A357" s="4"/>
      <c r="B357" s="4"/>
      <c r="C357" s="4"/>
      <c r="D357" s="4"/>
      <c r="E357" s="957"/>
      <c r="F357" s="957"/>
      <c r="G357" s="957"/>
      <c r="H357" s="957"/>
      <c r="I357" s="957"/>
      <c r="J357" s="957"/>
      <c r="K357" s="957"/>
      <c r="L357" s="957"/>
      <c r="M357" s="957"/>
      <c r="N357" s="957"/>
      <c r="O357" s="4"/>
      <c r="P357" s="4"/>
      <c r="Q357" s="4"/>
      <c r="R357" s="4"/>
      <c r="S357" s="4"/>
      <c r="T357" s="4"/>
      <c r="U357" s="4"/>
      <c r="V357" s="4"/>
      <c r="W357" s="4"/>
      <c r="X357" s="4"/>
    </row>
    <row r="358" spans="1:24" ht="12.75">
      <c r="A358" s="4"/>
      <c r="B358" s="4"/>
      <c r="C358" s="4"/>
      <c r="D358" s="4"/>
      <c r="E358" s="957"/>
      <c r="F358" s="957"/>
      <c r="G358" s="957"/>
      <c r="H358" s="957"/>
      <c r="I358" s="957"/>
      <c r="J358" s="957"/>
      <c r="K358" s="957"/>
      <c r="L358" s="957"/>
      <c r="M358" s="957"/>
      <c r="N358" s="957"/>
      <c r="O358" s="4"/>
      <c r="P358" s="4"/>
      <c r="Q358" s="4"/>
      <c r="R358" s="4"/>
      <c r="S358" s="4"/>
      <c r="T358" s="4"/>
      <c r="U358" s="4"/>
      <c r="V358" s="4"/>
      <c r="W358" s="4"/>
      <c r="X358" s="4"/>
    </row>
    <row r="359" spans="1:24" ht="12.75">
      <c r="A359" s="4"/>
      <c r="B359" s="4"/>
      <c r="C359" s="4"/>
      <c r="D359" s="4"/>
      <c r="E359" s="957"/>
      <c r="F359" s="957"/>
      <c r="G359" s="957"/>
      <c r="H359" s="957"/>
      <c r="I359" s="957"/>
      <c r="J359" s="957"/>
      <c r="K359" s="957"/>
      <c r="L359" s="957"/>
      <c r="M359" s="957"/>
      <c r="N359" s="957"/>
      <c r="O359" s="4"/>
      <c r="P359" s="4"/>
      <c r="Q359" s="4"/>
      <c r="R359" s="4"/>
      <c r="S359" s="4"/>
      <c r="T359" s="4"/>
      <c r="U359" s="4"/>
      <c r="V359" s="4"/>
      <c r="W359" s="4"/>
      <c r="X359" s="4"/>
    </row>
    <row r="360" spans="1:24" ht="12.75">
      <c r="A360" s="4"/>
      <c r="B360" s="4"/>
      <c r="C360" s="4"/>
      <c r="D360" s="4"/>
      <c r="E360" s="957"/>
      <c r="F360" s="957"/>
      <c r="G360" s="957"/>
      <c r="H360" s="957"/>
      <c r="I360" s="957"/>
      <c r="J360" s="957"/>
      <c r="K360" s="957"/>
      <c r="L360" s="957"/>
      <c r="M360" s="957"/>
      <c r="N360" s="957"/>
      <c r="O360" s="4"/>
      <c r="P360" s="4"/>
      <c r="Q360" s="4"/>
      <c r="R360" s="4"/>
      <c r="S360" s="4"/>
      <c r="T360" s="4"/>
      <c r="U360" s="4"/>
      <c r="V360" s="4"/>
      <c r="W360" s="4"/>
      <c r="X360" s="4"/>
    </row>
    <row r="361" spans="1:24" ht="12.75">
      <c r="A361" s="4"/>
      <c r="B361" s="4"/>
      <c r="C361" s="4"/>
      <c r="D361" s="4"/>
      <c r="E361" s="957"/>
      <c r="F361" s="957"/>
      <c r="G361" s="957"/>
      <c r="H361" s="957"/>
      <c r="I361" s="957"/>
      <c r="J361" s="957"/>
      <c r="K361" s="957"/>
      <c r="L361" s="957"/>
      <c r="M361" s="957"/>
      <c r="N361" s="957"/>
      <c r="O361" s="4"/>
      <c r="P361" s="4"/>
      <c r="Q361" s="4"/>
      <c r="R361" s="4"/>
      <c r="S361" s="4"/>
      <c r="T361" s="4"/>
      <c r="U361" s="4"/>
      <c r="V361" s="4"/>
      <c r="W361" s="4"/>
      <c r="X361" s="4"/>
    </row>
    <row r="362" spans="1:24" ht="12.75">
      <c r="A362" s="4"/>
      <c r="B362" s="4"/>
      <c r="C362" s="4"/>
      <c r="D362" s="4"/>
      <c r="E362" s="957"/>
      <c r="F362" s="957"/>
      <c r="G362" s="957"/>
      <c r="H362" s="957"/>
      <c r="I362" s="957"/>
      <c r="J362" s="957"/>
      <c r="K362" s="957"/>
      <c r="L362" s="957"/>
      <c r="M362" s="957"/>
      <c r="N362" s="957"/>
      <c r="O362" s="4"/>
      <c r="P362" s="4"/>
      <c r="Q362" s="4"/>
      <c r="R362" s="4"/>
      <c r="S362" s="4"/>
      <c r="T362" s="4"/>
      <c r="U362" s="4"/>
      <c r="V362" s="4"/>
      <c r="W362" s="4"/>
      <c r="X362" s="4"/>
    </row>
    <row r="363" spans="1:24" ht="12.75">
      <c r="A363" s="4"/>
      <c r="B363" s="4"/>
      <c r="C363" s="4"/>
      <c r="D363" s="4"/>
      <c r="E363" s="957"/>
      <c r="F363" s="957"/>
      <c r="G363" s="957"/>
      <c r="H363" s="957"/>
      <c r="I363" s="957"/>
      <c r="J363" s="957"/>
      <c r="K363" s="957"/>
      <c r="L363" s="957"/>
      <c r="M363" s="957"/>
      <c r="N363" s="957"/>
      <c r="O363" s="4"/>
      <c r="P363" s="4"/>
      <c r="Q363" s="4"/>
      <c r="R363" s="4"/>
      <c r="S363" s="4"/>
      <c r="T363" s="4"/>
      <c r="U363" s="4"/>
      <c r="V363" s="4"/>
      <c r="W363" s="4"/>
      <c r="X363" s="4"/>
    </row>
    <row r="364" spans="1:24" ht="12.75">
      <c r="A364" s="4"/>
      <c r="B364" s="4"/>
      <c r="C364" s="4"/>
      <c r="D364" s="4"/>
      <c r="E364" s="957"/>
      <c r="F364" s="957"/>
      <c r="G364" s="957"/>
      <c r="H364" s="957"/>
      <c r="I364" s="957"/>
      <c r="J364" s="957"/>
      <c r="K364" s="957"/>
      <c r="L364" s="957"/>
      <c r="M364" s="957"/>
      <c r="N364" s="957"/>
      <c r="O364" s="4"/>
      <c r="P364" s="4"/>
      <c r="Q364" s="4"/>
      <c r="R364" s="4"/>
      <c r="S364" s="4"/>
      <c r="T364" s="4"/>
      <c r="U364" s="4"/>
      <c r="V364" s="4"/>
      <c r="W364" s="4"/>
      <c r="X364" s="4"/>
    </row>
    <row r="365" spans="1:24" ht="12.75">
      <c r="A365" s="4"/>
      <c r="B365" s="4"/>
      <c r="C365" s="4"/>
      <c r="D365" s="4"/>
      <c r="E365" s="957"/>
      <c r="F365" s="957"/>
      <c r="G365" s="957"/>
      <c r="H365" s="957"/>
      <c r="I365" s="957"/>
      <c r="J365" s="957"/>
      <c r="K365" s="957"/>
      <c r="L365" s="957"/>
      <c r="M365" s="957"/>
      <c r="N365" s="957"/>
      <c r="O365" s="4"/>
      <c r="P365" s="4"/>
      <c r="Q365" s="4"/>
      <c r="R365" s="4"/>
      <c r="S365" s="4"/>
      <c r="T365" s="4"/>
      <c r="U365" s="4"/>
      <c r="V365" s="4"/>
      <c r="W365" s="4"/>
      <c r="X365" s="4"/>
    </row>
    <row r="366" spans="1:24" ht="12.75">
      <c r="A366" s="4"/>
      <c r="B366" s="4"/>
      <c r="C366" s="4"/>
      <c r="D366" s="4"/>
      <c r="E366" s="957"/>
      <c r="F366" s="957"/>
      <c r="G366" s="957"/>
      <c r="H366" s="957"/>
      <c r="I366" s="957"/>
      <c r="J366" s="957"/>
      <c r="K366" s="957"/>
      <c r="L366" s="957"/>
      <c r="M366" s="957"/>
      <c r="N366" s="957"/>
      <c r="O366" s="4"/>
      <c r="P366" s="4"/>
      <c r="Q366" s="4"/>
      <c r="R366" s="4"/>
      <c r="S366" s="4"/>
      <c r="T366" s="4"/>
      <c r="U366" s="4"/>
      <c r="V366" s="4"/>
      <c r="W366" s="4"/>
      <c r="X366" s="4"/>
    </row>
    <row r="367" spans="1:24" ht="12.75">
      <c r="A367" s="4"/>
      <c r="B367" s="4"/>
      <c r="C367" s="4"/>
      <c r="D367" s="4"/>
      <c r="E367" s="957"/>
      <c r="F367" s="957"/>
      <c r="G367" s="957"/>
      <c r="H367" s="957"/>
      <c r="I367" s="957"/>
      <c r="J367" s="957"/>
      <c r="K367" s="957"/>
      <c r="L367" s="957"/>
      <c r="M367" s="957"/>
      <c r="N367" s="957"/>
      <c r="O367" s="4"/>
      <c r="P367" s="4"/>
      <c r="Q367" s="4"/>
      <c r="R367" s="4"/>
      <c r="S367" s="4"/>
      <c r="T367" s="4"/>
      <c r="U367" s="4"/>
      <c r="V367" s="4"/>
      <c r="W367" s="4"/>
      <c r="X367" s="4"/>
    </row>
    <row r="368" spans="1:24" ht="12.75">
      <c r="A368" s="4"/>
      <c r="B368" s="4"/>
      <c r="C368" s="4"/>
      <c r="D368" s="4"/>
      <c r="E368" s="957"/>
      <c r="F368" s="957"/>
      <c r="G368" s="957"/>
      <c r="H368" s="957"/>
      <c r="I368" s="957"/>
      <c r="J368" s="957"/>
      <c r="K368" s="957"/>
      <c r="L368" s="957"/>
      <c r="M368" s="957"/>
      <c r="N368" s="957"/>
      <c r="O368" s="4"/>
      <c r="P368" s="4"/>
      <c r="Q368" s="4"/>
      <c r="R368" s="4"/>
      <c r="S368" s="4"/>
      <c r="T368" s="4"/>
      <c r="U368" s="4"/>
      <c r="V368" s="4"/>
      <c r="W368" s="4"/>
      <c r="X368" s="4"/>
    </row>
    <row r="369" spans="1:24" ht="12.75">
      <c r="A369" s="4"/>
      <c r="B369" s="4"/>
      <c r="C369" s="4"/>
      <c r="D369" s="4"/>
      <c r="E369" s="957"/>
      <c r="F369" s="957"/>
      <c r="G369" s="957"/>
      <c r="H369" s="957"/>
      <c r="I369" s="957"/>
      <c r="J369" s="957"/>
      <c r="K369" s="957"/>
      <c r="L369" s="957"/>
      <c r="M369" s="957"/>
      <c r="N369" s="957"/>
      <c r="O369" s="4"/>
      <c r="P369" s="4"/>
      <c r="Q369" s="4"/>
      <c r="R369" s="4"/>
      <c r="S369" s="4"/>
      <c r="T369" s="4"/>
      <c r="U369" s="4"/>
      <c r="V369" s="4"/>
      <c r="W369" s="4"/>
      <c r="X369" s="4"/>
    </row>
    <row r="370" spans="1:24" ht="12.75">
      <c r="A370" s="4"/>
      <c r="B370" s="4"/>
      <c r="C370" s="4"/>
      <c r="D370" s="4"/>
      <c r="E370" s="957"/>
      <c r="F370" s="957"/>
      <c r="G370" s="957"/>
      <c r="H370" s="957"/>
      <c r="I370" s="957"/>
      <c r="J370" s="957"/>
      <c r="K370" s="957"/>
      <c r="L370" s="957"/>
      <c r="M370" s="957"/>
      <c r="N370" s="957"/>
      <c r="O370" s="4"/>
      <c r="P370" s="4"/>
      <c r="Q370" s="4"/>
      <c r="R370" s="4"/>
      <c r="S370" s="4"/>
      <c r="T370" s="4"/>
      <c r="U370" s="4"/>
      <c r="V370" s="4"/>
      <c r="W370" s="4"/>
      <c r="X370" s="4"/>
    </row>
    <row r="371" spans="1:24" ht="12.75">
      <c r="A371" s="4"/>
      <c r="B371" s="4"/>
      <c r="C371" s="4"/>
      <c r="D371" s="4"/>
      <c r="E371" s="957"/>
      <c r="F371" s="957"/>
      <c r="G371" s="957"/>
      <c r="H371" s="957"/>
      <c r="I371" s="957"/>
      <c r="J371" s="957"/>
      <c r="K371" s="957"/>
      <c r="L371" s="957"/>
      <c r="M371" s="957"/>
      <c r="N371" s="957"/>
      <c r="O371" s="4"/>
      <c r="P371" s="4"/>
      <c r="Q371" s="4"/>
      <c r="R371" s="4"/>
      <c r="S371" s="4"/>
      <c r="T371" s="4"/>
      <c r="U371" s="4"/>
      <c r="V371" s="4"/>
      <c r="W371" s="4"/>
      <c r="X371" s="4"/>
    </row>
    <row r="372" spans="1:24" ht="12.75">
      <c r="A372" s="4"/>
      <c r="B372" s="4"/>
      <c r="C372" s="4"/>
      <c r="D372" s="4"/>
      <c r="E372" s="957"/>
      <c r="F372" s="957"/>
      <c r="G372" s="957"/>
      <c r="H372" s="957"/>
      <c r="I372" s="957"/>
      <c r="J372" s="957"/>
      <c r="K372" s="957"/>
      <c r="L372" s="957"/>
      <c r="M372" s="957"/>
      <c r="N372" s="957"/>
      <c r="O372" s="4"/>
      <c r="P372" s="4"/>
      <c r="Q372" s="4"/>
      <c r="R372" s="4"/>
      <c r="S372" s="4"/>
      <c r="T372" s="4"/>
      <c r="U372" s="4"/>
      <c r="V372" s="4"/>
      <c r="W372" s="4"/>
      <c r="X372" s="4"/>
    </row>
    <row r="373" spans="1:24" ht="12.75">
      <c r="A373" s="4"/>
      <c r="B373" s="4"/>
      <c r="C373" s="4"/>
      <c r="D373" s="4"/>
      <c r="E373" s="957"/>
      <c r="F373" s="957"/>
      <c r="G373" s="957"/>
      <c r="H373" s="957"/>
      <c r="I373" s="957"/>
      <c r="J373" s="957"/>
      <c r="K373" s="957"/>
      <c r="L373" s="957"/>
      <c r="M373" s="957"/>
      <c r="N373" s="957"/>
      <c r="O373" s="4"/>
      <c r="P373" s="4"/>
      <c r="Q373" s="4"/>
      <c r="R373" s="4"/>
      <c r="S373" s="4"/>
      <c r="T373" s="4"/>
      <c r="U373" s="4"/>
      <c r="V373" s="4"/>
      <c r="W373" s="4"/>
      <c r="X373" s="4"/>
    </row>
    <row r="374" spans="1:24" ht="12.75">
      <c r="A374" s="4"/>
      <c r="B374" s="4"/>
      <c r="C374" s="4"/>
      <c r="D374" s="4"/>
      <c r="E374" s="957"/>
      <c r="F374" s="957"/>
      <c r="G374" s="957"/>
      <c r="H374" s="957"/>
      <c r="I374" s="957"/>
      <c r="J374" s="957"/>
      <c r="K374" s="957"/>
      <c r="L374" s="957"/>
      <c r="M374" s="957"/>
      <c r="N374" s="957"/>
      <c r="O374" s="4"/>
      <c r="P374" s="4"/>
      <c r="Q374" s="4"/>
      <c r="R374" s="4"/>
      <c r="S374" s="4"/>
      <c r="T374" s="4"/>
      <c r="U374" s="4"/>
      <c r="V374" s="4"/>
      <c r="W374" s="4"/>
      <c r="X374" s="4"/>
    </row>
    <row r="375" spans="1:24" ht="12.75">
      <c r="A375" s="4"/>
      <c r="B375" s="4"/>
      <c r="C375" s="4"/>
      <c r="D375" s="4"/>
      <c r="E375" s="957"/>
      <c r="F375" s="957"/>
      <c r="G375" s="957"/>
      <c r="H375" s="957"/>
      <c r="I375" s="957"/>
      <c r="J375" s="957"/>
      <c r="K375" s="957"/>
      <c r="L375" s="957"/>
      <c r="M375" s="957"/>
      <c r="N375" s="957"/>
      <c r="O375" s="4"/>
      <c r="P375" s="4"/>
      <c r="Q375" s="4"/>
      <c r="R375" s="4"/>
      <c r="S375" s="4"/>
      <c r="T375" s="4"/>
      <c r="U375" s="4"/>
      <c r="V375" s="4"/>
      <c r="W375" s="4"/>
      <c r="X375" s="4"/>
    </row>
    <row r="376" spans="1:24" ht="12.75">
      <c r="A376" s="4"/>
      <c r="B376" s="4"/>
      <c r="C376" s="4"/>
      <c r="D376" s="4"/>
      <c r="E376" s="957"/>
      <c r="F376" s="957"/>
      <c r="G376" s="957"/>
      <c r="H376" s="957"/>
      <c r="I376" s="957"/>
      <c r="J376" s="957"/>
      <c r="K376" s="957"/>
      <c r="L376" s="957"/>
      <c r="M376" s="957"/>
      <c r="N376" s="957"/>
      <c r="O376" s="4"/>
      <c r="P376" s="4"/>
      <c r="Q376" s="4"/>
      <c r="R376" s="4"/>
      <c r="S376" s="4"/>
      <c r="T376" s="4"/>
      <c r="U376" s="4"/>
      <c r="V376" s="4"/>
      <c r="W376" s="4"/>
      <c r="X376" s="4"/>
    </row>
    <row r="377" spans="1:24" ht="12.75">
      <c r="A377" s="4"/>
      <c r="B377" s="4"/>
      <c r="C377" s="4"/>
      <c r="D377" s="4"/>
      <c r="E377" s="957"/>
      <c r="F377" s="957"/>
      <c r="G377" s="957"/>
      <c r="H377" s="957"/>
      <c r="I377" s="957"/>
      <c r="J377" s="957"/>
      <c r="K377" s="957"/>
      <c r="L377" s="957"/>
      <c r="M377" s="957"/>
      <c r="N377" s="957"/>
      <c r="O377" s="4"/>
      <c r="P377" s="4"/>
      <c r="Q377" s="4"/>
      <c r="R377" s="4"/>
      <c r="S377" s="4"/>
      <c r="T377" s="4"/>
      <c r="U377" s="4"/>
      <c r="V377" s="4"/>
      <c r="W377" s="4"/>
      <c r="X377" s="4"/>
    </row>
    <row r="378" spans="1:24" ht="12.75">
      <c r="A378" s="4"/>
      <c r="B378" s="4"/>
      <c r="C378" s="4"/>
      <c r="D378" s="4"/>
      <c r="E378" s="957"/>
      <c r="F378" s="957"/>
      <c r="G378" s="957"/>
      <c r="H378" s="957"/>
      <c r="I378" s="957"/>
      <c r="J378" s="957"/>
      <c r="K378" s="957"/>
      <c r="L378" s="957"/>
      <c r="M378" s="957"/>
      <c r="N378" s="957"/>
      <c r="O378" s="4"/>
      <c r="P378" s="4"/>
      <c r="Q378" s="4"/>
      <c r="R378" s="4"/>
      <c r="S378" s="4"/>
      <c r="T378" s="4"/>
      <c r="U378" s="4"/>
      <c r="V378" s="4"/>
      <c r="W378" s="4"/>
      <c r="X378" s="4"/>
    </row>
    <row r="379" spans="1:24" ht="12.75">
      <c r="A379" s="4"/>
      <c r="B379" s="4"/>
      <c r="C379" s="4"/>
      <c r="D379" s="4"/>
      <c r="E379" s="957"/>
      <c r="F379" s="957"/>
      <c r="G379" s="957"/>
      <c r="H379" s="957"/>
      <c r="I379" s="957"/>
      <c r="J379" s="957"/>
      <c r="K379" s="957"/>
      <c r="L379" s="957"/>
      <c r="M379" s="957"/>
      <c r="N379" s="957"/>
      <c r="O379" s="4"/>
      <c r="P379" s="4"/>
      <c r="Q379" s="4"/>
      <c r="R379" s="4"/>
      <c r="S379" s="4"/>
      <c r="T379" s="4"/>
      <c r="U379" s="4"/>
      <c r="V379" s="4"/>
      <c r="W379" s="4"/>
      <c r="X379" s="4"/>
    </row>
    <row r="380" spans="1:24" ht="12.75">
      <c r="A380" s="4"/>
      <c r="B380" s="4"/>
      <c r="C380" s="4"/>
      <c r="D380" s="4"/>
      <c r="E380" s="957"/>
      <c r="F380" s="957"/>
      <c r="G380" s="957"/>
      <c r="H380" s="957"/>
      <c r="I380" s="957"/>
      <c r="J380" s="957"/>
      <c r="K380" s="957"/>
      <c r="L380" s="957"/>
      <c r="M380" s="957"/>
      <c r="N380" s="957"/>
      <c r="O380" s="4"/>
      <c r="P380" s="4"/>
      <c r="Q380" s="4"/>
      <c r="R380" s="4"/>
      <c r="S380" s="4"/>
      <c r="T380" s="4"/>
      <c r="U380" s="4"/>
      <c r="V380" s="4"/>
      <c r="W380" s="4"/>
      <c r="X380" s="4"/>
    </row>
    <row r="381" spans="1:24" ht="12.75">
      <c r="A381" s="4"/>
      <c r="B381" s="4"/>
      <c r="C381" s="4"/>
      <c r="D381" s="4"/>
      <c r="E381" s="957"/>
      <c r="F381" s="957"/>
      <c r="G381" s="957"/>
      <c r="H381" s="957"/>
      <c r="I381" s="957"/>
      <c r="J381" s="957"/>
      <c r="K381" s="957"/>
      <c r="L381" s="957"/>
      <c r="M381" s="957"/>
      <c r="N381" s="957"/>
      <c r="O381" s="4"/>
      <c r="P381" s="4"/>
      <c r="Q381" s="4"/>
      <c r="R381" s="4"/>
      <c r="S381" s="4"/>
      <c r="T381" s="4"/>
      <c r="U381" s="4"/>
      <c r="V381" s="4"/>
      <c r="W381" s="4"/>
      <c r="X381" s="4"/>
    </row>
    <row r="382" spans="1:24" ht="12.75">
      <c r="A382" s="4"/>
      <c r="B382" s="4"/>
      <c r="C382" s="4"/>
      <c r="D382" s="4"/>
      <c r="E382" s="957"/>
      <c r="F382" s="957"/>
      <c r="G382" s="957"/>
      <c r="H382" s="957"/>
      <c r="I382" s="957"/>
      <c r="J382" s="957"/>
      <c r="K382" s="957"/>
      <c r="L382" s="957"/>
      <c r="M382" s="957"/>
      <c r="N382" s="957"/>
      <c r="O382" s="4"/>
      <c r="P382" s="4"/>
      <c r="Q382" s="4"/>
      <c r="R382" s="4"/>
      <c r="S382" s="4"/>
      <c r="T382" s="4"/>
      <c r="U382" s="4"/>
      <c r="V382" s="4"/>
      <c r="W382" s="4"/>
      <c r="X382" s="4"/>
    </row>
    <row r="383" spans="1:24" ht="12.75">
      <c r="A383" s="4"/>
      <c r="B383" s="4"/>
      <c r="C383" s="4"/>
      <c r="D383" s="4"/>
      <c r="E383" s="957"/>
      <c r="F383" s="957"/>
      <c r="G383" s="957"/>
      <c r="H383" s="957"/>
      <c r="I383" s="957"/>
      <c r="J383" s="957"/>
      <c r="K383" s="957"/>
      <c r="L383" s="957"/>
      <c r="M383" s="957"/>
      <c r="N383" s="957"/>
      <c r="O383" s="4"/>
      <c r="P383" s="4"/>
      <c r="Q383" s="4"/>
      <c r="R383" s="4"/>
      <c r="S383" s="4"/>
      <c r="T383" s="4"/>
      <c r="U383" s="4"/>
      <c r="V383" s="4"/>
      <c r="W383" s="4"/>
      <c r="X383" s="4"/>
    </row>
    <row r="384" spans="1:24" ht="12.75">
      <c r="A384" s="4"/>
      <c r="B384" s="4"/>
      <c r="C384" s="4"/>
      <c r="D384" s="4"/>
      <c r="E384" s="957"/>
      <c r="F384" s="957"/>
      <c r="G384" s="957"/>
      <c r="H384" s="957"/>
      <c r="I384" s="957"/>
      <c r="J384" s="957"/>
      <c r="K384" s="957"/>
      <c r="L384" s="957"/>
      <c r="M384" s="957"/>
      <c r="N384" s="957"/>
      <c r="O384" s="4"/>
      <c r="P384" s="4"/>
      <c r="Q384" s="4"/>
      <c r="R384" s="4"/>
      <c r="S384" s="4"/>
      <c r="T384" s="4"/>
      <c r="U384" s="4"/>
      <c r="V384" s="4"/>
      <c r="W384" s="4"/>
      <c r="X384" s="4"/>
    </row>
    <row r="385" spans="1:24" ht="12.75">
      <c r="A385" s="4"/>
      <c r="B385" s="4"/>
      <c r="C385" s="4"/>
      <c r="D385" s="4"/>
      <c r="E385" s="957"/>
      <c r="F385" s="957"/>
      <c r="G385" s="957"/>
      <c r="H385" s="957"/>
      <c r="I385" s="957"/>
      <c r="J385" s="957"/>
      <c r="K385" s="957"/>
      <c r="L385" s="957"/>
      <c r="M385" s="957"/>
      <c r="N385" s="957"/>
      <c r="O385" s="4"/>
      <c r="P385" s="4"/>
      <c r="Q385" s="4"/>
      <c r="R385" s="4"/>
      <c r="S385" s="4"/>
      <c r="T385" s="4"/>
      <c r="U385" s="4"/>
      <c r="V385" s="4"/>
      <c r="W385" s="4"/>
      <c r="X385" s="4"/>
    </row>
    <row r="386" spans="1:24" ht="12.75">
      <c r="A386" s="4"/>
      <c r="B386" s="4"/>
      <c r="C386" s="4"/>
      <c r="D386" s="4"/>
      <c r="E386" s="957"/>
      <c r="F386" s="957"/>
      <c r="G386" s="957"/>
      <c r="H386" s="957"/>
      <c r="I386" s="957"/>
      <c r="J386" s="957"/>
      <c r="K386" s="957"/>
      <c r="L386" s="957"/>
      <c r="M386" s="957"/>
      <c r="N386" s="957"/>
      <c r="O386" s="4"/>
      <c r="P386" s="4"/>
      <c r="Q386" s="4"/>
      <c r="R386" s="4"/>
      <c r="S386" s="4"/>
      <c r="T386" s="4"/>
      <c r="U386" s="4"/>
      <c r="V386" s="4"/>
      <c r="W386" s="4"/>
      <c r="X386" s="4"/>
    </row>
    <row r="387" spans="1:24" ht="12.75">
      <c r="A387" s="4"/>
      <c r="B387" s="4"/>
      <c r="C387" s="4"/>
      <c r="D387" s="4"/>
      <c r="E387" s="957"/>
      <c r="F387" s="957"/>
      <c r="G387" s="957"/>
      <c r="H387" s="957"/>
      <c r="I387" s="957"/>
      <c r="J387" s="957"/>
      <c r="K387" s="957"/>
      <c r="L387" s="957"/>
      <c r="M387" s="957"/>
      <c r="N387" s="957"/>
      <c r="O387" s="4"/>
      <c r="P387" s="4"/>
      <c r="Q387" s="4"/>
      <c r="R387" s="4"/>
      <c r="S387" s="4"/>
      <c r="T387" s="4"/>
      <c r="U387" s="4"/>
      <c r="V387" s="4"/>
      <c r="W387" s="4"/>
      <c r="X387" s="4"/>
    </row>
    <row r="388" spans="1:24" ht="12.75">
      <c r="A388" s="4"/>
      <c r="B388" s="4"/>
      <c r="C388" s="4"/>
      <c r="D388" s="4"/>
      <c r="E388" s="957"/>
      <c r="F388" s="957"/>
      <c r="G388" s="957"/>
      <c r="H388" s="957"/>
      <c r="I388" s="957"/>
      <c r="J388" s="957"/>
      <c r="K388" s="957"/>
      <c r="L388" s="957"/>
      <c r="M388" s="957"/>
      <c r="N388" s="957"/>
      <c r="O388" s="4"/>
      <c r="P388" s="4"/>
      <c r="Q388" s="4"/>
      <c r="R388" s="4"/>
      <c r="S388" s="4"/>
      <c r="T388" s="4"/>
      <c r="U388" s="4"/>
      <c r="V388" s="4"/>
      <c r="W388" s="4"/>
      <c r="X388" s="4"/>
    </row>
    <row r="389" spans="1:24" ht="12.75">
      <c r="A389" s="4"/>
      <c r="B389" s="4"/>
      <c r="C389" s="4"/>
      <c r="D389" s="4"/>
      <c r="E389" s="957"/>
      <c r="F389" s="957"/>
      <c r="G389" s="957"/>
      <c r="H389" s="957"/>
      <c r="I389" s="957"/>
      <c r="J389" s="957"/>
      <c r="K389" s="957"/>
      <c r="L389" s="957"/>
      <c r="M389" s="957"/>
      <c r="N389" s="957"/>
      <c r="O389" s="4"/>
      <c r="P389" s="4"/>
      <c r="Q389" s="4"/>
      <c r="R389" s="4"/>
      <c r="S389" s="4"/>
      <c r="T389" s="4"/>
      <c r="U389" s="4"/>
      <c r="V389" s="4"/>
      <c r="W389" s="4"/>
      <c r="X389" s="4"/>
    </row>
    <row r="390" spans="1:24" ht="12.75">
      <c r="A390" s="4"/>
      <c r="B390" s="4"/>
      <c r="C390" s="4"/>
      <c r="D390" s="4"/>
      <c r="E390" s="957"/>
      <c r="F390" s="957"/>
      <c r="G390" s="957"/>
      <c r="H390" s="957"/>
      <c r="I390" s="957"/>
      <c r="J390" s="957"/>
      <c r="K390" s="957"/>
      <c r="L390" s="957"/>
      <c r="M390" s="957"/>
      <c r="N390" s="957"/>
      <c r="O390" s="4"/>
      <c r="P390" s="4"/>
      <c r="Q390" s="4"/>
      <c r="R390" s="4"/>
      <c r="S390" s="4"/>
      <c r="T390" s="4"/>
      <c r="U390" s="4"/>
      <c r="V390" s="4"/>
      <c r="W390" s="4"/>
      <c r="X390" s="4"/>
    </row>
    <row r="391" spans="1:24" ht="12.75">
      <c r="A391" s="4"/>
      <c r="B391" s="4"/>
      <c r="C391" s="4"/>
      <c r="D391" s="4"/>
      <c r="E391" s="957"/>
      <c r="F391" s="957"/>
      <c r="G391" s="957"/>
      <c r="H391" s="957"/>
      <c r="I391" s="957"/>
      <c r="J391" s="957"/>
      <c r="K391" s="957"/>
      <c r="L391" s="957"/>
      <c r="M391" s="957"/>
      <c r="N391" s="957"/>
      <c r="O391" s="4"/>
      <c r="P391" s="4"/>
      <c r="Q391" s="4"/>
      <c r="R391" s="4"/>
      <c r="S391" s="4"/>
      <c r="T391" s="4"/>
      <c r="U391" s="4"/>
      <c r="V391" s="4"/>
      <c r="W391" s="4"/>
      <c r="X391" s="4"/>
    </row>
    <row r="392" spans="1:24" ht="12.75">
      <c r="A392" s="4"/>
      <c r="B392" s="4"/>
      <c r="C392" s="4"/>
      <c r="D392" s="4"/>
      <c r="E392" s="957"/>
      <c r="F392" s="957"/>
      <c r="G392" s="957"/>
      <c r="H392" s="957"/>
      <c r="I392" s="957"/>
      <c r="J392" s="957"/>
      <c r="K392" s="957"/>
      <c r="L392" s="957"/>
      <c r="M392" s="957"/>
      <c r="N392" s="957"/>
      <c r="O392" s="4"/>
      <c r="P392" s="4"/>
      <c r="Q392" s="4"/>
      <c r="R392" s="4"/>
      <c r="S392" s="4"/>
      <c r="T392" s="4"/>
      <c r="U392" s="4"/>
      <c r="V392" s="4"/>
      <c r="W392" s="4"/>
      <c r="X392" s="4"/>
    </row>
    <row r="393" spans="1:24" ht="12.75">
      <c r="A393" s="4"/>
      <c r="B393" s="4"/>
      <c r="C393" s="4"/>
      <c r="D393" s="4"/>
      <c r="E393" s="957"/>
      <c r="F393" s="957"/>
      <c r="G393" s="957"/>
      <c r="H393" s="957"/>
      <c r="I393" s="957"/>
      <c r="J393" s="957"/>
      <c r="K393" s="957"/>
      <c r="L393" s="957"/>
      <c r="M393" s="957"/>
      <c r="N393" s="957"/>
      <c r="O393" s="4"/>
      <c r="P393" s="4"/>
      <c r="Q393" s="4"/>
      <c r="R393" s="4"/>
      <c r="S393" s="4"/>
      <c r="T393" s="4"/>
      <c r="U393" s="4"/>
      <c r="V393" s="4"/>
      <c r="W393" s="4"/>
      <c r="X393" s="4"/>
    </row>
    <row r="394" spans="1:24" ht="12.75">
      <c r="A394" s="4"/>
      <c r="B394" s="4"/>
      <c r="C394" s="4"/>
      <c r="D394" s="4"/>
      <c r="E394" s="957"/>
      <c r="F394" s="957"/>
      <c r="G394" s="957"/>
      <c r="H394" s="957"/>
      <c r="I394" s="957"/>
      <c r="J394" s="957"/>
      <c r="K394" s="957"/>
      <c r="L394" s="957"/>
      <c r="M394" s="957"/>
      <c r="N394" s="957"/>
      <c r="O394" s="4"/>
      <c r="P394" s="4"/>
      <c r="Q394" s="4"/>
      <c r="R394" s="4"/>
      <c r="S394" s="4"/>
      <c r="T394" s="4"/>
      <c r="U394" s="4"/>
      <c r="V394" s="4"/>
      <c r="W394" s="4"/>
      <c r="X394" s="4"/>
    </row>
    <row r="395" spans="1:24" ht="12.75">
      <c r="A395" s="4"/>
      <c r="B395" s="4"/>
      <c r="C395" s="4"/>
      <c r="D395" s="4"/>
      <c r="E395" s="957"/>
      <c r="F395" s="957"/>
      <c r="G395" s="957"/>
      <c r="H395" s="957"/>
      <c r="I395" s="957"/>
      <c r="J395" s="957"/>
      <c r="K395" s="957"/>
      <c r="L395" s="957"/>
      <c r="M395" s="957"/>
      <c r="N395" s="957"/>
      <c r="O395" s="4"/>
      <c r="P395" s="4"/>
      <c r="Q395" s="4"/>
      <c r="R395" s="4"/>
      <c r="S395" s="4"/>
      <c r="T395" s="4"/>
      <c r="U395" s="4"/>
      <c r="V395" s="4"/>
      <c r="W395" s="4"/>
      <c r="X395" s="4"/>
    </row>
    <row r="396" spans="1:24" ht="12.75">
      <c r="A396" s="4"/>
      <c r="B396" s="4"/>
      <c r="C396" s="4"/>
      <c r="D396" s="4"/>
      <c r="E396" s="957"/>
      <c r="F396" s="957"/>
      <c r="G396" s="957"/>
      <c r="H396" s="957"/>
      <c r="I396" s="957"/>
      <c r="J396" s="957"/>
      <c r="K396" s="957"/>
      <c r="L396" s="957"/>
      <c r="M396" s="957"/>
      <c r="N396" s="957"/>
      <c r="O396" s="4"/>
      <c r="P396" s="4"/>
      <c r="Q396" s="4"/>
      <c r="R396" s="4"/>
      <c r="S396" s="4"/>
      <c r="T396" s="4"/>
      <c r="U396" s="4"/>
      <c r="V396" s="4"/>
      <c r="W396" s="4"/>
      <c r="X396" s="4"/>
    </row>
    <row r="397" spans="1:24" ht="12.75">
      <c r="A397" s="4"/>
      <c r="B397" s="4"/>
      <c r="C397" s="4"/>
      <c r="D397" s="4"/>
      <c r="E397" s="957"/>
      <c r="F397" s="957"/>
      <c r="G397" s="957"/>
      <c r="H397" s="957"/>
      <c r="I397" s="957"/>
      <c r="J397" s="957"/>
      <c r="K397" s="957"/>
      <c r="L397" s="957"/>
      <c r="M397" s="957"/>
      <c r="N397" s="957"/>
      <c r="O397" s="4"/>
      <c r="P397" s="4"/>
      <c r="Q397" s="4"/>
      <c r="R397" s="4"/>
      <c r="S397" s="4"/>
      <c r="T397" s="4"/>
      <c r="U397" s="4"/>
      <c r="V397" s="4"/>
      <c r="W397" s="4"/>
      <c r="X397" s="4"/>
    </row>
    <row r="398" spans="1:24" ht="12.75">
      <c r="A398" s="4"/>
      <c r="B398" s="4"/>
      <c r="C398" s="4"/>
      <c r="D398" s="4"/>
      <c r="E398" s="957"/>
      <c r="F398" s="957"/>
      <c r="G398" s="957"/>
      <c r="H398" s="957"/>
      <c r="I398" s="957"/>
      <c r="J398" s="957"/>
      <c r="K398" s="957"/>
      <c r="L398" s="957"/>
      <c r="M398" s="957"/>
      <c r="N398" s="957"/>
      <c r="O398" s="4"/>
      <c r="P398" s="4"/>
      <c r="Q398" s="4"/>
      <c r="R398" s="4"/>
      <c r="S398" s="4"/>
      <c r="T398" s="4"/>
      <c r="U398" s="4"/>
      <c r="V398" s="4"/>
      <c r="W398" s="4"/>
      <c r="X398" s="4"/>
    </row>
    <row r="399" spans="1:24" ht="12.75">
      <c r="A399" s="4"/>
      <c r="B399" s="4"/>
      <c r="C399" s="4"/>
      <c r="D399" s="4"/>
      <c r="E399" s="957"/>
      <c r="F399" s="957"/>
      <c r="G399" s="957"/>
      <c r="H399" s="957"/>
      <c r="I399" s="957"/>
      <c r="J399" s="957"/>
      <c r="K399" s="957"/>
      <c r="L399" s="957"/>
      <c r="M399" s="957"/>
      <c r="N399" s="957"/>
      <c r="O399" s="4"/>
      <c r="P399" s="4"/>
      <c r="Q399" s="4"/>
      <c r="R399" s="4"/>
      <c r="S399" s="4"/>
      <c r="T399" s="4"/>
      <c r="U399" s="4"/>
      <c r="V399" s="4"/>
      <c r="W399" s="4"/>
      <c r="X399" s="4"/>
    </row>
    <row r="400" spans="1:24" ht="12.75">
      <c r="A400" s="4"/>
      <c r="B400" s="4"/>
      <c r="C400" s="4"/>
      <c r="D400" s="4"/>
      <c r="E400" s="957"/>
      <c r="F400" s="957"/>
      <c r="G400" s="957"/>
      <c r="H400" s="957"/>
      <c r="I400" s="957"/>
      <c r="J400" s="957"/>
      <c r="K400" s="957"/>
      <c r="L400" s="957"/>
      <c r="M400" s="957"/>
      <c r="N400" s="957"/>
      <c r="O400" s="4"/>
      <c r="P400" s="4"/>
      <c r="Q400" s="4"/>
      <c r="R400" s="4"/>
      <c r="S400" s="4"/>
      <c r="T400" s="4"/>
      <c r="U400" s="4"/>
      <c r="V400" s="4"/>
      <c r="W400" s="4"/>
      <c r="X400" s="4"/>
    </row>
    <row r="401" spans="1:24" ht="12.75">
      <c r="A401" s="4"/>
      <c r="B401" s="4"/>
      <c r="C401" s="4"/>
      <c r="D401" s="4"/>
      <c r="E401" s="957"/>
      <c r="F401" s="957"/>
      <c r="G401" s="957"/>
      <c r="H401" s="957"/>
      <c r="I401" s="957"/>
      <c r="J401" s="957"/>
      <c r="K401" s="957"/>
      <c r="L401" s="957"/>
      <c r="M401" s="957"/>
      <c r="N401" s="957"/>
      <c r="O401" s="4"/>
      <c r="P401" s="4"/>
      <c r="Q401" s="4"/>
      <c r="R401" s="4"/>
      <c r="S401" s="4"/>
      <c r="T401" s="4"/>
      <c r="U401" s="4"/>
      <c r="V401" s="4"/>
      <c r="W401" s="4"/>
      <c r="X401" s="4"/>
    </row>
    <row r="402" spans="1:24" ht="12.75">
      <c r="A402" s="4"/>
      <c r="B402" s="4"/>
      <c r="C402" s="4"/>
      <c r="D402" s="4"/>
      <c r="E402" s="957"/>
      <c r="F402" s="957"/>
      <c r="G402" s="957"/>
      <c r="H402" s="957"/>
      <c r="I402" s="957"/>
      <c r="J402" s="957"/>
      <c r="K402" s="957"/>
      <c r="L402" s="957"/>
      <c r="M402" s="957"/>
      <c r="N402" s="957"/>
      <c r="O402" s="4"/>
      <c r="P402" s="4"/>
      <c r="Q402" s="4"/>
      <c r="R402" s="4"/>
      <c r="S402" s="4"/>
      <c r="T402" s="4"/>
      <c r="U402" s="4"/>
      <c r="V402" s="4"/>
      <c r="W402" s="4"/>
      <c r="X402" s="4"/>
    </row>
    <row r="403" spans="1:24" ht="12.75">
      <c r="A403" s="4"/>
      <c r="B403" s="4"/>
      <c r="C403" s="4"/>
      <c r="D403" s="4"/>
      <c r="E403" s="957"/>
      <c r="F403" s="957"/>
      <c r="G403" s="957"/>
      <c r="H403" s="957"/>
      <c r="I403" s="957"/>
      <c r="J403" s="957"/>
      <c r="K403" s="957"/>
      <c r="L403" s="957"/>
      <c r="M403" s="957"/>
      <c r="N403" s="957"/>
      <c r="O403" s="4"/>
      <c r="P403" s="4"/>
      <c r="Q403" s="4"/>
      <c r="R403" s="4"/>
      <c r="S403" s="4"/>
      <c r="T403" s="4"/>
      <c r="U403" s="4"/>
      <c r="V403" s="4"/>
      <c r="W403" s="4"/>
      <c r="X403" s="4"/>
    </row>
    <row r="404" spans="1:24" ht="12.75">
      <c r="A404" s="4"/>
      <c r="B404" s="4"/>
      <c r="C404" s="4"/>
      <c r="D404" s="4"/>
      <c r="E404" s="957"/>
      <c r="F404" s="957"/>
      <c r="G404" s="957"/>
      <c r="H404" s="957"/>
      <c r="I404" s="957"/>
      <c r="J404" s="957"/>
      <c r="K404" s="957"/>
      <c r="L404" s="957"/>
      <c r="M404" s="957"/>
      <c r="N404" s="957"/>
      <c r="O404" s="4"/>
      <c r="P404" s="4"/>
      <c r="Q404" s="4"/>
      <c r="R404" s="4"/>
      <c r="S404" s="4"/>
      <c r="T404" s="4"/>
      <c r="U404" s="4"/>
      <c r="V404" s="4"/>
      <c r="W404" s="4"/>
      <c r="X404" s="4"/>
    </row>
    <row r="405" spans="1:24" ht="12.75">
      <c r="A405" s="4"/>
      <c r="B405" s="4"/>
      <c r="C405" s="4"/>
      <c r="D405" s="4"/>
      <c r="E405" s="957"/>
      <c r="F405" s="957"/>
      <c r="G405" s="957"/>
      <c r="H405" s="957"/>
      <c r="I405" s="957"/>
      <c r="J405" s="957"/>
      <c r="K405" s="957"/>
      <c r="L405" s="957"/>
      <c r="M405" s="957"/>
      <c r="N405" s="957"/>
      <c r="O405" s="4"/>
      <c r="P405" s="4"/>
      <c r="Q405" s="4"/>
      <c r="R405" s="4"/>
      <c r="S405" s="4"/>
      <c r="T405" s="4"/>
      <c r="U405" s="4"/>
      <c r="V405" s="4"/>
      <c r="W405" s="4"/>
      <c r="X405" s="4"/>
    </row>
    <row r="406" spans="1:24" ht="12.75">
      <c r="A406" s="4"/>
      <c r="B406" s="4"/>
      <c r="C406" s="4"/>
      <c r="D406" s="4"/>
      <c r="E406" s="957"/>
      <c r="F406" s="957"/>
      <c r="G406" s="957"/>
      <c r="H406" s="957"/>
      <c r="I406" s="957"/>
      <c r="J406" s="957"/>
      <c r="K406" s="957"/>
      <c r="L406" s="957"/>
      <c r="M406" s="957"/>
      <c r="N406" s="957"/>
      <c r="O406" s="4"/>
      <c r="P406" s="4"/>
      <c r="Q406" s="4"/>
      <c r="R406" s="4"/>
      <c r="S406" s="4"/>
      <c r="T406" s="4"/>
      <c r="U406" s="4"/>
      <c r="V406" s="4"/>
      <c r="W406" s="4"/>
      <c r="X406" s="4"/>
    </row>
    <row r="407" spans="1:24" ht="12.75">
      <c r="A407" s="4"/>
      <c r="B407" s="4"/>
      <c r="C407" s="4"/>
      <c r="D407" s="4"/>
      <c r="E407" s="957"/>
      <c r="F407" s="957"/>
      <c r="G407" s="957"/>
      <c r="H407" s="957"/>
      <c r="I407" s="957"/>
      <c r="J407" s="957"/>
      <c r="K407" s="957"/>
      <c r="L407" s="957"/>
      <c r="M407" s="957"/>
      <c r="N407" s="957"/>
      <c r="O407" s="4"/>
      <c r="P407" s="4"/>
      <c r="Q407" s="4"/>
      <c r="R407" s="4"/>
      <c r="S407" s="4"/>
      <c r="T407" s="4"/>
      <c r="U407" s="4"/>
      <c r="V407" s="4"/>
      <c r="W407" s="4"/>
      <c r="X407" s="4"/>
    </row>
    <row r="408" spans="1:24" ht="12.75">
      <c r="A408" s="4"/>
      <c r="B408" s="4"/>
      <c r="C408" s="4"/>
      <c r="D408" s="4"/>
      <c r="E408" s="957"/>
      <c r="F408" s="957"/>
      <c r="G408" s="957"/>
      <c r="H408" s="957"/>
      <c r="I408" s="957"/>
      <c r="J408" s="957"/>
      <c r="K408" s="957"/>
      <c r="L408" s="957"/>
      <c r="M408" s="957"/>
      <c r="N408" s="957"/>
      <c r="O408" s="4"/>
      <c r="P408" s="4"/>
      <c r="Q408" s="4"/>
      <c r="R408" s="4"/>
      <c r="S408" s="4"/>
      <c r="T408" s="4"/>
      <c r="U408" s="4"/>
      <c r="V408" s="4"/>
      <c r="W408" s="4"/>
      <c r="X408" s="4"/>
    </row>
    <row r="409" spans="1:24" ht="12.75">
      <c r="A409" s="4"/>
      <c r="B409" s="4"/>
      <c r="C409" s="4"/>
      <c r="D409" s="4"/>
      <c r="E409" s="957"/>
      <c r="F409" s="957"/>
      <c r="G409" s="957"/>
      <c r="H409" s="957"/>
      <c r="I409" s="957"/>
      <c r="J409" s="957"/>
      <c r="K409" s="957"/>
      <c r="L409" s="957"/>
      <c r="M409" s="957"/>
      <c r="N409" s="957"/>
      <c r="O409" s="4"/>
      <c r="P409" s="4"/>
      <c r="Q409" s="4"/>
      <c r="R409" s="4"/>
      <c r="S409" s="4"/>
      <c r="T409" s="4"/>
      <c r="U409" s="4"/>
      <c r="V409" s="4"/>
      <c r="W409" s="4"/>
      <c r="X409" s="4"/>
    </row>
    <row r="410" spans="1:24" ht="12.75">
      <c r="A410" s="4"/>
      <c r="B410" s="4"/>
      <c r="C410" s="4"/>
      <c r="D410" s="4"/>
      <c r="E410" s="957"/>
      <c r="F410" s="957"/>
      <c r="G410" s="957"/>
      <c r="H410" s="957"/>
      <c r="I410" s="957"/>
      <c r="J410" s="957"/>
      <c r="K410" s="957"/>
      <c r="L410" s="957"/>
      <c r="M410" s="957"/>
      <c r="N410" s="957"/>
      <c r="O410" s="4"/>
      <c r="P410" s="4"/>
      <c r="Q410" s="4"/>
      <c r="R410" s="4"/>
      <c r="S410" s="4"/>
      <c r="T410" s="4"/>
      <c r="U410" s="4"/>
      <c r="V410" s="4"/>
      <c r="W410" s="4"/>
      <c r="X410" s="4"/>
    </row>
    <row r="411" spans="1:24" ht="12.75">
      <c r="A411" s="4"/>
      <c r="B411" s="4"/>
      <c r="C411" s="4"/>
      <c r="D411" s="4"/>
      <c r="E411" s="957"/>
      <c r="F411" s="957"/>
      <c r="G411" s="957"/>
      <c r="H411" s="957"/>
      <c r="I411" s="957"/>
      <c r="J411" s="957"/>
      <c r="K411" s="957"/>
      <c r="L411" s="957"/>
      <c r="M411" s="957"/>
      <c r="N411" s="957"/>
      <c r="O411" s="4"/>
      <c r="P411" s="4"/>
      <c r="Q411" s="4"/>
      <c r="R411" s="4"/>
      <c r="S411" s="4"/>
      <c r="T411" s="4"/>
      <c r="U411" s="4"/>
      <c r="V411" s="4"/>
      <c r="W411" s="4"/>
      <c r="X411" s="4"/>
    </row>
    <row r="412" spans="1:24" ht="12.75">
      <c r="A412" s="4"/>
      <c r="B412" s="4"/>
      <c r="C412" s="4"/>
      <c r="D412" s="4"/>
      <c r="E412" s="957"/>
      <c r="F412" s="957"/>
      <c r="G412" s="957"/>
      <c r="H412" s="957"/>
      <c r="I412" s="957"/>
      <c r="J412" s="957"/>
      <c r="K412" s="957"/>
      <c r="L412" s="957"/>
      <c r="M412" s="957"/>
      <c r="N412" s="957"/>
      <c r="O412" s="4"/>
      <c r="P412" s="4"/>
      <c r="Q412" s="4"/>
      <c r="R412" s="4"/>
      <c r="S412" s="4"/>
      <c r="T412" s="4"/>
      <c r="U412" s="4"/>
      <c r="V412" s="4"/>
      <c r="W412" s="4"/>
      <c r="X412" s="4"/>
    </row>
    <row r="413" spans="1:24" ht="12.75">
      <c r="A413" s="4"/>
      <c r="B413" s="4"/>
      <c r="C413" s="4"/>
      <c r="D413" s="4"/>
      <c r="E413" s="957"/>
      <c r="F413" s="957"/>
      <c r="G413" s="957"/>
      <c r="H413" s="957"/>
      <c r="I413" s="957"/>
      <c r="J413" s="957"/>
      <c r="K413" s="957"/>
      <c r="L413" s="957"/>
      <c r="M413" s="957"/>
      <c r="N413" s="957"/>
      <c r="O413" s="4"/>
      <c r="P413" s="4"/>
      <c r="Q413" s="4"/>
      <c r="R413" s="4"/>
      <c r="S413" s="4"/>
      <c r="T413" s="4"/>
      <c r="U413" s="4"/>
      <c r="V413" s="4"/>
      <c r="W413" s="4"/>
      <c r="X413" s="4"/>
    </row>
    <row r="414" spans="1:24" ht="12.75">
      <c r="A414" s="4"/>
      <c r="B414" s="4"/>
      <c r="C414" s="4"/>
      <c r="D414" s="4"/>
      <c r="E414" s="957"/>
      <c r="F414" s="957"/>
      <c r="G414" s="957"/>
      <c r="H414" s="957"/>
      <c r="I414" s="957"/>
      <c r="J414" s="957"/>
      <c r="K414" s="957"/>
      <c r="L414" s="957"/>
      <c r="M414" s="957"/>
      <c r="N414" s="957"/>
      <c r="O414" s="4"/>
      <c r="P414" s="4"/>
      <c r="Q414" s="4"/>
      <c r="R414" s="4"/>
      <c r="S414" s="4"/>
      <c r="T414" s="4"/>
      <c r="U414" s="4"/>
      <c r="V414" s="4"/>
      <c r="W414" s="4"/>
      <c r="X414" s="4"/>
    </row>
    <row r="415" spans="1:24" ht="12.75">
      <c r="A415" s="4"/>
      <c r="B415" s="4"/>
      <c r="C415" s="4"/>
      <c r="D415" s="4"/>
      <c r="E415" s="957"/>
      <c r="F415" s="957"/>
      <c r="G415" s="957"/>
      <c r="H415" s="957"/>
      <c r="I415" s="957"/>
      <c r="J415" s="957"/>
      <c r="K415" s="957"/>
      <c r="L415" s="957"/>
      <c r="M415" s="957"/>
      <c r="N415" s="957"/>
      <c r="O415" s="4"/>
      <c r="P415" s="4"/>
      <c r="Q415" s="4"/>
      <c r="R415" s="4"/>
      <c r="S415" s="4"/>
      <c r="T415" s="4"/>
      <c r="U415" s="4"/>
      <c r="V415" s="4"/>
      <c r="W415" s="4"/>
      <c r="X415" s="4"/>
    </row>
    <row r="416" spans="1:24" ht="12.75">
      <c r="A416" s="4"/>
      <c r="B416" s="4"/>
      <c r="C416" s="4"/>
      <c r="D416" s="4"/>
      <c r="E416" s="957"/>
      <c r="F416" s="957"/>
      <c r="G416" s="957"/>
      <c r="H416" s="957"/>
      <c r="I416" s="957"/>
      <c r="J416" s="957"/>
      <c r="K416" s="957"/>
      <c r="L416" s="957"/>
      <c r="M416" s="957"/>
      <c r="N416" s="957"/>
      <c r="O416" s="4"/>
      <c r="P416" s="4"/>
      <c r="Q416" s="4"/>
      <c r="R416" s="4"/>
      <c r="S416" s="4"/>
      <c r="T416" s="4"/>
      <c r="U416" s="4"/>
      <c r="V416" s="4"/>
      <c r="W416" s="4"/>
      <c r="X416" s="4"/>
    </row>
    <row r="417" spans="1:24" ht="12.75">
      <c r="A417" s="4"/>
      <c r="B417" s="4"/>
      <c r="C417" s="4"/>
      <c r="D417" s="4"/>
      <c r="E417" s="957"/>
      <c r="F417" s="957"/>
      <c r="G417" s="957"/>
      <c r="H417" s="957"/>
      <c r="I417" s="957"/>
      <c r="J417" s="957"/>
      <c r="K417" s="957"/>
      <c r="L417" s="957"/>
      <c r="M417" s="957"/>
      <c r="N417" s="957"/>
      <c r="O417" s="4"/>
      <c r="P417" s="4"/>
      <c r="Q417" s="4"/>
      <c r="R417" s="4"/>
      <c r="S417" s="4"/>
      <c r="T417" s="4"/>
      <c r="U417" s="4"/>
      <c r="V417" s="4"/>
      <c r="W417" s="4"/>
      <c r="X417" s="4"/>
    </row>
    <row r="418" spans="1:24" ht="12.75">
      <c r="A418" s="4"/>
      <c r="B418" s="4"/>
      <c r="C418" s="4"/>
      <c r="D418" s="4"/>
      <c r="E418" s="957"/>
      <c r="F418" s="957"/>
      <c r="G418" s="957"/>
      <c r="H418" s="957"/>
      <c r="I418" s="957"/>
      <c r="J418" s="957"/>
      <c r="K418" s="957"/>
      <c r="L418" s="957"/>
      <c r="M418" s="957"/>
      <c r="N418" s="957"/>
      <c r="O418" s="4"/>
      <c r="P418" s="4"/>
      <c r="Q418" s="4"/>
      <c r="R418" s="4"/>
      <c r="S418" s="4"/>
      <c r="T418" s="4"/>
      <c r="U418" s="4"/>
      <c r="V418" s="4"/>
      <c r="W418" s="4"/>
      <c r="X418" s="4"/>
    </row>
    <row r="419" spans="1:24" ht="12.75">
      <c r="A419" s="4"/>
      <c r="B419" s="4"/>
      <c r="C419" s="4"/>
      <c r="D419" s="4"/>
      <c r="E419" s="957"/>
      <c r="F419" s="957"/>
      <c r="G419" s="957"/>
      <c r="H419" s="957"/>
      <c r="I419" s="957"/>
      <c r="J419" s="957"/>
      <c r="K419" s="957"/>
      <c r="L419" s="957"/>
      <c r="M419" s="957"/>
      <c r="N419" s="957"/>
      <c r="O419" s="4"/>
      <c r="P419" s="4"/>
      <c r="Q419" s="4"/>
      <c r="R419" s="4"/>
      <c r="S419" s="4"/>
      <c r="T419" s="4"/>
      <c r="U419" s="4"/>
      <c r="V419" s="4"/>
      <c r="W419" s="4"/>
      <c r="X419" s="4"/>
    </row>
    <row r="420" spans="1:24" ht="12.75">
      <c r="A420" s="4"/>
      <c r="B420" s="4"/>
      <c r="C420" s="4"/>
      <c r="D420" s="4"/>
      <c r="E420" s="957"/>
      <c r="F420" s="957"/>
      <c r="G420" s="957"/>
      <c r="H420" s="957"/>
      <c r="I420" s="957"/>
      <c r="J420" s="957"/>
      <c r="K420" s="957"/>
      <c r="L420" s="957"/>
      <c r="M420" s="957"/>
      <c r="N420" s="957"/>
      <c r="O420" s="4"/>
      <c r="P420" s="4"/>
      <c r="Q420" s="4"/>
      <c r="R420" s="4"/>
      <c r="S420" s="4"/>
      <c r="T420" s="4"/>
      <c r="U420" s="4"/>
      <c r="V420" s="4"/>
      <c r="W420" s="4"/>
      <c r="X420" s="4"/>
    </row>
    <row r="421" spans="1:24" ht="12.75">
      <c r="A421" s="4"/>
      <c r="B421" s="4"/>
      <c r="C421" s="4"/>
      <c r="D421" s="4"/>
      <c r="E421" s="957"/>
      <c r="F421" s="957"/>
      <c r="G421" s="957"/>
      <c r="H421" s="957"/>
      <c r="I421" s="957"/>
      <c r="J421" s="957"/>
      <c r="K421" s="957"/>
      <c r="L421" s="957"/>
      <c r="M421" s="957"/>
      <c r="N421" s="957"/>
      <c r="O421" s="4"/>
      <c r="P421" s="4"/>
      <c r="Q421" s="4"/>
      <c r="R421" s="4"/>
      <c r="S421" s="4"/>
      <c r="T421" s="4"/>
      <c r="U421" s="4"/>
      <c r="V421" s="4"/>
      <c r="W421" s="4"/>
      <c r="X421" s="4"/>
    </row>
    <row r="422" spans="1:24" ht="12.75">
      <c r="A422" s="4"/>
      <c r="B422" s="4"/>
      <c r="C422" s="4"/>
      <c r="D422" s="4"/>
      <c r="E422" s="957"/>
      <c r="F422" s="957"/>
      <c r="G422" s="957"/>
      <c r="H422" s="957"/>
      <c r="I422" s="957"/>
      <c r="J422" s="957"/>
      <c r="K422" s="957"/>
      <c r="L422" s="957"/>
      <c r="M422" s="957"/>
      <c r="N422" s="957"/>
      <c r="O422" s="4"/>
      <c r="P422" s="4"/>
      <c r="Q422" s="4"/>
      <c r="R422" s="4"/>
      <c r="S422" s="4"/>
      <c r="T422" s="4"/>
      <c r="U422" s="4"/>
      <c r="V422" s="4"/>
      <c r="W422" s="4"/>
      <c r="X422" s="4"/>
    </row>
    <row r="423" spans="1:24" ht="12.75">
      <c r="A423" s="4"/>
      <c r="B423" s="4"/>
      <c r="C423" s="4"/>
      <c r="D423" s="4"/>
      <c r="E423" s="957"/>
      <c r="F423" s="957"/>
      <c r="G423" s="957"/>
      <c r="H423" s="957"/>
      <c r="I423" s="957"/>
      <c r="J423" s="957"/>
      <c r="K423" s="957"/>
      <c r="L423" s="957"/>
      <c r="M423" s="957"/>
      <c r="N423" s="957"/>
      <c r="O423" s="4"/>
      <c r="P423" s="4"/>
      <c r="Q423" s="4"/>
      <c r="R423" s="4"/>
      <c r="S423" s="4"/>
      <c r="T423" s="4"/>
      <c r="U423" s="4"/>
      <c r="V423" s="4"/>
      <c r="W423" s="4"/>
      <c r="X423" s="4"/>
    </row>
    <row r="424" spans="1:24" ht="12.75">
      <c r="A424" s="4"/>
      <c r="B424" s="4"/>
      <c r="C424" s="4"/>
      <c r="D424" s="4"/>
      <c r="E424" s="957"/>
      <c r="F424" s="957"/>
      <c r="G424" s="957"/>
      <c r="H424" s="957"/>
      <c r="I424" s="957"/>
      <c r="J424" s="957"/>
      <c r="K424" s="957"/>
      <c r="L424" s="957"/>
      <c r="M424" s="957"/>
      <c r="N424" s="957"/>
      <c r="O424" s="4"/>
      <c r="P424" s="4"/>
      <c r="Q424" s="4"/>
      <c r="R424" s="4"/>
      <c r="S424" s="4"/>
      <c r="T424" s="4"/>
      <c r="U424" s="4"/>
      <c r="V424" s="4"/>
      <c r="W424" s="4"/>
      <c r="X424" s="4"/>
    </row>
    <row r="425" spans="1:24" ht="12.75">
      <c r="A425" s="4"/>
      <c r="B425" s="4"/>
      <c r="C425" s="4"/>
      <c r="D425" s="4"/>
      <c r="E425" s="957"/>
      <c r="F425" s="957"/>
      <c r="G425" s="957"/>
      <c r="H425" s="957"/>
      <c r="I425" s="957"/>
      <c r="J425" s="957"/>
      <c r="K425" s="957"/>
      <c r="L425" s="957"/>
      <c r="M425" s="957"/>
      <c r="N425" s="957"/>
      <c r="O425" s="4"/>
      <c r="P425" s="4"/>
      <c r="Q425" s="4"/>
      <c r="R425" s="4"/>
      <c r="S425" s="4"/>
      <c r="T425" s="4"/>
      <c r="U425" s="4"/>
      <c r="V425" s="4"/>
      <c r="W425" s="4"/>
      <c r="X425" s="4"/>
    </row>
    <row r="426" spans="1:24" ht="12.75">
      <c r="A426" s="4"/>
      <c r="B426" s="4"/>
      <c r="C426" s="4"/>
      <c r="D426" s="4"/>
      <c r="E426" s="957"/>
      <c r="F426" s="957"/>
      <c r="G426" s="957"/>
      <c r="H426" s="957"/>
      <c r="I426" s="957"/>
      <c r="J426" s="957"/>
      <c r="K426" s="957"/>
      <c r="L426" s="957"/>
      <c r="M426" s="957"/>
      <c r="N426" s="957"/>
      <c r="O426" s="4"/>
      <c r="P426" s="4"/>
      <c r="Q426" s="4"/>
      <c r="R426" s="4"/>
      <c r="S426" s="4"/>
      <c r="T426" s="4"/>
      <c r="U426" s="4"/>
      <c r="V426" s="4"/>
      <c r="W426" s="4"/>
      <c r="X426" s="4"/>
    </row>
    <row r="427" spans="1:24" ht="12.75">
      <c r="A427" s="4"/>
      <c r="B427" s="4"/>
      <c r="C427" s="4"/>
      <c r="D427" s="4"/>
      <c r="E427" s="957"/>
      <c r="F427" s="957"/>
      <c r="G427" s="957"/>
      <c r="H427" s="957"/>
      <c r="I427" s="957"/>
      <c r="J427" s="957"/>
      <c r="K427" s="957"/>
      <c r="L427" s="957"/>
      <c r="M427" s="957"/>
      <c r="N427" s="957"/>
      <c r="O427" s="4"/>
      <c r="P427" s="4"/>
      <c r="Q427" s="4"/>
      <c r="R427" s="4"/>
      <c r="S427" s="4"/>
      <c r="T427" s="4"/>
      <c r="U427" s="4"/>
      <c r="V427" s="4"/>
      <c r="W427" s="4"/>
      <c r="X427" s="4"/>
    </row>
    <row r="428" spans="1:24" ht="12.75">
      <c r="A428" s="4"/>
      <c r="B428" s="4"/>
      <c r="C428" s="4"/>
      <c r="D428" s="4"/>
      <c r="E428" s="957"/>
      <c r="F428" s="957"/>
      <c r="G428" s="957"/>
      <c r="H428" s="957"/>
      <c r="I428" s="957"/>
      <c r="J428" s="957"/>
      <c r="K428" s="957"/>
      <c r="L428" s="957"/>
      <c r="M428" s="957"/>
      <c r="N428" s="957"/>
      <c r="O428" s="4"/>
      <c r="P428" s="4"/>
      <c r="Q428" s="4"/>
      <c r="R428" s="4"/>
      <c r="S428" s="4"/>
      <c r="T428" s="4"/>
      <c r="U428" s="4"/>
      <c r="V428" s="4"/>
      <c r="W428" s="4"/>
      <c r="X428" s="4"/>
    </row>
    <row r="429" spans="1:24" ht="12.75">
      <c r="A429" s="4"/>
      <c r="B429" s="4"/>
      <c r="C429" s="4"/>
      <c r="D429" s="4"/>
      <c r="E429" s="957"/>
      <c r="F429" s="957"/>
      <c r="G429" s="957"/>
      <c r="H429" s="957"/>
      <c r="I429" s="957"/>
      <c r="J429" s="957"/>
      <c r="K429" s="957"/>
      <c r="L429" s="957"/>
      <c r="M429" s="957"/>
      <c r="N429" s="957"/>
      <c r="O429" s="4"/>
      <c r="P429" s="4"/>
      <c r="Q429" s="4"/>
      <c r="R429" s="4"/>
      <c r="S429" s="4"/>
      <c r="T429" s="4"/>
      <c r="U429" s="4"/>
      <c r="V429" s="4"/>
      <c r="W429" s="4"/>
      <c r="X429" s="4"/>
    </row>
    <row r="430" spans="1:24" ht="12.75">
      <c r="A430" s="4"/>
      <c r="B430" s="4"/>
      <c r="C430" s="4"/>
      <c r="D430" s="4"/>
      <c r="E430" s="957"/>
      <c r="F430" s="957"/>
      <c r="G430" s="957"/>
      <c r="H430" s="957"/>
      <c r="I430" s="957"/>
      <c r="J430" s="957"/>
      <c r="K430" s="957"/>
      <c r="L430" s="957"/>
      <c r="M430" s="957"/>
      <c r="N430" s="957"/>
      <c r="O430" s="4"/>
      <c r="P430" s="4"/>
      <c r="Q430" s="4"/>
      <c r="R430" s="4"/>
      <c r="S430" s="4"/>
      <c r="T430" s="4"/>
      <c r="U430" s="4"/>
      <c r="V430" s="4"/>
      <c r="W430" s="4"/>
      <c r="X430" s="4"/>
    </row>
    <row r="431" spans="1:24" ht="12.75">
      <c r="A431" s="4"/>
      <c r="B431" s="4"/>
      <c r="C431" s="4"/>
      <c r="D431" s="4"/>
      <c r="E431" s="957"/>
      <c r="F431" s="957"/>
      <c r="G431" s="957"/>
      <c r="H431" s="957"/>
      <c r="I431" s="957"/>
      <c r="J431" s="957"/>
      <c r="K431" s="957"/>
      <c r="L431" s="957"/>
      <c r="M431" s="957"/>
      <c r="N431" s="957"/>
      <c r="O431" s="4"/>
      <c r="P431" s="4"/>
      <c r="Q431" s="4"/>
      <c r="R431" s="4"/>
      <c r="S431" s="4"/>
      <c r="T431" s="4"/>
      <c r="U431" s="4"/>
      <c r="V431" s="4"/>
      <c r="W431" s="4"/>
      <c r="X431" s="4"/>
    </row>
    <row r="432" spans="1:24" ht="12.75">
      <c r="A432" s="4"/>
      <c r="B432" s="4"/>
      <c r="C432" s="4"/>
      <c r="D432" s="4"/>
      <c r="E432" s="957"/>
      <c r="F432" s="957"/>
      <c r="G432" s="957"/>
      <c r="H432" s="957"/>
      <c r="I432" s="957"/>
      <c r="J432" s="957"/>
      <c r="K432" s="957"/>
      <c r="L432" s="957"/>
      <c r="M432" s="957"/>
      <c r="N432" s="957"/>
      <c r="O432" s="4"/>
      <c r="P432" s="4"/>
      <c r="Q432" s="4"/>
      <c r="R432" s="4"/>
      <c r="S432" s="4"/>
      <c r="T432" s="4"/>
      <c r="U432" s="4"/>
      <c r="V432" s="4"/>
      <c r="W432" s="4"/>
      <c r="X432" s="4"/>
    </row>
    <row r="433" spans="1:24" ht="12.75">
      <c r="A433" s="4"/>
      <c r="B433" s="4"/>
      <c r="C433" s="4"/>
      <c r="D433" s="4"/>
      <c r="E433" s="957"/>
      <c r="F433" s="957"/>
      <c r="G433" s="957"/>
      <c r="H433" s="957"/>
      <c r="I433" s="957"/>
      <c r="J433" s="957"/>
      <c r="K433" s="957"/>
      <c r="L433" s="957"/>
      <c r="M433" s="957"/>
      <c r="N433" s="957"/>
      <c r="O433" s="4"/>
      <c r="P433" s="4"/>
      <c r="Q433" s="4"/>
      <c r="R433" s="4"/>
      <c r="S433" s="4"/>
      <c r="T433" s="4"/>
      <c r="U433" s="4"/>
      <c r="V433" s="4"/>
      <c r="W433" s="4"/>
      <c r="X433" s="4"/>
    </row>
    <row r="434" spans="1:24" ht="12.75">
      <c r="A434" s="4"/>
      <c r="B434" s="4"/>
      <c r="C434" s="4"/>
      <c r="D434" s="4"/>
      <c r="E434" s="957"/>
      <c r="F434" s="957"/>
      <c r="G434" s="957"/>
      <c r="H434" s="957"/>
      <c r="I434" s="957"/>
      <c r="J434" s="957"/>
      <c r="K434" s="957"/>
      <c r="L434" s="957"/>
      <c r="M434" s="957"/>
      <c r="N434" s="957"/>
      <c r="O434" s="4"/>
      <c r="P434" s="4"/>
      <c r="Q434" s="4"/>
      <c r="R434" s="4"/>
      <c r="S434" s="4"/>
      <c r="T434" s="4"/>
      <c r="U434" s="4"/>
      <c r="V434" s="4"/>
      <c r="W434" s="4"/>
      <c r="X434" s="4"/>
    </row>
    <row r="435" spans="1:24" ht="12.75">
      <c r="A435" s="4"/>
      <c r="B435" s="4"/>
      <c r="C435" s="4"/>
      <c r="D435" s="4"/>
      <c r="E435" s="957"/>
      <c r="F435" s="957"/>
      <c r="G435" s="957"/>
      <c r="H435" s="957"/>
      <c r="I435" s="957"/>
      <c r="J435" s="957"/>
      <c r="K435" s="957"/>
      <c r="L435" s="957"/>
      <c r="M435" s="957"/>
      <c r="N435" s="957"/>
      <c r="O435" s="4"/>
      <c r="P435" s="4"/>
      <c r="Q435" s="4"/>
      <c r="R435" s="4"/>
      <c r="S435" s="4"/>
      <c r="T435" s="4"/>
      <c r="U435" s="4"/>
      <c r="V435" s="4"/>
      <c r="W435" s="4"/>
      <c r="X435" s="4"/>
    </row>
    <row r="436" spans="1:24" ht="12.75">
      <c r="A436" s="4"/>
      <c r="B436" s="4"/>
      <c r="C436" s="4"/>
      <c r="D436" s="4"/>
      <c r="E436" s="957"/>
      <c r="F436" s="957"/>
      <c r="G436" s="957"/>
      <c r="H436" s="957"/>
      <c r="I436" s="957"/>
      <c r="J436" s="957"/>
      <c r="K436" s="957"/>
      <c r="L436" s="957"/>
      <c r="M436" s="957"/>
      <c r="N436" s="957"/>
      <c r="O436" s="4"/>
      <c r="P436" s="4"/>
      <c r="Q436" s="4"/>
      <c r="R436" s="4"/>
      <c r="S436" s="4"/>
      <c r="T436" s="4"/>
      <c r="U436" s="4"/>
      <c r="V436" s="4"/>
      <c r="W436" s="4"/>
      <c r="X436" s="4"/>
    </row>
    <row r="437" spans="1:24" ht="12.75">
      <c r="A437" s="4"/>
      <c r="B437" s="4"/>
      <c r="C437" s="4"/>
      <c r="D437" s="4"/>
      <c r="E437" s="957"/>
      <c r="F437" s="957"/>
      <c r="G437" s="957"/>
      <c r="H437" s="957"/>
      <c r="I437" s="957"/>
      <c r="J437" s="957"/>
      <c r="K437" s="957"/>
      <c r="L437" s="957"/>
      <c r="M437" s="957"/>
      <c r="N437" s="957"/>
      <c r="O437" s="4"/>
      <c r="P437" s="4"/>
      <c r="Q437" s="4"/>
      <c r="R437" s="4"/>
      <c r="S437" s="4"/>
      <c r="T437" s="4"/>
      <c r="U437" s="4"/>
      <c r="V437" s="4"/>
      <c r="W437" s="4"/>
      <c r="X437" s="4"/>
    </row>
    <row r="438" spans="1:24" ht="12.75">
      <c r="A438" s="4"/>
      <c r="B438" s="4"/>
      <c r="C438" s="4"/>
      <c r="D438" s="4"/>
      <c r="E438" s="957"/>
      <c r="F438" s="957"/>
      <c r="G438" s="957"/>
      <c r="H438" s="957"/>
      <c r="I438" s="957"/>
      <c r="J438" s="957"/>
      <c r="K438" s="957"/>
      <c r="L438" s="957"/>
      <c r="M438" s="957"/>
      <c r="N438" s="957"/>
      <c r="O438" s="4"/>
      <c r="P438" s="4"/>
      <c r="Q438" s="4"/>
      <c r="R438" s="4"/>
      <c r="S438" s="4"/>
      <c r="T438" s="4"/>
      <c r="U438" s="4"/>
      <c r="V438" s="4"/>
      <c r="W438" s="4"/>
      <c r="X438" s="4"/>
    </row>
    <row r="439" spans="1:24" ht="12.75">
      <c r="A439" s="4"/>
      <c r="B439" s="4"/>
      <c r="C439" s="4"/>
      <c r="D439" s="4"/>
      <c r="E439" s="957"/>
      <c r="F439" s="957"/>
      <c r="G439" s="957"/>
      <c r="H439" s="957"/>
      <c r="I439" s="957"/>
      <c r="J439" s="957"/>
      <c r="K439" s="957"/>
      <c r="L439" s="957"/>
      <c r="M439" s="957"/>
      <c r="N439" s="957"/>
      <c r="O439" s="4"/>
      <c r="P439" s="4"/>
      <c r="Q439" s="4"/>
      <c r="R439" s="4"/>
      <c r="S439" s="4"/>
      <c r="T439" s="4"/>
      <c r="U439" s="4"/>
      <c r="V439" s="4"/>
      <c r="W439" s="4"/>
      <c r="X439" s="4"/>
    </row>
    <row r="440" spans="1:24" ht="12.75">
      <c r="A440" s="4"/>
      <c r="B440" s="4"/>
      <c r="C440" s="4"/>
      <c r="D440" s="4"/>
      <c r="E440" s="957"/>
      <c r="F440" s="957"/>
      <c r="G440" s="957"/>
      <c r="H440" s="957"/>
      <c r="I440" s="957"/>
      <c r="J440" s="957"/>
      <c r="K440" s="957"/>
      <c r="L440" s="957"/>
      <c r="M440" s="957"/>
      <c r="N440" s="957"/>
      <c r="O440" s="4"/>
      <c r="P440" s="4"/>
      <c r="Q440" s="4"/>
      <c r="R440" s="4"/>
      <c r="S440" s="4"/>
      <c r="T440" s="4"/>
      <c r="U440" s="4"/>
      <c r="V440" s="4"/>
      <c r="W440" s="4"/>
      <c r="X440" s="4"/>
    </row>
    <row r="441" spans="1:24" ht="12.75">
      <c r="A441" s="4"/>
      <c r="B441" s="4"/>
      <c r="C441" s="4"/>
      <c r="D441" s="4"/>
      <c r="E441" s="957"/>
      <c r="F441" s="957"/>
      <c r="G441" s="957"/>
      <c r="H441" s="957"/>
      <c r="I441" s="957"/>
      <c r="J441" s="957"/>
      <c r="K441" s="957"/>
      <c r="L441" s="957"/>
      <c r="M441" s="957"/>
      <c r="N441" s="957"/>
      <c r="O441" s="4"/>
      <c r="P441" s="4"/>
      <c r="Q441" s="4"/>
      <c r="R441" s="4"/>
      <c r="S441" s="4"/>
      <c r="T441" s="4"/>
      <c r="U441" s="4"/>
      <c r="V441" s="4"/>
      <c r="W441" s="4"/>
      <c r="X441" s="4"/>
    </row>
    <row r="442" spans="1:24" ht="12.75">
      <c r="A442" s="4"/>
      <c r="B442" s="4"/>
      <c r="C442" s="4"/>
      <c r="D442" s="4"/>
      <c r="E442" s="957"/>
      <c r="F442" s="957"/>
      <c r="G442" s="957"/>
      <c r="H442" s="957"/>
      <c r="I442" s="957"/>
      <c r="J442" s="957"/>
      <c r="K442" s="957"/>
      <c r="L442" s="957"/>
      <c r="M442" s="957"/>
      <c r="N442" s="957"/>
      <c r="O442" s="4"/>
      <c r="P442" s="4"/>
      <c r="Q442" s="4"/>
      <c r="R442" s="4"/>
      <c r="S442" s="4"/>
      <c r="T442" s="4"/>
      <c r="U442" s="4"/>
      <c r="V442" s="4"/>
      <c r="W442" s="4"/>
      <c r="X442" s="4"/>
    </row>
    <row r="443" spans="1:24" ht="12.75">
      <c r="A443" s="4"/>
      <c r="B443" s="4"/>
      <c r="C443" s="4"/>
      <c r="D443" s="4"/>
      <c r="E443" s="957"/>
      <c r="F443" s="957"/>
      <c r="G443" s="957"/>
      <c r="H443" s="957"/>
      <c r="I443" s="957"/>
      <c r="J443" s="957"/>
      <c r="K443" s="957"/>
      <c r="L443" s="957"/>
      <c r="M443" s="957"/>
      <c r="N443" s="957"/>
      <c r="O443" s="4"/>
      <c r="P443" s="4"/>
      <c r="Q443" s="4"/>
      <c r="R443" s="4"/>
      <c r="S443" s="4"/>
      <c r="T443" s="4"/>
      <c r="U443" s="4"/>
      <c r="V443" s="4"/>
      <c r="W443" s="4"/>
      <c r="X443" s="4"/>
    </row>
    <row r="444" spans="1:24" ht="12.75">
      <c r="A444" s="4"/>
      <c r="B444" s="4"/>
      <c r="C444" s="4"/>
      <c r="D444" s="4"/>
      <c r="E444" s="957"/>
      <c r="F444" s="957"/>
      <c r="G444" s="957"/>
      <c r="H444" s="957"/>
      <c r="I444" s="957"/>
      <c r="J444" s="957"/>
      <c r="K444" s="957"/>
      <c r="L444" s="957"/>
      <c r="M444" s="957"/>
      <c r="N444" s="957"/>
      <c r="O444" s="4"/>
      <c r="P444" s="4"/>
      <c r="Q444" s="4"/>
      <c r="R444" s="4"/>
      <c r="S444" s="4"/>
      <c r="T444" s="4"/>
      <c r="U444" s="4"/>
      <c r="V444" s="4"/>
      <c r="W444" s="4"/>
      <c r="X444" s="4"/>
    </row>
    <row r="445" spans="1:24" ht="12.75">
      <c r="A445" s="4"/>
      <c r="B445" s="4"/>
      <c r="C445" s="4"/>
      <c r="D445" s="4"/>
      <c r="E445" s="957"/>
      <c r="F445" s="957"/>
      <c r="G445" s="957"/>
      <c r="H445" s="957"/>
      <c r="I445" s="957"/>
      <c r="J445" s="957"/>
      <c r="K445" s="957"/>
      <c r="L445" s="957"/>
      <c r="M445" s="957"/>
      <c r="N445" s="957"/>
      <c r="O445" s="4"/>
      <c r="P445" s="4"/>
      <c r="Q445" s="4"/>
      <c r="R445" s="4"/>
      <c r="S445" s="4"/>
      <c r="T445" s="4"/>
      <c r="U445" s="4"/>
      <c r="V445" s="4"/>
      <c r="W445" s="4"/>
      <c r="X445" s="4"/>
    </row>
    <row r="446" spans="1:24" ht="12.75">
      <c r="A446" s="4"/>
      <c r="B446" s="4"/>
      <c r="C446" s="4"/>
      <c r="D446" s="4"/>
      <c r="E446" s="957"/>
      <c r="F446" s="957"/>
      <c r="G446" s="957"/>
      <c r="H446" s="957"/>
      <c r="I446" s="957"/>
      <c r="J446" s="957"/>
      <c r="K446" s="957"/>
      <c r="L446" s="957"/>
      <c r="M446" s="957"/>
      <c r="N446" s="957"/>
      <c r="O446" s="4"/>
      <c r="P446" s="4"/>
      <c r="Q446" s="4"/>
      <c r="R446" s="4"/>
      <c r="S446" s="4"/>
      <c r="T446" s="4"/>
      <c r="U446" s="4"/>
      <c r="V446" s="4"/>
      <c r="W446" s="4"/>
      <c r="X446" s="4"/>
    </row>
    <row r="447" spans="1:24" ht="12.75">
      <c r="A447" s="4"/>
      <c r="B447" s="4"/>
      <c r="C447" s="4"/>
      <c r="D447" s="4"/>
      <c r="E447" s="957"/>
      <c r="F447" s="957"/>
      <c r="G447" s="957"/>
      <c r="H447" s="957"/>
      <c r="I447" s="957"/>
      <c r="J447" s="957"/>
      <c r="K447" s="957"/>
      <c r="L447" s="957"/>
      <c r="M447" s="957"/>
      <c r="N447" s="957"/>
      <c r="O447" s="4"/>
      <c r="P447" s="4"/>
      <c r="Q447" s="4"/>
      <c r="R447" s="4"/>
      <c r="S447" s="4"/>
      <c r="T447" s="4"/>
      <c r="U447" s="4"/>
      <c r="V447" s="4"/>
      <c r="W447" s="4"/>
      <c r="X447" s="4"/>
    </row>
    <row r="448" spans="1:24" ht="12.75">
      <c r="A448" s="4"/>
      <c r="B448" s="4"/>
      <c r="C448" s="4"/>
      <c r="D448" s="4"/>
      <c r="E448" s="957"/>
      <c r="F448" s="957"/>
      <c r="G448" s="957"/>
      <c r="H448" s="957"/>
      <c r="I448" s="957"/>
      <c r="J448" s="957"/>
      <c r="K448" s="957"/>
      <c r="L448" s="957"/>
      <c r="M448" s="957"/>
      <c r="N448" s="957"/>
      <c r="O448" s="4"/>
      <c r="P448" s="4"/>
      <c r="Q448" s="4"/>
      <c r="R448" s="4"/>
      <c r="S448" s="4"/>
      <c r="T448" s="4"/>
      <c r="U448" s="4"/>
      <c r="V448" s="4"/>
      <c r="W448" s="4"/>
      <c r="X448" s="4"/>
    </row>
    <row r="449" spans="1:24" ht="12.75">
      <c r="A449" s="4"/>
      <c r="B449" s="4"/>
      <c r="C449" s="4"/>
      <c r="D449" s="4"/>
      <c r="E449" s="957"/>
      <c r="F449" s="957"/>
      <c r="G449" s="957"/>
      <c r="H449" s="957"/>
      <c r="I449" s="957"/>
      <c r="J449" s="957"/>
      <c r="K449" s="957"/>
      <c r="L449" s="957"/>
      <c r="M449" s="957"/>
      <c r="N449" s="957"/>
      <c r="O449" s="4"/>
      <c r="P449" s="4"/>
      <c r="Q449" s="4"/>
      <c r="R449" s="4"/>
      <c r="S449" s="4"/>
      <c r="T449" s="4"/>
      <c r="U449" s="4"/>
      <c r="V449" s="4"/>
      <c r="W449" s="4"/>
      <c r="X449" s="4"/>
    </row>
    <row r="450" spans="1:24" ht="12.75">
      <c r="A450" s="4"/>
      <c r="B450" s="4"/>
      <c r="C450" s="4"/>
      <c r="D450" s="4"/>
      <c r="E450" s="957"/>
      <c r="F450" s="957"/>
      <c r="G450" s="957"/>
      <c r="H450" s="957"/>
      <c r="I450" s="957"/>
      <c r="J450" s="957"/>
      <c r="K450" s="957"/>
      <c r="L450" s="957"/>
      <c r="M450" s="957"/>
      <c r="N450" s="957"/>
      <c r="O450" s="4"/>
      <c r="P450" s="4"/>
      <c r="Q450" s="4"/>
      <c r="R450" s="4"/>
      <c r="S450" s="4"/>
      <c r="T450" s="4"/>
      <c r="U450" s="4"/>
      <c r="V450" s="4"/>
      <c r="W450" s="4"/>
      <c r="X450" s="4"/>
    </row>
    <row r="451" spans="1:24" ht="12.75">
      <c r="A451" s="4"/>
      <c r="B451" s="4"/>
      <c r="C451" s="4"/>
      <c r="D451" s="4"/>
      <c r="E451" s="957"/>
      <c r="F451" s="957"/>
      <c r="G451" s="957"/>
      <c r="H451" s="957"/>
      <c r="I451" s="957"/>
      <c r="J451" s="957"/>
      <c r="K451" s="957"/>
      <c r="L451" s="957"/>
      <c r="M451" s="957"/>
      <c r="N451" s="957"/>
      <c r="O451" s="4"/>
      <c r="P451" s="4"/>
      <c r="Q451" s="4"/>
      <c r="R451" s="4"/>
      <c r="S451" s="4"/>
      <c r="T451" s="4"/>
      <c r="U451" s="4"/>
      <c r="V451" s="4"/>
      <c r="W451" s="4"/>
      <c r="X451" s="4"/>
    </row>
    <row r="452" spans="1:24" ht="12.75">
      <c r="A452" s="4"/>
      <c r="B452" s="4"/>
      <c r="C452" s="4"/>
      <c r="D452" s="4"/>
      <c r="E452" s="957"/>
      <c r="F452" s="957"/>
      <c r="G452" s="957"/>
      <c r="H452" s="957"/>
      <c r="I452" s="957"/>
      <c r="J452" s="957"/>
      <c r="K452" s="957"/>
      <c r="L452" s="957"/>
      <c r="M452" s="957"/>
      <c r="N452" s="957"/>
      <c r="O452" s="4"/>
      <c r="P452" s="4"/>
      <c r="Q452" s="4"/>
      <c r="R452" s="4"/>
      <c r="S452" s="4"/>
      <c r="T452" s="4"/>
      <c r="U452" s="4"/>
      <c r="V452" s="4"/>
      <c r="W452" s="4"/>
      <c r="X452" s="4"/>
    </row>
    <row r="453" spans="1:24" ht="12.75">
      <c r="A453" s="4"/>
      <c r="B453" s="4"/>
      <c r="C453" s="4"/>
      <c r="D453" s="4"/>
      <c r="E453" s="957"/>
      <c r="F453" s="957"/>
      <c r="G453" s="957"/>
      <c r="H453" s="957"/>
      <c r="I453" s="957"/>
      <c r="J453" s="957"/>
      <c r="K453" s="957"/>
      <c r="L453" s="957"/>
      <c r="M453" s="957"/>
      <c r="N453" s="957"/>
      <c r="O453" s="4"/>
      <c r="P453" s="4"/>
      <c r="Q453" s="4"/>
      <c r="R453" s="4"/>
      <c r="S453" s="4"/>
      <c r="T453" s="4"/>
      <c r="U453" s="4"/>
      <c r="V453" s="4"/>
      <c r="W453" s="4"/>
      <c r="X453" s="4"/>
    </row>
    <row r="454" spans="1:24" ht="12.75">
      <c r="A454" s="4"/>
      <c r="B454" s="4"/>
      <c r="C454" s="4"/>
      <c r="D454" s="4"/>
      <c r="E454" s="957"/>
      <c r="F454" s="957"/>
      <c r="G454" s="957"/>
      <c r="H454" s="957"/>
      <c r="I454" s="957"/>
      <c r="J454" s="957"/>
      <c r="K454" s="957"/>
      <c r="L454" s="957"/>
      <c r="M454" s="957"/>
      <c r="N454" s="957"/>
      <c r="O454" s="4"/>
      <c r="P454" s="4"/>
      <c r="Q454" s="4"/>
      <c r="R454" s="4"/>
      <c r="S454" s="4"/>
      <c r="T454" s="4"/>
      <c r="U454" s="4"/>
      <c r="V454" s="4"/>
      <c r="W454" s="4"/>
      <c r="X454" s="4"/>
    </row>
    <row r="455" spans="1:24" ht="12.75">
      <c r="A455" s="4"/>
      <c r="B455" s="4"/>
      <c r="C455" s="4"/>
      <c r="D455" s="4"/>
      <c r="E455" s="957"/>
      <c r="F455" s="957"/>
      <c r="G455" s="957"/>
      <c r="H455" s="957"/>
      <c r="I455" s="957"/>
      <c r="J455" s="957"/>
      <c r="K455" s="957"/>
      <c r="L455" s="957"/>
      <c r="M455" s="957"/>
      <c r="N455" s="957"/>
      <c r="O455" s="4"/>
      <c r="P455" s="4"/>
      <c r="Q455" s="4"/>
      <c r="R455" s="4"/>
      <c r="S455" s="4"/>
      <c r="T455" s="4"/>
      <c r="U455" s="4"/>
      <c r="V455" s="4"/>
      <c r="W455" s="4"/>
      <c r="X455" s="4"/>
    </row>
    <row r="456" spans="1:24" ht="12.75">
      <c r="A456" s="4"/>
      <c r="B456" s="4"/>
      <c r="C456" s="4"/>
      <c r="D456" s="4"/>
      <c r="E456" s="957"/>
      <c r="F456" s="957"/>
      <c r="G456" s="957"/>
      <c r="H456" s="957"/>
      <c r="I456" s="957"/>
      <c r="J456" s="957"/>
      <c r="K456" s="957"/>
      <c r="L456" s="957"/>
      <c r="M456" s="957"/>
      <c r="N456" s="957"/>
      <c r="O456" s="4"/>
      <c r="P456" s="4"/>
      <c r="Q456" s="4"/>
      <c r="R456" s="4"/>
      <c r="S456" s="4"/>
      <c r="T456" s="4"/>
      <c r="U456" s="4"/>
      <c r="V456" s="4"/>
      <c r="W456" s="4"/>
      <c r="X456" s="4"/>
    </row>
    <row r="457" spans="1:24" ht="12.75">
      <c r="A457" s="4"/>
      <c r="B457" s="4"/>
      <c r="C457" s="4"/>
      <c r="D457" s="4"/>
      <c r="E457" s="957"/>
      <c r="F457" s="957"/>
      <c r="G457" s="957"/>
      <c r="H457" s="957"/>
      <c r="I457" s="957"/>
      <c r="J457" s="957"/>
      <c r="K457" s="957"/>
      <c r="L457" s="957"/>
      <c r="M457" s="957"/>
      <c r="N457" s="957"/>
      <c r="O457" s="4"/>
      <c r="P457" s="4"/>
      <c r="Q457" s="4"/>
      <c r="R457" s="4"/>
      <c r="S457" s="4"/>
      <c r="T457" s="4"/>
      <c r="U457" s="4"/>
      <c r="V457" s="4"/>
      <c r="W457" s="4"/>
      <c r="X457" s="4"/>
    </row>
    <row r="458" spans="1:24" ht="12.75">
      <c r="A458" s="4"/>
      <c r="B458" s="4"/>
      <c r="C458" s="4"/>
      <c r="D458" s="4"/>
      <c r="E458" s="957"/>
      <c r="F458" s="957"/>
      <c r="G458" s="957"/>
      <c r="H458" s="957"/>
      <c r="I458" s="957"/>
      <c r="J458" s="957"/>
      <c r="K458" s="957"/>
      <c r="L458" s="957"/>
      <c r="M458" s="957"/>
      <c r="N458" s="957"/>
      <c r="O458" s="4"/>
      <c r="P458" s="4"/>
      <c r="Q458" s="4"/>
      <c r="R458" s="4"/>
      <c r="S458" s="4"/>
      <c r="T458" s="4"/>
      <c r="U458" s="4"/>
      <c r="V458" s="4"/>
      <c r="W458" s="4"/>
      <c r="X458" s="4"/>
    </row>
    <row r="459" spans="1:24" ht="12.75">
      <c r="A459" s="4"/>
      <c r="B459" s="4"/>
      <c r="C459" s="4"/>
      <c r="D459" s="4"/>
      <c r="E459" s="957"/>
      <c r="F459" s="957"/>
      <c r="G459" s="957"/>
      <c r="H459" s="957"/>
      <c r="I459" s="957"/>
      <c r="J459" s="957"/>
      <c r="K459" s="957"/>
      <c r="L459" s="957"/>
      <c r="M459" s="957"/>
      <c r="N459" s="957"/>
      <c r="O459" s="4"/>
      <c r="P459" s="4"/>
      <c r="Q459" s="4"/>
      <c r="R459" s="4"/>
      <c r="S459" s="4"/>
      <c r="T459" s="4"/>
      <c r="U459" s="4"/>
      <c r="V459" s="4"/>
      <c r="W459" s="4"/>
      <c r="X459" s="4"/>
    </row>
    <row r="460" spans="1:24" ht="12.75">
      <c r="A460" s="4"/>
      <c r="B460" s="4"/>
      <c r="C460" s="4"/>
      <c r="D460" s="4"/>
      <c r="E460" s="957"/>
      <c r="F460" s="957"/>
      <c r="G460" s="957"/>
      <c r="H460" s="957"/>
      <c r="I460" s="957"/>
      <c r="J460" s="957"/>
      <c r="K460" s="957"/>
      <c r="L460" s="957"/>
      <c r="M460" s="957"/>
      <c r="N460" s="957"/>
      <c r="O460" s="4"/>
      <c r="P460" s="4"/>
      <c r="Q460" s="4"/>
      <c r="R460" s="4"/>
      <c r="S460" s="4"/>
      <c r="T460" s="4"/>
      <c r="U460" s="4"/>
      <c r="V460" s="4"/>
      <c r="W460" s="4"/>
      <c r="X460" s="4"/>
    </row>
    <row r="461" spans="1:24" ht="12.75">
      <c r="A461" s="4"/>
      <c r="B461" s="4"/>
      <c r="C461" s="4"/>
      <c r="D461" s="4"/>
      <c r="E461" s="957"/>
      <c r="F461" s="957"/>
      <c r="G461" s="957"/>
      <c r="H461" s="957"/>
      <c r="I461" s="957"/>
      <c r="J461" s="957"/>
      <c r="K461" s="957"/>
      <c r="L461" s="957"/>
      <c r="M461" s="957"/>
      <c r="N461" s="957"/>
      <c r="O461" s="4"/>
      <c r="P461" s="4"/>
      <c r="Q461" s="4"/>
      <c r="R461" s="4"/>
      <c r="S461" s="4"/>
      <c r="T461" s="4"/>
      <c r="U461" s="4"/>
      <c r="V461" s="4"/>
      <c r="W461" s="4"/>
      <c r="X461" s="4"/>
    </row>
    <row r="462" spans="1:24" ht="12.75">
      <c r="A462" s="4"/>
      <c r="B462" s="4"/>
      <c r="C462" s="4"/>
      <c r="D462" s="4"/>
      <c r="E462" s="957"/>
      <c r="F462" s="957"/>
      <c r="G462" s="957"/>
      <c r="H462" s="957"/>
      <c r="I462" s="957"/>
      <c r="J462" s="957"/>
      <c r="K462" s="957"/>
      <c r="L462" s="957"/>
      <c r="M462" s="957"/>
      <c r="N462" s="957"/>
      <c r="O462" s="4"/>
      <c r="P462" s="4"/>
      <c r="Q462" s="4"/>
      <c r="R462" s="4"/>
      <c r="S462" s="4"/>
      <c r="T462" s="4"/>
      <c r="U462" s="4"/>
      <c r="V462" s="4"/>
      <c r="W462" s="4"/>
      <c r="X462" s="4"/>
    </row>
    <row r="463" spans="1:24" ht="12.75">
      <c r="A463" s="4"/>
      <c r="B463" s="4"/>
      <c r="C463" s="4"/>
      <c r="D463" s="4"/>
      <c r="E463" s="957"/>
      <c r="F463" s="957"/>
      <c r="G463" s="957"/>
      <c r="H463" s="957"/>
      <c r="I463" s="957"/>
      <c r="J463" s="957"/>
      <c r="K463" s="957"/>
      <c r="L463" s="957"/>
      <c r="M463" s="957"/>
      <c r="N463" s="957"/>
      <c r="O463" s="4"/>
      <c r="P463" s="4"/>
      <c r="Q463" s="4"/>
      <c r="R463" s="4"/>
      <c r="S463" s="4"/>
      <c r="T463" s="4"/>
      <c r="U463" s="4"/>
      <c r="V463" s="4"/>
      <c r="W463" s="4"/>
      <c r="X463" s="4"/>
    </row>
    <row r="464" spans="1:24" ht="12.75">
      <c r="A464" s="4"/>
      <c r="B464" s="4"/>
      <c r="C464" s="4"/>
      <c r="D464" s="4"/>
      <c r="E464" s="957"/>
      <c r="F464" s="957"/>
      <c r="G464" s="957"/>
      <c r="H464" s="957"/>
      <c r="I464" s="957"/>
      <c r="J464" s="957"/>
      <c r="K464" s="957"/>
      <c r="L464" s="957"/>
      <c r="M464" s="957"/>
      <c r="N464" s="957"/>
      <c r="O464" s="4"/>
      <c r="P464" s="4"/>
      <c r="Q464" s="4"/>
      <c r="R464" s="4"/>
      <c r="S464" s="4"/>
      <c r="T464" s="4"/>
      <c r="U464" s="4"/>
      <c r="V464" s="4"/>
      <c r="W464" s="4"/>
      <c r="X464" s="4"/>
    </row>
    <row r="465" spans="1:24" ht="12.75">
      <c r="A465" s="4"/>
      <c r="B465" s="4"/>
      <c r="C465" s="4"/>
      <c r="D465" s="4"/>
      <c r="E465" s="957"/>
      <c r="F465" s="957"/>
      <c r="G465" s="957"/>
      <c r="H465" s="957"/>
      <c r="I465" s="957"/>
      <c r="J465" s="957"/>
      <c r="K465" s="957"/>
      <c r="L465" s="957"/>
      <c r="M465" s="957"/>
      <c r="N465" s="957"/>
      <c r="O465" s="4"/>
      <c r="P465" s="4"/>
      <c r="Q465" s="4"/>
      <c r="R465" s="4"/>
      <c r="S465" s="4"/>
      <c r="T465" s="4"/>
      <c r="U465" s="4"/>
      <c r="V465" s="4"/>
      <c r="W465" s="4"/>
      <c r="X465" s="4"/>
    </row>
    <row r="466" spans="1:24" ht="12.75">
      <c r="A466" s="4"/>
      <c r="B466" s="4"/>
      <c r="C466" s="4"/>
      <c r="D466" s="4"/>
      <c r="E466" s="957"/>
      <c r="F466" s="957"/>
      <c r="G466" s="957"/>
      <c r="H466" s="957"/>
      <c r="I466" s="957"/>
      <c r="J466" s="957"/>
      <c r="K466" s="957"/>
      <c r="L466" s="957"/>
      <c r="M466" s="957"/>
      <c r="N466" s="957"/>
      <c r="O466" s="4"/>
      <c r="P466" s="4"/>
      <c r="Q466" s="4"/>
      <c r="R466" s="4"/>
      <c r="S466" s="4"/>
      <c r="T466" s="4"/>
      <c r="U466" s="4"/>
      <c r="V466" s="4"/>
      <c r="W466" s="4"/>
      <c r="X466" s="4"/>
    </row>
    <row r="467" spans="1:24" ht="12.75">
      <c r="A467" s="4"/>
      <c r="B467" s="4"/>
      <c r="C467" s="4"/>
      <c r="D467" s="4"/>
      <c r="E467" s="957"/>
      <c r="F467" s="957"/>
      <c r="G467" s="957"/>
      <c r="H467" s="957"/>
      <c r="I467" s="957"/>
      <c r="J467" s="957"/>
      <c r="K467" s="957"/>
      <c r="L467" s="957"/>
      <c r="M467" s="957"/>
      <c r="N467" s="957"/>
      <c r="O467" s="4"/>
      <c r="P467" s="4"/>
      <c r="Q467" s="4"/>
      <c r="R467" s="4"/>
      <c r="S467" s="4"/>
      <c r="T467" s="4"/>
      <c r="U467" s="4"/>
      <c r="V467" s="4"/>
      <c r="W467" s="4"/>
      <c r="X467" s="4"/>
    </row>
    <row r="468" spans="1:24" ht="12.75">
      <c r="A468" s="4"/>
      <c r="B468" s="4"/>
      <c r="C468" s="4"/>
      <c r="D468" s="4"/>
      <c r="E468" s="957"/>
      <c r="F468" s="957"/>
      <c r="G468" s="957"/>
      <c r="H468" s="957"/>
      <c r="I468" s="957"/>
      <c r="J468" s="957"/>
      <c r="K468" s="957"/>
      <c r="L468" s="957"/>
      <c r="M468" s="957"/>
      <c r="N468" s="957"/>
      <c r="O468" s="4"/>
      <c r="P468" s="4"/>
      <c r="Q468" s="4"/>
      <c r="R468" s="4"/>
      <c r="S468" s="4"/>
      <c r="T468" s="4"/>
      <c r="U468" s="4"/>
      <c r="V468" s="4"/>
      <c r="W468" s="4"/>
      <c r="X468" s="4"/>
    </row>
    <row r="469" spans="1:24" ht="12.75">
      <c r="A469" s="4"/>
      <c r="B469" s="4"/>
      <c r="C469" s="4"/>
      <c r="D469" s="4"/>
      <c r="E469" s="957"/>
      <c r="F469" s="957"/>
      <c r="G469" s="957"/>
      <c r="H469" s="957"/>
      <c r="I469" s="957"/>
      <c r="J469" s="957"/>
      <c r="K469" s="957"/>
      <c r="L469" s="957"/>
      <c r="M469" s="957"/>
      <c r="N469" s="957"/>
      <c r="O469" s="4"/>
      <c r="P469" s="4"/>
      <c r="Q469" s="4"/>
      <c r="R469" s="4"/>
      <c r="S469" s="4"/>
      <c r="T469" s="4"/>
      <c r="U469" s="4"/>
      <c r="V469" s="4"/>
      <c r="W469" s="4"/>
      <c r="X469" s="4"/>
    </row>
    <row r="470" spans="1:24" ht="12.75">
      <c r="A470" s="4"/>
      <c r="B470" s="4"/>
      <c r="C470" s="4"/>
      <c r="D470" s="4"/>
      <c r="E470" s="957"/>
      <c r="F470" s="957"/>
      <c r="G470" s="957"/>
      <c r="H470" s="957"/>
      <c r="I470" s="957"/>
      <c r="J470" s="957"/>
      <c r="K470" s="957"/>
      <c r="L470" s="957"/>
      <c r="M470" s="957"/>
      <c r="N470" s="957"/>
      <c r="O470" s="4"/>
      <c r="P470" s="4"/>
      <c r="Q470" s="4"/>
      <c r="R470" s="4"/>
      <c r="S470" s="4"/>
      <c r="T470" s="4"/>
      <c r="U470" s="4"/>
      <c r="V470" s="4"/>
      <c r="W470" s="4"/>
      <c r="X470" s="4"/>
    </row>
    <row r="471" spans="1:24" ht="12.75">
      <c r="A471" s="4"/>
      <c r="B471" s="4"/>
      <c r="C471" s="4"/>
      <c r="D471" s="4"/>
      <c r="E471" s="957"/>
      <c r="F471" s="957"/>
      <c r="G471" s="957"/>
      <c r="H471" s="957"/>
      <c r="I471" s="957"/>
      <c r="J471" s="957"/>
      <c r="K471" s="957"/>
      <c r="L471" s="957"/>
      <c r="M471" s="957"/>
      <c r="N471" s="957"/>
      <c r="O471" s="4"/>
      <c r="P471" s="4"/>
      <c r="Q471" s="4"/>
      <c r="R471" s="4"/>
      <c r="S471" s="4"/>
      <c r="T471" s="4"/>
      <c r="U471" s="4"/>
      <c r="V471" s="4"/>
      <c r="W471" s="4"/>
      <c r="X471" s="4"/>
    </row>
    <row r="472" spans="1:24" ht="12.75">
      <c r="A472" s="4"/>
      <c r="B472" s="4"/>
      <c r="C472" s="4"/>
      <c r="D472" s="4"/>
      <c r="E472" s="957"/>
      <c r="F472" s="957"/>
      <c r="G472" s="957"/>
      <c r="H472" s="957"/>
      <c r="I472" s="957"/>
      <c r="J472" s="957"/>
      <c r="K472" s="957"/>
      <c r="L472" s="957"/>
      <c r="M472" s="957"/>
      <c r="N472" s="957"/>
      <c r="O472" s="4"/>
      <c r="P472" s="4"/>
      <c r="Q472" s="4"/>
      <c r="R472" s="4"/>
      <c r="S472" s="4"/>
      <c r="T472" s="4"/>
      <c r="U472" s="4"/>
      <c r="V472" s="4"/>
      <c r="W472" s="4"/>
      <c r="X472" s="4"/>
    </row>
    <row r="473" spans="1:24" ht="12.75">
      <c r="A473" s="4"/>
      <c r="B473" s="4"/>
      <c r="C473" s="4"/>
      <c r="D473" s="4"/>
      <c r="E473" s="957"/>
      <c r="F473" s="957"/>
      <c r="G473" s="957"/>
      <c r="H473" s="957"/>
      <c r="I473" s="957"/>
      <c r="J473" s="957"/>
      <c r="K473" s="957"/>
      <c r="L473" s="957"/>
      <c r="M473" s="957"/>
      <c r="N473" s="957"/>
      <c r="O473" s="4"/>
      <c r="P473" s="4"/>
      <c r="Q473" s="4"/>
      <c r="R473" s="4"/>
      <c r="S473" s="4"/>
      <c r="T473" s="4"/>
      <c r="U473" s="4"/>
      <c r="V473" s="4"/>
      <c r="W473" s="4"/>
      <c r="X473" s="4"/>
    </row>
    <row r="474" spans="1:24" ht="12.75">
      <c r="A474" s="4"/>
      <c r="B474" s="4"/>
      <c r="C474" s="4"/>
      <c r="D474" s="4"/>
      <c r="E474" s="957"/>
      <c r="F474" s="957"/>
      <c r="G474" s="957"/>
      <c r="H474" s="957"/>
      <c r="I474" s="957"/>
      <c r="J474" s="957"/>
      <c r="K474" s="957"/>
      <c r="L474" s="957"/>
      <c r="M474" s="957"/>
      <c r="N474" s="957"/>
      <c r="O474" s="4"/>
      <c r="P474" s="4"/>
      <c r="Q474" s="4"/>
      <c r="R474" s="4"/>
      <c r="S474" s="4"/>
      <c r="T474" s="4"/>
      <c r="U474" s="4"/>
      <c r="V474" s="4"/>
      <c r="W474" s="4"/>
      <c r="X474" s="4"/>
    </row>
    <row r="475" spans="1:24" ht="12.75">
      <c r="A475" s="4"/>
      <c r="B475" s="4"/>
      <c r="C475" s="4"/>
      <c r="D475" s="4"/>
      <c r="E475" s="957"/>
      <c r="F475" s="957"/>
      <c r="G475" s="957"/>
      <c r="H475" s="957"/>
      <c r="I475" s="957"/>
      <c r="J475" s="957"/>
      <c r="K475" s="957"/>
      <c r="L475" s="957"/>
      <c r="M475" s="957"/>
      <c r="N475" s="957"/>
      <c r="O475" s="4"/>
      <c r="P475" s="4"/>
      <c r="Q475" s="4"/>
      <c r="R475" s="4"/>
      <c r="S475" s="4"/>
      <c r="T475" s="4"/>
      <c r="U475" s="4"/>
      <c r="V475" s="4"/>
      <c r="W475" s="4"/>
      <c r="X475" s="4"/>
    </row>
    <row r="476" spans="1:24" ht="12.75">
      <c r="A476" s="4"/>
      <c r="B476" s="4"/>
      <c r="C476" s="4"/>
      <c r="D476" s="4"/>
      <c r="E476" s="957"/>
      <c r="F476" s="957"/>
      <c r="G476" s="957"/>
      <c r="H476" s="957"/>
      <c r="I476" s="957"/>
      <c r="J476" s="957"/>
      <c r="K476" s="957"/>
      <c r="L476" s="957"/>
      <c r="M476" s="957"/>
      <c r="N476" s="957"/>
      <c r="O476" s="4"/>
      <c r="P476" s="4"/>
      <c r="Q476" s="4"/>
      <c r="R476" s="4"/>
      <c r="S476" s="4"/>
      <c r="T476" s="4"/>
      <c r="U476" s="4"/>
      <c r="V476" s="4"/>
      <c r="W476" s="4"/>
      <c r="X476" s="4"/>
    </row>
    <row r="477" spans="1:24" ht="12.75">
      <c r="A477" s="4"/>
      <c r="B477" s="4"/>
      <c r="C477" s="4"/>
      <c r="D477" s="4"/>
      <c r="E477" s="957"/>
      <c r="F477" s="957"/>
      <c r="G477" s="957"/>
      <c r="H477" s="957"/>
      <c r="I477" s="957"/>
      <c r="J477" s="957"/>
      <c r="K477" s="957"/>
      <c r="L477" s="957"/>
      <c r="M477" s="957"/>
      <c r="N477" s="957"/>
      <c r="O477" s="4"/>
      <c r="P477" s="4"/>
      <c r="Q477" s="4"/>
      <c r="R477" s="4"/>
      <c r="S477" s="4"/>
      <c r="T477" s="4"/>
      <c r="U477" s="4"/>
      <c r="V477" s="4"/>
      <c r="W477" s="4"/>
      <c r="X477" s="4"/>
    </row>
    <row r="478" spans="1:24" ht="12.75">
      <c r="A478" s="4"/>
      <c r="B478" s="4"/>
      <c r="C478" s="4"/>
      <c r="D478" s="4"/>
      <c r="E478" s="957"/>
      <c r="F478" s="957"/>
      <c r="G478" s="957"/>
      <c r="H478" s="957"/>
      <c r="I478" s="957"/>
      <c r="J478" s="957"/>
      <c r="K478" s="957"/>
      <c r="L478" s="957"/>
      <c r="M478" s="957"/>
      <c r="N478" s="957"/>
      <c r="O478" s="4"/>
      <c r="P478" s="4"/>
      <c r="Q478" s="4"/>
      <c r="R478" s="4"/>
      <c r="S478" s="4"/>
      <c r="T478" s="4"/>
      <c r="U478" s="4"/>
      <c r="V478" s="4"/>
      <c r="W478" s="4"/>
      <c r="X478" s="4"/>
    </row>
    <row r="479" spans="1:24" ht="12.75">
      <c r="A479" s="4"/>
      <c r="B479" s="4"/>
      <c r="C479" s="4"/>
      <c r="D479" s="4"/>
      <c r="E479" s="957"/>
      <c r="F479" s="957"/>
      <c r="G479" s="957"/>
      <c r="H479" s="957"/>
      <c r="I479" s="957"/>
      <c r="J479" s="957"/>
      <c r="K479" s="957"/>
      <c r="L479" s="957"/>
      <c r="M479" s="957"/>
      <c r="N479" s="957"/>
      <c r="O479" s="4"/>
      <c r="P479" s="4"/>
      <c r="Q479" s="4"/>
      <c r="R479" s="4"/>
      <c r="S479" s="4"/>
      <c r="T479" s="4"/>
      <c r="U479" s="4"/>
      <c r="V479" s="4"/>
      <c r="W479" s="4"/>
      <c r="X479" s="4"/>
    </row>
    <row r="480" spans="1:24" ht="12.75">
      <c r="A480" s="4"/>
      <c r="B480" s="4"/>
      <c r="C480" s="4"/>
      <c r="D480" s="4"/>
      <c r="E480" s="957"/>
      <c r="F480" s="957"/>
      <c r="G480" s="957"/>
      <c r="H480" s="957"/>
      <c r="I480" s="957"/>
      <c r="J480" s="957"/>
      <c r="K480" s="957"/>
      <c r="L480" s="957"/>
      <c r="M480" s="957"/>
      <c r="N480" s="957"/>
      <c r="O480" s="4"/>
      <c r="P480" s="4"/>
      <c r="Q480" s="4"/>
      <c r="R480" s="4"/>
      <c r="S480" s="4"/>
      <c r="T480" s="4"/>
      <c r="U480" s="4"/>
      <c r="V480" s="4"/>
      <c r="W480" s="4"/>
      <c r="X480" s="4"/>
    </row>
    <row r="481" spans="1:24" ht="12.75">
      <c r="A481" s="4"/>
      <c r="B481" s="4"/>
      <c r="C481" s="4"/>
      <c r="D481" s="4"/>
      <c r="E481" s="957"/>
      <c r="F481" s="957"/>
      <c r="G481" s="957"/>
      <c r="H481" s="957"/>
      <c r="I481" s="957"/>
      <c r="J481" s="957"/>
      <c r="K481" s="957"/>
      <c r="L481" s="957"/>
      <c r="M481" s="957"/>
      <c r="N481" s="957"/>
      <c r="O481" s="4"/>
      <c r="P481" s="4"/>
      <c r="Q481" s="4"/>
      <c r="R481" s="4"/>
      <c r="S481" s="4"/>
      <c r="T481" s="4"/>
      <c r="U481" s="4"/>
      <c r="V481" s="4"/>
      <c r="W481" s="4"/>
      <c r="X481" s="4"/>
    </row>
    <row r="482" spans="1:24" ht="12.75">
      <c r="A482" s="4"/>
      <c r="B482" s="4"/>
      <c r="C482" s="4"/>
      <c r="D482" s="4"/>
      <c r="E482" s="957"/>
      <c r="F482" s="957"/>
      <c r="G482" s="957"/>
      <c r="H482" s="957"/>
      <c r="I482" s="957"/>
      <c r="J482" s="957"/>
      <c r="K482" s="957"/>
      <c r="L482" s="957"/>
      <c r="M482" s="957"/>
      <c r="N482" s="957"/>
      <c r="O482" s="4"/>
      <c r="P482" s="4"/>
      <c r="Q482" s="4"/>
      <c r="R482" s="4"/>
      <c r="S482" s="4"/>
      <c r="T482" s="4"/>
      <c r="U482" s="4"/>
      <c r="V482" s="4"/>
      <c r="W482" s="4"/>
      <c r="X482" s="4"/>
    </row>
    <row r="483" spans="1:24" ht="12.75">
      <c r="A483" s="4"/>
      <c r="B483" s="4"/>
      <c r="C483" s="4"/>
      <c r="D483" s="4"/>
      <c r="E483" s="957"/>
      <c r="F483" s="957"/>
      <c r="G483" s="957"/>
      <c r="H483" s="957"/>
      <c r="I483" s="957"/>
      <c r="J483" s="957"/>
      <c r="K483" s="957"/>
      <c r="L483" s="957"/>
      <c r="M483" s="957"/>
      <c r="N483" s="957"/>
      <c r="O483" s="4"/>
      <c r="P483" s="4"/>
      <c r="Q483" s="4"/>
      <c r="R483" s="4"/>
      <c r="S483" s="4"/>
      <c r="T483" s="4"/>
      <c r="U483" s="4"/>
      <c r="V483" s="4"/>
      <c r="W483" s="4"/>
      <c r="X483" s="4"/>
    </row>
    <row r="484" spans="1:24" ht="12.75">
      <c r="A484" s="4"/>
      <c r="B484" s="4"/>
      <c r="C484" s="4"/>
      <c r="D484" s="4"/>
      <c r="E484" s="957"/>
      <c r="F484" s="957"/>
      <c r="G484" s="957"/>
      <c r="H484" s="957"/>
      <c r="I484" s="957"/>
      <c r="J484" s="957"/>
      <c r="K484" s="957"/>
      <c r="L484" s="957"/>
      <c r="M484" s="957"/>
      <c r="N484" s="957"/>
      <c r="O484" s="4"/>
      <c r="P484" s="4"/>
      <c r="Q484" s="4"/>
      <c r="R484" s="4"/>
      <c r="S484" s="4"/>
      <c r="T484" s="4"/>
      <c r="U484" s="4"/>
      <c r="V484" s="4"/>
      <c r="W484" s="4"/>
      <c r="X484" s="4"/>
    </row>
    <row r="485" spans="1:24" ht="12.75">
      <c r="A485" s="4"/>
      <c r="B485" s="4"/>
      <c r="C485" s="4"/>
      <c r="D485" s="4"/>
      <c r="E485" s="957"/>
      <c r="F485" s="957"/>
      <c r="G485" s="957"/>
      <c r="H485" s="957"/>
      <c r="I485" s="957"/>
      <c r="J485" s="957"/>
      <c r="K485" s="957"/>
      <c r="L485" s="957"/>
      <c r="M485" s="957"/>
      <c r="N485" s="957"/>
      <c r="O485" s="4"/>
      <c r="P485" s="4"/>
      <c r="Q485" s="4"/>
      <c r="R485" s="4"/>
      <c r="S485" s="4"/>
      <c r="T485" s="4"/>
      <c r="U485" s="4"/>
      <c r="V485" s="4"/>
      <c r="W485" s="4"/>
      <c r="X485" s="4"/>
    </row>
    <row r="486" spans="1:24" ht="12.75">
      <c r="A486" s="4"/>
      <c r="B486" s="4"/>
      <c r="C486" s="4"/>
      <c r="D486" s="4"/>
      <c r="E486" s="957"/>
      <c r="F486" s="957"/>
      <c r="G486" s="957"/>
      <c r="H486" s="957"/>
      <c r="I486" s="957"/>
      <c r="J486" s="957"/>
      <c r="K486" s="957"/>
      <c r="L486" s="957"/>
      <c r="M486" s="957"/>
      <c r="N486" s="957"/>
      <c r="O486" s="4"/>
      <c r="P486" s="4"/>
      <c r="Q486" s="4"/>
      <c r="R486" s="4"/>
      <c r="S486" s="4"/>
      <c r="T486" s="4"/>
      <c r="U486" s="4"/>
      <c r="V486" s="4"/>
      <c r="W486" s="4"/>
      <c r="X486" s="4"/>
    </row>
    <row r="487" spans="1:24" ht="12.75">
      <c r="A487" s="4"/>
      <c r="B487" s="4"/>
      <c r="C487" s="4"/>
      <c r="D487" s="4"/>
      <c r="E487" s="957"/>
      <c r="F487" s="957"/>
      <c r="G487" s="957"/>
      <c r="H487" s="957"/>
      <c r="I487" s="957"/>
      <c r="J487" s="957"/>
      <c r="K487" s="957"/>
      <c r="L487" s="957"/>
      <c r="M487" s="957"/>
      <c r="N487" s="957"/>
      <c r="O487" s="4"/>
      <c r="P487" s="4"/>
      <c r="Q487" s="4"/>
      <c r="R487" s="4"/>
      <c r="S487" s="4"/>
      <c r="T487" s="4"/>
      <c r="U487" s="4"/>
      <c r="V487" s="4"/>
      <c r="W487" s="4"/>
      <c r="X487" s="4"/>
    </row>
    <row r="488" spans="1:24" ht="12.75">
      <c r="A488" s="4"/>
      <c r="B488" s="4"/>
      <c r="C488" s="4"/>
      <c r="D488" s="4"/>
      <c r="E488" s="957"/>
      <c r="F488" s="957"/>
      <c r="G488" s="957"/>
      <c r="H488" s="957"/>
      <c r="I488" s="957"/>
      <c r="J488" s="957"/>
      <c r="K488" s="957"/>
      <c r="L488" s="957"/>
      <c r="M488" s="957"/>
      <c r="N488" s="957"/>
      <c r="O488" s="4"/>
      <c r="P488" s="4"/>
      <c r="Q488" s="4"/>
      <c r="R488" s="4"/>
      <c r="S488" s="4"/>
      <c r="T488" s="4"/>
      <c r="U488" s="4"/>
      <c r="V488" s="4"/>
      <c r="W488" s="4"/>
      <c r="X488" s="4"/>
    </row>
    <row r="489" spans="1:24" ht="12.75">
      <c r="A489" s="4"/>
      <c r="B489" s="4"/>
      <c r="C489" s="4"/>
      <c r="D489" s="4"/>
      <c r="E489" s="957"/>
      <c r="F489" s="957"/>
      <c r="G489" s="957"/>
      <c r="H489" s="957"/>
      <c r="I489" s="957"/>
      <c r="J489" s="957"/>
      <c r="K489" s="957"/>
      <c r="L489" s="957"/>
      <c r="M489" s="957"/>
      <c r="N489" s="957"/>
      <c r="O489" s="4"/>
      <c r="P489" s="4"/>
      <c r="Q489" s="4"/>
      <c r="R489" s="4"/>
      <c r="S489" s="4"/>
      <c r="T489" s="4"/>
      <c r="U489" s="4"/>
      <c r="V489" s="4"/>
      <c r="W489" s="4"/>
      <c r="X489" s="4"/>
    </row>
    <row r="490" spans="1:24" ht="12.75">
      <c r="A490" s="4"/>
      <c r="B490" s="4"/>
      <c r="C490" s="4"/>
      <c r="D490" s="4"/>
      <c r="E490" s="957"/>
      <c r="F490" s="957"/>
      <c r="G490" s="957"/>
      <c r="H490" s="957"/>
      <c r="I490" s="957"/>
      <c r="J490" s="957"/>
      <c r="K490" s="957"/>
      <c r="L490" s="957"/>
      <c r="M490" s="957"/>
      <c r="N490" s="957"/>
      <c r="O490" s="4"/>
      <c r="P490" s="4"/>
      <c r="Q490" s="4"/>
      <c r="R490" s="4"/>
      <c r="S490" s="4"/>
      <c r="T490" s="4"/>
      <c r="U490" s="4"/>
      <c r="V490" s="4"/>
      <c r="W490" s="4"/>
      <c r="X490" s="4"/>
    </row>
    <row r="491" spans="1:24" ht="12.75">
      <c r="A491" s="4"/>
      <c r="B491" s="4"/>
      <c r="C491" s="4"/>
      <c r="D491" s="4"/>
      <c r="E491" s="957"/>
      <c r="F491" s="957"/>
      <c r="G491" s="957"/>
      <c r="H491" s="957"/>
      <c r="I491" s="957"/>
      <c r="J491" s="957"/>
      <c r="K491" s="957"/>
      <c r="L491" s="957"/>
      <c r="M491" s="957"/>
      <c r="N491" s="957"/>
      <c r="O491" s="4"/>
      <c r="P491" s="4"/>
      <c r="Q491" s="4"/>
      <c r="R491" s="4"/>
      <c r="S491" s="4"/>
      <c r="T491" s="4"/>
      <c r="U491" s="4"/>
      <c r="V491" s="4"/>
      <c r="W491" s="4"/>
      <c r="X491" s="4"/>
    </row>
    <row r="492" spans="1:24" ht="12.75">
      <c r="A492" s="4"/>
      <c r="B492" s="4"/>
      <c r="C492" s="4"/>
      <c r="D492" s="4"/>
      <c r="E492" s="957"/>
      <c r="F492" s="957"/>
      <c r="G492" s="957"/>
      <c r="H492" s="957"/>
      <c r="I492" s="957"/>
      <c r="J492" s="957"/>
      <c r="K492" s="957"/>
      <c r="L492" s="957"/>
      <c r="M492" s="957"/>
      <c r="N492" s="957"/>
      <c r="O492" s="4"/>
      <c r="P492" s="4"/>
      <c r="Q492" s="4"/>
      <c r="R492" s="4"/>
      <c r="S492" s="4"/>
      <c r="T492" s="4"/>
      <c r="U492" s="4"/>
      <c r="V492" s="4"/>
      <c r="W492" s="4"/>
      <c r="X492" s="4"/>
    </row>
    <row r="493" spans="1:24" ht="12.75">
      <c r="A493" s="4"/>
      <c r="B493" s="4"/>
      <c r="C493" s="4"/>
      <c r="D493" s="4"/>
      <c r="E493" s="957"/>
      <c r="F493" s="957"/>
      <c r="G493" s="957"/>
      <c r="H493" s="957"/>
      <c r="I493" s="957"/>
      <c r="J493" s="957"/>
      <c r="K493" s="957"/>
      <c r="L493" s="957"/>
      <c r="M493" s="957"/>
      <c r="N493" s="957"/>
      <c r="O493" s="4"/>
      <c r="P493" s="4"/>
      <c r="Q493" s="4"/>
      <c r="R493" s="4"/>
      <c r="S493" s="4"/>
      <c r="T493" s="4"/>
      <c r="U493" s="4"/>
      <c r="V493" s="4"/>
      <c r="W493" s="4"/>
      <c r="X493" s="4"/>
    </row>
    <row r="494" spans="1:24" ht="12.75">
      <c r="A494" s="4"/>
      <c r="B494" s="4"/>
      <c r="C494" s="4"/>
      <c r="D494" s="4"/>
      <c r="E494" s="957"/>
      <c r="F494" s="957"/>
      <c r="G494" s="957"/>
      <c r="H494" s="957"/>
      <c r="I494" s="957"/>
      <c r="J494" s="957"/>
      <c r="K494" s="957"/>
      <c r="L494" s="957"/>
      <c r="M494" s="957"/>
      <c r="N494" s="957"/>
      <c r="O494" s="4"/>
      <c r="P494" s="4"/>
      <c r="Q494" s="4"/>
      <c r="R494" s="4"/>
      <c r="S494" s="4"/>
      <c r="T494" s="4"/>
      <c r="U494" s="4"/>
      <c r="V494" s="4"/>
      <c r="W494" s="4"/>
      <c r="X494" s="4"/>
    </row>
    <row r="495" spans="1:24" ht="12.75">
      <c r="A495" s="4"/>
      <c r="B495" s="4"/>
      <c r="C495" s="4"/>
      <c r="D495" s="4"/>
      <c r="E495" s="957"/>
      <c r="F495" s="957"/>
      <c r="G495" s="957"/>
      <c r="H495" s="957"/>
      <c r="I495" s="957"/>
      <c r="J495" s="957"/>
      <c r="K495" s="957"/>
      <c r="L495" s="957"/>
      <c r="M495" s="957"/>
      <c r="N495" s="957"/>
      <c r="O495" s="4"/>
      <c r="P495" s="4"/>
      <c r="Q495" s="4"/>
      <c r="R495" s="4"/>
      <c r="S495" s="4"/>
      <c r="T495" s="4"/>
      <c r="U495" s="4"/>
      <c r="V495" s="4"/>
      <c r="W495" s="4"/>
      <c r="X495" s="4"/>
    </row>
    <row r="496" spans="1:24" ht="12.75">
      <c r="A496" s="4"/>
      <c r="B496" s="4"/>
      <c r="C496" s="4"/>
      <c r="D496" s="4"/>
      <c r="E496" s="957"/>
      <c r="F496" s="957"/>
      <c r="G496" s="957"/>
      <c r="H496" s="957"/>
      <c r="I496" s="957"/>
      <c r="J496" s="957"/>
      <c r="K496" s="957"/>
      <c r="L496" s="957"/>
      <c r="M496" s="957"/>
      <c r="N496" s="957"/>
      <c r="O496" s="4"/>
      <c r="P496" s="4"/>
      <c r="Q496" s="4"/>
      <c r="R496" s="4"/>
      <c r="S496" s="4"/>
      <c r="T496" s="4"/>
      <c r="U496" s="4"/>
      <c r="V496" s="4"/>
      <c r="W496" s="4"/>
      <c r="X496" s="4"/>
    </row>
    <row r="497" spans="1:24" ht="12.75">
      <c r="A497" s="4"/>
      <c r="B497" s="4"/>
      <c r="C497" s="4"/>
      <c r="D497" s="4"/>
      <c r="E497" s="957"/>
      <c r="F497" s="957"/>
      <c r="G497" s="957"/>
      <c r="H497" s="957"/>
      <c r="I497" s="957"/>
      <c r="J497" s="957"/>
      <c r="K497" s="957"/>
      <c r="L497" s="957"/>
      <c r="M497" s="957"/>
      <c r="N497" s="957"/>
      <c r="O497" s="4"/>
      <c r="P497" s="4"/>
      <c r="Q497" s="4"/>
      <c r="R497" s="4"/>
      <c r="S497" s="4"/>
      <c r="T497" s="4"/>
      <c r="U497" s="4"/>
      <c r="V497" s="4"/>
      <c r="W497" s="4"/>
      <c r="X497" s="4"/>
    </row>
    <row r="498" spans="1:24" ht="12.75">
      <c r="A498" s="4"/>
      <c r="B498" s="4"/>
      <c r="C498" s="4"/>
      <c r="D498" s="4"/>
      <c r="E498" s="957"/>
      <c r="F498" s="957"/>
      <c r="G498" s="957"/>
      <c r="H498" s="957"/>
      <c r="I498" s="957"/>
      <c r="J498" s="957"/>
      <c r="K498" s="957"/>
      <c r="L498" s="957"/>
      <c r="M498" s="957"/>
      <c r="N498" s="957"/>
      <c r="O498" s="4"/>
      <c r="P498" s="4"/>
      <c r="Q498" s="4"/>
      <c r="R498" s="4"/>
      <c r="S498" s="4"/>
      <c r="T498" s="4"/>
      <c r="U498" s="4"/>
      <c r="V498" s="4"/>
      <c r="W498" s="4"/>
      <c r="X498" s="4"/>
    </row>
    <row r="499" spans="1:24" ht="12.75">
      <c r="A499" s="4"/>
      <c r="B499" s="4"/>
      <c r="C499" s="4"/>
      <c r="D499" s="4"/>
      <c r="E499" s="957"/>
      <c r="F499" s="957"/>
      <c r="G499" s="957"/>
      <c r="H499" s="957"/>
      <c r="I499" s="957"/>
      <c r="J499" s="957"/>
      <c r="K499" s="957"/>
      <c r="L499" s="957"/>
      <c r="M499" s="957"/>
      <c r="N499" s="957"/>
      <c r="O499" s="4"/>
      <c r="P499" s="4"/>
      <c r="Q499" s="4"/>
      <c r="R499" s="4"/>
      <c r="S499" s="4"/>
      <c r="T499" s="4"/>
      <c r="U499" s="4"/>
      <c r="V499" s="4"/>
      <c r="W499" s="4"/>
      <c r="X499" s="4"/>
    </row>
    <row r="500" spans="1:24" ht="12.75">
      <c r="A500" s="4"/>
      <c r="B500" s="4"/>
      <c r="C500" s="4"/>
      <c r="D500" s="4"/>
      <c r="E500" s="957"/>
      <c r="F500" s="957"/>
      <c r="G500" s="957"/>
      <c r="H500" s="957"/>
      <c r="I500" s="957"/>
      <c r="J500" s="957"/>
      <c r="K500" s="957"/>
      <c r="L500" s="957"/>
      <c r="M500" s="957"/>
      <c r="N500" s="957"/>
      <c r="O500" s="4"/>
      <c r="P500" s="4"/>
      <c r="Q500" s="4"/>
      <c r="R500" s="4"/>
      <c r="S500" s="4"/>
      <c r="T500" s="4"/>
      <c r="U500" s="4"/>
      <c r="V500" s="4"/>
      <c r="W500" s="4"/>
      <c r="X500" s="4"/>
    </row>
    <row r="501" spans="1:24" ht="12.75">
      <c r="A501" s="4"/>
      <c r="B501" s="4"/>
      <c r="C501" s="4"/>
      <c r="D501" s="4"/>
      <c r="E501" s="957"/>
      <c r="F501" s="957"/>
      <c r="G501" s="957"/>
      <c r="H501" s="957"/>
      <c r="I501" s="957"/>
      <c r="J501" s="957"/>
      <c r="K501" s="957"/>
      <c r="L501" s="957"/>
      <c r="M501" s="957"/>
      <c r="N501" s="957"/>
      <c r="O501" s="4"/>
      <c r="P501" s="4"/>
      <c r="Q501" s="4"/>
      <c r="R501" s="4"/>
      <c r="S501" s="4"/>
      <c r="T501" s="4"/>
      <c r="U501" s="4"/>
      <c r="V501" s="4"/>
      <c r="W501" s="4"/>
      <c r="X501" s="4"/>
    </row>
    <row r="502" spans="1:24" ht="12.75">
      <c r="A502" s="4"/>
      <c r="B502" s="4"/>
      <c r="C502" s="4"/>
      <c r="D502" s="4"/>
      <c r="E502" s="957"/>
      <c r="F502" s="957"/>
      <c r="G502" s="957"/>
      <c r="H502" s="957"/>
      <c r="I502" s="957"/>
      <c r="J502" s="957"/>
      <c r="K502" s="957"/>
      <c r="L502" s="957"/>
      <c r="M502" s="957"/>
      <c r="N502" s="957"/>
      <c r="O502" s="4"/>
      <c r="P502" s="4"/>
      <c r="Q502" s="4"/>
      <c r="R502" s="4"/>
      <c r="S502" s="4"/>
      <c r="T502" s="4"/>
      <c r="U502" s="4"/>
      <c r="V502" s="4"/>
      <c r="W502" s="4"/>
      <c r="X502" s="4"/>
    </row>
    <row r="503" spans="1:24" ht="12.75">
      <c r="A503" s="4"/>
      <c r="B503" s="4"/>
      <c r="C503" s="4"/>
      <c r="D503" s="4"/>
      <c r="E503" s="957"/>
      <c r="F503" s="957"/>
      <c r="G503" s="957"/>
      <c r="H503" s="957"/>
      <c r="I503" s="957"/>
      <c r="J503" s="957"/>
      <c r="K503" s="957"/>
      <c r="L503" s="957"/>
      <c r="M503" s="957"/>
      <c r="N503" s="957"/>
      <c r="O503" s="4"/>
      <c r="P503" s="4"/>
      <c r="Q503" s="4"/>
      <c r="R503" s="4"/>
      <c r="S503" s="4"/>
      <c r="T503" s="4"/>
      <c r="U503" s="4"/>
      <c r="V503" s="4"/>
      <c r="W503" s="4"/>
      <c r="X503" s="4"/>
    </row>
    <row r="504" spans="1:24" ht="12.75">
      <c r="A504" s="4"/>
      <c r="B504" s="4"/>
      <c r="C504" s="4"/>
      <c r="D504" s="4"/>
      <c r="E504" s="957"/>
      <c r="F504" s="957"/>
      <c r="G504" s="957"/>
      <c r="H504" s="957"/>
      <c r="I504" s="957"/>
      <c r="J504" s="957"/>
      <c r="K504" s="957"/>
      <c r="L504" s="957"/>
      <c r="M504" s="957"/>
      <c r="N504" s="957"/>
      <c r="O504" s="4"/>
      <c r="P504" s="4"/>
      <c r="Q504" s="4"/>
      <c r="R504" s="4"/>
      <c r="S504" s="4"/>
      <c r="T504" s="4"/>
      <c r="U504" s="4"/>
      <c r="V504" s="4"/>
      <c r="W504" s="4"/>
      <c r="X504" s="4"/>
    </row>
    <row r="505" spans="1:24" ht="12.75">
      <c r="A505" s="4"/>
      <c r="B505" s="4"/>
      <c r="C505" s="4"/>
      <c r="D505" s="4"/>
      <c r="E505" s="957"/>
      <c r="F505" s="957"/>
      <c r="G505" s="957"/>
      <c r="H505" s="957"/>
      <c r="I505" s="957"/>
      <c r="J505" s="957"/>
      <c r="K505" s="957"/>
      <c r="L505" s="957"/>
      <c r="M505" s="957"/>
      <c r="N505" s="957"/>
      <c r="O505" s="4"/>
      <c r="P505" s="4"/>
      <c r="Q505" s="4"/>
      <c r="R505" s="4"/>
      <c r="S505" s="4"/>
      <c r="T505" s="4"/>
      <c r="U505" s="4"/>
      <c r="V505" s="4"/>
      <c r="W505" s="4"/>
      <c r="X505" s="4"/>
    </row>
    <row r="506" spans="1:24" ht="12.75">
      <c r="A506" s="4"/>
      <c r="B506" s="4"/>
      <c r="C506" s="4"/>
      <c r="D506" s="4"/>
      <c r="E506" s="957"/>
      <c r="F506" s="957"/>
      <c r="G506" s="957"/>
      <c r="H506" s="957"/>
      <c r="I506" s="957"/>
      <c r="J506" s="957"/>
      <c r="K506" s="957"/>
      <c r="L506" s="957"/>
      <c r="M506" s="957"/>
      <c r="N506" s="957"/>
      <c r="O506" s="4"/>
      <c r="P506" s="4"/>
      <c r="Q506" s="4"/>
      <c r="R506" s="4"/>
      <c r="S506" s="4"/>
      <c r="T506" s="4"/>
      <c r="U506" s="4"/>
      <c r="V506" s="4"/>
      <c r="W506" s="4"/>
      <c r="X506" s="4"/>
    </row>
    <row r="507" spans="1:24" ht="12.75">
      <c r="A507" s="4"/>
      <c r="B507" s="4"/>
      <c r="C507" s="4"/>
      <c r="D507" s="4"/>
      <c r="E507" s="957"/>
      <c r="F507" s="957"/>
      <c r="G507" s="957"/>
      <c r="H507" s="957"/>
      <c r="I507" s="957"/>
      <c r="J507" s="957"/>
      <c r="K507" s="957"/>
      <c r="L507" s="957"/>
      <c r="M507" s="957"/>
      <c r="N507" s="957"/>
      <c r="O507" s="4"/>
      <c r="P507" s="4"/>
      <c r="Q507" s="4"/>
      <c r="R507" s="4"/>
      <c r="S507" s="4"/>
      <c r="T507" s="4"/>
      <c r="U507" s="4"/>
      <c r="V507" s="4"/>
      <c r="W507" s="4"/>
      <c r="X507" s="4"/>
    </row>
    <row r="508" spans="1:24" ht="12.75">
      <c r="A508" s="4"/>
      <c r="B508" s="4"/>
      <c r="C508" s="4"/>
      <c r="D508" s="4"/>
      <c r="E508" s="957"/>
      <c r="F508" s="957"/>
      <c r="G508" s="957"/>
      <c r="H508" s="957"/>
      <c r="I508" s="957"/>
      <c r="J508" s="957"/>
      <c r="K508" s="957"/>
      <c r="L508" s="957"/>
      <c r="M508" s="957"/>
      <c r="N508" s="957"/>
      <c r="O508" s="4"/>
      <c r="P508" s="4"/>
      <c r="Q508" s="4"/>
      <c r="R508" s="4"/>
      <c r="S508" s="4"/>
      <c r="T508" s="4"/>
      <c r="U508" s="4"/>
      <c r="V508" s="4"/>
      <c r="W508" s="4"/>
      <c r="X508" s="4"/>
    </row>
    <row r="509" spans="1:24" ht="12.75">
      <c r="A509" s="4"/>
      <c r="B509" s="4"/>
      <c r="C509" s="4"/>
      <c r="D509" s="4"/>
      <c r="E509" s="957"/>
      <c r="F509" s="957"/>
      <c r="G509" s="957"/>
      <c r="H509" s="957"/>
      <c r="I509" s="957"/>
      <c r="J509" s="957"/>
      <c r="K509" s="957"/>
      <c r="L509" s="957"/>
      <c r="M509" s="957"/>
      <c r="N509" s="957"/>
      <c r="O509" s="4"/>
      <c r="P509" s="4"/>
      <c r="Q509" s="4"/>
      <c r="R509" s="4"/>
      <c r="S509" s="4"/>
      <c r="T509" s="4"/>
      <c r="U509" s="4"/>
      <c r="V509" s="4"/>
      <c r="W509" s="4"/>
      <c r="X509" s="4"/>
    </row>
    <row r="510" spans="1:24" ht="12.75">
      <c r="A510" s="4"/>
      <c r="B510" s="4"/>
      <c r="C510" s="4"/>
      <c r="D510" s="4"/>
      <c r="E510" s="957"/>
      <c r="F510" s="957"/>
      <c r="G510" s="957"/>
      <c r="H510" s="957"/>
      <c r="I510" s="957"/>
      <c r="J510" s="957"/>
      <c r="K510" s="957"/>
      <c r="L510" s="957"/>
      <c r="M510" s="957"/>
      <c r="N510" s="957"/>
      <c r="O510" s="4"/>
      <c r="P510" s="4"/>
      <c r="Q510" s="4"/>
      <c r="R510" s="4"/>
      <c r="S510" s="4"/>
      <c r="T510" s="4"/>
      <c r="U510" s="4"/>
      <c r="V510" s="4"/>
      <c r="W510" s="4"/>
      <c r="X510" s="4"/>
    </row>
    <row r="511" spans="1:24" ht="12.75">
      <c r="A511" s="4"/>
      <c r="B511" s="4"/>
      <c r="C511" s="4"/>
      <c r="D511" s="4"/>
      <c r="E511" s="957"/>
      <c r="F511" s="957"/>
      <c r="G511" s="957"/>
      <c r="H511" s="957"/>
      <c r="I511" s="957"/>
      <c r="J511" s="957"/>
      <c r="K511" s="957"/>
      <c r="L511" s="957"/>
      <c r="M511" s="957"/>
      <c r="N511" s="957"/>
      <c r="O511" s="4"/>
      <c r="P511" s="4"/>
      <c r="Q511" s="4"/>
      <c r="R511" s="4"/>
      <c r="S511" s="4"/>
      <c r="T511" s="4"/>
      <c r="U511" s="4"/>
      <c r="V511" s="4"/>
      <c r="W511" s="4"/>
      <c r="X511" s="4"/>
    </row>
    <row r="512" spans="1:24" ht="12.75">
      <c r="A512" s="4"/>
      <c r="B512" s="4"/>
      <c r="C512" s="4"/>
      <c r="D512" s="4"/>
      <c r="E512" s="957"/>
      <c r="F512" s="957"/>
      <c r="G512" s="957"/>
      <c r="H512" s="957"/>
      <c r="I512" s="957"/>
      <c r="J512" s="957"/>
      <c r="K512" s="957"/>
      <c r="L512" s="957"/>
      <c r="M512" s="957"/>
      <c r="N512" s="957"/>
      <c r="O512" s="4"/>
      <c r="P512" s="4"/>
      <c r="Q512" s="4"/>
      <c r="R512" s="4"/>
      <c r="S512" s="4"/>
      <c r="T512" s="4"/>
      <c r="U512" s="4"/>
      <c r="V512" s="4"/>
      <c r="W512" s="4"/>
      <c r="X512" s="4"/>
    </row>
    <row r="513" spans="1:24" ht="12.75">
      <c r="A513" s="4"/>
      <c r="B513" s="4"/>
      <c r="C513" s="4"/>
      <c r="D513" s="4"/>
      <c r="E513" s="957"/>
      <c r="F513" s="957"/>
      <c r="G513" s="957"/>
      <c r="H513" s="957"/>
      <c r="I513" s="957"/>
      <c r="J513" s="957"/>
      <c r="K513" s="957"/>
      <c r="L513" s="957"/>
      <c r="M513" s="957"/>
      <c r="N513" s="957"/>
      <c r="O513" s="4"/>
      <c r="P513" s="4"/>
      <c r="Q513" s="4"/>
      <c r="R513" s="4"/>
      <c r="S513" s="4"/>
      <c r="T513" s="4"/>
      <c r="U513" s="4"/>
      <c r="V513" s="4"/>
      <c r="W513" s="4"/>
      <c r="X513" s="4"/>
    </row>
    <row r="514" spans="1:24" ht="12.75">
      <c r="A514" s="4"/>
      <c r="B514" s="4"/>
      <c r="C514" s="4"/>
      <c r="D514" s="4"/>
      <c r="E514" s="957"/>
      <c r="F514" s="957"/>
      <c r="G514" s="957"/>
      <c r="H514" s="957"/>
      <c r="I514" s="957"/>
      <c r="J514" s="957"/>
      <c r="K514" s="957"/>
      <c r="L514" s="957"/>
      <c r="M514" s="957"/>
      <c r="N514" s="957"/>
      <c r="O514" s="4"/>
      <c r="P514" s="4"/>
      <c r="Q514" s="4"/>
      <c r="R514" s="4"/>
      <c r="S514" s="4"/>
      <c r="T514" s="4"/>
      <c r="U514" s="4"/>
      <c r="V514" s="4"/>
      <c r="W514" s="4"/>
      <c r="X514" s="4"/>
    </row>
    <row r="515" spans="1:24" ht="12.75">
      <c r="A515" s="4"/>
      <c r="B515" s="4"/>
      <c r="C515" s="4"/>
      <c r="D515" s="4"/>
      <c r="E515" s="957"/>
      <c r="F515" s="957"/>
      <c r="G515" s="957"/>
      <c r="H515" s="957"/>
      <c r="I515" s="957"/>
      <c r="J515" s="957"/>
      <c r="K515" s="957"/>
      <c r="L515" s="957"/>
      <c r="M515" s="957"/>
      <c r="N515" s="957"/>
      <c r="O515" s="4"/>
      <c r="P515" s="4"/>
      <c r="Q515" s="4"/>
      <c r="R515" s="4"/>
      <c r="S515" s="4"/>
      <c r="T515" s="4"/>
      <c r="U515" s="4"/>
      <c r="V515" s="4"/>
      <c r="W515" s="4"/>
      <c r="X515" s="4"/>
    </row>
    <row r="516" spans="1:24" ht="12.75">
      <c r="A516" s="4"/>
      <c r="B516" s="4"/>
      <c r="C516" s="4"/>
      <c r="D516" s="4"/>
      <c r="E516" s="957"/>
      <c r="F516" s="957"/>
      <c r="G516" s="957"/>
      <c r="H516" s="957"/>
      <c r="I516" s="957"/>
      <c r="J516" s="957"/>
      <c r="K516" s="957"/>
      <c r="L516" s="957"/>
      <c r="M516" s="957"/>
      <c r="N516" s="957"/>
      <c r="O516" s="4"/>
      <c r="P516" s="4"/>
      <c r="Q516" s="4"/>
      <c r="R516" s="4"/>
      <c r="S516" s="4"/>
      <c r="T516" s="4"/>
      <c r="U516" s="4"/>
      <c r="V516" s="4"/>
      <c r="W516" s="4"/>
      <c r="X516" s="4"/>
    </row>
    <row r="517" spans="1:24" ht="12.75">
      <c r="A517" s="4"/>
      <c r="B517" s="4"/>
      <c r="C517" s="4"/>
      <c r="D517" s="4"/>
      <c r="E517" s="957"/>
      <c r="F517" s="957"/>
      <c r="G517" s="957"/>
      <c r="H517" s="957"/>
      <c r="I517" s="957"/>
      <c r="J517" s="957"/>
      <c r="K517" s="957"/>
      <c r="L517" s="957"/>
      <c r="M517" s="957"/>
      <c r="N517" s="957"/>
      <c r="O517" s="4"/>
      <c r="P517" s="4"/>
      <c r="Q517" s="4"/>
      <c r="R517" s="4"/>
      <c r="S517" s="4"/>
      <c r="T517" s="4"/>
      <c r="U517" s="4"/>
      <c r="V517" s="4"/>
      <c r="W517" s="4"/>
      <c r="X517" s="4"/>
    </row>
    <row r="518" spans="1:24" ht="12.75">
      <c r="A518" s="4"/>
      <c r="B518" s="4"/>
      <c r="C518" s="4"/>
      <c r="D518" s="4"/>
      <c r="E518" s="957"/>
      <c r="F518" s="957"/>
      <c r="G518" s="957"/>
      <c r="H518" s="957"/>
      <c r="I518" s="957"/>
      <c r="J518" s="957"/>
      <c r="K518" s="957"/>
      <c r="L518" s="957"/>
      <c r="M518" s="957"/>
      <c r="N518" s="957"/>
      <c r="O518" s="4"/>
      <c r="P518" s="4"/>
      <c r="Q518" s="4"/>
      <c r="R518" s="4"/>
      <c r="S518" s="4"/>
      <c r="T518" s="4"/>
      <c r="U518" s="4"/>
      <c r="V518" s="4"/>
      <c r="W518" s="4"/>
      <c r="X518" s="4"/>
    </row>
    <row r="519" spans="1:24" ht="12.75">
      <c r="A519" s="4"/>
      <c r="B519" s="4"/>
      <c r="C519" s="4"/>
      <c r="D519" s="4"/>
      <c r="E519" s="957"/>
      <c r="F519" s="957"/>
      <c r="G519" s="957"/>
      <c r="H519" s="957"/>
      <c r="I519" s="957"/>
      <c r="J519" s="957"/>
      <c r="K519" s="957"/>
      <c r="L519" s="957"/>
      <c r="M519" s="957"/>
      <c r="N519" s="957"/>
      <c r="O519" s="4"/>
      <c r="P519" s="4"/>
      <c r="Q519" s="4"/>
      <c r="R519" s="4"/>
      <c r="S519" s="4"/>
      <c r="T519" s="4"/>
      <c r="U519" s="4"/>
      <c r="V519" s="4"/>
      <c r="W519" s="4"/>
      <c r="X519" s="4"/>
    </row>
    <row r="520" spans="1:24" ht="12.75">
      <c r="A520" s="4"/>
      <c r="B520" s="4"/>
      <c r="C520" s="4"/>
      <c r="D520" s="4"/>
      <c r="E520" s="957"/>
      <c r="F520" s="957"/>
      <c r="G520" s="957"/>
      <c r="H520" s="957"/>
      <c r="I520" s="957"/>
      <c r="J520" s="957"/>
      <c r="K520" s="957"/>
      <c r="L520" s="957"/>
      <c r="M520" s="957"/>
      <c r="N520" s="957"/>
      <c r="O520" s="4"/>
      <c r="P520" s="4"/>
      <c r="Q520" s="4"/>
      <c r="R520" s="4"/>
      <c r="S520" s="4"/>
      <c r="T520" s="4"/>
      <c r="U520" s="4"/>
      <c r="V520" s="4"/>
      <c r="W520" s="4"/>
      <c r="X520" s="4"/>
    </row>
    <row r="521" spans="1:24" ht="12.75">
      <c r="A521" s="4"/>
      <c r="B521" s="4"/>
      <c r="C521" s="4"/>
      <c r="D521" s="4"/>
      <c r="E521" s="957"/>
      <c r="F521" s="957"/>
      <c r="G521" s="957"/>
      <c r="H521" s="957"/>
      <c r="I521" s="957"/>
      <c r="J521" s="957"/>
      <c r="K521" s="957"/>
      <c r="L521" s="957"/>
      <c r="M521" s="957"/>
      <c r="N521" s="957"/>
      <c r="O521" s="4"/>
      <c r="P521" s="4"/>
      <c r="Q521" s="4"/>
      <c r="R521" s="4"/>
      <c r="S521" s="4"/>
      <c r="T521" s="4"/>
      <c r="U521" s="4"/>
      <c r="V521" s="4"/>
      <c r="W521" s="4"/>
      <c r="X521" s="4"/>
    </row>
    <row r="522" spans="1:24" ht="12.75">
      <c r="A522" s="4"/>
      <c r="B522" s="4"/>
      <c r="C522" s="4"/>
      <c r="D522" s="4"/>
      <c r="E522" s="957"/>
      <c r="F522" s="957"/>
      <c r="G522" s="957"/>
      <c r="H522" s="957"/>
      <c r="I522" s="957"/>
      <c r="J522" s="957"/>
      <c r="K522" s="957"/>
      <c r="L522" s="957"/>
      <c r="M522" s="957"/>
      <c r="N522" s="957"/>
      <c r="O522" s="4"/>
      <c r="P522" s="4"/>
      <c r="Q522" s="4"/>
      <c r="R522" s="4"/>
      <c r="S522" s="4"/>
      <c r="T522" s="4"/>
      <c r="U522" s="4"/>
      <c r="V522" s="4"/>
      <c r="W522" s="4"/>
      <c r="X522" s="4"/>
    </row>
    <row r="523" spans="1:24" ht="12.75">
      <c r="A523" s="4"/>
      <c r="B523" s="4"/>
      <c r="C523" s="4"/>
      <c r="D523" s="4"/>
      <c r="E523" s="957"/>
      <c r="F523" s="957"/>
      <c r="G523" s="957"/>
      <c r="H523" s="957"/>
      <c r="I523" s="957"/>
      <c r="J523" s="957"/>
      <c r="K523" s="957"/>
      <c r="L523" s="957"/>
      <c r="M523" s="957"/>
      <c r="N523" s="957"/>
      <c r="O523" s="4"/>
      <c r="P523" s="4"/>
      <c r="Q523" s="4"/>
      <c r="R523" s="4"/>
      <c r="S523" s="4"/>
      <c r="T523" s="4"/>
      <c r="U523" s="4"/>
      <c r="V523" s="4"/>
      <c r="W523" s="4"/>
      <c r="X523" s="4"/>
    </row>
    <row r="524" spans="1:24" ht="12.75">
      <c r="A524" s="4"/>
      <c r="B524" s="4"/>
      <c r="C524" s="4"/>
      <c r="D524" s="4"/>
      <c r="E524" s="957"/>
      <c r="F524" s="957"/>
      <c r="G524" s="957"/>
      <c r="H524" s="957"/>
      <c r="I524" s="957"/>
      <c r="J524" s="957"/>
      <c r="K524" s="957"/>
      <c r="L524" s="957"/>
      <c r="M524" s="957"/>
      <c r="N524" s="957"/>
      <c r="O524" s="4"/>
      <c r="P524" s="4"/>
      <c r="Q524" s="4"/>
      <c r="R524" s="4"/>
      <c r="S524" s="4"/>
      <c r="T524" s="4"/>
      <c r="U524" s="4"/>
      <c r="V524" s="4"/>
      <c r="W524" s="4"/>
      <c r="X524" s="4"/>
    </row>
    <row r="525" spans="1:24" ht="12.75">
      <c r="A525" s="4"/>
      <c r="B525" s="4"/>
      <c r="C525" s="4"/>
      <c r="D525" s="4"/>
      <c r="E525" s="957"/>
      <c r="F525" s="957"/>
      <c r="G525" s="957"/>
      <c r="H525" s="957"/>
      <c r="I525" s="957"/>
      <c r="J525" s="957"/>
      <c r="K525" s="957"/>
      <c r="L525" s="957"/>
      <c r="M525" s="957"/>
      <c r="N525" s="957"/>
      <c r="O525" s="4"/>
      <c r="P525" s="4"/>
      <c r="Q525" s="4"/>
      <c r="R525" s="4"/>
      <c r="S525" s="4"/>
      <c r="T525" s="4"/>
      <c r="U525" s="4"/>
      <c r="V525" s="4"/>
      <c r="W525" s="4"/>
      <c r="X525" s="4"/>
    </row>
    <row r="526" spans="1:24" ht="12.75">
      <c r="A526" s="4"/>
      <c r="B526" s="4"/>
      <c r="C526" s="4"/>
      <c r="D526" s="4"/>
      <c r="E526" s="957"/>
      <c r="F526" s="957"/>
      <c r="G526" s="957"/>
      <c r="H526" s="957"/>
      <c r="I526" s="957"/>
      <c r="J526" s="957"/>
      <c r="K526" s="957"/>
      <c r="L526" s="957"/>
      <c r="M526" s="957"/>
      <c r="N526" s="957"/>
      <c r="O526" s="4"/>
      <c r="P526" s="4"/>
      <c r="Q526" s="4"/>
      <c r="R526" s="4"/>
      <c r="S526" s="4"/>
      <c r="T526" s="4"/>
      <c r="U526" s="4"/>
      <c r="V526" s="4"/>
      <c r="W526" s="4"/>
      <c r="X526" s="4"/>
    </row>
    <row r="527" spans="1:24" ht="12.75">
      <c r="A527" s="4"/>
      <c r="B527" s="4"/>
      <c r="C527" s="4"/>
      <c r="D527" s="4"/>
      <c r="E527" s="957"/>
      <c r="F527" s="957"/>
      <c r="G527" s="957"/>
      <c r="H527" s="957"/>
      <c r="I527" s="957"/>
      <c r="J527" s="957"/>
      <c r="K527" s="957"/>
      <c r="L527" s="957"/>
      <c r="M527" s="957"/>
      <c r="N527" s="957"/>
      <c r="O527" s="4"/>
      <c r="P527" s="4"/>
      <c r="Q527" s="4"/>
      <c r="R527" s="4"/>
      <c r="S527" s="4"/>
      <c r="T527" s="4"/>
      <c r="U527" s="4"/>
      <c r="V527" s="4"/>
      <c r="W527" s="4"/>
      <c r="X527" s="4"/>
    </row>
    <row r="528" spans="1:24" ht="12.75">
      <c r="A528" s="4"/>
      <c r="B528" s="4"/>
      <c r="C528" s="4"/>
      <c r="D528" s="4"/>
      <c r="E528" s="957"/>
      <c r="F528" s="957"/>
      <c r="G528" s="957"/>
      <c r="H528" s="957"/>
      <c r="I528" s="957"/>
      <c r="J528" s="957"/>
      <c r="K528" s="957"/>
      <c r="L528" s="957"/>
      <c r="M528" s="957"/>
      <c r="N528" s="957"/>
      <c r="O528" s="4"/>
      <c r="P528" s="4"/>
      <c r="Q528" s="4"/>
      <c r="R528" s="4"/>
      <c r="S528" s="4"/>
      <c r="T528" s="4"/>
      <c r="U528" s="4"/>
      <c r="V528" s="4"/>
      <c r="W528" s="4"/>
      <c r="X528" s="4"/>
    </row>
    <row r="529" spans="1:24" ht="12.75">
      <c r="A529" s="4"/>
      <c r="B529" s="4"/>
      <c r="C529" s="4"/>
      <c r="D529" s="4"/>
      <c r="E529" s="957"/>
      <c r="F529" s="957"/>
      <c r="G529" s="957"/>
      <c r="H529" s="957"/>
      <c r="I529" s="957"/>
      <c r="J529" s="957"/>
      <c r="K529" s="957"/>
      <c r="L529" s="957"/>
      <c r="M529" s="957"/>
      <c r="N529" s="957"/>
      <c r="O529" s="4"/>
      <c r="P529" s="4"/>
      <c r="Q529" s="4"/>
      <c r="R529" s="4"/>
      <c r="S529" s="4"/>
      <c r="T529" s="4"/>
      <c r="U529" s="4"/>
      <c r="V529" s="4"/>
      <c r="W529" s="4"/>
      <c r="X529" s="4"/>
    </row>
    <row r="530" spans="1:24" ht="12.75">
      <c r="A530" s="4"/>
      <c r="B530" s="4"/>
      <c r="C530" s="4"/>
      <c r="D530" s="4"/>
      <c r="E530" s="957"/>
      <c r="F530" s="957"/>
      <c r="G530" s="957"/>
      <c r="H530" s="957"/>
      <c r="I530" s="957"/>
      <c r="J530" s="957"/>
      <c r="K530" s="957"/>
      <c r="L530" s="957"/>
      <c r="M530" s="957"/>
      <c r="N530" s="957"/>
      <c r="O530" s="4"/>
      <c r="P530" s="4"/>
      <c r="Q530" s="4"/>
      <c r="R530" s="4"/>
      <c r="S530" s="4"/>
      <c r="T530" s="4"/>
      <c r="U530" s="4"/>
      <c r="V530" s="4"/>
      <c r="W530" s="4"/>
      <c r="X530" s="4"/>
    </row>
    <row r="531" spans="1:24" ht="12.75">
      <c r="A531" s="4"/>
      <c r="B531" s="4"/>
      <c r="C531" s="4"/>
      <c r="D531" s="4"/>
      <c r="E531" s="957"/>
      <c r="F531" s="957"/>
      <c r="G531" s="957"/>
      <c r="H531" s="957"/>
      <c r="I531" s="957"/>
      <c r="J531" s="957"/>
      <c r="K531" s="957"/>
      <c r="L531" s="957"/>
      <c r="M531" s="957"/>
      <c r="N531" s="957"/>
      <c r="O531" s="4"/>
      <c r="P531" s="4"/>
      <c r="Q531" s="4"/>
      <c r="R531" s="4"/>
      <c r="S531" s="4"/>
      <c r="T531" s="4"/>
      <c r="U531" s="4"/>
      <c r="V531" s="4"/>
      <c r="W531" s="4"/>
      <c r="X531" s="4"/>
    </row>
    <row r="532" spans="1:24" ht="12.75">
      <c r="A532" s="4"/>
      <c r="B532" s="4"/>
      <c r="C532" s="4"/>
      <c r="D532" s="4"/>
      <c r="E532" s="957"/>
      <c r="F532" s="957"/>
      <c r="G532" s="957"/>
      <c r="H532" s="957"/>
      <c r="I532" s="957"/>
      <c r="J532" s="957"/>
      <c r="K532" s="957"/>
      <c r="L532" s="957"/>
      <c r="M532" s="957"/>
      <c r="N532" s="957"/>
      <c r="O532" s="4"/>
      <c r="P532" s="4"/>
      <c r="Q532" s="4"/>
      <c r="R532" s="4"/>
      <c r="S532" s="4"/>
      <c r="T532" s="4"/>
      <c r="U532" s="4"/>
      <c r="V532" s="4"/>
      <c r="W532" s="4"/>
      <c r="X532" s="4"/>
    </row>
    <row r="533" spans="1:24" ht="12.75">
      <c r="A533" s="4"/>
      <c r="B533" s="4"/>
      <c r="C533" s="4"/>
      <c r="D533" s="4"/>
      <c r="E533" s="957"/>
      <c r="F533" s="957"/>
      <c r="G533" s="957"/>
      <c r="H533" s="957"/>
      <c r="I533" s="957"/>
      <c r="J533" s="957"/>
      <c r="K533" s="957"/>
      <c r="L533" s="957"/>
      <c r="M533" s="957"/>
      <c r="N533" s="957"/>
      <c r="O533" s="4"/>
      <c r="P533" s="4"/>
      <c r="Q533" s="4"/>
      <c r="R533" s="4"/>
      <c r="S533" s="4"/>
      <c r="T533" s="4"/>
      <c r="U533" s="4"/>
      <c r="V533" s="4"/>
      <c r="W533" s="4"/>
      <c r="X533" s="4"/>
    </row>
    <row r="534" spans="1:24" ht="12.75">
      <c r="A534" s="4"/>
      <c r="B534" s="4"/>
      <c r="C534" s="4"/>
      <c r="D534" s="4"/>
      <c r="E534" s="957"/>
      <c r="F534" s="957"/>
      <c r="G534" s="957"/>
      <c r="H534" s="957"/>
      <c r="I534" s="957"/>
      <c r="J534" s="957"/>
      <c r="K534" s="957"/>
      <c r="L534" s="957"/>
      <c r="M534" s="957"/>
      <c r="N534" s="957"/>
      <c r="O534" s="4"/>
      <c r="P534" s="4"/>
      <c r="Q534" s="4"/>
      <c r="R534" s="4"/>
      <c r="S534" s="4"/>
      <c r="T534" s="4"/>
      <c r="U534" s="4"/>
      <c r="V534" s="4"/>
      <c r="W534" s="4"/>
      <c r="X534" s="4"/>
    </row>
    <row r="535" spans="1:24" ht="12.75">
      <c r="A535" s="4"/>
      <c r="B535" s="4"/>
      <c r="C535" s="4"/>
      <c r="D535" s="4"/>
      <c r="E535" s="957"/>
      <c r="F535" s="957"/>
      <c r="G535" s="957"/>
      <c r="H535" s="957"/>
      <c r="I535" s="957"/>
      <c r="J535" s="957"/>
      <c r="K535" s="957"/>
      <c r="L535" s="957"/>
      <c r="M535" s="957"/>
      <c r="N535" s="957"/>
      <c r="O535" s="4"/>
      <c r="P535" s="4"/>
      <c r="Q535" s="4"/>
      <c r="R535" s="4"/>
      <c r="S535" s="4"/>
      <c r="T535" s="4"/>
      <c r="U535" s="4"/>
      <c r="V535" s="4"/>
      <c r="W535" s="4"/>
      <c r="X535" s="4"/>
    </row>
    <row r="536" spans="1:24" ht="12.75">
      <c r="A536" s="4"/>
      <c r="B536" s="4"/>
      <c r="C536" s="4"/>
      <c r="D536" s="4"/>
      <c r="E536" s="957"/>
      <c r="F536" s="957"/>
      <c r="G536" s="957"/>
      <c r="H536" s="957"/>
      <c r="I536" s="957"/>
      <c r="J536" s="957"/>
      <c r="K536" s="957"/>
      <c r="L536" s="957"/>
      <c r="M536" s="957"/>
      <c r="N536" s="957"/>
      <c r="O536" s="4"/>
      <c r="P536" s="4"/>
      <c r="Q536" s="4"/>
      <c r="R536" s="4"/>
      <c r="S536" s="4"/>
      <c r="T536" s="4"/>
      <c r="U536" s="4"/>
      <c r="V536" s="4"/>
      <c r="W536" s="4"/>
      <c r="X536" s="4"/>
    </row>
    <row r="537" spans="1:24" ht="12.75">
      <c r="A537" s="4"/>
      <c r="B537" s="4"/>
      <c r="C537" s="4"/>
      <c r="D537" s="4"/>
      <c r="E537" s="957"/>
      <c r="F537" s="957"/>
      <c r="G537" s="957"/>
      <c r="H537" s="957"/>
      <c r="I537" s="957"/>
      <c r="J537" s="957"/>
      <c r="K537" s="957"/>
      <c r="L537" s="957"/>
      <c r="M537" s="957"/>
      <c r="N537" s="957"/>
      <c r="O537" s="4"/>
      <c r="P537" s="4"/>
      <c r="Q537" s="4"/>
      <c r="R537" s="4"/>
      <c r="S537" s="4"/>
      <c r="T537" s="4"/>
      <c r="U537" s="4"/>
      <c r="V537" s="4"/>
      <c r="W537" s="4"/>
      <c r="X537" s="4"/>
    </row>
    <row r="538" spans="1:24" ht="12.75">
      <c r="A538" s="4"/>
      <c r="B538" s="4"/>
      <c r="C538" s="4"/>
      <c r="D538" s="4"/>
      <c r="E538" s="957"/>
      <c r="F538" s="957"/>
      <c r="G538" s="957"/>
      <c r="H538" s="957"/>
      <c r="I538" s="957"/>
      <c r="J538" s="957"/>
      <c r="K538" s="957"/>
      <c r="L538" s="957"/>
      <c r="M538" s="957"/>
      <c r="N538" s="957"/>
      <c r="O538" s="4"/>
      <c r="P538" s="4"/>
      <c r="Q538" s="4"/>
      <c r="R538" s="4"/>
      <c r="S538" s="4"/>
      <c r="T538" s="4"/>
      <c r="U538" s="4"/>
      <c r="V538" s="4"/>
      <c r="W538" s="4"/>
      <c r="X538" s="4"/>
    </row>
    <row r="539" spans="1:24" ht="12.75">
      <c r="A539" s="4"/>
      <c r="B539" s="4"/>
      <c r="C539" s="4"/>
      <c r="D539" s="4"/>
      <c r="E539" s="957"/>
      <c r="F539" s="957"/>
      <c r="G539" s="957"/>
      <c r="H539" s="957"/>
      <c r="I539" s="957"/>
      <c r="J539" s="957"/>
      <c r="K539" s="957"/>
      <c r="L539" s="957"/>
      <c r="M539" s="957"/>
      <c r="N539" s="957"/>
      <c r="O539" s="4"/>
      <c r="P539" s="4"/>
      <c r="Q539" s="4"/>
      <c r="R539" s="4"/>
      <c r="S539" s="4"/>
      <c r="T539" s="4"/>
      <c r="U539" s="4"/>
      <c r="V539" s="4"/>
      <c r="W539" s="4"/>
      <c r="X539" s="4"/>
    </row>
    <row r="540" spans="1:24" ht="12.75">
      <c r="A540" s="4"/>
      <c r="B540" s="4"/>
      <c r="C540" s="4"/>
      <c r="D540" s="4"/>
      <c r="E540" s="957"/>
      <c r="F540" s="957"/>
      <c r="G540" s="957"/>
      <c r="H540" s="957"/>
      <c r="I540" s="957"/>
      <c r="J540" s="957"/>
      <c r="K540" s="957"/>
      <c r="L540" s="957"/>
      <c r="M540" s="957"/>
      <c r="N540" s="957"/>
      <c r="O540" s="4"/>
      <c r="P540" s="4"/>
      <c r="Q540" s="4"/>
      <c r="R540" s="4"/>
      <c r="S540" s="4"/>
      <c r="T540" s="4"/>
      <c r="U540" s="4"/>
      <c r="V540" s="4"/>
      <c r="W540" s="4"/>
      <c r="X540" s="4"/>
    </row>
    <row r="541" spans="1:24" ht="12.75">
      <c r="A541" s="4"/>
      <c r="B541" s="4"/>
      <c r="C541" s="4"/>
      <c r="D541" s="4"/>
      <c r="E541" s="957"/>
      <c r="F541" s="957"/>
      <c r="G541" s="957"/>
      <c r="H541" s="957"/>
      <c r="I541" s="957"/>
      <c r="J541" s="957"/>
      <c r="K541" s="957"/>
      <c r="L541" s="957"/>
      <c r="M541" s="957"/>
      <c r="N541" s="957"/>
      <c r="O541" s="4"/>
      <c r="P541" s="4"/>
      <c r="Q541" s="4"/>
      <c r="R541" s="4"/>
      <c r="S541" s="4"/>
      <c r="T541" s="4"/>
      <c r="U541" s="4"/>
      <c r="V541" s="4"/>
      <c r="W541" s="4"/>
      <c r="X541" s="4"/>
    </row>
    <row r="542" spans="1:24" ht="12.75">
      <c r="A542" s="4"/>
      <c r="B542" s="4"/>
      <c r="C542" s="4"/>
      <c r="D542" s="4"/>
      <c r="E542" s="957"/>
      <c r="F542" s="957"/>
      <c r="G542" s="957"/>
      <c r="H542" s="957"/>
      <c r="I542" s="957"/>
      <c r="J542" s="957"/>
      <c r="K542" s="957"/>
      <c r="L542" s="957"/>
      <c r="M542" s="957"/>
      <c r="N542" s="957"/>
      <c r="O542" s="4"/>
      <c r="P542" s="4"/>
      <c r="Q542" s="4"/>
      <c r="R542" s="4"/>
      <c r="S542" s="4"/>
      <c r="T542" s="4"/>
      <c r="U542" s="4"/>
      <c r="V542" s="4"/>
      <c r="W542" s="4"/>
      <c r="X542" s="4"/>
    </row>
    <row r="543" spans="1:24" ht="12.75">
      <c r="A543" s="4"/>
      <c r="B543" s="4"/>
      <c r="C543" s="4"/>
      <c r="D543" s="4"/>
      <c r="E543" s="957"/>
      <c r="F543" s="957"/>
      <c r="G543" s="957"/>
      <c r="H543" s="957"/>
      <c r="I543" s="957"/>
      <c r="J543" s="957"/>
      <c r="K543" s="957"/>
      <c r="L543" s="957"/>
      <c r="M543" s="957"/>
      <c r="N543" s="957"/>
      <c r="O543" s="4"/>
      <c r="P543" s="4"/>
      <c r="Q543" s="4"/>
      <c r="R543" s="4"/>
      <c r="S543" s="4"/>
      <c r="T543" s="4"/>
      <c r="U543" s="4"/>
      <c r="V543" s="4"/>
      <c r="W543" s="4"/>
      <c r="X543" s="4"/>
    </row>
    <row r="544" spans="1:24" ht="12.75">
      <c r="A544" s="4"/>
      <c r="B544" s="4"/>
      <c r="C544" s="4"/>
      <c r="D544" s="4"/>
      <c r="E544" s="957"/>
      <c r="F544" s="957"/>
      <c r="G544" s="957"/>
      <c r="H544" s="957"/>
      <c r="I544" s="957"/>
      <c r="J544" s="957"/>
      <c r="K544" s="957"/>
      <c r="L544" s="957"/>
      <c r="M544" s="957"/>
      <c r="N544" s="957"/>
      <c r="O544" s="4"/>
      <c r="P544" s="4"/>
      <c r="Q544" s="4"/>
      <c r="R544" s="4"/>
      <c r="S544" s="4"/>
      <c r="T544" s="4"/>
      <c r="U544" s="4"/>
      <c r="V544" s="4"/>
      <c r="W544" s="4"/>
      <c r="X544" s="4"/>
    </row>
    <row r="545" spans="1:24" ht="12.75">
      <c r="A545" s="4"/>
      <c r="B545" s="4"/>
      <c r="C545" s="4"/>
      <c r="D545" s="4"/>
      <c r="E545" s="957"/>
      <c r="F545" s="957"/>
      <c r="G545" s="957"/>
      <c r="H545" s="957"/>
      <c r="I545" s="957"/>
      <c r="J545" s="957"/>
      <c r="K545" s="957"/>
      <c r="L545" s="957"/>
      <c r="M545" s="957"/>
      <c r="N545" s="957"/>
      <c r="O545" s="4"/>
      <c r="P545" s="4"/>
      <c r="Q545" s="4"/>
      <c r="R545" s="4"/>
      <c r="S545" s="4"/>
      <c r="T545" s="4"/>
      <c r="U545" s="4"/>
      <c r="V545" s="4"/>
      <c r="W545" s="4"/>
      <c r="X545" s="4"/>
    </row>
    <row r="546" spans="1:24" ht="12.75">
      <c r="A546" s="4"/>
      <c r="B546" s="4"/>
      <c r="C546" s="4"/>
      <c r="D546" s="4"/>
      <c r="E546" s="957"/>
      <c r="F546" s="957"/>
      <c r="G546" s="957"/>
      <c r="H546" s="957"/>
      <c r="I546" s="957"/>
      <c r="J546" s="957"/>
      <c r="K546" s="957"/>
      <c r="L546" s="957"/>
      <c r="M546" s="957"/>
      <c r="N546" s="957"/>
      <c r="O546" s="4"/>
      <c r="P546" s="4"/>
      <c r="Q546" s="4"/>
      <c r="R546" s="4"/>
      <c r="S546" s="4"/>
      <c r="T546" s="4"/>
      <c r="U546" s="4"/>
      <c r="V546" s="4"/>
      <c r="W546" s="4"/>
      <c r="X546" s="4"/>
    </row>
    <row r="547" spans="1:24" ht="12.75">
      <c r="A547" s="4"/>
      <c r="B547" s="4"/>
      <c r="C547" s="4"/>
      <c r="D547" s="4"/>
      <c r="E547" s="957"/>
      <c r="F547" s="957"/>
      <c r="G547" s="957"/>
      <c r="H547" s="957"/>
      <c r="I547" s="957"/>
      <c r="J547" s="957"/>
      <c r="K547" s="957"/>
      <c r="L547" s="957"/>
      <c r="M547" s="957"/>
      <c r="N547" s="957"/>
      <c r="O547" s="4"/>
      <c r="P547" s="4"/>
      <c r="Q547" s="4"/>
      <c r="R547" s="4"/>
      <c r="S547" s="4"/>
      <c r="T547" s="4"/>
      <c r="U547" s="4"/>
      <c r="V547" s="4"/>
      <c r="W547" s="4"/>
      <c r="X547" s="4"/>
    </row>
    <row r="548" spans="1:24" ht="12.75">
      <c r="A548" s="4"/>
      <c r="B548" s="4"/>
      <c r="C548" s="4"/>
      <c r="D548" s="4"/>
      <c r="E548" s="957"/>
      <c r="F548" s="957"/>
      <c r="G548" s="957"/>
      <c r="H548" s="957"/>
      <c r="I548" s="957"/>
      <c r="J548" s="957"/>
      <c r="K548" s="957"/>
      <c r="L548" s="957"/>
      <c r="M548" s="957"/>
      <c r="N548" s="957"/>
      <c r="O548" s="4"/>
      <c r="P548" s="4"/>
      <c r="Q548" s="4"/>
      <c r="R548" s="4"/>
      <c r="S548" s="4"/>
      <c r="T548" s="4"/>
      <c r="U548" s="4"/>
      <c r="V548" s="4"/>
      <c r="W548" s="4"/>
      <c r="X548" s="4"/>
    </row>
    <row r="549" spans="1:24" ht="12.75">
      <c r="A549" s="4"/>
      <c r="B549" s="4"/>
      <c r="C549" s="4"/>
      <c r="D549" s="4"/>
      <c r="E549" s="957"/>
      <c r="F549" s="957"/>
      <c r="G549" s="957"/>
      <c r="H549" s="957"/>
      <c r="I549" s="957"/>
      <c r="J549" s="957"/>
      <c r="K549" s="957"/>
      <c r="L549" s="957"/>
      <c r="M549" s="957"/>
      <c r="N549" s="957"/>
      <c r="O549" s="4"/>
      <c r="P549" s="4"/>
      <c r="Q549" s="4"/>
      <c r="R549" s="4"/>
      <c r="S549" s="4"/>
      <c r="T549" s="4"/>
      <c r="U549" s="4"/>
      <c r="V549" s="4"/>
      <c r="W549" s="4"/>
      <c r="X549" s="4"/>
    </row>
    <row r="550" spans="1:24" ht="12.75">
      <c r="A550" s="4"/>
      <c r="B550" s="4"/>
      <c r="C550" s="4"/>
      <c r="D550" s="4"/>
      <c r="E550" s="957"/>
      <c r="F550" s="957"/>
      <c r="G550" s="957"/>
      <c r="H550" s="957"/>
      <c r="I550" s="957"/>
      <c r="J550" s="957"/>
      <c r="K550" s="957"/>
      <c r="L550" s="957"/>
      <c r="M550" s="957"/>
      <c r="N550" s="957"/>
      <c r="O550" s="4"/>
      <c r="P550" s="4"/>
      <c r="Q550" s="4"/>
      <c r="R550" s="4"/>
      <c r="S550" s="4"/>
      <c r="T550" s="4"/>
      <c r="U550" s="4"/>
      <c r="V550" s="4"/>
      <c r="W550" s="4"/>
      <c r="X550" s="4"/>
    </row>
    <row r="551" spans="1:24" ht="12.75">
      <c r="A551" s="4"/>
      <c r="B551" s="4"/>
      <c r="C551" s="4"/>
      <c r="D551" s="4"/>
      <c r="E551" s="957"/>
      <c r="F551" s="957"/>
      <c r="G551" s="957"/>
      <c r="H551" s="957"/>
      <c r="I551" s="957"/>
      <c r="J551" s="957"/>
      <c r="K551" s="957"/>
      <c r="L551" s="957"/>
      <c r="M551" s="957"/>
      <c r="N551" s="957"/>
      <c r="O551" s="4"/>
      <c r="P551" s="4"/>
      <c r="Q551" s="4"/>
      <c r="R551" s="4"/>
      <c r="S551" s="4"/>
      <c r="T551" s="4"/>
      <c r="U551" s="4"/>
      <c r="V551" s="4"/>
      <c r="W551" s="4"/>
      <c r="X551" s="4"/>
    </row>
    <row r="552" spans="1:24" ht="12.75">
      <c r="A552" s="4"/>
      <c r="B552" s="4"/>
      <c r="C552" s="4"/>
      <c r="D552" s="4"/>
      <c r="E552" s="957"/>
      <c r="F552" s="957"/>
      <c r="G552" s="957"/>
      <c r="H552" s="957"/>
      <c r="I552" s="957"/>
      <c r="J552" s="957"/>
      <c r="K552" s="957"/>
      <c r="L552" s="957"/>
      <c r="M552" s="957"/>
      <c r="N552" s="957"/>
      <c r="O552" s="4"/>
      <c r="P552" s="4"/>
      <c r="Q552" s="4"/>
      <c r="R552" s="4"/>
      <c r="S552" s="4"/>
      <c r="T552" s="4"/>
      <c r="U552" s="4"/>
      <c r="V552" s="4"/>
      <c r="W552" s="4"/>
      <c r="X552" s="4"/>
    </row>
    <row r="553" spans="1:24" ht="12.75">
      <c r="A553" s="4"/>
      <c r="B553" s="4"/>
      <c r="C553" s="4"/>
      <c r="D553" s="4"/>
      <c r="E553" s="957"/>
      <c r="F553" s="957"/>
      <c r="G553" s="957"/>
      <c r="H553" s="957"/>
      <c r="I553" s="957"/>
      <c r="J553" s="957"/>
      <c r="K553" s="957"/>
      <c r="L553" s="957"/>
      <c r="M553" s="957"/>
      <c r="N553" s="957"/>
      <c r="O553" s="4"/>
      <c r="P553" s="4"/>
      <c r="Q553" s="4"/>
      <c r="R553" s="4"/>
      <c r="S553" s="4"/>
      <c r="T553" s="4"/>
      <c r="U553" s="4"/>
      <c r="V553" s="4"/>
      <c r="W553" s="4"/>
      <c r="X553" s="4"/>
    </row>
    <row r="554" spans="1:24" ht="12.75">
      <c r="A554" s="4"/>
      <c r="B554" s="4"/>
      <c r="C554" s="4"/>
      <c r="D554" s="4"/>
      <c r="E554" s="957"/>
      <c r="F554" s="957"/>
      <c r="G554" s="957"/>
      <c r="H554" s="957"/>
      <c r="I554" s="957"/>
      <c r="J554" s="957"/>
      <c r="K554" s="957"/>
      <c r="L554" s="957"/>
      <c r="M554" s="957"/>
      <c r="N554" s="957"/>
      <c r="O554" s="4"/>
      <c r="P554" s="4"/>
      <c r="Q554" s="4"/>
      <c r="R554" s="4"/>
      <c r="S554" s="4"/>
      <c r="T554" s="4"/>
      <c r="U554" s="4"/>
      <c r="V554" s="4"/>
      <c r="W554" s="4"/>
      <c r="X554" s="4"/>
    </row>
    <row r="555" spans="1:24" ht="12.75">
      <c r="A555" s="4"/>
      <c r="B555" s="4"/>
      <c r="C555" s="4"/>
      <c r="D555" s="4"/>
      <c r="E555" s="957"/>
      <c r="F555" s="957"/>
      <c r="G555" s="957"/>
      <c r="H555" s="957"/>
      <c r="I555" s="957"/>
      <c r="J555" s="957"/>
      <c r="K555" s="957"/>
      <c r="L555" s="957"/>
      <c r="M555" s="957"/>
      <c r="N555" s="957"/>
      <c r="O555" s="4"/>
      <c r="P555" s="4"/>
      <c r="Q555" s="4"/>
      <c r="R555" s="4"/>
      <c r="S555" s="4"/>
      <c r="T555" s="4"/>
      <c r="U555" s="4"/>
      <c r="V555" s="4"/>
      <c r="W555" s="4"/>
      <c r="X555" s="4"/>
    </row>
    <row r="556" spans="1:24" ht="12.75">
      <c r="A556" s="4"/>
      <c r="B556" s="4"/>
      <c r="C556" s="4"/>
      <c r="D556" s="4"/>
      <c r="E556" s="957"/>
      <c r="F556" s="957"/>
      <c r="G556" s="957"/>
      <c r="H556" s="957"/>
      <c r="I556" s="957"/>
      <c r="J556" s="957"/>
      <c r="K556" s="957"/>
      <c r="L556" s="957"/>
      <c r="M556" s="957"/>
      <c r="N556" s="957"/>
      <c r="O556" s="4"/>
      <c r="P556" s="4"/>
      <c r="Q556" s="4"/>
      <c r="R556" s="4"/>
      <c r="S556" s="4"/>
      <c r="T556" s="4"/>
      <c r="U556" s="4"/>
      <c r="V556" s="4"/>
      <c r="W556" s="4"/>
      <c r="X556" s="4"/>
    </row>
    <row r="557" spans="1:24" ht="12.75">
      <c r="A557" s="4"/>
      <c r="B557" s="4"/>
      <c r="C557" s="4"/>
      <c r="D557" s="4"/>
      <c r="E557" s="957"/>
      <c r="F557" s="957"/>
      <c r="G557" s="957"/>
      <c r="H557" s="957"/>
      <c r="I557" s="957"/>
      <c r="J557" s="957"/>
      <c r="K557" s="957"/>
      <c r="L557" s="957"/>
      <c r="M557" s="957"/>
      <c r="N557" s="957"/>
      <c r="O557" s="4"/>
      <c r="P557" s="4"/>
      <c r="Q557" s="4"/>
      <c r="R557" s="4"/>
      <c r="S557" s="4"/>
      <c r="T557" s="4"/>
      <c r="U557" s="4"/>
      <c r="V557" s="4"/>
      <c r="W557" s="4"/>
      <c r="X557" s="4"/>
    </row>
    <row r="558" spans="1:24" ht="12.75">
      <c r="A558" s="4"/>
      <c r="B558" s="4"/>
      <c r="C558" s="4"/>
      <c r="D558" s="4"/>
      <c r="E558" s="957"/>
      <c r="F558" s="957"/>
      <c r="G558" s="957"/>
      <c r="H558" s="957"/>
      <c r="I558" s="957"/>
      <c r="J558" s="957"/>
      <c r="K558" s="957"/>
      <c r="L558" s="957"/>
      <c r="M558" s="957"/>
      <c r="N558" s="957"/>
      <c r="O558" s="4"/>
      <c r="P558" s="4"/>
      <c r="Q558" s="4"/>
      <c r="R558" s="4"/>
      <c r="S558" s="4"/>
      <c r="T558" s="4"/>
      <c r="U558" s="4"/>
      <c r="V558" s="4"/>
      <c r="W558" s="4"/>
      <c r="X558" s="4"/>
    </row>
    <row r="559" spans="1:24" ht="12.75">
      <c r="A559" s="4"/>
      <c r="B559" s="4"/>
      <c r="C559" s="4"/>
      <c r="D559" s="4"/>
      <c r="E559" s="957"/>
      <c r="F559" s="957"/>
      <c r="G559" s="957"/>
      <c r="H559" s="957"/>
      <c r="I559" s="957"/>
      <c r="J559" s="957"/>
      <c r="K559" s="957"/>
      <c r="L559" s="957"/>
      <c r="M559" s="957"/>
      <c r="N559" s="957"/>
      <c r="O559" s="4"/>
      <c r="P559" s="4"/>
      <c r="Q559" s="4"/>
      <c r="R559" s="4"/>
      <c r="S559" s="4"/>
      <c r="T559" s="4"/>
      <c r="U559" s="4"/>
      <c r="V559" s="4"/>
      <c r="W559" s="4"/>
      <c r="X559" s="4"/>
    </row>
    <row r="560" spans="1:24" ht="12.75">
      <c r="A560" s="4"/>
      <c r="B560" s="4"/>
      <c r="C560" s="4"/>
      <c r="D560" s="4"/>
      <c r="E560" s="957"/>
      <c r="F560" s="957"/>
      <c r="G560" s="957"/>
      <c r="H560" s="957"/>
      <c r="I560" s="957"/>
      <c r="J560" s="957"/>
      <c r="K560" s="957"/>
      <c r="L560" s="957"/>
      <c r="M560" s="957"/>
      <c r="N560" s="957"/>
      <c r="O560" s="4"/>
      <c r="P560" s="4"/>
      <c r="Q560" s="4"/>
      <c r="R560" s="4"/>
      <c r="S560" s="4"/>
      <c r="T560" s="4"/>
      <c r="U560" s="4"/>
      <c r="V560" s="4"/>
      <c r="W560" s="4"/>
      <c r="X560" s="4"/>
    </row>
    <row r="561" spans="1:24" ht="12.75">
      <c r="A561" s="4"/>
      <c r="B561" s="4"/>
      <c r="C561" s="4"/>
      <c r="D561" s="4"/>
      <c r="E561" s="957"/>
      <c r="F561" s="957"/>
      <c r="G561" s="957"/>
      <c r="H561" s="957"/>
      <c r="I561" s="957"/>
      <c r="J561" s="957"/>
      <c r="K561" s="957"/>
      <c r="L561" s="957"/>
      <c r="M561" s="957"/>
      <c r="N561" s="957"/>
      <c r="O561" s="4"/>
      <c r="P561" s="4"/>
      <c r="Q561" s="4"/>
      <c r="R561" s="4"/>
      <c r="S561" s="4"/>
      <c r="T561" s="4"/>
      <c r="U561" s="4"/>
      <c r="V561" s="4"/>
      <c r="W561" s="4"/>
      <c r="X561" s="4"/>
    </row>
    <row r="562" spans="1:24" ht="12.75">
      <c r="A562" s="4"/>
      <c r="B562" s="4"/>
      <c r="C562" s="4"/>
      <c r="D562" s="4"/>
      <c r="E562" s="957"/>
      <c r="F562" s="957"/>
      <c r="G562" s="957"/>
      <c r="H562" s="957"/>
      <c r="I562" s="957"/>
      <c r="J562" s="957"/>
      <c r="K562" s="957"/>
      <c r="L562" s="957"/>
      <c r="M562" s="957"/>
      <c r="N562" s="957"/>
      <c r="O562" s="4"/>
      <c r="P562" s="4"/>
      <c r="Q562" s="4"/>
      <c r="R562" s="4"/>
      <c r="S562" s="4"/>
      <c r="T562" s="4"/>
      <c r="U562" s="4"/>
      <c r="V562" s="4"/>
      <c r="W562" s="4"/>
      <c r="X562" s="4"/>
    </row>
    <row r="563" spans="1:24" ht="12.75">
      <c r="A563" s="4"/>
      <c r="B563" s="4"/>
      <c r="C563" s="4"/>
      <c r="D563" s="4"/>
      <c r="E563" s="957"/>
      <c r="F563" s="957"/>
      <c r="G563" s="957"/>
      <c r="H563" s="957"/>
      <c r="I563" s="957"/>
      <c r="J563" s="957"/>
      <c r="K563" s="957"/>
      <c r="L563" s="957"/>
      <c r="M563" s="957"/>
      <c r="N563" s="957"/>
      <c r="O563" s="4"/>
      <c r="P563" s="4"/>
      <c r="Q563" s="4"/>
      <c r="R563" s="4"/>
      <c r="S563" s="4"/>
      <c r="T563" s="4"/>
      <c r="U563" s="4"/>
      <c r="V563" s="4"/>
      <c r="W563" s="4"/>
      <c r="X563" s="4"/>
    </row>
    <row r="564" spans="1:24" ht="12.75">
      <c r="A564" s="4"/>
      <c r="B564" s="4"/>
      <c r="C564" s="4"/>
      <c r="D564" s="4"/>
      <c r="E564" s="957"/>
      <c r="F564" s="957"/>
      <c r="G564" s="957"/>
      <c r="H564" s="957"/>
      <c r="I564" s="957"/>
      <c r="J564" s="957"/>
      <c r="K564" s="957"/>
      <c r="L564" s="957"/>
      <c r="M564" s="957"/>
      <c r="N564" s="957"/>
      <c r="O564" s="4"/>
      <c r="P564" s="4"/>
      <c r="Q564" s="4"/>
      <c r="R564" s="4"/>
      <c r="S564" s="4"/>
      <c r="T564" s="4"/>
      <c r="U564" s="4"/>
      <c r="V564" s="4"/>
      <c r="W564" s="4"/>
      <c r="X564" s="4"/>
    </row>
    <row r="565" spans="1:24" ht="12.75">
      <c r="A565" s="4"/>
      <c r="B565" s="4"/>
      <c r="C565" s="4"/>
      <c r="D565" s="4"/>
      <c r="E565" s="957"/>
      <c r="F565" s="957"/>
      <c r="G565" s="957"/>
      <c r="H565" s="957"/>
      <c r="I565" s="957"/>
      <c r="J565" s="957"/>
      <c r="K565" s="957"/>
      <c r="L565" s="957"/>
      <c r="M565" s="957"/>
      <c r="N565" s="957"/>
      <c r="O565" s="4"/>
      <c r="P565" s="4"/>
      <c r="Q565" s="4"/>
      <c r="R565" s="4"/>
      <c r="S565" s="4"/>
      <c r="T565" s="4"/>
      <c r="U565" s="4"/>
      <c r="V565" s="4"/>
      <c r="W565" s="4"/>
      <c r="X565" s="4"/>
    </row>
    <row r="566" spans="1:24" ht="12.75">
      <c r="A566" s="4"/>
      <c r="B566" s="4"/>
      <c r="C566" s="4"/>
      <c r="D566" s="4"/>
      <c r="E566" s="957"/>
      <c r="F566" s="957"/>
      <c r="G566" s="957"/>
      <c r="H566" s="957"/>
      <c r="I566" s="957"/>
      <c r="J566" s="957"/>
      <c r="K566" s="957"/>
      <c r="L566" s="957"/>
      <c r="M566" s="957"/>
      <c r="N566" s="957"/>
      <c r="O566" s="4"/>
      <c r="P566" s="4"/>
      <c r="Q566" s="4"/>
      <c r="R566" s="4"/>
      <c r="S566" s="4"/>
      <c r="T566" s="4"/>
      <c r="U566" s="4"/>
      <c r="V566" s="4"/>
      <c r="W566" s="4"/>
      <c r="X566" s="4"/>
    </row>
    <row r="567" spans="1:24" ht="12.75">
      <c r="A567" s="4"/>
      <c r="B567" s="4"/>
      <c r="C567" s="4"/>
      <c r="D567" s="4"/>
      <c r="E567" s="957"/>
      <c r="F567" s="957"/>
      <c r="G567" s="957"/>
      <c r="H567" s="957"/>
      <c r="I567" s="957"/>
      <c r="J567" s="957"/>
      <c r="K567" s="957"/>
      <c r="L567" s="957"/>
      <c r="M567" s="957"/>
      <c r="N567" s="957"/>
      <c r="O567" s="4"/>
      <c r="P567" s="4"/>
      <c r="Q567" s="4"/>
      <c r="R567" s="4"/>
      <c r="S567" s="4"/>
      <c r="T567" s="4"/>
      <c r="U567" s="4"/>
      <c r="V567" s="4"/>
      <c r="W567" s="4"/>
      <c r="X567" s="4"/>
    </row>
    <row r="568" spans="1:24" ht="12.75">
      <c r="A568" s="4"/>
      <c r="B568" s="4"/>
      <c r="C568" s="4"/>
      <c r="D568" s="4"/>
      <c r="E568" s="957"/>
      <c r="F568" s="957"/>
      <c r="G568" s="957"/>
      <c r="H568" s="957"/>
      <c r="I568" s="957"/>
      <c r="J568" s="957"/>
      <c r="K568" s="957"/>
      <c r="L568" s="957"/>
      <c r="M568" s="957"/>
      <c r="N568" s="957"/>
      <c r="O568" s="4"/>
      <c r="P568" s="4"/>
      <c r="Q568" s="4"/>
      <c r="R568" s="4"/>
      <c r="S568" s="4"/>
      <c r="T568" s="4"/>
      <c r="U568" s="4"/>
      <c r="V568" s="4"/>
      <c r="W568" s="4"/>
      <c r="X568" s="4"/>
    </row>
    <row r="569" spans="1:24" ht="12.75">
      <c r="A569" s="4"/>
      <c r="B569" s="4"/>
      <c r="C569" s="4"/>
      <c r="D569" s="4"/>
      <c r="E569" s="957"/>
      <c r="F569" s="957"/>
      <c r="G569" s="957"/>
      <c r="H569" s="957"/>
      <c r="I569" s="957"/>
      <c r="J569" s="957"/>
      <c r="K569" s="957"/>
      <c r="L569" s="957"/>
      <c r="M569" s="957"/>
      <c r="N569" s="957"/>
      <c r="O569" s="4"/>
      <c r="P569" s="4"/>
      <c r="Q569" s="4"/>
      <c r="R569" s="4"/>
      <c r="S569" s="4"/>
      <c r="T569" s="4"/>
      <c r="U569" s="4"/>
      <c r="V569" s="4"/>
      <c r="W569" s="4"/>
      <c r="X569" s="4"/>
    </row>
    <row r="570" spans="1:24" ht="12.75">
      <c r="A570" s="4"/>
      <c r="B570" s="4"/>
      <c r="C570" s="4"/>
      <c r="D570" s="4"/>
      <c r="E570" s="957"/>
      <c r="F570" s="957"/>
      <c r="G570" s="957"/>
      <c r="H570" s="957"/>
      <c r="I570" s="957"/>
      <c r="J570" s="957"/>
      <c r="K570" s="957"/>
      <c r="L570" s="957"/>
      <c r="M570" s="957"/>
      <c r="N570" s="957"/>
      <c r="O570" s="4"/>
      <c r="P570" s="4"/>
      <c r="Q570" s="4"/>
      <c r="R570" s="4"/>
      <c r="S570" s="4"/>
      <c r="T570" s="4"/>
      <c r="U570" s="4"/>
      <c r="V570" s="4"/>
      <c r="W570" s="4"/>
      <c r="X570" s="4"/>
    </row>
    <row r="571" spans="1:24" ht="12.75">
      <c r="A571" s="4"/>
      <c r="B571" s="4"/>
      <c r="C571" s="4"/>
      <c r="D571" s="4"/>
      <c r="E571" s="957"/>
      <c r="F571" s="957"/>
      <c r="G571" s="957"/>
      <c r="H571" s="957"/>
      <c r="I571" s="957"/>
      <c r="J571" s="957"/>
      <c r="K571" s="957"/>
      <c r="L571" s="957"/>
      <c r="M571" s="957"/>
      <c r="N571" s="957"/>
      <c r="O571" s="4"/>
      <c r="P571" s="4"/>
      <c r="Q571" s="4"/>
      <c r="R571" s="4"/>
      <c r="S571" s="4"/>
      <c r="T571" s="4"/>
      <c r="U571" s="4"/>
      <c r="V571" s="4"/>
      <c r="W571" s="4"/>
      <c r="X571" s="4"/>
    </row>
    <row r="572" spans="1:24" ht="12.75">
      <c r="A572" s="4"/>
      <c r="B572" s="4"/>
      <c r="C572" s="4"/>
      <c r="D572" s="4"/>
      <c r="E572" s="957"/>
      <c r="F572" s="957"/>
      <c r="G572" s="957"/>
      <c r="H572" s="957"/>
      <c r="I572" s="957"/>
      <c r="J572" s="957"/>
      <c r="K572" s="957"/>
      <c r="L572" s="957"/>
      <c r="M572" s="957"/>
      <c r="N572" s="957"/>
      <c r="O572" s="4"/>
      <c r="P572" s="4"/>
      <c r="Q572" s="4"/>
      <c r="R572" s="4"/>
      <c r="S572" s="4"/>
      <c r="T572" s="4"/>
      <c r="U572" s="4"/>
      <c r="V572" s="4"/>
      <c r="W572" s="4"/>
      <c r="X572" s="4"/>
    </row>
    <row r="573" spans="1:24" ht="12.75">
      <c r="A573" s="4"/>
      <c r="B573" s="4"/>
      <c r="C573" s="4"/>
      <c r="D573" s="4"/>
      <c r="E573" s="957"/>
      <c r="F573" s="957"/>
      <c r="G573" s="957"/>
      <c r="H573" s="957"/>
      <c r="I573" s="957"/>
      <c r="J573" s="957"/>
      <c r="K573" s="957"/>
      <c r="L573" s="957"/>
      <c r="M573" s="957"/>
      <c r="N573" s="957"/>
      <c r="O573" s="4"/>
      <c r="P573" s="4"/>
      <c r="Q573" s="4"/>
      <c r="R573" s="4"/>
      <c r="S573" s="4"/>
      <c r="T573" s="4"/>
      <c r="U573" s="4"/>
      <c r="V573" s="4"/>
      <c r="W573" s="4"/>
      <c r="X573" s="4"/>
    </row>
    <row r="574" spans="1:24" ht="12.75">
      <c r="A574" s="4"/>
      <c r="B574" s="4"/>
      <c r="C574" s="4"/>
      <c r="D574" s="4"/>
      <c r="E574" s="957"/>
      <c r="F574" s="957"/>
      <c r="G574" s="957"/>
      <c r="H574" s="957"/>
      <c r="I574" s="957"/>
      <c r="J574" s="957"/>
      <c r="K574" s="957"/>
      <c r="L574" s="957"/>
      <c r="M574" s="957"/>
      <c r="N574" s="957"/>
      <c r="O574" s="4"/>
      <c r="P574" s="4"/>
      <c r="Q574" s="4"/>
      <c r="R574" s="4"/>
      <c r="S574" s="4"/>
      <c r="T574" s="4"/>
      <c r="U574" s="4"/>
      <c r="V574" s="4"/>
      <c r="W574" s="4"/>
      <c r="X574" s="4"/>
    </row>
    <row r="575" spans="1:24" ht="12.75">
      <c r="A575" s="4"/>
      <c r="B575" s="4"/>
      <c r="C575" s="4"/>
      <c r="D575" s="4"/>
      <c r="E575" s="957"/>
      <c r="F575" s="957"/>
      <c r="G575" s="957"/>
      <c r="H575" s="957"/>
      <c r="I575" s="957"/>
      <c r="J575" s="957"/>
      <c r="K575" s="957"/>
      <c r="L575" s="957"/>
      <c r="M575" s="957"/>
      <c r="N575" s="957"/>
      <c r="O575" s="4"/>
      <c r="P575" s="4"/>
      <c r="Q575" s="4"/>
      <c r="R575" s="4"/>
      <c r="S575" s="4"/>
      <c r="T575" s="4"/>
      <c r="U575" s="4"/>
      <c r="V575" s="4"/>
      <c r="W575" s="4"/>
      <c r="X575" s="4"/>
    </row>
    <row r="576" spans="1:24" ht="12.75">
      <c r="A576" s="4"/>
      <c r="B576" s="4"/>
      <c r="C576" s="4"/>
      <c r="D576" s="4"/>
      <c r="E576" s="957"/>
      <c r="F576" s="957"/>
      <c r="G576" s="957"/>
      <c r="H576" s="957"/>
      <c r="I576" s="957"/>
      <c r="J576" s="957"/>
      <c r="K576" s="957"/>
      <c r="L576" s="957"/>
      <c r="M576" s="957"/>
      <c r="N576" s="957"/>
      <c r="O576" s="4"/>
      <c r="P576" s="4"/>
      <c r="Q576" s="4"/>
      <c r="R576" s="4"/>
      <c r="S576" s="4"/>
      <c r="T576" s="4"/>
      <c r="U576" s="4"/>
      <c r="V576" s="4"/>
      <c r="W576" s="4"/>
      <c r="X576" s="4"/>
    </row>
    <row r="577" spans="1:24" ht="12.75">
      <c r="A577" s="4"/>
      <c r="B577" s="4"/>
      <c r="C577" s="4"/>
      <c r="D577" s="4"/>
      <c r="E577" s="957"/>
      <c r="F577" s="957"/>
      <c r="G577" s="957"/>
      <c r="H577" s="957"/>
      <c r="I577" s="957"/>
      <c r="J577" s="957"/>
      <c r="K577" s="957"/>
      <c r="L577" s="957"/>
      <c r="M577" s="957"/>
      <c r="N577" s="957"/>
      <c r="O577" s="4"/>
      <c r="P577" s="4"/>
      <c r="Q577" s="4"/>
      <c r="R577" s="4"/>
      <c r="S577" s="4"/>
      <c r="T577" s="4"/>
      <c r="U577" s="4"/>
      <c r="V577" s="4"/>
      <c r="W577" s="4"/>
      <c r="X577" s="4"/>
    </row>
    <row r="578" spans="1:24" ht="12.75">
      <c r="A578" s="4"/>
      <c r="B578" s="4"/>
      <c r="C578" s="4"/>
      <c r="D578" s="4"/>
      <c r="E578" s="957"/>
      <c r="F578" s="957"/>
      <c r="G578" s="957"/>
      <c r="H578" s="957"/>
      <c r="I578" s="957"/>
      <c r="J578" s="957"/>
      <c r="K578" s="957"/>
      <c r="L578" s="957"/>
      <c r="M578" s="957"/>
      <c r="N578" s="957"/>
      <c r="O578" s="4"/>
      <c r="P578" s="4"/>
      <c r="Q578" s="4"/>
      <c r="R578" s="4"/>
      <c r="S578" s="4"/>
      <c r="T578" s="4"/>
      <c r="U578" s="4"/>
      <c r="V578" s="4"/>
      <c r="W578" s="4"/>
      <c r="X578" s="4"/>
    </row>
    <row r="579" spans="1:24" ht="12.75">
      <c r="A579" s="4"/>
      <c r="B579" s="4"/>
      <c r="C579" s="4"/>
      <c r="D579" s="4"/>
      <c r="E579" s="957"/>
      <c r="F579" s="957"/>
      <c r="G579" s="957"/>
      <c r="H579" s="957"/>
      <c r="I579" s="957"/>
      <c r="J579" s="957"/>
      <c r="K579" s="957"/>
      <c r="L579" s="957"/>
      <c r="M579" s="957"/>
      <c r="N579" s="957"/>
      <c r="O579" s="4"/>
      <c r="P579" s="4"/>
      <c r="Q579" s="4"/>
      <c r="R579" s="4"/>
      <c r="S579" s="4"/>
      <c r="T579" s="4"/>
      <c r="U579" s="4"/>
      <c r="V579" s="4"/>
      <c r="W579" s="4"/>
      <c r="X579" s="4"/>
    </row>
    <row r="580" spans="1:24" ht="12.75">
      <c r="A580" s="4"/>
      <c r="B580" s="4"/>
      <c r="C580" s="4"/>
      <c r="D580" s="4"/>
      <c r="E580" s="957"/>
      <c r="F580" s="957"/>
      <c r="G580" s="957"/>
      <c r="H580" s="957"/>
      <c r="I580" s="957"/>
      <c r="J580" s="957"/>
      <c r="K580" s="957"/>
      <c r="L580" s="957"/>
      <c r="M580" s="957"/>
      <c r="N580" s="957"/>
      <c r="O580" s="4"/>
      <c r="P580" s="4"/>
      <c r="Q580" s="4"/>
      <c r="R580" s="4"/>
      <c r="S580" s="4"/>
      <c r="T580" s="4"/>
      <c r="U580" s="4"/>
      <c r="V580" s="4"/>
      <c r="W580" s="4"/>
      <c r="X580" s="4"/>
    </row>
    <row r="581" spans="1:24" ht="12.75">
      <c r="A581" s="4"/>
      <c r="B581" s="4"/>
      <c r="C581" s="4"/>
      <c r="D581" s="4"/>
      <c r="E581" s="957"/>
      <c r="F581" s="957"/>
      <c r="G581" s="957"/>
      <c r="H581" s="957"/>
      <c r="I581" s="957"/>
      <c r="J581" s="957"/>
      <c r="K581" s="957"/>
      <c r="L581" s="957"/>
      <c r="M581" s="957"/>
      <c r="N581" s="957"/>
      <c r="O581" s="4"/>
      <c r="P581" s="4"/>
      <c r="Q581" s="4"/>
      <c r="R581" s="4"/>
      <c r="S581" s="4"/>
      <c r="T581" s="4"/>
      <c r="U581" s="4"/>
      <c r="V581" s="4"/>
      <c r="W581" s="4"/>
      <c r="X581" s="4"/>
    </row>
    <row r="582" spans="1:24" ht="12.75">
      <c r="A582" s="4"/>
      <c r="B582" s="4"/>
      <c r="C582" s="4"/>
      <c r="D582" s="4"/>
      <c r="E582" s="957"/>
      <c r="F582" s="957"/>
      <c r="G582" s="957"/>
      <c r="H582" s="957"/>
      <c r="I582" s="957"/>
      <c r="J582" s="957"/>
      <c r="K582" s="957"/>
      <c r="L582" s="957"/>
      <c r="M582" s="957"/>
      <c r="N582" s="957"/>
      <c r="O582" s="4"/>
      <c r="P582" s="4"/>
      <c r="Q582" s="4"/>
      <c r="R582" s="4"/>
      <c r="S582" s="4"/>
      <c r="T582" s="4"/>
      <c r="U582" s="4"/>
      <c r="V582" s="4"/>
      <c r="W582" s="4"/>
      <c r="X582" s="4"/>
    </row>
    <row r="583" spans="1:24" ht="12.75">
      <c r="A583" s="4"/>
      <c r="B583" s="4"/>
      <c r="C583" s="4"/>
      <c r="D583" s="4"/>
      <c r="E583" s="957"/>
      <c r="F583" s="957"/>
      <c r="G583" s="957"/>
      <c r="H583" s="957"/>
      <c r="I583" s="957"/>
      <c r="J583" s="957"/>
      <c r="K583" s="957"/>
      <c r="L583" s="957"/>
      <c r="M583" s="957"/>
      <c r="N583" s="957"/>
      <c r="O583" s="4"/>
      <c r="P583" s="4"/>
      <c r="Q583" s="4"/>
      <c r="R583" s="4"/>
      <c r="S583" s="4"/>
      <c r="T583" s="4"/>
      <c r="U583" s="4"/>
      <c r="V583" s="4"/>
      <c r="W583" s="4"/>
      <c r="X583" s="4"/>
    </row>
    <row r="584" spans="1:24" ht="12.75">
      <c r="A584" s="4"/>
      <c r="B584" s="4"/>
      <c r="C584" s="4"/>
      <c r="D584" s="4"/>
      <c r="E584" s="957"/>
      <c r="F584" s="957"/>
      <c r="G584" s="957"/>
      <c r="H584" s="957"/>
      <c r="I584" s="957"/>
      <c r="J584" s="957"/>
      <c r="K584" s="957"/>
      <c r="L584" s="957"/>
      <c r="M584" s="957"/>
      <c r="N584" s="957"/>
      <c r="O584" s="4"/>
      <c r="P584" s="4"/>
      <c r="Q584" s="4"/>
      <c r="R584" s="4"/>
      <c r="S584" s="4"/>
      <c r="T584" s="4"/>
      <c r="U584" s="4"/>
      <c r="V584" s="4"/>
      <c r="W584" s="4"/>
      <c r="X584" s="4"/>
    </row>
    <row r="585" spans="1:24" ht="12.75">
      <c r="A585" s="4"/>
      <c r="B585" s="4"/>
      <c r="C585" s="4"/>
      <c r="D585" s="4"/>
      <c r="E585" s="957"/>
      <c r="F585" s="957"/>
      <c r="G585" s="957"/>
      <c r="H585" s="957"/>
      <c r="I585" s="957"/>
      <c r="J585" s="957"/>
      <c r="K585" s="957"/>
      <c r="L585" s="957"/>
      <c r="M585" s="957"/>
      <c r="N585" s="957"/>
      <c r="O585" s="4"/>
      <c r="P585" s="4"/>
      <c r="Q585" s="4"/>
      <c r="R585" s="4"/>
      <c r="S585" s="4"/>
      <c r="T585" s="4"/>
      <c r="U585" s="4"/>
      <c r="V585" s="4"/>
      <c r="W585" s="4"/>
      <c r="X585" s="4"/>
    </row>
    <row r="586" spans="1:24" ht="12.75">
      <c r="A586" s="4"/>
      <c r="B586" s="4"/>
      <c r="C586" s="4"/>
      <c r="D586" s="4"/>
      <c r="E586" s="957"/>
      <c r="F586" s="957"/>
      <c r="G586" s="957"/>
      <c r="H586" s="957"/>
      <c r="I586" s="957"/>
      <c r="J586" s="957"/>
      <c r="K586" s="957"/>
      <c r="L586" s="957"/>
      <c r="M586" s="957"/>
      <c r="N586" s="957"/>
      <c r="O586" s="4"/>
      <c r="P586" s="4"/>
      <c r="Q586" s="4"/>
      <c r="R586" s="4"/>
      <c r="S586" s="4"/>
      <c r="T586" s="4"/>
      <c r="U586" s="4"/>
      <c r="V586" s="4"/>
      <c r="W586" s="4"/>
      <c r="X586" s="4"/>
    </row>
    <row r="587" spans="1:24" ht="12.75">
      <c r="A587" s="4"/>
      <c r="B587" s="4"/>
      <c r="C587" s="4"/>
      <c r="D587" s="4"/>
      <c r="E587" s="957"/>
      <c r="F587" s="957"/>
      <c r="G587" s="957"/>
      <c r="H587" s="957"/>
      <c r="I587" s="957"/>
      <c r="J587" s="957"/>
      <c r="K587" s="957"/>
      <c r="L587" s="957"/>
      <c r="M587" s="957"/>
      <c r="N587" s="957"/>
      <c r="O587" s="4"/>
      <c r="P587" s="4"/>
      <c r="Q587" s="4"/>
      <c r="R587" s="4"/>
      <c r="S587" s="4"/>
      <c r="T587" s="4"/>
      <c r="U587" s="4"/>
      <c r="V587" s="4"/>
      <c r="W587" s="4"/>
      <c r="X587" s="4"/>
    </row>
    <row r="588" spans="1:24" ht="12.75">
      <c r="A588" s="4"/>
      <c r="B588" s="4"/>
      <c r="C588" s="4"/>
      <c r="D588" s="4"/>
      <c r="E588" s="957"/>
      <c r="F588" s="957"/>
      <c r="G588" s="957"/>
      <c r="H588" s="957"/>
      <c r="I588" s="957"/>
      <c r="J588" s="957"/>
      <c r="K588" s="957"/>
      <c r="L588" s="957"/>
      <c r="M588" s="957"/>
      <c r="N588" s="957"/>
      <c r="O588" s="4"/>
      <c r="P588" s="4"/>
      <c r="Q588" s="4"/>
      <c r="R588" s="4"/>
      <c r="S588" s="4"/>
      <c r="T588" s="4"/>
      <c r="U588" s="4"/>
      <c r="V588" s="4"/>
      <c r="W588" s="4"/>
      <c r="X588" s="4"/>
    </row>
    <row r="589" spans="1:24" ht="12.75">
      <c r="A589" s="4"/>
      <c r="B589" s="4"/>
      <c r="C589" s="4"/>
      <c r="D589" s="4"/>
      <c r="E589" s="957"/>
      <c r="F589" s="957"/>
      <c r="G589" s="957"/>
      <c r="H589" s="957"/>
      <c r="I589" s="957"/>
      <c r="J589" s="957"/>
      <c r="K589" s="957"/>
      <c r="L589" s="957"/>
      <c r="M589" s="957"/>
      <c r="N589" s="957"/>
      <c r="O589" s="4"/>
      <c r="P589" s="4"/>
      <c r="Q589" s="4"/>
      <c r="R589" s="4"/>
      <c r="S589" s="4"/>
      <c r="T589" s="4"/>
      <c r="U589" s="4"/>
      <c r="V589" s="4"/>
      <c r="W589" s="4"/>
      <c r="X589" s="4"/>
    </row>
    <row r="590" spans="1:24" ht="12.75">
      <c r="A590" s="4"/>
      <c r="B590" s="4"/>
      <c r="C590" s="4"/>
      <c r="D590" s="4"/>
      <c r="E590" s="957"/>
      <c r="F590" s="957"/>
      <c r="G590" s="957"/>
      <c r="H590" s="957"/>
      <c r="I590" s="957"/>
      <c r="J590" s="957"/>
      <c r="K590" s="957"/>
      <c r="L590" s="957"/>
      <c r="M590" s="957"/>
      <c r="N590" s="957"/>
      <c r="O590" s="4"/>
      <c r="P590" s="4"/>
      <c r="Q590" s="4"/>
      <c r="R590" s="4"/>
      <c r="S590" s="4"/>
      <c r="T590" s="4"/>
      <c r="U590" s="4"/>
      <c r="V590" s="4"/>
      <c r="W590" s="4"/>
      <c r="X590" s="4"/>
    </row>
    <row r="591" spans="1:24" ht="12.75">
      <c r="A591" s="4"/>
      <c r="B591" s="4"/>
      <c r="C591" s="4"/>
      <c r="D591" s="4"/>
      <c r="E591" s="957"/>
      <c r="F591" s="957"/>
      <c r="G591" s="957"/>
      <c r="H591" s="957"/>
      <c r="I591" s="957"/>
      <c r="J591" s="957"/>
      <c r="K591" s="957"/>
      <c r="L591" s="957"/>
      <c r="M591" s="957"/>
      <c r="N591" s="957"/>
      <c r="O591" s="4"/>
      <c r="P591" s="4"/>
      <c r="Q591" s="4"/>
      <c r="R591" s="4"/>
      <c r="S591" s="4"/>
      <c r="T591" s="4"/>
      <c r="U591" s="4"/>
      <c r="V591" s="4"/>
      <c r="W591" s="4"/>
      <c r="X591" s="4"/>
    </row>
    <row r="592" spans="1:24" ht="12.75">
      <c r="A592" s="4"/>
      <c r="B592" s="4"/>
      <c r="C592" s="4"/>
      <c r="D592" s="4"/>
      <c r="E592" s="957"/>
      <c r="F592" s="957"/>
      <c r="G592" s="957"/>
      <c r="H592" s="957"/>
      <c r="I592" s="957"/>
      <c r="J592" s="957"/>
      <c r="K592" s="957"/>
      <c r="L592" s="957"/>
      <c r="M592" s="957"/>
      <c r="N592" s="957"/>
      <c r="O592" s="4"/>
      <c r="P592" s="4"/>
      <c r="Q592" s="4"/>
      <c r="R592" s="4"/>
      <c r="S592" s="4"/>
      <c r="T592" s="4"/>
      <c r="U592" s="4"/>
      <c r="V592" s="4"/>
      <c r="W592" s="4"/>
      <c r="X592" s="4"/>
    </row>
    <row r="593" spans="1:24" ht="12.75">
      <c r="A593" s="4"/>
      <c r="B593" s="4"/>
      <c r="C593" s="4"/>
      <c r="D593" s="4"/>
      <c r="E593" s="957"/>
      <c r="F593" s="957"/>
      <c r="G593" s="957"/>
      <c r="H593" s="957"/>
      <c r="I593" s="957"/>
      <c r="J593" s="957"/>
      <c r="K593" s="957"/>
      <c r="L593" s="957"/>
      <c r="M593" s="957"/>
      <c r="N593" s="957"/>
      <c r="O593" s="4"/>
      <c r="P593" s="4"/>
      <c r="Q593" s="4"/>
      <c r="R593" s="4"/>
      <c r="S593" s="4"/>
      <c r="T593" s="4"/>
      <c r="U593" s="4"/>
      <c r="V593" s="4"/>
      <c r="W593" s="4"/>
      <c r="X593" s="4"/>
    </row>
    <row r="594" spans="1:24" ht="12.75">
      <c r="A594" s="4"/>
      <c r="B594" s="4"/>
      <c r="C594" s="4"/>
      <c r="D594" s="4"/>
      <c r="E594" s="957"/>
      <c r="F594" s="957"/>
      <c r="G594" s="957"/>
      <c r="H594" s="957"/>
      <c r="I594" s="957"/>
      <c r="J594" s="957"/>
      <c r="K594" s="957"/>
      <c r="L594" s="957"/>
      <c r="M594" s="957"/>
      <c r="N594" s="957"/>
      <c r="O594" s="4"/>
      <c r="P594" s="4"/>
      <c r="Q594" s="4"/>
      <c r="R594" s="4"/>
      <c r="S594" s="4"/>
      <c r="T594" s="4"/>
      <c r="U594" s="4"/>
      <c r="V594" s="4"/>
      <c r="W594" s="4"/>
      <c r="X594" s="4"/>
    </row>
    <row r="595" spans="1:24" ht="12.75">
      <c r="A595" s="4"/>
      <c r="B595" s="4"/>
      <c r="C595" s="4"/>
      <c r="D595" s="4"/>
      <c r="E595" s="957"/>
      <c r="F595" s="957"/>
      <c r="G595" s="957"/>
      <c r="H595" s="957"/>
      <c r="I595" s="957"/>
      <c r="J595" s="957"/>
      <c r="K595" s="957"/>
      <c r="L595" s="957"/>
      <c r="M595" s="957"/>
      <c r="N595" s="957"/>
      <c r="O595" s="4"/>
      <c r="P595" s="4"/>
      <c r="Q595" s="4"/>
      <c r="R595" s="4"/>
      <c r="S595" s="4"/>
      <c r="T595" s="4"/>
      <c r="U595" s="4"/>
      <c r="V595" s="4"/>
      <c r="W595" s="4"/>
      <c r="X595" s="4"/>
    </row>
    <row r="596" spans="1:24" ht="12.75">
      <c r="A596" s="4"/>
      <c r="B596" s="4"/>
      <c r="C596" s="4"/>
      <c r="D596" s="4"/>
      <c r="E596" s="957"/>
      <c r="F596" s="957"/>
      <c r="G596" s="957"/>
      <c r="H596" s="957"/>
      <c r="I596" s="957"/>
      <c r="J596" s="957"/>
      <c r="K596" s="957"/>
      <c r="L596" s="957"/>
      <c r="M596" s="957"/>
      <c r="N596" s="957"/>
      <c r="O596" s="4"/>
      <c r="P596" s="4"/>
      <c r="Q596" s="4"/>
      <c r="R596" s="4"/>
      <c r="S596" s="4"/>
      <c r="T596" s="4"/>
      <c r="U596" s="4"/>
      <c r="V596" s="4"/>
      <c r="W596" s="4"/>
      <c r="X596" s="4"/>
    </row>
    <row r="597" spans="1:24" ht="12.75">
      <c r="A597" s="4"/>
      <c r="B597" s="4"/>
      <c r="C597" s="4"/>
      <c r="D597" s="4"/>
      <c r="E597" s="957"/>
      <c r="F597" s="957"/>
      <c r="G597" s="957"/>
      <c r="H597" s="957"/>
      <c r="I597" s="957"/>
      <c r="J597" s="957"/>
      <c r="K597" s="957"/>
      <c r="L597" s="957"/>
      <c r="M597" s="957"/>
      <c r="N597" s="957"/>
      <c r="O597" s="4"/>
      <c r="P597" s="4"/>
      <c r="Q597" s="4"/>
      <c r="R597" s="4"/>
      <c r="S597" s="4"/>
      <c r="T597" s="4"/>
      <c r="U597" s="4"/>
      <c r="V597" s="4"/>
      <c r="W597" s="4"/>
      <c r="X597" s="4"/>
    </row>
    <row r="598" spans="1:24" ht="12.75">
      <c r="A598" s="4"/>
      <c r="B598" s="4"/>
      <c r="C598" s="4"/>
      <c r="D598" s="4"/>
      <c r="E598" s="957"/>
      <c r="F598" s="957"/>
      <c r="G598" s="957"/>
      <c r="H598" s="957"/>
      <c r="I598" s="957"/>
      <c r="J598" s="957"/>
      <c r="K598" s="957"/>
      <c r="L598" s="957"/>
      <c r="M598" s="957"/>
      <c r="N598" s="957"/>
      <c r="O598" s="4"/>
      <c r="P598" s="4"/>
      <c r="Q598" s="4"/>
      <c r="R598" s="4"/>
      <c r="S598" s="4"/>
      <c r="T598" s="4"/>
      <c r="U598" s="4"/>
      <c r="V598" s="4"/>
      <c r="W598" s="4"/>
      <c r="X598" s="4"/>
    </row>
    <row r="599" spans="1:24" ht="12.75">
      <c r="A599" s="4"/>
      <c r="B599" s="4"/>
      <c r="C599" s="4"/>
      <c r="D599" s="4"/>
      <c r="E599" s="957"/>
      <c r="F599" s="957"/>
      <c r="G599" s="957"/>
      <c r="H599" s="957"/>
      <c r="I599" s="957"/>
      <c r="J599" s="957"/>
      <c r="K599" s="957"/>
      <c r="L599" s="957"/>
      <c r="M599" s="957"/>
      <c r="N599" s="957"/>
      <c r="O599" s="4"/>
      <c r="P599" s="4"/>
      <c r="Q599" s="4"/>
      <c r="R599" s="4"/>
      <c r="S599" s="4"/>
      <c r="T599" s="4"/>
      <c r="U599" s="4"/>
      <c r="V599" s="4"/>
      <c r="W599" s="4"/>
      <c r="X599" s="4"/>
    </row>
    <row r="600" spans="1:24" ht="12.75">
      <c r="A600" s="4"/>
      <c r="B600" s="4"/>
      <c r="C600" s="4"/>
      <c r="D600" s="4"/>
      <c r="E600" s="957"/>
      <c r="F600" s="957"/>
      <c r="G600" s="957"/>
      <c r="H600" s="957"/>
      <c r="I600" s="957"/>
      <c r="J600" s="957"/>
      <c r="K600" s="957"/>
      <c r="L600" s="957"/>
      <c r="M600" s="957"/>
      <c r="N600" s="957"/>
      <c r="O600" s="4"/>
      <c r="P600" s="4"/>
      <c r="Q600" s="4"/>
      <c r="R600" s="4"/>
      <c r="S600" s="4"/>
      <c r="T600" s="4"/>
      <c r="U600" s="4"/>
      <c r="V600" s="4"/>
      <c r="W600" s="4"/>
      <c r="X600" s="4"/>
    </row>
    <row r="601" spans="1:24" ht="12.75">
      <c r="A601" s="4"/>
      <c r="B601" s="4"/>
      <c r="C601" s="4"/>
      <c r="D601" s="4"/>
      <c r="E601" s="957"/>
      <c r="F601" s="957"/>
      <c r="G601" s="957"/>
      <c r="H601" s="957"/>
      <c r="I601" s="957"/>
      <c r="J601" s="957"/>
      <c r="K601" s="957"/>
      <c r="L601" s="957"/>
      <c r="M601" s="957"/>
      <c r="N601" s="957"/>
      <c r="O601" s="4"/>
      <c r="P601" s="4"/>
      <c r="Q601" s="4"/>
      <c r="R601" s="4"/>
      <c r="S601" s="4"/>
      <c r="T601" s="4"/>
      <c r="U601" s="4"/>
      <c r="V601" s="4"/>
      <c r="W601" s="4"/>
      <c r="X601" s="4"/>
    </row>
    <row r="602" spans="1:24" ht="12.75">
      <c r="A602" s="4"/>
      <c r="B602" s="4"/>
      <c r="C602" s="4"/>
      <c r="D602" s="4"/>
      <c r="E602" s="957"/>
      <c r="F602" s="957"/>
      <c r="G602" s="957"/>
      <c r="H602" s="957"/>
      <c r="I602" s="957"/>
      <c r="J602" s="957"/>
      <c r="K602" s="957"/>
      <c r="L602" s="957"/>
      <c r="M602" s="957"/>
      <c r="N602" s="957"/>
      <c r="O602" s="4"/>
      <c r="P602" s="4"/>
      <c r="Q602" s="4"/>
      <c r="R602" s="4"/>
      <c r="S602" s="4"/>
      <c r="T602" s="4"/>
      <c r="U602" s="4"/>
      <c r="V602" s="4"/>
      <c r="W602" s="4"/>
      <c r="X602" s="4"/>
    </row>
    <row r="603" spans="1:24" ht="12.75">
      <c r="A603" s="4"/>
      <c r="B603" s="4"/>
      <c r="C603" s="4"/>
      <c r="D603" s="4"/>
      <c r="E603" s="957"/>
      <c r="F603" s="957"/>
      <c r="G603" s="957"/>
      <c r="H603" s="957"/>
      <c r="I603" s="957"/>
      <c r="J603" s="957"/>
      <c r="K603" s="957"/>
      <c r="L603" s="957"/>
      <c r="M603" s="957"/>
      <c r="N603" s="957"/>
      <c r="O603" s="4"/>
      <c r="P603" s="4"/>
      <c r="Q603" s="4"/>
      <c r="R603" s="4"/>
      <c r="S603" s="4"/>
      <c r="T603" s="4"/>
      <c r="U603" s="4"/>
      <c r="V603" s="4"/>
      <c r="W603" s="4"/>
      <c r="X603" s="4"/>
    </row>
    <row r="604" spans="1:24" ht="12.75">
      <c r="A604" s="4"/>
      <c r="B604" s="4"/>
      <c r="C604" s="4"/>
      <c r="D604" s="4"/>
      <c r="E604" s="957"/>
      <c r="F604" s="957"/>
      <c r="G604" s="957"/>
      <c r="H604" s="957"/>
      <c r="I604" s="957"/>
      <c r="J604" s="957"/>
      <c r="K604" s="957"/>
      <c r="L604" s="957"/>
      <c r="M604" s="957"/>
      <c r="N604" s="957"/>
      <c r="O604" s="4"/>
      <c r="P604" s="4"/>
      <c r="Q604" s="4"/>
      <c r="R604" s="4"/>
      <c r="S604" s="4"/>
      <c r="T604" s="4"/>
      <c r="U604" s="4"/>
      <c r="V604" s="4"/>
      <c r="W604" s="4"/>
      <c r="X604" s="4"/>
    </row>
    <row r="605" spans="1:24" ht="12.75">
      <c r="A605" s="4"/>
      <c r="B605" s="4"/>
      <c r="C605" s="4"/>
      <c r="D605" s="4"/>
      <c r="E605" s="957"/>
      <c r="F605" s="957"/>
      <c r="G605" s="957"/>
      <c r="H605" s="957"/>
      <c r="I605" s="957"/>
      <c r="J605" s="957"/>
      <c r="K605" s="957"/>
      <c r="L605" s="957"/>
      <c r="M605" s="957"/>
      <c r="N605" s="957"/>
      <c r="O605" s="4"/>
      <c r="P605" s="4"/>
      <c r="Q605" s="4"/>
      <c r="R605" s="4"/>
      <c r="S605" s="4"/>
      <c r="T605" s="4"/>
      <c r="U605" s="4"/>
      <c r="V605" s="4"/>
      <c r="W605" s="4"/>
      <c r="X605" s="4"/>
    </row>
    <row r="606" spans="1:24" ht="12.75">
      <c r="A606" s="4"/>
      <c r="B606" s="4"/>
      <c r="C606" s="4"/>
      <c r="D606" s="4"/>
      <c r="E606" s="957"/>
      <c r="F606" s="957"/>
      <c r="G606" s="957"/>
      <c r="H606" s="957"/>
      <c r="I606" s="957"/>
      <c r="J606" s="957"/>
      <c r="K606" s="957"/>
      <c r="L606" s="957"/>
      <c r="M606" s="957"/>
      <c r="N606" s="957"/>
      <c r="O606" s="4"/>
      <c r="P606" s="4"/>
      <c r="Q606" s="4"/>
      <c r="R606" s="4"/>
      <c r="S606" s="4"/>
      <c r="T606" s="4"/>
      <c r="U606" s="4"/>
      <c r="V606" s="4"/>
      <c r="W606" s="4"/>
      <c r="X606" s="4"/>
    </row>
    <row r="607" spans="1:24" ht="12.75">
      <c r="A607" s="4"/>
      <c r="B607" s="4"/>
      <c r="C607" s="4"/>
      <c r="D607" s="4"/>
      <c r="E607" s="957"/>
      <c r="F607" s="957"/>
      <c r="G607" s="957"/>
      <c r="H607" s="957"/>
      <c r="I607" s="957"/>
      <c r="J607" s="957"/>
      <c r="K607" s="957"/>
      <c r="L607" s="957"/>
      <c r="M607" s="957"/>
      <c r="N607" s="957"/>
      <c r="O607" s="4"/>
      <c r="P607" s="4"/>
      <c r="Q607" s="4"/>
      <c r="R607" s="4"/>
      <c r="S607" s="4"/>
      <c r="T607" s="4"/>
      <c r="U607" s="4"/>
      <c r="V607" s="4"/>
      <c r="W607" s="4"/>
      <c r="X607" s="4"/>
    </row>
    <row r="608" spans="1:24" ht="12.75">
      <c r="A608" s="4"/>
      <c r="B608" s="4"/>
      <c r="C608" s="4"/>
      <c r="D608" s="4"/>
      <c r="E608" s="957"/>
      <c r="F608" s="957"/>
      <c r="G608" s="957"/>
      <c r="H608" s="957"/>
      <c r="I608" s="957"/>
      <c r="J608" s="957"/>
      <c r="K608" s="957"/>
      <c r="L608" s="957"/>
      <c r="M608" s="957"/>
      <c r="N608" s="957"/>
      <c r="O608" s="4"/>
      <c r="P608" s="4"/>
      <c r="Q608" s="4"/>
      <c r="R608" s="4"/>
      <c r="S608" s="4"/>
      <c r="T608" s="4"/>
      <c r="U608" s="4"/>
      <c r="V608" s="4"/>
      <c r="W608" s="4"/>
      <c r="X608" s="4"/>
    </row>
    <row r="609" spans="1:24" ht="12.75">
      <c r="A609" s="4"/>
      <c r="B609" s="4"/>
      <c r="C609" s="4"/>
      <c r="D609" s="4"/>
      <c r="E609" s="957"/>
      <c r="F609" s="957"/>
      <c r="G609" s="957"/>
      <c r="H609" s="957"/>
      <c r="I609" s="957"/>
      <c r="J609" s="957"/>
      <c r="K609" s="957"/>
      <c r="L609" s="957"/>
      <c r="M609" s="957"/>
      <c r="N609" s="957"/>
      <c r="O609" s="4"/>
      <c r="P609" s="4"/>
      <c r="Q609" s="4"/>
      <c r="R609" s="4"/>
      <c r="S609" s="4"/>
      <c r="T609" s="4"/>
      <c r="U609" s="4"/>
      <c r="V609" s="4"/>
      <c r="W609" s="4"/>
      <c r="X609" s="4"/>
    </row>
    <row r="610" spans="1:24" ht="12.75">
      <c r="A610" s="4"/>
      <c r="B610" s="4"/>
      <c r="C610" s="4"/>
      <c r="D610" s="4"/>
      <c r="E610" s="957"/>
      <c r="F610" s="957"/>
      <c r="G610" s="957"/>
      <c r="H610" s="957"/>
      <c r="I610" s="957"/>
      <c r="J610" s="957"/>
      <c r="K610" s="957"/>
      <c r="L610" s="957"/>
      <c r="M610" s="957"/>
      <c r="N610" s="957"/>
      <c r="O610" s="4"/>
      <c r="P610" s="4"/>
      <c r="Q610" s="4"/>
      <c r="R610" s="4"/>
      <c r="S610" s="4"/>
      <c r="T610" s="4"/>
      <c r="U610" s="4"/>
      <c r="V610" s="4"/>
      <c r="W610" s="4"/>
      <c r="X610" s="4"/>
    </row>
    <row r="611" spans="1:24" ht="12.75">
      <c r="A611" s="4"/>
      <c r="B611" s="4"/>
      <c r="C611" s="4"/>
      <c r="D611" s="4"/>
      <c r="E611" s="957"/>
      <c r="F611" s="957"/>
      <c r="G611" s="957"/>
      <c r="H611" s="957"/>
      <c r="I611" s="957"/>
      <c r="J611" s="957"/>
      <c r="K611" s="957"/>
      <c r="L611" s="957"/>
      <c r="M611" s="957"/>
      <c r="N611" s="957"/>
      <c r="O611" s="4"/>
      <c r="P611" s="4"/>
      <c r="Q611" s="4"/>
      <c r="R611" s="4"/>
      <c r="S611" s="4"/>
      <c r="T611" s="4"/>
      <c r="U611" s="4"/>
      <c r="V611" s="4"/>
      <c r="W611" s="4"/>
      <c r="X611" s="4"/>
    </row>
    <row r="612" spans="1:24" ht="12.75">
      <c r="A612" s="4"/>
      <c r="B612" s="4"/>
      <c r="C612" s="4"/>
      <c r="D612" s="4"/>
      <c r="E612" s="957"/>
      <c r="F612" s="957"/>
      <c r="G612" s="957"/>
      <c r="H612" s="957"/>
      <c r="I612" s="957"/>
      <c r="J612" s="957"/>
      <c r="K612" s="957"/>
      <c r="L612" s="957"/>
      <c r="M612" s="957"/>
      <c r="N612" s="957"/>
      <c r="O612" s="4"/>
      <c r="P612" s="4"/>
      <c r="Q612" s="4"/>
      <c r="R612" s="4"/>
      <c r="S612" s="4"/>
      <c r="T612" s="4"/>
      <c r="U612" s="4"/>
      <c r="V612" s="4"/>
      <c r="W612" s="4"/>
      <c r="X612" s="4"/>
    </row>
    <row r="613" spans="1:24" ht="12.75">
      <c r="A613" s="4"/>
      <c r="B613" s="4"/>
      <c r="C613" s="4"/>
      <c r="D613" s="4"/>
      <c r="E613" s="957"/>
      <c r="F613" s="957"/>
      <c r="G613" s="957"/>
      <c r="H613" s="957"/>
      <c r="I613" s="957"/>
      <c r="J613" s="957"/>
      <c r="K613" s="957"/>
      <c r="L613" s="957"/>
      <c r="M613" s="957"/>
      <c r="N613" s="957"/>
      <c r="O613" s="4"/>
      <c r="P613" s="4"/>
      <c r="Q613" s="4"/>
      <c r="R613" s="4"/>
      <c r="S613" s="4"/>
      <c r="T613" s="4"/>
      <c r="U613" s="4"/>
      <c r="V613" s="4"/>
      <c r="W613" s="4"/>
      <c r="X613" s="4"/>
    </row>
    <row r="614" spans="1:24" ht="12.75">
      <c r="A614" s="4"/>
      <c r="B614" s="4"/>
      <c r="C614" s="4"/>
      <c r="D614" s="4"/>
      <c r="E614" s="957"/>
      <c r="F614" s="957"/>
      <c r="G614" s="957"/>
      <c r="H614" s="957"/>
      <c r="I614" s="957"/>
      <c r="J614" s="957"/>
      <c r="K614" s="957"/>
      <c r="L614" s="957"/>
      <c r="M614" s="957"/>
      <c r="N614" s="957"/>
      <c r="O614" s="4"/>
      <c r="P614" s="4"/>
      <c r="Q614" s="4"/>
      <c r="R614" s="4"/>
      <c r="S614" s="4"/>
      <c r="T614" s="4"/>
      <c r="U614" s="4"/>
      <c r="V614" s="4"/>
      <c r="W614" s="4"/>
      <c r="X614" s="4"/>
    </row>
    <row r="615" spans="1:24" ht="12.75">
      <c r="A615" s="4"/>
      <c r="B615" s="4"/>
      <c r="C615" s="4"/>
      <c r="D615" s="4"/>
      <c r="E615" s="957"/>
      <c r="F615" s="957"/>
      <c r="G615" s="957"/>
      <c r="H615" s="957"/>
      <c r="I615" s="957"/>
      <c r="J615" s="957"/>
      <c r="K615" s="957"/>
      <c r="L615" s="957"/>
      <c r="M615" s="957"/>
      <c r="N615" s="957"/>
      <c r="O615" s="4"/>
      <c r="P615" s="4"/>
      <c r="Q615" s="4"/>
      <c r="R615" s="4"/>
      <c r="S615" s="4"/>
      <c r="T615" s="4"/>
      <c r="U615" s="4"/>
      <c r="V615" s="4"/>
      <c r="W615" s="4"/>
      <c r="X615" s="4"/>
    </row>
    <row r="616" spans="1:24" ht="12.75">
      <c r="A616" s="4"/>
      <c r="B616" s="4"/>
      <c r="C616" s="4"/>
      <c r="D616" s="4"/>
      <c r="E616" s="957"/>
      <c r="F616" s="957"/>
      <c r="G616" s="957"/>
      <c r="H616" s="957"/>
      <c r="I616" s="957"/>
      <c r="J616" s="957"/>
      <c r="K616" s="957"/>
      <c r="L616" s="957"/>
      <c r="M616" s="957"/>
      <c r="N616" s="957"/>
      <c r="O616" s="4"/>
      <c r="P616" s="4"/>
      <c r="Q616" s="4"/>
      <c r="R616" s="4"/>
      <c r="S616" s="4"/>
      <c r="T616" s="4"/>
      <c r="U616" s="4"/>
      <c r="V616" s="4"/>
      <c r="W616" s="4"/>
      <c r="X616" s="4"/>
    </row>
    <row r="617" spans="1:24" ht="12.75">
      <c r="A617" s="4"/>
      <c r="B617" s="4"/>
      <c r="C617" s="4"/>
      <c r="D617" s="4"/>
      <c r="E617" s="957"/>
      <c r="F617" s="957"/>
      <c r="G617" s="957"/>
      <c r="H617" s="957"/>
      <c r="I617" s="957"/>
      <c r="J617" s="957"/>
      <c r="K617" s="957"/>
      <c r="L617" s="957"/>
      <c r="M617" s="957"/>
      <c r="N617" s="957"/>
      <c r="O617" s="4"/>
      <c r="P617" s="4"/>
      <c r="Q617" s="4"/>
      <c r="R617" s="4"/>
      <c r="S617" s="4"/>
      <c r="T617" s="4"/>
      <c r="U617" s="4"/>
      <c r="V617" s="4"/>
      <c r="W617" s="4"/>
      <c r="X617" s="4"/>
    </row>
    <row r="618" spans="1:24" ht="12.75">
      <c r="A618" s="4"/>
      <c r="B618" s="4"/>
      <c r="C618" s="4"/>
      <c r="D618" s="4"/>
      <c r="E618" s="957"/>
      <c r="F618" s="957"/>
      <c r="G618" s="957"/>
      <c r="H618" s="957"/>
      <c r="I618" s="957"/>
      <c r="J618" s="957"/>
      <c r="K618" s="957"/>
      <c r="L618" s="957"/>
      <c r="M618" s="957"/>
      <c r="N618" s="957"/>
      <c r="O618" s="4"/>
      <c r="P618" s="4"/>
      <c r="Q618" s="4"/>
      <c r="R618" s="4"/>
      <c r="S618" s="4"/>
      <c r="T618" s="4"/>
      <c r="U618" s="4"/>
      <c r="V618" s="4"/>
      <c r="W618" s="4"/>
      <c r="X618" s="4"/>
    </row>
    <row r="619" spans="1:24" ht="12.75">
      <c r="A619" s="4"/>
      <c r="B619" s="4"/>
      <c r="C619" s="4"/>
      <c r="D619" s="4"/>
      <c r="E619" s="957"/>
      <c r="F619" s="957"/>
      <c r="G619" s="957"/>
      <c r="H619" s="957"/>
      <c r="I619" s="957"/>
      <c r="J619" s="957"/>
      <c r="K619" s="957"/>
      <c r="L619" s="957"/>
      <c r="M619" s="957"/>
      <c r="N619" s="957"/>
      <c r="O619" s="4"/>
      <c r="P619" s="4"/>
      <c r="Q619" s="4"/>
      <c r="R619" s="4"/>
      <c r="S619" s="4"/>
      <c r="T619" s="4"/>
      <c r="U619" s="4"/>
      <c r="V619" s="4"/>
      <c r="W619" s="4"/>
      <c r="X619" s="4"/>
    </row>
    <row r="620" spans="1:24" ht="12.75">
      <c r="A620" s="4"/>
      <c r="B620" s="4"/>
      <c r="C620" s="4"/>
      <c r="D620" s="4"/>
      <c r="E620" s="957"/>
      <c r="F620" s="957"/>
      <c r="G620" s="957"/>
      <c r="H620" s="957"/>
      <c r="I620" s="957"/>
      <c r="J620" s="957"/>
      <c r="K620" s="957"/>
      <c r="L620" s="957"/>
      <c r="M620" s="957"/>
      <c r="N620" s="957"/>
      <c r="O620" s="4"/>
      <c r="P620" s="4"/>
      <c r="Q620" s="4"/>
      <c r="R620" s="4"/>
      <c r="S620" s="4"/>
      <c r="T620" s="4"/>
      <c r="U620" s="4"/>
      <c r="V620" s="4"/>
      <c r="W620" s="4"/>
      <c r="X620" s="4"/>
    </row>
    <row r="621" spans="1:24" ht="12.75">
      <c r="A621" s="4"/>
      <c r="B621" s="4"/>
      <c r="C621" s="4"/>
      <c r="D621" s="4"/>
      <c r="E621" s="957"/>
      <c r="F621" s="957"/>
      <c r="G621" s="957"/>
      <c r="H621" s="957"/>
      <c r="I621" s="957"/>
      <c r="J621" s="957"/>
      <c r="K621" s="957"/>
      <c r="L621" s="957"/>
      <c r="M621" s="957"/>
      <c r="N621" s="957"/>
      <c r="O621" s="4"/>
      <c r="P621" s="4"/>
      <c r="Q621" s="4"/>
      <c r="R621" s="4"/>
      <c r="S621" s="4"/>
      <c r="T621" s="4"/>
      <c r="U621" s="4"/>
      <c r="V621" s="4"/>
      <c r="W621" s="4"/>
      <c r="X621" s="4"/>
    </row>
    <row r="622" spans="1:24" ht="12.75">
      <c r="A622" s="4"/>
      <c r="B622" s="4"/>
      <c r="C622" s="4"/>
      <c r="D622" s="4"/>
      <c r="E622" s="957"/>
      <c r="F622" s="957"/>
      <c r="G622" s="957"/>
      <c r="H622" s="957"/>
      <c r="I622" s="957"/>
      <c r="J622" s="957"/>
      <c r="K622" s="957"/>
      <c r="L622" s="957"/>
      <c r="M622" s="957"/>
      <c r="N622" s="957"/>
      <c r="O622" s="4"/>
      <c r="P622" s="4"/>
      <c r="Q622" s="4"/>
      <c r="R622" s="4"/>
      <c r="S622" s="4"/>
      <c r="T622" s="4"/>
      <c r="U622" s="4"/>
      <c r="V622" s="4"/>
      <c r="W622" s="4"/>
      <c r="X622" s="4"/>
    </row>
    <row r="623" spans="1:24" ht="12.75">
      <c r="A623" s="4"/>
      <c r="B623" s="4"/>
      <c r="C623" s="4"/>
      <c r="D623" s="4"/>
      <c r="E623" s="957"/>
      <c r="F623" s="957"/>
      <c r="G623" s="957"/>
      <c r="H623" s="957"/>
      <c r="I623" s="957"/>
      <c r="J623" s="957"/>
      <c r="K623" s="957"/>
      <c r="L623" s="957"/>
      <c r="M623" s="957"/>
      <c r="N623" s="957"/>
      <c r="O623" s="4"/>
      <c r="P623" s="4"/>
      <c r="Q623" s="4"/>
      <c r="R623" s="4"/>
      <c r="S623" s="4"/>
      <c r="T623" s="4"/>
      <c r="U623" s="4"/>
      <c r="V623" s="4"/>
      <c r="W623" s="4"/>
      <c r="X623" s="4"/>
    </row>
    <row r="624" spans="1:24" ht="12.75">
      <c r="A624" s="4"/>
      <c r="B624" s="4"/>
      <c r="C624" s="4"/>
      <c r="D624" s="4"/>
      <c r="E624" s="957"/>
      <c r="F624" s="957"/>
      <c r="G624" s="957"/>
      <c r="H624" s="957"/>
      <c r="I624" s="957"/>
      <c r="J624" s="957"/>
      <c r="K624" s="957"/>
      <c r="L624" s="957"/>
      <c r="M624" s="957"/>
      <c r="N624" s="957"/>
      <c r="O624" s="4"/>
      <c r="P624" s="4"/>
      <c r="Q624" s="4"/>
      <c r="R624" s="4"/>
      <c r="S624" s="4"/>
      <c r="T624" s="4"/>
      <c r="U624" s="4"/>
      <c r="V624" s="4"/>
      <c r="W624" s="4"/>
      <c r="X624" s="4"/>
    </row>
    <row r="625" spans="1:24" ht="12.75">
      <c r="A625" s="4"/>
      <c r="B625" s="4"/>
      <c r="C625" s="4"/>
      <c r="D625" s="4"/>
      <c r="E625" s="957"/>
      <c r="F625" s="957"/>
      <c r="G625" s="957"/>
      <c r="H625" s="957"/>
      <c r="I625" s="957"/>
      <c r="J625" s="957"/>
      <c r="K625" s="957"/>
      <c r="L625" s="957"/>
      <c r="M625" s="957"/>
      <c r="N625" s="957"/>
      <c r="O625" s="4"/>
      <c r="P625" s="4"/>
      <c r="Q625" s="4"/>
      <c r="R625" s="4"/>
      <c r="S625" s="4"/>
      <c r="T625" s="4"/>
      <c r="U625" s="4"/>
      <c r="V625" s="4"/>
      <c r="W625" s="4"/>
      <c r="X625" s="4"/>
    </row>
    <row r="626" spans="1:24" ht="12.75">
      <c r="A626" s="4"/>
      <c r="B626" s="4"/>
      <c r="C626" s="4"/>
      <c r="D626" s="4"/>
      <c r="E626" s="957"/>
      <c r="F626" s="957"/>
      <c r="G626" s="957"/>
      <c r="H626" s="957"/>
      <c r="I626" s="957"/>
      <c r="J626" s="957"/>
      <c r="K626" s="957"/>
      <c r="L626" s="957"/>
      <c r="M626" s="957"/>
      <c r="N626" s="957"/>
      <c r="O626" s="4"/>
      <c r="P626" s="4"/>
      <c r="Q626" s="4"/>
      <c r="R626" s="4"/>
      <c r="S626" s="4"/>
      <c r="T626" s="4"/>
      <c r="U626" s="4"/>
      <c r="V626" s="4"/>
      <c r="W626" s="4"/>
      <c r="X626" s="4"/>
    </row>
    <row r="627" spans="1:24" ht="12.75">
      <c r="A627" s="4"/>
      <c r="B627" s="4"/>
      <c r="C627" s="4"/>
      <c r="D627" s="4"/>
      <c r="E627" s="957"/>
      <c r="F627" s="957"/>
      <c r="G627" s="957"/>
      <c r="H627" s="957"/>
      <c r="I627" s="957"/>
      <c r="J627" s="957"/>
      <c r="K627" s="957"/>
      <c r="L627" s="957"/>
      <c r="M627" s="957"/>
      <c r="N627" s="957"/>
      <c r="O627" s="4"/>
      <c r="P627" s="4"/>
      <c r="Q627" s="4"/>
      <c r="R627" s="4"/>
      <c r="S627" s="4"/>
      <c r="T627" s="4"/>
      <c r="U627" s="4"/>
      <c r="V627" s="4"/>
      <c r="W627" s="4"/>
      <c r="X627" s="4"/>
    </row>
    <row r="628" spans="1:24" ht="12.75">
      <c r="A628" s="4"/>
      <c r="B628" s="4"/>
      <c r="C628" s="4"/>
      <c r="D628" s="4"/>
      <c r="E628" s="957"/>
      <c r="F628" s="957"/>
      <c r="G628" s="957"/>
      <c r="H628" s="957"/>
      <c r="I628" s="957"/>
      <c r="J628" s="957"/>
      <c r="K628" s="957"/>
      <c r="L628" s="957"/>
      <c r="M628" s="957"/>
      <c r="N628" s="957"/>
      <c r="O628" s="4"/>
      <c r="P628" s="4"/>
      <c r="Q628" s="4"/>
      <c r="R628" s="4"/>
      <c r="S628" s="4"/>
      <c r="T628" s="4"/>
      <c r="U628" s="4"/>
      <c r="V628" s="4"/>
      <c r="W628" s="4"/>
      <c r="X628" s="4"/>
    </row>
    <row r="629" spans="1:24" ht="12.75">
      <c r="A629" s="4"/>
      <c r="B629" s="4"/>
      <c r="C629" s="4"/>
      <c r="D629" s="4"/>
      <c r="E629" s="957"/>
      <c r="F629" s="957"/>
      <c r="G629" s="957"/>
      <c r="H629" s="957"/>
      <c r="I629" s="957"/>
      <c r="J629" s="957"/>
      <c r="K629" s="957"/>
      <c r="L629" s="957"/>
      <c r="M629" s="957"/>
      <c r="N629" s="957"/>
      <c r="O629" s="4"/>
      <c r="P629" s="4"/>
      <c r="Q629" s="4"/>
      <c r="R629" s="4"/>
      <c r="S629" s="4"/>
      <c r="T629" s="4"/>
      <c r="U629" s="4"/>
      <c r="V629" s="4"/>
      <c r="W629" s="4"/>
      <c r="X629" s="4"/>
    </row>
    <row r="630" spans="1:24" ht="12.75">
      <c r="A630" s="4"/>
      <c r="B630" s="4"/>
      <c r="C630" s="4"/>
      <c r="D630" s="4"/>
      <c r="E630" s="957"/>
      <c r="F630" s="957"/>
      <c r="G630" s="957"/>
      <c r="H630" s="957"/>
      <c r="I630" s="957"/>
      <c r="J630" s="957"/>
      <c r="K630" s="957"/>
      <c r="L630" s="957"/>
      <c r="M630" s="957"/>
      <c r="N630" s="957"/>
      <c r="O630" s="4"/>
      <c r="P630" s="4"/>
      <c r="Q630" s="4"/>
      <c r="R630" s="4"/>
      <c r="S630" s="4"/>
      <c r="T630" s="4"/>
      <c r="U630" s="4"/>
      <c r="V630" s="4"/>
      <c r="W630" s="4"/>
      <c r="X630" s="4"/>
    </row>
    <row r="631" spans="1:24" ht="12.75">
      <c r="A631" s="4"/>
      <c r="B631" s="4"/>
      <c r="C631" s="4"/>
      <c r="D631" s="4"/>
      <c r="E631" s="957"/>
      <c r="F631" s="957"/>
      <c r="G631" s="957"/>
      <c r="H631" s="957"/>
      <c r="I631" s="957"/>
      <c r="J631" s="957"/>
      <c r="K631" s="957"/>
      <c r="L631" s="957"/>
      <c r="M631" s="957"/>
      <c r="N631" s="957"/>
      <c r="O631" s="4"/>
      <c r="P631" s="4"/>
      <c r="Q631" s="4"/>
      <c r="R631" s="4"/>
      <c r="S631" s="4"/>
      <c r="T631" s="4"/>
      <c r="U631" s="4"/>
      <c r="V631" s="4"/>
      <c r="W631" s="4"/>
      <c r="X631" s="4"/>
    </row>
    <row r="632" spans="1:24" ht="12.75">
      <c r="A632" s="4"/>
      <c r="B632" s="4"/>
      <c r="C632" s="4"/>
      <c r="D632" s="4"/>
      <c r="E632" s="957"/>
      <c r="F632" s="957"/>
      <c r="G632" s="957"/>
      <c r="H632" s="957"/>
      <c r="I632" s="957"/>
      <c r="J632" s="957"/>
      <c r="K632" s="957"/>
      <c r="L632" s="957"/>
      <c r="M632" s="957"/>
      <c r="N632" s="957"/>
      <c r="O632" s="4"/>
      <c r="P632" s="4"/>
      <c r="Q632" s="4"/>
      <c r="R632" s="4"/>
      <c r="S632" s="4"/>
      <c r="T632" s="4"/>
      <c r="U632" s="4"/>
      <c r="V632" s="4"/>
      <c r="W632" s="4"/>
      <c r="X632" s="4"/>
    </row>
    <row r="633" spans="1:24" ht="12.75">
      <c r="A633" s="4"/>
      <c r="B633" s="4"/>
      <c r="C633" s="4"/>
      <c r="D633" s="4"/>
      <c r="E633" s="957"/>
      <c r="F633" s="957"/>
      <c r="G633" s="957"/>
      <c r="H633" s="957"/>
      <c r="I633" s="957"/>
      <c r="J633" s="957"/>
      <c r="K633" s="957"/>
      <c r="L633" s="957"/>
      <c r="M633" s="957"/>
      <c r="N633" s="957"/>
      <c r="O633" s="4"/>
      <c r="P633" s="4"/>
      <c r="Q633" s="4"/>
      <c r="R633" s="4"/>
      <c r="S633" s="4"/>
      <c r="T633" s="4"/>
      <c r="U633" s="4"/>
      <c r="V633" s="4"/>
      <c r="W633" s="4"/>
      <c r="X633" s="4"/>
    </row>
    <row r="634" spans="1:24" ht="12.75">
      <c r="A634" s="4"/>
      <c r="B634" s="4"/>
      <c r="C634" s="4"/>
      <c r="D634" s="4"/>
      <c r="E634" s="957"/>
      <c r="F634" s="957"/>
      <c r="G634" s="957"/>
      <c r="H634" s="957"/>
      <c r="I634" s="957"/>
      <c r="J634" s="957"/>
      <c r="K634" s="957"/>
      <c r="L634" s="957"/>
      <c r="M634" s="957"/>
      <c r="N634" s="957"/>
      <c r="O634" s="4"/>
      <c r="P634" s="4"/>
      <c r="Q634" s="4"/>
      <c r="R634" s="4"/>
      <c r="S634" s="4"/>
      <c r="T634" s="4"/>
      <c r="U634" s="4"/>
      <c r="V634" s="4"/>
      <c r="W634" s="4"/>
      <c r="X634" s="4"/>
    </row>
    <row r="635" spans="1:24" ht="12.75">
      <c r="A635" s="4"/>
      <c r="B635" s="4"/>
      <c r="C635" s="4"/>
      <c r="D635" s="4"/>
      <c r="E635" s="957"/>
      <c r="F635" s="957"/>
      <c r="G635" s="957"/>
      <c r="H635" s="957"/>
      <c r="I635" s="957"/>
      <c r="J635" s="957"/>
      <c r="K635" s="957"/>
      <c r="L635" s="957"/>
      <c r="M635" s="957"/>
      <c r="N635" s="957"/>
      <c r="O635" s="4"/>
      <c r="P635" s="4"/>
      <c r="Q635" s="4"/>
      <c r="R635" s="4"/>
      <c r="S635" s="4"/>
      <c r="T635" s="4"/>
      <c r="U635" s="4"/>
      <c r="V635" s="4"/>
      <c r="W635" s="4"/>
      <c r="X635" s="4"/>
    </row>
    <row r="636" spans="1:24" ht="12.75">
      <c r="A636" s="4"/>
      <c r="B636" s="4"/>
      <c r="C636" s="4"/>
      <c r="D636" s="4"/>
      <c r="E636" s="957"/>
      <c r="F636" s="957"/>
      <c r="G636" s="957"/>
      <c r="H636" s="957"/>
      <c r="I636" s="957"/>
      <c r="J636" s="957"/>
      <c r="K636" s="957"/>
      <c r="L636" s="957"/>
      <c r="M636" s="957"/>
      <c r="N636" s="957"/>
      <c r="O636" s="4"/>
      <c r="P636" s="4"/>
      <c r="Q636" s="4"/>
      <c r="R636" s="4"/>
      <c r="S636" s="4"/>
      <c r="T636" s="4"/>
      <c r="U636" s="4"/>
      <c r="V636" s="4"/>
      <c r="W636" s="4"/>
      <c r="X636" s="4"/>
    </row>
    <row r="637" spans="1:24" ht="12.75">
      <c r="A637" s="4"/>
      <c r="B637" s="4"/>
      <c r="C637" s="4"/>
      <c r="D637" s="4"/>
      <c r="E637" s="957"/>
      <c r="F637" s="957"/>
      <c r="G637" s="957"/>
      <c r="H637" s="957"/>
      <c r="I637" s="957"/>
      <c r="J637" s="957"/>
      <c r="K637" s="957"/>
      <c r="L637" s="957"/>
      <c r="M637" s="957"/>
      <c r="N637" s="957"/>
      <c r="O637" s="4"/>
      <c r="P637" s="4"/>
      <c r="Q637" s="4"/>
      <c r="R637" s="4"/>
      <c r="S637" s="4"/>
      <c r="T637" s="4"/>
      <c r="U637" s="4"/>
      <c r="V637" s="4"/>
      <c r="W637" s="4"/>
      <c r="X637" s="4"/>
    </row>
    <row r="638" spans="1:24" ht="12.75">
      <c r="A638" s="4"/>
      <c r="B638" s="4"/>
      <c r="C638" s="4"/>
      <c r="D638" s="4"/>
      <c r="E638" s="957"/>
      <c r="F638" s="957"/>
      <c r="G638" s="957"/>
      <c r="H638" s="957"/>
      <c r="I638" s="957"/>
      <c r="J638" s="957"/>
      <c r="K638" s="957"/>
      <c r="L638" s="957"/>
      <c r="M638" s="957"/>
      <c r="N638" s="957"/>
      <c r="O638" s="4"/>
      <c r="P638" s="4"/>
      <c r="Q638" s="4"/>
      <c r="R638" s="4"/>
      <c r="S638" s="4"/>
      <c r="T638" s="4"/>
      <c r="U638" s="4"/>
      <c r="V638" s="4"/>
      <c r="W638" s="4"/>
      <c r="X638" s="4"/>
    </row>
    <row r="639" spans="1:24" ht="12.75">
      <c r="A639" s="4"/>
      <c r="B639" s="4"/>
      <c r="C639" s="4"/>
      <c r="D639" s="4"/>
      <c r="E639" s="957"/>
      <c r="F639" s="957"/>
      <c r="G639" s="957"/>
      <c r="H639" s="957"/>
      <c r="I639" s="957"/>
      <c r="J639" s="957"/>
      <c r="K639" s="957"/>
      <c r="L639" s="957"/>
      <c r="M639" s="957"/>
      <c r="N639" s="957"/>
      <c r="O639" s="4"/>
      <c r="P639" s="4"/>
      <c r="Q639" s="4"/>
      <c r="R639" s="4"/>
      <c r="S639" s="4"/>
      <c r="T639" s="4"/>
      <c r="U639" s="4"/>
      <c r="V639" s="4"/>
      <c r="W639" s="4"/>
      <c r="X639" s="4"/>
    </row>
    <row r="640" spans="1:24" ht="12.75">
      <c r="A640" s="4"/>
      <c r="B640" s="4"/>
      <c r="C640" s="4"/>
      <c r="D640" s="4"/>
      <c r="E640" s="957"/>
      <c r="F640" s="957"/>
      <c r="G640" s="957"/>
      <c r="H640" s="957"/>
      <c r="I640" s="957"/>
      <c r="J640" s="957"/>
      <c r="K640" s="957"/>
      <c r="L640" s="957"/>
      <c r="M640" s="957"/>
      <c r="N640" s="957"/>
      <c r="O640" s="4"/>
      <c r="P640" s="4"/>
      <c r="Q640" s="4"/>
      <c r="R640" s="4"/>
      <c r="S640" s="4"/>
      <c r="T640" s="4"/>
      <c r="U640" s="4"/>
      <c r="V640" s="4"/>
      <c r="W640" s="4"/>
      <c r="X640" s="4"/>
    </row>
    <row r="641" spans="1:24" ht="12.75">
      <c r="A641" s="4"/>
      <c r="B641" s="4"/>
      <c r="C641" s="4"/>
      <c r="D641" s="4"/>
      <c r="E641" s="957"/>
      <c r="F641" s="957"/>
      <c r="G641" s="957"/>
      <c r="H641" s="957"/>
      <c r="I641" s="957"/>
      <c r="J641" s="957"/>
      <c r="K641" s="957"/>
      <c r="L641" s="957"/>
      <c r="M641" s="957"/>
      <c r="N641" s="957"/>
      <c r="O641" s="4"/>
      <c r="P641" s="4"/>
      <c r="Q641" s="4"/>
      <c r="R641" s="4"/>
      <c r="S641" s="4"/>
      <c r="T641" s="4"/>
      <c r="U641" s="4"/>
      <c r="V641" s="4"/>
      <c r="W641" s="4"/>
      <c r="X641" s="4"/>
    </row>
    <row r="642" spans="1:24" ht="12.75">
      <c r="A642" s="4"/>
      <c r="B642" s="4"/>
      <c r="C642" s="4"/>
      <c r="D642" s="4"/>
      <c r="E642" s="957"/>
      <c r="F642" s="957"/>
      <c r="G642" s="957"/>
      <c r="H642" s="957"/>
      <c r="I642" s="957"/>
      <c r="J642" s="957"/>
      <c r="K642" s="957"/>
      <c r="L642" s="957"/>
      <c r="M642" s="957"/>
      <c r="N642" s="957"/>
      <c r="O642" s="4"/>
      <c r="P642" s="4"/>
      <c r="Q642" s="4"/>
      <c r="R642" s="4"/>
      <c r="S642" s="4"/>
      <c r="T642" s="4"/>
      <c r="U642" s="4"/>
      <c r="V642" s="4"/>
      <c r="W642" s="4"/>
      <c r="X642" s="4"/>
    </row>
    <row r="643" spans="1:24" ht="12.75">
      <c r="A643" s="4"/>
      <c r="B643" s="4"/>
      <c r="C643" s="4"/>
      <c r="D643" s="4"/>
      <c r="E643" s="957"/>
      <c r="F643" s="957"/>
      <c r="G643" s="957"/>
      <c r="H643" s="957"/>
      <c r="I643" s="957"/>
      <c r="J643" s="957"/>
      <c r="K643" s="957"/>
      <c r="L643" s="957"/>
      <c r="M643" s="957"/>
      <c r="N643" s="957"/>
      <c r="O643" s="4"/>
      <c r="P643" s="4"/>
      <c r="Q643" s="4"/>
      <c r="R643" s="4"/>
      <c r="S643" s="4"/>
      <c r="T643" s="4"/>
      <c r="U643" s="4"/>
      <c r="V643" s="4"/>
      <c r="W643" s="4"/>
      <c r="X643" s="4"/>
    </row>
    <row r="644" spans="1:24" ht="12.75">
      <c r="A644" s="4"/>
      <c r="B644" s="4"/>
      <c r="C644" s="4"/>
      <c r="D644" s="4"/>
      <c r="E644" s="957"/>
      <c r="F644" s="957"/>
      <c r="G644" s="957"/>
      <c r="H644" s="957"/>
      <c r="I644" s="957"/>
      <c r="J644" s="957"/>
      <c r="K644" s="957"/>
      <c r="L644" s="957"/>
      <c r="M644" s="957"/>
      <c r="N644" s="957"/>
      <c r="O644" s="4"/>
      <c r="P644" s="4"/>
      <c r="Q644" s="4"/>
      <c r="R644" s="4"/>
      <c r="S644" s="4"/>
      <c r="T644" s="4"/>
      <c r="U644" s="4"/>
      <c r="V644" s="4"/>
      <c r="W644" s="4"/>
      <c r="X644" s="4"/>
    </row>
    <row r="645" spans="1:24" ht="12.75">
      <c r="A645" s="4"/>
      <c r="B645" s="4"/>
      <c r="C645" s="4"/>
      <c r="D645" s="4"/>
      <c r="E645" s="957"/>
      <c r="F645" s="957"/>
      <c r="G645" s="957"/>
      <c r="H645" s="957"/>
      <c r="I645" s="957"/>
      <c r="J645" s="957"/>
      <c r="K645" s="957"/>
      <c r="L645" s="957"/>
      <c r="M645" s="957"/>
      <c r="N645" s="957"/>
      <c r="O645" s="4"/>
      <c r="P645" s="4"/>
      <c r="Q645" s="4"/>
      <c r="R645" s="4"/>
      <c r="S645" s="4"/>
      <c r="T645" s="4"/>
      <c r="U645" s="4"/>
      <c r="V645" s="4"/>
      <c r="W645" s="4"/>
      <c r="X645" s="4"/>
    </row>
    <row r="646" spans="1:24" ht="12.75">
      <c r="A646" s="4"/>
      <c r="B646" s="4"/>
      <c r="C646" s="4"/>
      <c r="D646" s="4"/>
      <c r="E646" s="957"/>
      <c r="F646" s="957"/>
      <c r="G646" s="957"/>
      <c r="H646" s="957"/>
      <c r="I646" s="957"/>
      <c r="J646" s="957"/>
      <c r="K646" s="957"/>
      <c r="L646" s="957"/>
      <c r="M646" s="957"/>
      <c r="N646" s="957"/>
      <c r="O646" s="4"/>
      <c r="P646" s="4"/>
      <c r="Q646" s="4"/>
      <c r="R646" s="4"/>
      <c r="S646" s="4"/>
      <c r="T646" s="4"/>
      <c r="U646" s="4"/>
      <c r="V646" s="4"/>
      <c r="W646" s="4"/>
      <c r="X646" s="4"/>
    </row>
    <row r="647" spans="1:24" ht="12.75">
      <c r="A647" s="4"/>
      <c r="B647" s="4"/>
      <c r="C647" s="4"/>
      <c r="D647" s="4"/>
      <c r="E647" s="957"/>
      <c r="F647" s="957"/>
      <c r="G647" s="957"/>
      <c r="H647" s="957"/>
      <c r="I647" s="957"/>
      <c r="J647" s="957"/>
      <c r="K647" s="957"/>
      <c r="L647" s="957"/>
      <c r="M647" s="957"/>
      <c r="N647" s="957"/>
      <c r="O647" s="4"/>
      <c r="P647" s="4"/>
      <c r="Q647" s="4"/>
      <c r="R647" s="4"/>
      <c r="S647" s="4"/>
      <c r="T647" s="4"/>
      <c r="U647" s="4"/>
      <c r="V647" s="4"/>
      <c r="W647" s="4"/>
      <c r="X647" s="4"/>
    </row>
    <row r="648" spans="1:24" ht="12.75">
      <c r="A648" s="4"/>
      <c r="B648" s="4"/>
      <c r="C648" s="4"/>
      <c r="D648" s="4"/>
      <c r="E648" s="957"/>
      <c r="F648" s="957"/>
      <c r="G648" s="957"/>
      <c r="H648" s="957"/>
      <c r="I648" s="957"/>
      <c r="J648" s="957"/>
      <c r="K648" s="957"/>
      <c r="L648" s="957"/>
      <c r="M648" s="957"/>
      <c r="N648" s="957"/>
      <c r="O648" s="4"/>
      <c r="P648" s="4"/>
      <c r="Q648" s="4"/>
      <c r="R648" s="4"/>
      <c r="S648" s="4"/>
      <c r="T648" s="4"/>
      <c r="U648" s="4"/>
      <c r="V648" s="4"/>
      <c r="W648" s="4"/>
      <c r="X648" s="4"/>
    </row>
    <row r="649" spans="1:24" ht="12.75">
      <c r="A649" s="4"/>
      <c r="B649" s="4"/>
      <c r="C649" s="4"/>
      <c r="D649" s="4"/>
      <c r="E649" s="957"/>
      <c r="F649" s="957"/>
      <c r="G649" s="957"/>
      <c r="H649" s="957"/>
      <c r="I649" s="957"/>
      <c r="J649" s="957"/>
      <c r="K649" s="957"/>
      <c r="L649" s="957"/>
      <c r="M649" s="957"/>
      <c r="N649" s="957"/>
      <c r="O649" s="4"/>
      <c r="P649" s="4"/>
      <c r="Q649" s="4"/>
      <c r="R649" s="4"/>
      <c r="S649" s="4"/>
      <c r="T649" s="4"/>
      <c r="U649" s="4"/>
      <c r="V649" s="4"/>
      <c r="W649" s="4"/>
      <c r="X649" s="4"/>
    </row>
    <row r="650" spans="1:24" ht="12.75">
      <c r="A650" s="4"/>
      <c r="B650" s="4"/>
      <c r="C650" s="4"/>
      <c r="D650" s="4"/>
      <c r="E650" s="957"/>
      <c r="F650" s="957"/>
      <c r="G650" s="957"/>
      <c r="H650" s="957"/>
      <c r="I650" s="957"/>
      <c r="J650" s="957"/>
      <c r="K650" s="957"/>
      <c r="L650" s="957"/>
      <c r="M650" s="957"/>
      <c r="N650" s="957"/>
      <c r="O650" s="4"/>
      <c r="P650" s="4"/>
      <c r="Q650" s="4"/>
      <c r="R650" s="4"/>
      <c r="S650" s="4"/>
      <c r="T650" s="4"/>
      <c r="U650" s="4"/>
      <c r="V650" s="4"/>
      <c r="W650" s="4"/>
      <c r="X650" s="4"/>
    </row>
    <row r="651" spans="1:24" ht="12.75">
      <c r="A651" s="4"/>
      <c r="B651" s="4"/>
      <c r="C651" s="4"/>
      <c r="D651" s="4"/>
      <c r="E651" s="957"/>
      <c r="F651" s="957"/>
      <c r="G651" s="957"/>
      <c r="H651" s="957"/>
      <c r="I651" s="957"/>
      <c r="J651" s="957"/>
      <c r="K651" s="957"/>
      <c r="L651" s="957"/>
      <c r="M651" s="957"/>
      <c r="N651" s="957"/>
      <c r="O651" s="4"/>
      <c r="P651" s="4"/>
      <c r="Q651" s="4"/>
      <c r="R651" s="4"/>
      <c r="S651" s="4"/>
      <c r="T651" s="4"/>
      <c r="U651" s="4"/>
      <c r="V651" s="4"/>
      <c r="W651" s="4"/>
      <c r="X651" s="4"/>
    </row>
    <row r="652" spans="1:24" ht="12.75">
      <c r="A652" s="4"/>
      <c r="B652" s="4"/>
      <c r="C652" s="4"/>
      <c r="D652" s="4"/>
      <c r="E652" s="957"/>
      <c r="F652" s="957"/>
      <c r="G652" s="957"/>
      <c r="H652" s="957"/>
      <c r="I652" s="957"/>
      <c r="J652" s="957"/>
      <c r="K652" s="957"/>
      <c r="L652" s="957"/>
      <c r="M652" s="957"/>
      <c r="N652" s="957"/>
      <c r="O652" s="4"/>
      <c r="P652" s="4"/>
      <c r="Q652" s="4"/>
      <c r="R652" s="4"/>
      <c r="S652" s="4"/>
      <c r="T652" s="4"/>
      <c r="U652" s="4"/>
      <c r="V652" s="4"/>
      <c r="W652" s="4"/>
      <c r="X652" s="4"/>
    </row>
    <row r="653" spans="1:24" ht="12.75">
      <c r="A653" s="4"/>
      <c r="B653" s="4"/>
      <c r="C653" s="4"/>
      <c r="D653" s="4"/>
      <c r="E653" s="957"/>
      <c r="F653" s="957"/>
      <c r="G653" s="957"/>
      <c r="H653" s="957"/>
      <c r="I653" s="957"/>
      <c r="J653" s="957"/>
      <c r="K653" s="957"/>
      <c r="L653" s="957"/>
      <c r="M653" s="957"/>
      <c r="N653" s="957"/>
      <c r="O653" s="4"/>
      <c r="P653" s="4"/>
      <c r="Q653" s="4"/>
      <c r="R653" s="4"/>
      <c r="S653" s="4"/>
      <c r="T653" s="4"/>
      <c r="U653" s="4"/>
      <c r="V653" s="4"/>
      <c r="W653" s="4"/>
      <c r="X653" s="4"/>
    </row>
    <row r="654" spans="1:24" ht="12.75">
      <c r="A654" s="4"/>
      <c r="B654" s="4"/>
      <c r="C654" s="4"/>
      <c r="D654" s="4"/>
      <c r="E654" s="957"/>
      <c r="F654" s="957"/>
      <c r="G654" s="957"/>
      <c r="H654" s="957"/>
      <c r="I654" s="957"/>
      <c r="J654" s="957"/>
      <c r="K654" s="957"/>
      <c r="L654" s="957"/>
      <c r="M654" s="957"/>
      <c r="N654" s="957"/>
      <c r="O654" s="4"/>
      <c r="P654" s="4"/>
      <c r="Q654" s="4"/>
      <c r="R654" s="4"/>
      <c r="S654" s="4"/>
      <c r="T654" s="4"/>
      <c r="U654" s="4"/>
      <c r="V654" s="4"/>
      <c r="W654" s="4"/>
      <c r="X654" s="4"/>
    </row>
    <row r="655" spans="1:24" ht="12.75">
      <c r="A655" s="4"/>
      <c r="B655" s="4"/>
      <c r="C655" s="4"/>
      <c r="D655" s="4"/>
      <c r="E655" s="957"/>
      <c r="F655" s="957"/>
      <c r="G655" s="957"/>
      <c r="H655" s="957"/>
      <c r="I655" s="957"/>
      <c r="J655" s="957"/>
      <c r="K655" s="957"/>
      <c r="L655" s="957"/>
      <c r="M655" s="957"/>
      <c r="N655" s="957"/>
      <c r="O655" s="4"/>
      <c r="P655" s="4"/>
      <c r="Q655" s="4"/>
      <c r="R655" s="4"/>
      <c r="S655" s="4"/>
      <c r="T655" s="4"/>
      <c r="U655" s="4"/>
      <c r="V655" s="4"/>
      <c r="W655" s="4"/>
      <c r="X655" s="4"/>
    </row>
    <row r="656" spans="1:24" ht="12.75">
      <c r="A656" s="4"/>
      <c r="B656" s="4"/>
      <c r="C656" s="4"/>
      <c r="D656" s="4"/>
      <c r="E656" s="957"/>
      <c r="F656" s="957"/>
      <c r="G656" s="957"/>
      <c r="H656" s="957"/>
      <c r="I656" s="957"/>
      <c r="J656" s="957"/>
      <c r="K656" s="957"/>
      <c r="L656" s="957"/>
      <c r="M656" s="957"/>
      <c r="N656" s="957"/>
      <c r="O656" s="4"/>
      <c r="P656" s="4"/>
      <c r="Q656" s="4"/>
      <c r="R656" s="4"/>
      <c r="S656" s="4"/>
      <c r="T656" s="4"/>
      <c r="U656" s="4"/>
      <c r="V656" s="4"/>
      <c r="W656" s="4"/>
      <c r="X656" s="4"/>
    </row>
    <row r="657" spans="1:24" ht="12.75">
      <c r="A657" s="4"/>
      <c r="B657" s="4"/>
      <c r="C657" s="4"/>
      <c r="D657" s="4"/>
      <c r="E657" s="957"/>
      <c r="F657" s="957"/>
      <c r="G657" s="957"/>
      <c r="H657" s="957"/>
      <c r="I657" s="957"/>
      <c r="J657" s="957"/>
      <c r="K657" s="957"/>
      <c r="L657" s="957"/>
      <c r="M657" s="957"/>
      <c r="N657" s="957"/>
      <c r="O657" s="4"/>
      <c r="P657" s="4"/>
      <c r="Q657" s="4"/>
      <c r="R657" s="4"/>
      <c r="S657" s="4"/>
      <c r="T657" s="4"/>
      <c r="U657" s="4"/>
      <c r="V657" s="4"/>
      <c r="W657" s="4"/>
      <c r="X657" s="4"/>
    </row>
    <row r="658" spans="1:24" ht="12.75">
      <c r="A658" s="4"/>
      <c r="B658" s="4"/>
      <c r="C658" s="4"/>
      <c r="D658" s="4"/>
      <c r="E658" s="957"/>
      <c r="F658" s="957"/>
      <c r="G658" s="957"/>
      <c r="H658" s="957"/>
      <c r="I658" s="957"/>
      <c r="J658" s="957"/>
      <c r="K658" s="957"/>
      <c r="L658" s="957"/>
      <c r="M658" s="957"/>
      <c r="N658" s="957"/>
      <c r="O658" s="4"/>
      <c r="P658" s="4"/>
      <c r="Q658" s="4"/>
      <c r="R658" s="4"/>
      <c r="S658" s="4"/>
      <c r="T658" s="4"/>
      <c r="U658" s="4"/>
      <c r="V658" s="4"/>
      <c r="W658" s="4"/>
      <c r="X658" s="4"/>
    </row>
    <row r="659" spans="1:24" ht="12.75">
      <c r="A659" s="4"/>
      <c r="B659" s="4"/>
      <c r="C659" s="4"/>
      <c r="D659" s="4"/>
      <c r="E659" s="957"/>
      <c r="F659" s="957"/>
      <c r="G659" s="957"/>
      <c r="H659" s="957"/>
      <c r="I659" s="957"/>
      <c r="J659" s="957"/>
      <c r="K659" s="957"/>
      <c r="L659" s="957"/>
      <c r="M659" s="957"/>
      <c r="N659" s="957"/>
      <c r="O659" s="4"/>
      <c r="P659" s="4"/>
      <c r="Q659" s="4"/>
      <c r="R659" s="4"/>
      <c r="S659" s="4"/>
      <c r="T659" s="4"/>
      <c r="U659" s="4"/>
      <c r="V659" s="4"/>
      <c r="W659" s="4"/>
      <c r="X659" s="4"/>
    </row>
    <row r="660" spans="1:24" ht="12.75">
      <c r="A660" s="4"/>
      <c r="B660" s="4"/>
      <c r="C660" s="4"/>
      <c r="D660" s="4"/>
      <c r="E660" s="957"/>
      <c r="F660" s="957"/>
      <c r="G660" s="957"/>
      <c r="H660" s="957"/>
      <c r="I660" s="957"/>
      <c r="J660" s="957"/>
      <c r="K660" s="957"/>
      <c r="L660" s="957"/>
      <c r="M660" s="957"/>
      <c r="N660" s="957"/>
      <c r="O660" s="4"/>
      <c r="P660" s="4"/>
      <c r="Q660" s="4"/>
      <c r="R660" s="4"/>
      <c r="S660" s="4"/>
      <c r="T660" s="4"/>
      <c r="U660" s="4"/>
      <c r="V660" s="4"/>
      <c r="W660" s="4"/>
      <c r="X660" s="4"/>
    </row>
    <row r="661" spans="1:24" ht="12.75">
      <c r="A661" s="4"/>
      <c r="B661" s="4"/>
      <c r="C661" s="4"/>
      <c r="D661" s="4"/>
      <c r="E661" s="957"/>
      <c r="F661" s="957"/>
      <c r="G661" s="957"/>
      <c r="H661" s="957"/>
      <c r="I661" s="957"/>
      <c r="J661" s="957"/>
      <c r="K661" s="957"/>
      <c r="L661" s="957"/>
      <c r="M661" s="957"/>
      <c r="N661" s="957"/>
      <c r="O661" s="4"/>
      <c r="P661" s="4"/>
      <c r="Q661" s="4"/>
      <c r="R661" s="4"/>
      <c r="S661" s="4"/>
      <c r="T661" s="4"/>
      <c r="U661" s="4"/>
      <c r="V661" s="4"/>
      <c r="W661" s="4"/>
      <c r="X661" s="4"/>
    </row>
    <row r="662" spans="1:24" ht="12.75">
      <c r="A662" s="4"/>
      <c r="B662" s="4"/>
      <c r="C662" s="4"/>
      <c r="D662" s="4"/>
      <c r="E662" s="957"/>
      <c r="F662" s="957"/>
      <c r="G662" s="957"/>
      <c r="H662" s="957"/>
      <c r="I662" s="957"/>
      <c r="J662" s="957"/>
      <c r="K662" s="957"/>
      <c r="L662" s="957"/>
      <c r="M662" s="957"/>
      <c r="N662" s="957"/>
      <c r="O662" s="4"/>
      <c r="P662" s="4"/>
      <c r="Q662" s="4"/>
      <c r="R662" s="4"/>
      <c r="S662" s="4"/>
      <c r="T662" s="4"/>
      <c r="U662" s="4"/>
      <c r="V662" s="4"/>
      <c r="W662" s="4"/>
      <c r="X662" s="4"/>
    </row>
    <row r="663" spans="1:24" ht="12.75">
      <c r="A663" s="4"/>
      <c r="B663" s="4"/>
      <c r="C663" s="4"/>
      <c r="D663" s="4"/>
      <c r="E663" s="957"/>
      <c r="F663" s="957"/>
      <c r="G663" s="957"/>
      <c r="H663" s="957"/>
      <c r="I663" s="957"/>
      <c r="J663" s="957"/>
      <c r="K663" s="957"/>
      <c r="L663" s="957"/>
      <c r="M663" s="957"/>
      <c r="N663" s="957"/>
      <c r="O663" s="4"/>
      <c r="P663" s="4"/>
      <c r="Q663" s="4"/>
      <c r="R663" s="4"/>
      <c r="S663" s="4"/>
      <c r="T663" s="4"/>
      <c r="U663" s="4"/>
      <c r="V663" s="4"/>
      <c r="W663" s="4"/>
      <c r="X663" s="4"/>
    </row>
    <row r="664" spans="1:24" ht="12.75">
      <c r="A664" s="4"/>
      <c r="B664" s="4"/>
      <c r="C664" s="4"/>
      <c r="D664" s="4"/>
      <c r="E664" s="957"/>
      <c r="F664" s="957"/>
      <c r="G664" s="957"/>
      <c r="H664" s="957"/>
      <c r="I664" s="957"/>
      <c r="J664" s="957"/>
      <c r="K664" s="957"/>
      <c r="L664" s="957"/>
      <c r="M664" s="957"/>
      <c r="N664" s="957"/>
      <c r="O664" s="4"/>
      <c r="P664" s="4"/>
      <c r="Q664" s="4"/>
      <c r="R664" s="4"/>
      <c r="S664" s="4"/>
      <c r="T664" s="4"/>
      <c r="U664" s="4"/>
      <c r="V664" s="4"/>
      <c r="W664" s="4"/>
      <c r="X664" s="4"/>
    </row>
    <row r="665" spans="1:24" ht="12.75">
      <c r="A665" s="4"/>
      <c r="B665" s="4"/>
      <c r="C665" s="4"/>
      <c r="D665" s="4"/>
      <c r="E665" s="957"/>
      <c r="F665" s="957"/>
      <c r="G665" s="957"/>
      <c r="H665" s="957"/>
      <c r="I665" s="957"/>
      <c r="J665" s="957"/>
      <c r="K665" s="957"/>
      <c r="L665" s="957"/>
      <c r="M665" s="957"/>
      <c r="N665" s="957"/>
      <c r="O665" s="4"/>
      <c r="P665" s="4"/>
      <c r="Q665" s="4"/>
      <c r="R665" s="4"/>
      <c r="S665" s="4"/>
      <c r="T665" s="4"/>
      <c r="U665" s="4"/>
      <c r="V665" s="4"/>
      <c r="W665" s="4"/>
      <c r="X665" s="4"/>
    </row>
    <row r="666" spans="1:24" ht="12.75">
      <c r="A666" s="4"/>
      <c r="B666" s="4"/>
      <c r="C666" s="4"/>
      <c r="D666" s="4"/>
      <c r="E666" s="957"/>
      <c r="F666" s="957"/>
      <c r="G666" s="957"/>
      <c r="H666" s="957"/>
      <c r="I666" s="957"/>
      <c r="J666" s="957"/>
      <c r="K666" s="957"/>
      <c r="L666" s="957"/>
      <c r="M666" s="957"/>
      <c r="N666" s="957"/>
      <c r="O666" s="4"/>
      <c r="P666" s="4"/>
      <c r="Q666" s="4"/>
      <c r="R666" s="4"/>
      <c r="S666" s="4"/>
      <c r="T666" s="4"/>
      <c r="U666" s="4"/>
      <c r="V666" s="4"/>
      <c r="W666" s="4"/>
      <c r="X666" s="4"/>
    </row>
    <row r="667" spans="1:24" ht="12.75">
      <c r="A667" s="4"/>
      <c r="B667" s="4"/>
      <c r="C667" s="4"/>
      <c r="D667" s="4"/>
      <c r="E667" s="957"/>
      <c r="F667" s="957"/>
      <c r="G667" s="957"/>
      <c r="H667" s="957"/>
      <c r="I667" s="957"/>
      <c r="J667" s="957"/>
      <c r="K667" s="957"/>
      <c r="L667" s="957"/>
      <c r="M667" s="957"/>
      <c r="N667" s="957"/>
      <c r="O667" s="4"/>
      <c r="P667" s="4"/>
      <c r="Q667" s="4"/>
      <c r="R667" s="4"/>
      <c r="S667" s="4"/>
      <c r="T667" s="4"/>
      <c r="U667" s="4"/>
      <c r="V667" s="4"/>
      <c r="W667" s="4"/>
      <c r="X667" s="4"/>
    </row>
    <row r="668" spans="1:24" ht="12.75">
      <c r="A668" s="4"/>
      <c r="B668" s="4"/>
      <c r="C668" s="4"/>
      <c r="D668" s="4"/>
      <c r="E668" s="957"/>
      <c r="F668" s="957"/>
      <c r="G668" s="957"/>
      <c r="H668" s="957"/>
      <c r="I668" s="957"/>
      <c r="J668" s="957"/>
      <c r="K668" s="957"/>
      <c r="L668" s="957"/>
      <c r="M668" s="957"/>
      <c r="N668" s="957"/>
      <c r="O668" s="4"/>
      <c r="P668" s="4"/>
      <c r="Q668" s="4"/>
      <c r="R668" s="4"/>
      <c r="S668" s="4"/>
      <c r="T668" s="4"/>
      <c r="U668" s="4"/>
      <c r="V668" s="4"/>
      <c r="W668" s="4"/>
      <c r="X668" s="4"/>
    </row>
    <row r="669" spans="1:24" ht="12.75">
      <c r="A669" s="4"/>
      <c r="B669" s="4"/>
      <c r="C669" s="4"/>
      <c r="D669" s="4"/>
      <c r="E669" s="957"/>
      <c r="F669" s="957"/>
      <c r="G669" s="957"/>
      <c r="H669" s="957"/>
      <c r="I669" s="957"/>
      <c r="J669" s="957"/>
      <c r="K669" s="957"/>
      <c r="L669" s="957"/>
      <c r="M669" s="957"/>
      <c r="N669" s="957"/>
      <c r="O669" s="4"/>
      <c r="P669" s="4"/>
      <c r="Q669" s="4"/>
      <c r="R669" s="4"/>
      <c r="S669" s="4"/>
      <c r="T669" s="4"/>
      <c r="U669" s="4"/>
      <c r="V669" s="4"/>
      <c r="W669" s="4"/>
      <c r="X669" s="4"/>
    </row>
    <row r="670" spans="1:24" ht="12.75">
      <c r="A670" s="4"/>
      <c r="B670" s="4"/>
      <c r="C670" s="4"/>
      <c r="D670" s="4"/>
      <c r="E670" s="957"/>
      <c r="F670" s="957"/>
      <c r="G670" s="957"/>
      <c r="H670" s="957"/>
      <c r="I670" s="957"/>
      <c r="J670" s="957"/>
      <c r="K670" s="957"/>
      <c r="L670" s="957"/>
      <c r="M670" s="957"/>
      <c r="N670" s="957"/>
      <c r="O670" s="4"/>
      <c r="P670" s="4"/>
      <c r="Q670" s="4"/>
      <c r="R670" s="4"/>
      <c r="S670" s="4"/>
      <c r="T670" s="4"/>
      <c r="U670" s="4"/>
      <c r="V670" s="4"/>
      <c r="W670" s="4"/>
      <c r="X670" s="4"/>
    </row>
    <row r="671" spans="1:24" ht="12.75">
      <c r="A671" s="4"/>
      <c r="B671" s="4"/>
      <c r="C671" s="4"/>
      <c r="D671" s="4"/>
      <c r="E671" s="957"/>
      <c r="F671" s="957"/>
      <c r="G671" s="957"/>
      <c r="H671" s="957"/>
      <c r="I671" s="957"/>
      <c r="J671" s="957"/>
      <c r="K671" s="957"/>
      <c r="L671" s="957"/>
      <c r="M671" s="957"/>
      <c r="N671" s="957"/>
      <c r="O671" s="4"/>
      <c r="P671" s="4"/>
      <c r="Q671" s="4"/>
      <c r="R671" s="4"/>
      <c r="S671" s="4"/>
      <c r="T671" s="4"/>
      <c r="U671" s="4"/>
      <c r="V671" s="4"/>
      <c r="W671" s="4"/>
      <c r="X671" s="4"/>
    </row>
    <row r="672" spans="1:24" ht="12.75">
      <c r="A672" s="4"/>
      <c r="B672" s="4"/>
      <c r="C672" s="4"/>
      <c r="D672" s="4"/>
      <c r="E672" s="957"/>
      <c r="F672" s="957"/>
      <c r="G672" s="957"/>
      <c r="H672" s="957"/>
      <c r="I672" s="957"/>
      <c r="J672" s="957"/>
      <c r="K672" s="957"/>
      <c r="L672" s="957"/>
      <c r="M672" s="957"/>
      <c r="N672" s="957"/>
      <c r="O672" s="4"/>
      <c r="P672" s="4"/>
      <c r="Q672" s="4"/>
      <c r="R672" s="4"/>
      <c r="S672" s="4"/>
      <c r="T672" s="4"/>
      <c r="U672" s="4"/>
      <c r="V672" s="4"/>
      <c r="W672" s="4"/>
      <c r="X672" s="4"/>
    </row>
    <row r="673" spans="1:24" ht="12.75">
      <c r="A673" s="4"/>
      <c r="B673" s="4"/>
      <c r="C673" s="4"/>
      <c r="D673" s="4"/>
      <c r="E673" s="957"/>
      <c r="F673" s="957"/>
      <c r="G673" s="957"/>
      <c r="H673" s="957"/>
      <c r="I673" s="957"/>
      <c r="J673" s="957"/>
      <c r="K673" s="957"/>
      <c r="L673" s="957"/>
      <c r="M673" s="957"/>
      <c r="N673" s="957"/>
      <c r="O673" s="4"/>
      <c r="P673" s="4"/>
      <c r="Q673" s="4"/>
      <c r="R673" s="4"/>
      <c r="S673" s="4"/>
      <c r="T673" s="4"/>
      <c r="U673" s="4"/>
      <c r="V673" s="4"/>
      <c r="W673" s="4"/>
      <c r="X673" s="4"/>
    </row>
    <row r="674" spans="1:24" ht="12.75">
      <c r="A674" s="4"/>
      <c r="B674" s="4"/>
      <c r="C674" s="4"/>
      <c r="D674" s="4"/>
      <c r="E674" s="957"/>
      <c r="F674" s="957"/>
      <c r="G674" s="957"/>
      <c r="H674" s="957"/>
      <c r="I674" s="957"/>
      <c r="J674" s="957"/>
      <c r="K674" s="957"/>
      <c r="L674" s="957"/>
      <c r="M674" s="957"/>
      <c r="N674" s="957"/>
      <c r="O674" s="4"/>
      <c r="P674" s="4"/>
      <c r="Q674" s="4"/>
      <c r="R674" s="4"/>
      <c r="S674" s="4"/>
      <c r="T674" s="4"/>
      <c r="U674" s="4"/>
      <c r="V674" s="4"/>
      <c r="W674" s="4"/>
      <c r="X674" s="4"/>
    </row>
    <row r="675" spans="1:24" ht="12.75">
      <c r="A675" s="4"/>
      <c r="B675" s="4"/>
      <c r="C675" s="4"/>
      <c r="D675" s="4"/>
      <c r="E675" s="957"/>
      <c r="F675" s="957"/>
      <c r="G675" s="957"/>
      <c r="H675" s="957"/>
      <c r="I675" s="957"/>
      <c r="J675" s="957"/>
      <c r="K675" s="957"/>
      <c r="L675" s="957"/>
      <c r="M675" s="957"/>
      <c r="N675" s="957"/>
      <c r="O675" s="4"/>
      <c r="P675" s="4"/>
      <c r="Q675" s="4"/>
      <c r="R675" s="4"/>
      <c r="S675" s="4"/>
      <c r="T675" s="4"/>
      <c r="U675" s="4"/>
      <c r="V675" s="4"/>
      <c r="W675" s="4"/>
      <c r="X675" s="4"/>
    </row>
    <row r="676" spans="1:24" ht="12.75">
      <c r="A676" s="4"/>
      <c r="B676" s="4"/>
      <c r="C676" s="4"/>
      <c r="D676" s="4"/>
      <c r="E676" s="957"/>
      <c r="F676" s="957"/>
      <c r="G676" s="957"/>
      <c r="H676" s="957"/>
      <c r="I676" s="957"/>
      <c r="J676" s="957"/>
      <c r="K676" s="957"/>
      <c r="L676" s="957"/>
      <c r="M676" s="957"/>
      <c r="N676" s="957"/>
      <c r="O676" s="4"/>
      <c r="P676" s="4"/>
      <c r="Q676" s="4"/>
      <c r="R676" s="4"/>
      <c r="S676" s="4"/>
      <c r="T676" s="4"/>
      <c r="U676" s="4"/>
      <c r="V676" s="4"/>
      <c r="W676" s="4"/>
      <c r="X676" s="4"/>
    </row>
    <row r="677" spans="1:24" ht="12.75">
      <c r="A677" s="4"/>
      <c r="B677" s="4"/>
      <c r="C677" s="4"/>
      <c r="D677" s="4"/>
      <c r="E677" s="957"/>
      <c r="F677" s="957"/>
      <c r="G677" s="957"/>
      <c r="H677" s="957"/>
      <c r="I677" s="957"/>
      <c r="J677" s="957"/>
      <c r="K677" s="957"/>
      <c r="L677" s="957"/>
      <c r="M677" s="957"/>
      <c r="N677" s="957"/>
      <c r="O677" s="4"/>
      <c r="P677" s="4"/>
      <c r="Q677" s="4"/>
      <c r="R677" s="4"/>
      <c r="S677" s="4"/>
      <c r="T677" s="4"/>
      <c r="U677" s="4"/>
      <c r="V677" s="4"/>
      <c r="W677" s="4"/>
      <c r="X677" s="4"/>
    </row>
    <row r="678" spans="1:24" ht="12.75">
      <c r="A678" s="4"/>
      <c r="B678" s="4"/>
      <c r="C678" s="4"/>
      <c r="D678" s="4"/>
      <c r="E678" s="957"/>
      <c r="F678" s="957"/>
      <c r="G678" s="957"/>
      <c r="H678" s="957"/>
      <c r="I678" s="957"/>
      <c r="J678" s="957"/>
      <c r="K678" s="957"/>
      <c r="L678" s="957"/>
      <c r="M678" s="957"/>
      <c r="N678" s="957"/>
      <c r="O678" s="4"/>
      <c r="P678" s="4"/>
      <c r="Q678" s="4"/>
      <c r="R678" s="4"/>
      <c r="S678" s="4"/>
      <c r="T678" s="4"/>
      <c r="U678" s="4"/>
      <c r="V678" s="4"/>
      <c r="W678" s="4"/>
      <c r="X678" s="4"/>
    </row>
    <row r="679" spans="1:24" ht="12.75">
      <c r="A679" s="4"/>
      <c r="B679" s="4"/>
      <c r="C679" s="4"/>
      <c r="D679" s="4"/>
      <c r="E679" s="957"/>
      <c r="F679" s="957"/>
      <c r="G679" s="957"/>
      <c r="H679" s="957"/>
      <c r="I679" s="957"/>
      <c r="J679" s="957"/>
      <c r="K679" s="957"/>
      <c r="L679" s="957"/>
      <c r="M679" s="957"/>
      <c r="N679" s="957"/>
      <c r="O679" s="4"/>
      <c r="P679" s="4"/>
      <c r="Q679" s="4"/>
      <c r="R679" s="4"/>
      <c r="S679" s="4"/>
      <c r="T679" s="4"/>
      <c r="U679" s="4"/>
      <c r="V679" s="4"/>
      <c r="W679" s="4"/>
      <c r="X679" s="4"/>
    </row>
    <row r="680" spans="1:24" ht="12.75">
      <c r="A680" s="4"/>
      <c r="B680" s="4"/>
      <c r="C680" s="4"/>
      <c r="D680" s="4"/>
      <c r="E680" s="957"/>
      <c r="F680" s="957"/>
      <c r="G680" s="957"/>
      <c r="H680" s="957"/>
      <c r="I680" s="957"/>
      <c r="J680" s="957"/>
      <c r="K680" s="957"/>
      <c r="L680" s="957"/>
      <c r="M680" s="957"/>
      <c r="N680" s="957"/>
      <c r="O680" s="4"/>
      <c r="P680" s="4"/>
      <c r="Q680" s="4"/>
      <c r="R680" s="4"/>
      <c r="S680" s="4"/>
      <c r="T680" s="4"/>
      <c r="U680" s="4"/>
      <c r="V680" s="4"/>
      <c r="W680" s="4"/>
      <c r="X680" s="4"/>
    </row>
    <row r="681" spans="1:24" ht="12.75">
      <c r="A681" s="4"/>
      <c r="B681" s="4"/>
      <c r="C681" s="4"/>
      <c r="D681" s="4"/>
      <c r="E681" s="957"/>
      <c r="F681" s="957"/>
      <c r="G681" s="957"/>
      <c r="H681" s="957"/>
      <c r="I681" s="957"/>
      <c r="J681" s="957"/>
      <c r="K681" s="957"/>
      <c r="L681" s="957"/>
      <c r="M681" s="957"/>
      <c r="N681" s="957"/>
      <c r="O681" s="4"/>
      <c r="P681" s="4"/>
      <c r="Q681" s="4"/>
      <c r="R681" s="4"/>
      <c r="S681" s="4"/>
      <c r="T681" s="4"/>
      <c r="U681" s="4"/>
      <c r="V681" s="4"/>
      <c r="W681" s="4"/>
      <c r="X681" s="4"/>
    </row>
    <row r="682" spans="1:24" ht="12.75">
      <c r="A682" s="4"/>
      <c r="B682" s="4"/>
      <c r="C682" s="4"/>
      <c r="D682" s="4"/>
      <c r="E682" s="957"/>
      <c r="F682" s="957"/>
      <c r="G682" s="957"/>
      <c r="H682" s="957"/>
      <c r="I682" s="957"/>
      <c r="J682" s="957"/>
      <c r="K682" s="957"/>
      <c r="L682" s="957"/>
      <c r="M682" s="957"/>
      <c r="N682" s="957"/>
      <c r="O682" s="4"/>
      <c r="P682" s="4"/>
      <c r="Q682" s="4"/>
      <c r="R682" s="4"/>
      <c r="S682" s="4"/>
      <c r="T682" s="4"/>
      <c r="U682" s="4"/>
      <c r="V682" s="4"/>
      <c r="W682" s="4"/>
      <c r="X682" s="4"/>
    </row>
    <row r="683" spans="1:24" ht="12.75">
      <c r="A683" s="4"/>
      <c r="B683" s="4"/>
      <c r="C683" s="4"/>
      <c r="D683" s="4"/>
      <c r="E683" s="957"/>
      <c r="F683" s="957"/>
      <c r="G683" s="957"/>
      <c r="H683" s="957"/>
      <c r="I683" s="957"/>
      <c r="J683" s="957"/>
      <c r="K683" s="957"/>
      <c r="L683" s="957"/>
      <c r="M683" s="957"/>
      <c r="N683" s="957"/>
      <c r="O683" s="4"/>
      <c r="P683" s="4"/>
      <c r="Q683" s="4"/>
      <c r="R683" s="4"/>
      <c r="S683" s="4"/>
      <c r="T683" s="4"/>
      <c r="U683" s="4"/>
      <c r="V683" s="4"/>
      <c r="W683" s="4"/>
      <c r="X683" s="4"/>
    </row>
    <row r="684" spans="1:24" ht="12.75">
      <c r="A684" s="4"/>
      <c r="B684" s="4"/>
      <c r="C684" s="4"/>
      <c r="D684" s="4"/>
      <c r="E684" s="957"/>
      <c r="F684" s="957"/>
      <c r="G684" s="957"/>
      <c r="H684" s="957"/>
      <c r="I684" s="957"/>
      <c r="J684" s="957"/>
      <c r="K684" s="957"/>
      <c r="L684" s="957"/>
      <c r="M684" s="957"/>
      <c r="N684" s="957"/>
      <c r="O684" s="4"/>
      <c r="P684" s="4"/>
      <c r="Q684" s="4"/>
      <c r="R684" s="4"/>
      <c r="S684" s="4"/>
      <c r="T684" s="4"/>
      <c r="U684" s="4"/>
      <c r="V684" s="4"/>
      <c r="W684" s="4"/>
      <c r="X684" s="4"/>
    </row>
    <row r="685" spans="1:24" ht="12.75">
      <c r="A685" s="4"/>
      <c r="B685" s="4"/>
      <c r="C685" s="4"/>
      <c r="D685" s="4"/>
      <c r="E685" s="957"/>
      <c r="F685" s="957"/>
      <c r="G685" s="957"/>
      <c r="H685" s="957"/>
      <c r="I685" s="957"/>
      <c r="J685" s="957"/>
      <c r="K685" s="957"/>
      <c r="L685" s="957"/>
      <c r="M685" s="957"/>
      <c r="N685" s="957"/>
      <c r="O685" s="4"/>
      <c r="P685" s="4"/>
      <c r="Q685" s="4"/>
      <c r="R685" s="4"/>
      <c r="S685" s="4"/>
      <c r="T685" s="4"/>
      <c r="U685" s="4"/>
      <c r="V685" s="4"/>
      <c r="W685" s="4"/>
      <c r="X685" s="4"/>
    </row>
    <row r="686" spans="1:24" ht="12.75">
      <c r="A686" s="4"/>
      <c r="B686" s="4"/>
      <c r="C686" s="4"/>
      <c r="D686" s="4"/>
      <c r="E686" s="957"/>
      <c r="F686" s="957"/>
      <c r="G686" s="957"/>
      <c r="H686" s="957"/>
      <c r="I686" s="957"/>
      <c r="J686" s="957"/>
      <c r="K686" s="957"/>
      <c r="L686" s="957"/>
      <c r="M686" s="957"/>
      <c r="N686" s="957"/>
      <c r="O686" s="4"/>
      <c r="P686" s="4"/>
      <c r="Q686" s="4"/>
      <c r="R686" s="4"/>
      <c r="S686" s="4"/>
      <c r="T686" s="4"/>
      <c r="U686" s="4"/>
      <c r="V686" s="4"/>
      <c r="W686" s="4"/>
      <c r="X686" s="4"/>
    </row>
    <row r="687" spans="1:24" ht="12.75">
      <c r="A687" s="4"/>
      <c r="B687" s="4"/>
      <c r="C687" s="4"/>
      <c r="D687" s="4"/>
      <c r="E687" s="957"/>
      <c r="F687" s="957"/>
      <c r="G687" s="957"/>
      <c r="H687" s="957"/>
      <c r="I687" s="957"/>
      <c r="J687" s="957"/>
      <c r="K687" s="957"/>
      <c r="L687" s="957"/>
      <c r="M687" s="957"/>
      <c r="N687" s="957"/>
      <c r="O687" s="4"/>
      <c r="P687" s="4"/>
      <c r="Q687" s="4"/>
      <c r="R687" s="4"/>
      <c r="S687" s="4"/>
      <c r="T687" s="4"/>
      <c r="U687" s="4"/>
      <c r="V687" s="4"/>
      <c r="W687" s="4"/>
      <c r="X687" s="4"/>
    </row>
    <row r="688" spans="1:24" ht="12.75">
      <c r="A688" s="4"/>
      <c r="B688" s="4"/>
      <c r="C688" s="4"/>
      <c r="D688" s="4"/>
      <c r="E688" s="957"/>
      <c r="F688" s="957"/>
      <c r="G688" s="957"/>
      <c r="H688" s="957"/>
      <c r="I688" s="957"/>
      <c r="J688" s="957"/>
      <c r="K688" s="957"/>
      <c r="L688" s="957"/>
      <c r="M688" s="957"/>
      <c r="N688" s="957"/>
      <c r="O688" s="4"/>
      <c r="P688" s="4"/>
      <c r="Q688" s="4"/>
      <c r="R688" s="4"/>
      <c r="S688" s="4"/>
      <c r="T688" s="4"/>
      <c r="U688" s="4"/>
      <c r="V688" s="4"/>
      <c r="W688" s="4"/>
      <c r="X688" s="4"/>
    </row>
    <row r="689" spans="1:24" ht="12.75">
      <c r="A689" s="4"/>
      <c r="B689" s="4"/>
      <c r="C689" s="4"/>
      <c r="D689" s="4"/>
      <c r="E689" s="957"/>
      <c r="F689" s="957"/>
      <c r="G689" s="957"/>
      <c r="H689" s="957"/>
      <c r="I689" s="957"/>
      <c r="J689" s="957"/>
      <c r="K689" s="957"/>
      <c r="L689" s="957"/>
      <c r="M689" s="957"/>
      <c r="N689" s="957"/>
      <c r="O689" s="4"/>
      <c r="P689" s="4"/>
      <c r="Q689" s="4"/>
      <c r="R689" s="4"/>
      <c r="S689" s="4"/>
      <c r="T689" s="4"/>
      <c r="U689" s="4"/>
      <c r="V689" s="4"/>
      <c r="W689" s="4"/>
      <c r="X689" s="4"/>
    </row>
    <row r="690" spans="1:24" ht="12.75">
      <c r="A690" s="4"/>
      <c r="B690" s="4"/>
      <c r="C690" s="4"/>
      <c r="D690" s="4"/>
      <c r="E690" s="957"/>
      <c r="F690" s="957"/>
      <c r="G690" s="957"/>
      <c r="H690" s="957"/>
      <c r="I690" s="957"/>
      <c r="J690" s="957"/>
      <c r="K690" s="957"/>
      <c r="L690" s="957"/>
      <c r="M690" s="957"/>
      <c r="N690" s="957"/>
      <c r="O690" s="4"/>
      <c r="P690" s="4"/>
      <c r="Q690" s="4"/>
      <c r="R690" s="4"/>
      <c r="S690" s="4"/>
      <c r="T690" s="4"/>
      <c r="U690" s="4"/>
      <c r="V690" s="4"/>
      <c r="W690" s="4"/>
      <c r="X690" s="4"/>
    </row>
    <row r="691" spans="1:24" ht="12.75">
      <c r="A691" s="4"/>
      <c r="B691" s="4"/>
      <c r="C691" s="4"/>
      <c r="D691" s="4"/>
      <c r="E691" s="957"/>
      <c r="F691" s="957"/>
      <c r="G691" s="957"/>
      <c r="H691" s="957"/>
      <c r="I691" s="957"/>
      <c r="J691" s="957"/>
      <c r="K691" s="957"/>
      <c r="L691" s="957"/>
      <c r="M691" s="957"/>
      <c r="N691" s="957"/>
      <c r="O691" s="4"/>
      <c r="P691" s="4"/>
      <c r="Q691" s="4"/>
      <c r="R691" s="4"/>
      <c r="S691" s="4"/>
      <c r="T691" s="4"/>
      <c r="U691" s="4"/>
      <c r="V691" s="4"/>
      <c r="W691" s="4"/>
      <c r="X691" s="4"/>
    </row>
    <row r="692" spans="1:24" ht="12.75">
      <c r="A692" s="4"/>
      <c r="B692" s="4"/>
      <c r="C692" s="4"/>
      <c r="D692" s="4"/>
      <c r="E692" s="957"/>
      <c r="F692" s="957"/>
      <c r="G692" s="957"/>
      <c r="H692" s="957"/>
      <c r="I692" s="957"/>
      <c r="J692" s="957"/>
      <c r="K692" s="957"/>
      <c r="L692" s="957"/>
      <c r="M692" s="957"/>
      <c r="N692" s="957"/>
      <c r="O692" s="4"/>
      <c r="P692" s="4"/>
      <c r="Q692" s="4"/>
      <c r="R692" s="4"/>
      <c r="S692" s="4"/>
      <c r="T692" s="4"/>
      <c r="U692" s="4"/>
      <c r="V692" s="4"/>
      <c r="W692" s="4"/>
      <c r="X692" s="4"/>
    </row>
    <row r="693" spans="1:24" ht="12.75">
      <c r="A693" s="4"/>
      <c r="B693" s="4"/>
      <c r="C693" s="4"/>
      <c r="D693" s="4"/>
      <c r="E693" s="957"/>
      <c r="F693" s="957"/>
      <c r="G693" s="957"/>
      <c r="H693" s="957"/>
      <c r="I693" s="957"/>
      <c r="J693" s="957"/>
      <c r="K693" s="957"/>
      <c r="L693" s="957"/>
      <c r="M693" s="957"/>
      <c r="N693" s="957"/>
      <c r="O693" s="4"/>
      <c r="P693" s="4"/>
      <c r="Q693" s="4"/>
      <c r="R693" s="4"/>
      <c r="S693" s="4"/>
      <c r="T693" s="4"/>
      <c r="U693" s="4"/>
      <c r="V693" s="4"/>
      <c r="W693" s="4"/>
      <c r="X693" s="4"/>
    </row>
    <row r="694" spans="1:24" ht="12.75">
      <c r="A694" s="4"/>
      <c r="B694" s="4"/>
      <c r="C694" s="4"/>
      <c r="D694" s="4"/>
      <c r="E694" s="957"/>
      <c r="F694" s="957"/>
      <c r="G694" s="957"/>
      <c r="H694" s="957"/>
      <c r="I694" s="957"/>
      <c r="J694" s="957"/>
      <c r="K694" s="957"/>
      <c r="L694" s="957"/>
      <c r="M694" s="957"/>
      <c r="N694" s="957"/>
      <c r="O694" s="4"/>
      <c r="P694" s="4"/>
      <c r="Q694" s="4"/>
      <c r="R694" s="4"/>
      <c r="S694" s="4"/>
      <c r="T694" s="4"/>
      <c r="U694" s="4"/>
      <c r="V694" s="4"/>
      <c r="W694" s="4"/>
      <c r="X694" s="4"/>
    </row>
    <row r="695" spans="1:24" ht="12.75">
      <c r="A695" s="4"/>
      <c r="B695" s="4"/>
      <c r="C695" s="4"/>
      <c r="D695" s="4"/>
      <c r="E695" s="957"/>
      <c r="F695" s="957"/>
      <c r="G695" s="957"/>
      <c r="H695" s="957"/>
      <c r="I695" s="957"/>
      <c r="J695" s="957"/>
      <c r="K695" s="957"/>
      <c r="L695" s="957"/>
      <c r="M695" s="957"/>
      <c r="N695" s="957"/>
      <c r="O695" s="4"/>
      <c r="P695" s="4"/>
      <c r="Q695" s="4"/>
      <c r="R695" s="4"/>
      <c r="S695" s="4"/>
      <c r="T695" s="4"/>
      <c r="U695" s="4"/>
      <c r="V695" s="4"/>
      <c r="W695" s="4"/>
      <c r="X695" s="4"/>
    </row>
    <row r="696" spans="1:24" ht="12.75">
      <c r="A696" s="4"/>
      <c r="B696" s="4"/>
      <c r="C696" s="4"/>
      <c r="D696" s="4"/>
      <c r="E696" s="957"/>
      <c r="F696" s="957"/>
      <c r="G696" s="957"/>
      <c r="H696" s="957"/>
      <c r="I696" s="957"/>
      <c r="J696" s="957"/>
      <c r="K696" s="957"/>
      <c r="L696" s="957"/>
      <c r="M696" s="957"/>
      <c r="N696" s="957"/>
      <c r="O696" s="4"/>
      <c r="P696" s="4"/>
      <c r="Q696" s="4"/>
      <c r="R696" s="4"/>
      <c r="S696" s="4"/>
      <c r="T696" s="4"/>
      <c r="U696" s="4"/>
      <c r="V696" s="4"/>
      <c r="W696" s="4"/>
      <c r="X696" s="4"/>
    </row>
    <row r="697" spans="1:24" ht="12.75">
      <c r="A697" s="4"/>
      <c r="B697" s="4"/>
      <c r="C697" s="4"/>
      <c r="D697" s="4"/>
      <c r="E697" s="957"/>
      <c r="F697" s="957"/>
      <c r="G697" s="957"/>
      <c r="H697" s="957"/>
      <c r="I697" s="957"/>
      <c r="J697" s="957"/>
      <c r="K697" s="957"/>
      <c r="L697" s="957"/>
      <c r="M697" s="957"/>
      <c r="N697" s="957"/>
      <c r="O697" s="4"/>
      <c r="P697" s="4"/>
      <c r="Q697" s="4"/>
      <c r="R697" s="4"/>
      <c r="S697" s="4"/>
      <c r="T697" s="4"/>
      <c r="U697" s="4"/>
      <c r="V697" s="4"/>
      <c r="W697" s="4"/>
      <c r="X697" s="4"/>
    </row>
    <row r="698" spans="1:24" ht="12.75">
      <c r="A698" s="4"/>
      <c r="B698" s="4"/>
      <c r="C698" s="4"/>
      <c r="D698" s="4"/>
      <c r="E698" s="957"/>
      <c r="F698" s="957"/>
      <c r="G698" s="957"/>
      <c r="H698" s="957"/>
      <c r="I698" s="957"/>
      <c r="J698" s="957"/>
      <c r="K698" s="957"/>
      <c r="L698" s="957"/>
      <c r="M698" s="957"/>
      <c r="N698" s="957"/>
      <c r="O698" s="4"/>
      <c r="P698" s="4"/>
      <c r="Q698" s="4"/>
      <c r="R698" s="4"/>
      <c r="S698" s="4"/>
      <c r="T698" s="4"/>
      <c r="U698" s="4"/>
      <c r="V698" s="4"/>
      <c r="W698" s="4"/>
      <c r="X698" s="4"/>
    </row>
    <row r="699" spans="1:24" ht="12.75">
      <c r="A699" s="4"/>
      <c r="B699" s="4"/>
      <c r="C699" s="4"/>
      <c r="D699" s="4"/>
      <c r="E699" s="957"/>
      <c r="F699" s="957"/>
      <c r="G699" s="957"/>
      <c r="H699" s="957"/>
      <c r="I699" s="957"/>
      <c r="J699" s="957"/>
      <c r="K699" s="957"/>
      <c r="L699" s="957"/>
      <c r="M699" s="957"/>
      <c r="N699" s="957"/>
      <c r="O699" s="4"/>
      <c r="P699" s="4"/>
      <c r="Q699" s="4"/>
      <c r="R699" s="4"/>
      <c r="S699" s="4"/>
      <c r="T699" s="4"/>
      <c r="U699" s="4"/>
      <c r="V699" s="4"/>
      <c r="W699" s="4"/>
      <c r="X699" s="4"/>
    </row>
    <row r="700" spans="1:24" ht="12.75">
      <c r="A700" s="4"/>
      <c r="B700" s="4"/>
      <c r="C700" s="4"/>
      <c r="D700" s="4"/>
      <c r="E700" s="957"/>
      <c r="F700" s="957"/>
      <c r="G700" s="957"/>
      <c r="H700" s="957"/>
      <c r="I700" s="957"/>
      <c r="J700" s="957"/>
      <c r="K700" s="957"/>
      <c r="L700" s="957"/>
      <c r="M700" s="957"/>
      <c r="N700" s="957"/>
      <c r="O700" s="4"/>
      <c r="P700" s="4"/>
      <c r="Q700" s="4"/>
      <c r="R700" s="4"/>
      <c r="S700" s="4"/>
      <c r="T700" s="4"/>
      <c r="U700" s="4"/>
      <c r="V700" s="4"/>
      <c r="W700" s="4"/>
      <c r="X700" s="4"/>
    </row>
    <row r="701" spans="1:24" ht="12.75">
      <c r="A701" s="4"/>
      <c r="B701" s="4"/>
      <c r="C701" s="4"/>
      <c r="D701" s="4"/>
      <c r="E701" s="957"/>
      <c r="F701" s="957"/>
      <c r="G701" s="957"/>
      <c r="H701" s="957"/>
      <c r="I701" s="957"/>
      <c r="J701" s="957"/>
      <c r="K701" s="957"/>
      <c r="L701" s="957"/>
      <c r="M701" s="957"/>
      <c r="N701" s="957"/>
      <c r="O701" s="4"/>
      <c r="P701" s="4"/>
      <c r="Q701" s="4"/>
      <c r="R701" s="4"/>
      <c r="S701" s="4"/>
      <c r="T701" s="4"/>
      <c r="U701" s="4"/>
      <c r="V701" s="4"/>
      <c r="W701" s="4"/>
      <c r="X701" s="4"/>
    </row>
    <row r="702" spans="1:24" ht="12.75">
      <c r="A702" s="4"/>
      <c r="B702" s="4"/>
      <c r="C702" s="4"/>
      <c r="D702" s="4"/>
      <c r="E702" s="957"/>
      <c r="F702" s="957"/>
      <c r="G702" s="957"/>
      <c r="H702" s="957"/>
      <c r="I702" s="957"/>
      <c r="J702" s="957"/>
      <c r="K702" s="957"/>
      <c r="L702" s="957"/>
      <c r="M702" s="957"/>
      <c r="N702" s="957"/>
      <c r="O702" s="4"/>
      <c r="P702" s="4"/>
      <c r="Q702" s="4"/>
      <c r="R702" s="4"/>
      <c r="S702" s="4"/>
      <c r="T702" s="4"/>
      <c r="U702" s="4"/>
      <c r="V702" s="4"/>
      <c r="W702" s="4"/>
      <c r="X702" s="4"/>
    </row>
    <row r="703" spans="1:24" ht="12.75">
      <c r="A703" s="4"/>
      <c r="B703" s="4"/>
      <c r="C703" s="4"/>
      <c r="D703" s="4"/>
      <c r="E703" s="957"/>
      <c r="F703" s="957"/>
      <c r="G703" s="957"/>
      <c r="H703" s="957"/>
      <c r="I703" s="957"/>
      <c r="J703" s="957"/>
      <c r="K703" s="957"/>
      <c r="L703" s="957"/>
      <c r="M703" s="957"/>
      <c r="N703" s="957"/>
      <c r="O703" s="4"/>
      <c r="P703" s="4"/>
      <c r="Q703" s="4"/>
      <c r="R703" s="4"/>
      <c r="S703" s="4"/>
      <c r="T703" s="4"/>
      <c r="U703" s="4"/>
      <c r="V703" s="4"/>
      <c r="W703" s="4"/>
      <c r="X703" s="4"/>
    </row>
    <row r="704" spans="1:24" ht="12.75">
      <c r="A704" s="4"/>
      <c r="B704" s="4"/>
      <c r="C704" s="4"/>
      <c r="D704" s="4"/>
      <c r="E704" s="957"/>
      <c r="F704" s="957"/>
      <c r="G704" s="957"/>
      <c r="H704" s="957"/>
      <c r="I704" s="957"/>
      <c r="J704" s="957"/>
      <c r="K704" s="957"/>
      <c r="L704" s="957"/>
      <c r="M704" s="957"/>
      <c r="N704" s="957"/>
      <c r="O704" s="4"/>
      <c r="P704" s="4"/>
      <c r="Q704" s="4"/>
      <c r="R704" s="4"/>
      <c r="S704" s="4"/>
      <c r="T704" s="4"/>
      <c r="U704" s="4"/>
      <c r="V704" s="4"/>
      <c r="W704" s="4"/>
      <c r="X704" s="4"/>
    </row>
    <row r="705" spans="1:24" ht="12.75">
      <c r="A705" s="4"/>
      <c r="B705" s="4"/>
      <c r="C705" s="4"/>
      <c r="D705" s="4"/>
      <c r="E705" s="957"/>
      <c r="F705" s="957"/>
      <c r="G705" s="957"/>
      <c r="H705" s="957"/>
      <c r="I705" s="957"/>
      <c r="J705" s="957"/>
      <c r="K705" s="957"/>
      <c r="L705" s="957"/>
      <c r="M705" s="957"/>
      <c r="N705" s="957"/>
      <c r="O705" s="4"/>
      <c r="P705" s="4"/>
      <c r="Q705" s="4"/>
      <c r="R705" s="4"/>
      <c r="S705" s="4"/>
      <c r="T705" s="4"/>
      <c r="U705" s="4"/>
      <c r="V705" s="4"/>
      <c r="W705" s="4"/>
      <c r="X705" s="4"/>
    </row>
    <row r="706" spans="1:24" ht="12.75">
      <c r="A706" s="4"/>
      <c r="B706" s="4"/>
      <c r="C706" s="4"/>
      <c r="D706" s="4"/>
      <c r="E706" s="957"/>
      <c r="F706" s="957"/>
      <c r="G706" s="957"/>
      <c r="H706" s="957"/>
      <c r="I706" s="957"/>
      <c r="J706" s="957"/>
      <c r="K706" s="957"/>
      <c r="L706" s="957"/>
      <c r="M706" s="957"/>
      <c r="N706" s="957"/>
      <c r="O706" s="4"/>
      <c r="P706" s="4"/>
      <c r="Q706" s="4"/>
      <c r="R706" s="4"/>
      <c r="S706" s="4"/>
      <c r="T706" s="4"/>
      <c r="U706" s="4"/>
      <c r="V706" s="4"/>
      <c r="W706" s="4"/>
      <c r="X706" s="4"/>
    </row>
    <row r="707" spans="1:24" ht="12.75">
      <c r="A707" s="4"/>
      <c r="B707" s="4"/>
      <c r="C707" s="4"/>
      <c r="D707" s="4"/>
      <c r="E707" s="957"/>
      <c r="F707" s="957"/>
      <c r="G707" s="957"/>
      <c r="H707" s="957"/>
      <c r="I707" s="957"/>
      <c r="J707" s="957"/>
      <c r="K707" s="957"/>
      <c r="L707" s="957"/>
      <c r="M707" s="957"/>
      <c r="N707" s="957"/>
      <c r="O707" s="4"/>
      <c r="P707" s="4"/>
      <c r="Q707" s="4"/>
      <c r="R707" s="4"/>
      <c r="S707" s="4"/>
      <c r="T707" s="4"/>
      <c r="U707" s="4"/>
      <c r="V707" s="4"/>
      <c r="W707" s="4"/>
      <c r="X707" s="4"/>
    </row>
    <row r="708" spans="1:24" ht="12.75">
      <c r="A708" s="4"/>
      <c r="B708" s="4"/>
      <c r="C708" s="4"/>
      <c r="D708" s="4"/>
      <c r="E708" s="957"/>
      <c r="F708" s="957"/>
      <c r="G708" s="957"/>
      <c r="H708" s="957"/>
      <c r="I708" s="957"/>
      <c r="J708" s="957"/>
      <c r="K708" s="957"/>
      <c r="L708" s="957"/>
      <c r="M708" s="957"/>
      <c r="N708" s="957"/>
      <c r="O708" s="4"/>
      <c r="P708" s="4"/>
      <c r="Q708" s="4"/>
      <c r="R708" s="4"/>
      <c r="S708" s="4"/>
      <c r="T708" s="4"/>
      <c r="U708" s="4"/>
      <c r="V708" s="4"/>
      <c r="W708" s="4"/>
      <c r="X708" s="4"/>
    </row>
    <row r="709" spans="1:24" ht="12.75">
      <c r="A709" s="4"/>
      <c r="B709" s="4"/>
      <c r="C709" s="4"/>
      <c r="D709" s="4"/>
      <c r="E709" s="957"/>
      <c r="F709" s="957"/>
      <c r="G709" s="957"/>
      <c r="H709" s="957"/>
      <c r="I709" s="957"/>
      <c r="J709" s="957"/>
      <c r="K709" s="957"/>
      <c r="L709" s="957"/>
      <c r="M709" s="957"/>
      <c r="N709" s="957"/>
      <c r="O709" s="4"/>
      <c r="P709" s="4"/>
      <c r="Q709" s="4"/>
      <c r="R709" s="4"/>
      <c r="S709" s="4"/>
      <c r="T709" s="4"/>
      <c r="U709" s="4"/>
      <c r="V709" s="4"/>
      <c r="W709" s="4"/>
      <c r="X709" s="4"/>
    </row>
    <row r="710" spans="1:24" ht="12.75">
      <c r="A710" s="4"/>
      <c r="B710" s="4"/>
      <c r="C710" s="4"/>
      <c r="D710" s="4"/>
      <c r="E710" s="957"/>
      <c r="F710" s="957"/>
      <c r="G710" s="957"/>
      <c r="H710" s="957"/>
      <c r="I710" s="957"/>
      <c r="J710" s="957"/>
      <c r="K710" s="957"/>
      <c r="L710" s="957"/>
      <c r="M710" s="957"/>
      <c r="N710" s="957"/>
      <c r="O710" s="4"/>
      <c r="P710" s="4"/>
      <c r="Q710" s="4"/>
      <c r="R710" s="4"/>
      <c r="S710" s="4"/>
      <c r="T710" s="4"/>
      <c r="U710" s="4"/>
      <c r="V710" s="4"/>
      <c r="W710" s="4"/>
      <c r="X710" s="4"/>
    </row>
    <row r="711" spans="1:24" ht="12.75">
      <c r="A711" s="4"/>
      <c r="B711" s="4"/>
      <c r="C711" s="4"/>
      <c r="D711" s="4"/>
      <c r="E711" s="957"/>
      <c r="F711" s="957"/>
      <c r="G711" s="957"/>
      <c r="H711" s="957"/>
      <c r="I711" s="957"/>
      <c r="J711" s="957"/>
      <c r="K711" s="957"/>
      <c r="L711" s="957"/>
      <c r="M711" s="957"/>
      <c r="N711" s="957"/>
      <c r="O711" s="4"/>
      <c r="P711" s="4"/>
      <c r="Q711" s="4"/>
      <c r="R711" s="4"/>
      <c r="S711" s="4"/>
      <c r="T711" s="4"/>
      <c r="U711" s="4"/>
      <c r="V711" s="4"/>
      <c r="W711" s="4"/>
      <c r="X711" s="4"/>
    </row>
    <row r="712" spans="1:24" ht="12.75">
      <c r="A712" s="4"/>
      <c r="B712" s="4"/>
      <c r="C712" s="4"/>
      <c r="D712" s="4"/>
      <c r="E712" s="957"/>
      <c r="F712" s="957"/>
      <c r="G712" s="957"/>
      <c r="H712" s="957"/>
      <c r="I712" s="957"/>
      <c r="J712" s="957"/>
      <c r="K712" s="957"/>
      <c r="L712" s="957"/>
      <c r="M712" s="957"/>
      <c r="N712" s="957"/>
      <c r="O712" s="4"/>
      <c r="P712" s="4"/>
      <c r="Q712" s="4"/>
      <c r="R712" s="4"/>
      <c r="S712" s="4"/>
      <c r="T712" s="4"/>
      <c r="U712" s="4"/>
      <c r="V712" s="4"/>
      <c r="W712" s="4"/>
      <c r="X712" s="4"/>
    </row>
    <row r="713" spans="1:24" ht="12.75">
      <c r="A713" s="4"/>
      <c r="B713" s="4"/>
      <c r="C713" s="4"/>
      <c r="D713" s="4"/>
      <c r="E713" s="957"/>
      <c r="F713" s="957"/>
      <c r="G713" s="957"/>
      <c r="H713" s="957"/>
      <c r="I713" s="957"/>
      <c r="J713" s="957"/>
      <c r="K713" s="957"/>
      <c r="L713" s="957"/>
      <c r="M713" s="957"/>
      <c r="N713" s="957"/>
      <c r="O713" s="4"/>
      <c r="P713" s="4"/>
      <c r="Q713" s="4"/>
      <c r="R713" s="4"/>
      <c r="S713" s="4"/>
      <c r="T713" s="4"/>
      <c r="U713" s="4"/>
      <c r="V713" s="4"/>
      <c r="W713" s="4"/>
      <c r="X713" s="4"/>
    </row>
    <row r="714" spans="1:24" ht="12.75">
      <c r="A714" s="4"/>
      <c r="B714" s="4"/>
      <c r="C714" s="4"/>
      <c r="D714" s="4"/>
      <c r="E714" s="957"/>
      <c r="F714" s="957"/>
      <c r="G714" s="957"/>
      <c r="H714" s="957"/>
      <c r="I714" s="957"/>
      <c r="J714" s="957"/>
      <c r="K714" s="957"/>
      <c r="L714" s="957"/>
      <c r="M714" s="957"/>
      <c r="N714" s="957"/>
      <c r="O714" s="4"/>
      <c r="P714" s="4"/>
      <c r="Q714" s="4"/>
      <c r="R714" s="4"/>
      <c r="S714" s="4"/>
      <c r="T714" s="4"/>
      <c r="U714" s="4"/>
      <c r="V714" s="4"/>
      <c r="W714" s="4"/>
      <c r="X714" s="4"/>
    </row>
    <row r="715" spans="1:24" ht="12.75">
      <c r="A715" s="4"/>
      <c r="B715" s="4"/>
      <c r="C715" s="4"/>
      <c r="D715" s="4"/>
      <c r="E715" s="957"/>
      <c r="F715" s="957"/>
      <c r="G715" s="957"/>
      <c r="H715" s="957"/>
      <c r="I715" s="957"/>
      <c r="J715" s="957"/>
      <c r="K715" s="957"/>
      <c r="L715" s="957"/>
      <c r="M715" s="957"/>
      <c r="N715" s="957"/>
      <c r="O715" s="4"/>
      <c r="P715" s="4"/>
      <c r="Q715" s="4"/>
      <c r="R715" s="4"/>
      <c r="S715" s="4"/>
      <c r="T715" s="4"/>
      <c r="U715" s="4"/>
      <c r="V715" s="4"/>
      <c r="W715" s="4"/>
      <c r="X715" s="4"/>
    </row>
    <row r="716" spans="1:24" ht="12.75">
      <c r="A716" s="4"/>
      <c r="B716" s="4"/>
      <c r="C716" s="4"/>
      <c r="D716" s="4"/>
      <c r="E716" s="957"/>
      <c r="F716" s="957"/>
      <c r="G716" s="957"/>
      <c r="H716" s="957"/>
      <c r="I716" s="957"/>
      <c r="J716" s="957"/>
      <c r="K716" s="957"/>
      <c r="L716" s="957"/>
      <c r="M716" s="957"/>
      <c r="N716" s="957"/>
      <c r="O716" s="4"/>
      <c r="P716" s="4"/>
      <c r="Q716" s="4"/>
      <c r="R716" s="4"/>
      <c r="S716" s="4"/>
      <c r="T716" s="4"/>
      <c r="U716" s="4"/>
      <c r="V716" s="4"/>
      <c r="W716" s="4"/>
      <c r="X716" s="4"/>
    </row>
    <row r="717" spans="1:24" ht="12.75">
      <c r="A717" s="4"/>
      <c r="B717" s="4"/>
      <c r="C717" s="4"/>
      <c r="D717" s="4"/>
      <c r="E717" s="957"/>
      <c r="F717" s="957"/>
      <c r="G717" s="957"/>
      <c r="H717" s="957"/>
      <c r="I717" s="957"/>
      <c r="J717" s="957"/>
      <c r="K717" s="957"/>
      <c r="L717" s="957"/>
      <c r="M717" s="957"/>
      <c r="N717" s="957"/>
      <c r="O717" s="4"/>
      <c r="P717" s="4"/>
      <c r="Q717" s="4"/>
      <c r="R717" s="4"/>
      <c r="S717" s="4"/>
      <c r="T717" s="4"/>
      <c r="U717" s="4"/>
      <c r="V717" s="4"/>
      <c r="W717" s="4"/>
      <c r="X717" s="4"/>
    </row>
    <row r="718" spans="1:24" ht="12.75">
      <c r="A718" s="4"/>
      <c r="B718" s="4"/>
      <c r="C718" s="4"/>
      <c r="D718" s="4"/>
      <c r="E718" s="957"/>
      <c r="F718" s="957"/>
      <c r="G718" s="957"/>
      <c r="H718" s="957"/>
      <c r="I718" s="957"/>
      <c r="J718" s="957"/>
      <c r="K718" s="957"/>
      <c r="L718" s="957"/>
      <c r="M718" s="957"/>
      <c r="N718" s="957"/>
      <c r="O718" s="4"/>
      <c r="P718" s="4"/>
      <c r="Q718" s="4"/>
      <c r="R718" s="4"/>
      <c r="S718" s="4"/>
      <c r="T718" s="4"/>
      <c r="U718" s="4"/>
      <c r="V718" s="4"/>
      <c r="W718" s="4"/>
      <c r="X718" s="4"/>
    </row>
    <row r="719" spans="1:24" ht="12.75">
      <c r="A719" s="4"/>
      <c r="B719" s="4"/>
      <c r="C719" s="4"/>
      <c r="D719" s="4"/>
      <c r="E719" s="957"/>
      <c r="F719" s="957"/>
      <c r="G719" s="957"/>
      <c r="H719" s="957"/>
      <c r="I719" s="957"/>
      <c r="J719" s="957"/>
      <c r="K719" s="957"/>
      <c r="L719" s="957"/>
      <c r="M719" s="957"/>
      <c r="N719" s="957"/>
      <c r="O719" s="4"/>
      <c r="P719" s="4"/>
      <c r="Q719" s="4"/>
      <c r="R719" s="4"/>
      <c r="S719" s="4"/>
      <c r="T719" s="4"/>
      <c r="U719" s="4"/>
      <c r="V719" s="4"/>
      <c r="W719" s="4"/>
      <c r="X719" s="4"/>
    </row>
    <row r="720" spans="1:24" ht="12.75">
      <c r="A720" s="4"/>
      <c r="B720" s="4"/>
      <c r="C720" s="4"/>
      <c r="D720" s="4"/>
      <c r="E720" s="957"/>
      <c r="F720" s="957"/>
      <c r="G720" s="957"/>
      <c r="H720" s="957"/>
      <c r="I720" s="957"/>
      <c r="J720" s="957"/>
      <c r="K720" s="957"/>
      <c r="L720" s="957"/>
      <c r="M720" s="957"/>
      <c r="N720" s="957"/>
      <c r="O720" s="4"/>
      <c r="P720" s="4"/>
      <c r="Q720" s="4"/>
      <c r="R720" s="4"/>
      <c r="S720" s="4"/>
      <c r="T720" s="4"/>
      <c r="U720" s="4"/>
      <c r="V720" s="4"/>
      <c r="W720" s="4"/>
      <c r="X720" s="4"/>
    </row>
    <row r="721" spans="1:24" ht="12.75">
      <c r="A721" s="4"/>
      <c r="B721" s="4"/>
      <c r="C721" s="4"/>
      <c r="D721" s="4"/>
      <c r="E721" s="957"/>
      <c r="F721" s="957"/>
      <c r="G721" s="957"/>
      <c r="H721" s="957"/>
      <c r="I721" s="957"/>
      <c r="J721" s="957"/>
      <c r="K721" s="957"/>
      <c r="L721" s="957"/>
      <c r="M721" s="957"/>
      <c r="N721" s="957"/>
      <c r="O721" s="4"/>
      <c r="P721" s="4"/>
      <c r="Q721" s="4"/>
      <c r="R721" s="4"/>
      <c r="S721" s="4"/>
      <c r="T721" s="4"/>
      <c r="U721" s="4"/>
      <c r="V721" s="4"/>
      <c r="W721" s="4"/>
      <c r="X721" s="4"/>
    </row>
    <row r="722" spans="1:24" ht="12.75">
      <c r="A722" s="4"/>
      <c r="B722" s="4"/>
      <c r="C722" s="4"/>
      <c r="D722" s="4"/>
      <c r="E722" s="957"/>
      <c r="F722" s="957"/>
      <c r="G722" s="957"/>
      <c r="H722" s="957"/>
      <c r="I722" s="957"/>
      <c r="J722" s="957"/>
      <c r="K722" s="957"/>
      <c r="L722" s="957"/>
      <c r="M722" s="957"/>
      <c r="N722" s="957"/>
      <c r="O722" s="4"/>
      <c r="P722" s="4"/>
      <c r="Q722" s="4"/>
      <c r="R722" s="4"/>
      <c r="S722" s="4"/>
      <c r="T722" s="4"/>
      <c r="U722" s="4"/>
      <c r="V722" s="4"/>
      <c r="W722" s="4"/>
      <c r="X722" s="4"/>
    </row>
    <row r="723" spans="1:24" ht="12.75">
      <c r="A723" s="4"/>
      <c r="B723" s="4"/>
      <c r="C723" s="4"/>
      <c r="D723" s="4"/>
      <c r="E723" s="957"/>
      <c r="F723" s="957"/>
      <c r="G723" s="957"/>
      <c r="H723" s="957"/>
      <c r="I723" s="957"/>
      <c r="J723" s="957"/>
      <c r="K723" s="957"/>
      <c r="L723" s="957"/>
      <c r="M723" s="957"/>
      <c r="N723" s="957"/>
      <c r="O723" s="4"/>
      <c r="P723" s="4"/>
      <c r="Q723" s="4"/>
      <c r="R723" s="4"/>
      <c r="S723" s="4"/>
      <c r="T723" s="4"/>
      <c r="U723" s="4"/>
      <c r="V723" s="4"/>
      <c r="W723" s="4"/>
      <c r="X723" s="4"/>
    </row>
    <row r="724" spans="1:24" ht="12.75">
      <c r="A724" s="4"/>
      <c r="B724" s="4"/>
      <c r="C724" s="4"/>
      <c r="D724" s="4"/>
      <c r="E724" s="957"/>
      <c r="F724" s="957"/>
      <c r="G724" s="957"/>
      <c r="H724" s="957"/>
      <c r="I724" s="957"/>
      <c r="J724" s="957"/>
      <c r="K724" s="957"/>
      <c r="L724" s="957"/>
      <c r="M724" s="957"/>
      <c r="N724" s="957"/>
      <c r="O724" s="4"/>
      <c r="P724" s="4"/>
      <c r="Q724" s="4"/>
      <c r="R724" s="4"/>
      <c r="S724" s="4"/>
      <c r="T724" s="4"/>
      <c r="U724" s="4"/>
      <c r="V724" s="4"/>
      <c r="W724" s="4"/>
      <c r="X724" s="4"/>
    </row>
    <row r="725" spans="1:24" ht="12.75">
      <c r="A725" s="4"/>
      <c r="B725" s="4"/>
      <c r="C725" s="4"/>
      <c r="D725" s="4"/>
      <c r="E725" s="957"/>
      <c r="F725" s="957"/>
      <c r="G725" s="957"/>
      <c r="H725" s="957"/>
      <c r="I725" s="957"/>
      <c r="J725" s="957"/>
      <c r="K725" s="957"/>
      <c r="L725" s="957"/>
      <c r="M725" s="957"/>
      <c r="N725" s="957"/>
      <c r="O725" s="4"/>
      <c r="P725" s="4"/>
      <c r="Q725" s="4"/>
      <c r="R725" s="4"/>
      <c r="S725" s="4"/>
      <c r="T725" s="4"/>
      <c r="U725" s="4"/>
      <c r="V725" s="4"/>
      <c r="W725" s="4"/>
      <c r="X725" s="4"/>
    </row>
    <row r="726" spans="1:24" ht="12.75">
      <c r="A726" s="4"/>
      <c r="B726" s="4"/>
      <c r="C726" s="4"/>
      <c r="D726" s="4"/>
      <c r="E726" s="957"/>
      <c r="F726" s="957"/>
      <c r="G726" s="957"/>
      <c r="H726" s="957"/>
      <c r="I726" s="957"/>
      <c r="J726" s="957"/>
      <c r="K726" s="957"/>
      <c r="L726" s="957"/>
      <c r="M726" s="957"/>
      <c r="N726" s="957"/>
      <c r="O726" s="4"/>
      <c r="P726" s="4"/>
      <c r="Q726" s="4"/>
      <c r="R726" s="4"/>
      <c r="S726" s="4"/>
      <c r="T726" s="4"/>
      <c r="U726" s="4"/>
      <c r="V726" s="4"/>
      <c r="W726" s="4"/>
      <c r="X726" s="4"/>
    </row>
    <row r="727" spans="1:24" ht="12.75">
      <c r="A727" s="4"/>
      <c r="B727" s="4"/>
      <c r="C727" s="4"/>
      <c r="D727" s="4"/>
      <c r="E727" s="957"/>
      <c r="F727" s="957"/>
      <c r="G727" s="957"/>
      <c r="H727" s="957"/>
      <c r="I727" s="957"/>
      <c r="J727" s="957"/>
      <c r="K727" s="957"/>
      <c r="L727" s="957"/>
      <c r="M727" s="957"/>
      <c r="N727" s="957"/>
      <c r="O727" s="4"/>
      <c r="P727" s="4"/>
      <c r="Q727" s="4"/>
      <c r="R727" s="4"/>
      <c r="S727" s="4"/>
      <c r="T727" s="4"/>
      <c r="U727" s="4"/>
      <c r="V727" s="4"/>
      <c r="W727" s="4"/>
      <c r="X727" s="4"/>
    </row>
    <row r="728" spans="1:24" ht="12.75">
      <c r="A728" s="4"/>
      <c r="B728" s="4"/>
      <c r="C728" s="4"/>
      <c r="D728" s="4"/>
      <c r="E728" s="957"/>
      <c r="F728" s="957"/>
      <c r="G728" s="957"/>
      <c r="H728" s="957"/>
      <c r="I728" s="957"/>
      <c r="J728" s="957"/>
      <c r="K728" s="957"/>
      <c r="L728" s="957"/>
      <c r="M728" s="957"/>
      <c r="N728" s="957"/>
      <c r="O728" s="4"/>
      <c r="P728" s="4"/>
      <c r="Q728" s="4"/>
      <c r="R728" s="4"/>
      <c r="S728" s="4"/>
      <c r="T728" s="4"/>
      <c r="U728" s="4"/>
      <c r="V728" s="4"/>
      <c r="W728" s="4"/>
      <c r="X728" s="4"/>
    </row>
    <row r="729" spans="1:24" ht="12.75">
      <c r="A729" s="4"/>
      <c r="B729" s="4"/>
      <c r="C729" s="4"/>
      <c r="D729" s="4"/>
      <c r="E729" s="957"/>
      <c r="F729" s="957"/>
      <c r="G729" s="957"/>
      <c r="H729" s="957"/>
      <c r="I729" s="957"/>
      <c r="J729" s="957"/>
      <c r="K729" s="957"/>
      <c r="L729" s="957"/>
      <c r="M729" s="957"/>
      <c r="N729" s="957"/>
      <c r="O729" s="4"/>
      <c r="P729" s="4"/>
      <c r="Q729" s="4"/>
      <c r="R729" s="4"/>
      <c r="S729" s="4"/>
      <c r="T729" s="4"/>
      <c r="U729" s="4"/>
      <c r="V729" s="4"/>
      <c r="W729" s="4"/>
      <c r="X729" s="4"/>
    </row>
    <row r="730" spans="1:24" ht="12.75">
      <c r="A730" s="4"/>
      <c r="B730" s="4"/>
      <c r="C730" s="4"/>
      <c r="D730" s="4"/>
      <c r="E730" s="957"/>
      <c r="F730" s="957"/>
      <c r="G730" s="957"/>
      <c r="H730" s="957"/>
      <c r="I730" s="957"/>
      <c r="J730" s="957"/>
      <c r="K730" s="957"/>
      <c r="L730" s="957"/>
      <c r="M730" s="957"/>
      <c r="N730" s="957"/>
      <c r="O730" s="4"/>
      <c r="P730" s="4"/>
      <c r="Q730" s="4"/>
      <c r="R730" s="4"/>
      <c r="S730" s="4"/>
      <c r="T730" s="4"/>
      <c r="U730" s="4"/>
      <c r="V730" s="4"/>
      <c r="W730" s="4"/>
      <c r="X730" s="4"/>
    </row>
    <row r="731" spans="1:24" ht="12.75">
      <c r="A731" s="4"/>
      <c r="B731" s="4"/>
      <c r="C731" s="4"/>
      <c r="D731" s="4"/>
      <c r="E731" s="957"/>
      <c r="F731" s="957"/>
      <c r="G731" s="957"/>
      <c r="H731" s="957"/>
      <c r="I731" s="957"/>
      <c r="J731" s="957"/>
      <c r="K731" s="957"/>
      <c r="L731" s="957"/>
      <c r="M731" s="957"/>
      <c r="N731" s="957"/>
      <c r="O731" s="4"/>
      <c r="P731" s="4"/>
      <c r="Q731" s="4"/>
      <c r="R731" s="4"/>
      <c r="S731" s="4"/>
      <c r="T731" s="4"/>
      <c r="U731" s="4"/>
      <c r="V731" s="4"/>
      <c r="W731" s="4"/>
      <c r="X731" s="4"/>
    </row>
    <row r="732" spans="1:24" ht="12.75">
      <c r="A732" s="4"/>
      <c r="B732" s="4"/>
      <c r="C732" s="4"/>
      <c r="D732" s="4"/>
      <c r="E732" s="957"/>
      <c r="F732" s="957"/>
      <c r="G732" s="957"/>
      <c r="H732" s="957"/>
      <c r="I732" s="957"/>
      <c r="J732" s="957"/>
      <c r="K732" s="957"/>
      <c r="L732" s="957"/>
      <c r="M732" s="957"/>
      <c r="N732" s="957"/>
      <c r="O732" s="4"/>
      <c r="P732" s="4"/>
      <c r="Q732" s="4"/>
      <c r="R732" s="4"/>
      <c r="S732" s="4"/>
      <c r="T732" s="4"/>
      <c r="U732" s="4"/>
      <c r="V732" s="4"/>
      <c r="W732" s="4"/>
      <c r="X732" s="4"/>
    </row>
    <row r="733" spans="1:24" ht="12.75">
      <c r="A733" s="4"/>
      <c r="B733" s="4"/>
      <c r="C733" s="4"/>
      <c r="D733" s="4"/>
      <c r="E733" s="957"/>
      <c r="F733" s="957"/>
      <c r="G733" s="957"/>
      <c r="H733" s="957"/>
      <c r="I733" s="957"/>
      <c r="J733" s="957"/>
      <c r="K733" s="957"/>
      <c r="L733" s="957"/>
      <c r="M733" s="957"/>
      <c r="N733" s="957"/>
      <c r="O733" s="4"/>
      <c r="P733" s="4"/>
      <c r="Q733" s="4"/>
      <c r="R733" s="4"/>
      <c r="S733" s="4"/>
      <c r="T733" s="4"/>
      <c r="U733" s="4"/>
      <c r="V733" s="4"/>
      <c r="W733" s="4"/>
      <c r="X733" s="4"/>
    </row>
    <row r="734" spans="1:24" ht="12.75">
      <c r="A734" s="4"/>
      <c r="B734" s="4"/>
      <c r="C734" s="4"/>
      <c r="D734" s="4"/>
      <c r="E734" s="957"/>
      <c r="F734" s="957"/>
      <c r="G734" s="957"/>
      <c r="H734" s="957"/>
      <c r="I734" s="957"/>
      <c r="J734" s="957"/>
      <c r="K734" s="957"/>
      <c r="L734" s="957"/>
      <c r="M734" s="957"/>
      <c r="N734" s="957"/>
      <c r="O734" s="4"/>
      <c r="P734" s="4"/>
      <c r="Q734" s="4"/>
      <c r="R734" s="4"/>
      <c r="S734" s="4"/>
      <c r="T734" s="4"/>
      <c r="U734" s="4"/>
      <c r="V734" s="4"/>
      <c r="W734" s="4"/>
      <c r="X734" s="4"/>
    </row>
    <row r="735" spans="1:24" ht="12.75">
      <c r="A735" s="4"/>
      <c r="B735" s="4"/>
      <c r="C735" s="4"/>
      <c r="D735" s="4"/>
      <c r="E735" s="957"/>
      <c r="F735" s="957"/>
      <c r="G735" s="957"/>
      <c r="H735" s="957"/>
      <c r="I735" s="957"/>
      <c r="J735" s="957"/>
      <c r="K735" s="957"/>
      <c r="L735" s="957"/>
      <c r="M735" s="957"/>
      <c r="N735" s="957"/>
      <c r="O735" s="4"/>
      <c r="P735" s="4"/>
      <c r="Q735" s="4"/>
      <c r="R735" s="4"/>
      <c r="S735" s="4"/>
      <c r="T735" s="4"/>
      <c r="U735" s="4"/>
      <c r="V735" s="4"/>
      <c r="W735" s="4"/>
      <c r="X735" s="4"/>
    </row>
    <row r="736" spans="1:24" ht="12.75">
      <c r="A736" s="4"/>
      <c r="B736" s="4"/>
      <c r="C736" s="4"/>
      <c r="D736" s="4"/>
      <c r="E736" s="957"/>
      <c r="F736" s="957"/>
      <c r="G736" s="957"/>
      <c r="H736" s="957"/>
      <c r="I736" s="957"/>
      <c r="J736" s="957"/>
      <c r="K736" s="957"/>
      <c r="L736" s="957"/>
      <c r="M736" s="957"/>
      <c r="N736" s="957"/>
      <c r="O736" s="4"/>
      <c r="P736" s="4"/>
      <c r="Q736" s="4"/>
      <c r="R736" s="4"/>
      <c r="S736" s="4"/>
      <c r="T736" s="4"/>
      <c r="U736" s="4"/>
      <c r="V736" s="4"/>
      <c r="W736" s="4"/>
      <c r="X736" s="4"/>
    </row>
    <row r="737" spans="1:24" ht="12.75">
      <c r="A737" s="4"/>
      <c r="B737" s="4"/>
      <c r="C737" s="4"/>
      <c r="D737" s="4"/>
      <c r="E737" s="957"/>
      <c r="F737" s="957"/>
      <c r="G737" s="957"/>
      <c r="H737" s="957"/>
      <c r="I737" s="957"/>
      <c r="J737" s="957"/>
      <c r="K737" s="957"/>
      <c r="L737" s="957"/>
      <c r="M737" s="957"/>
      <c r="N737" s="957"/>
      <c r="O737" s="4"/>
      <c r="P737" s="4"/>
      <c r="Q737" s="4"/>
      <c r="R737" s="4"/>
      <c r="S737" s="4"/>
      <c r="T737" s="4"/>
      <c r="U737" s="4"/>
      <c r="V737" s="4"/>
      <c r="W737" s="4"/>
      <c r="X737" s="4"/>
    </row>
    <row r="738" spans="1:24" ht="12.75">
      <c r="A738" s="4"/>
      <c r="B738" s="4"/>
      <c r="C738" s="4"/>
      <c r="D738" s="4"/>
      <c r="E738" s="957"/>
      <c r="F738" s="957"/>
      <c r="G738" s="957"/>
      <c r="H738" s="957"/>
      <c r="I738" s="957"/>
      <c r="J738" s="957"/>
      <c r="K738" s="957"/>
      <c r="L738" s="957"/>
      <c r="M738" s="957"/>
      <c r="N738" s="957"/>
      <c r="O738" s="4"/>
      <c r="P738" s="4"/>
      <c r="Q738" s="4"/>
      <c r="R738" s="4"/>
      <c r="S738" s="4"/>
      <c r="T738" s="4"/>
      <c r="U738" s="4"/>
      <c r="V738" s="4"/>
      <c r="W738" s="4"/>
      <c r="X738" s="4"/>
    </row>
    <row r="739" spans="1:24" ht="12.75">
      <c r="A739" s="4"/>
      <c r="B739" s="4"/>
      <c r="C739" s="4"/>
      <c r="D739" s="4"/>
      <c r="E739" s="957"/>
      <c r="F739" s="957"/>
      <c r="G739" s="957"/>
      <c r="H739" s="957"/>
      <c r="I739" s="957"/>
      <c r="J739" s="957"/>
      <c r="K739" s="957"/>
      <c r="L739" s="957"/>
      <c r="M739" s="957"/>
      <c r="N739" s="957"/>
      <c r="O739" s="4"/>
      <c r="P739" s="4"/>
      <c r="Q739" s="4"/>
      <c r="R739" s="4"/>
      <c r="S739" s="4"/>
      <c r="T739" s="4"/>
      <c r="U739" s="4"/>
      <c r="V739" s="4"/>
      <c r="W739" s="4"/>
      <c r="X739" s="4"/>
    </row>
    <row r="740" spans="1:24" ht="12.75">
      <c r="A740" s="4"/>
      <c r="B740" s="4"/>
      <c r="C740" s="4"/>
      <c r="D740" s="4"/>
      <c r="E740" s="957"/>
      <c r="F740" s="957"/>
      <c r="G740" s="957"/>
      <c r="H740" s="957"/>
      <c r="I740" s="957"/>
      <c r="J740" s="957"/>
      <c r="K740" s="957"/>
      <c r="L740" s="957"/>
      <c r="M740" s="957"/>
      <c r="N740" s="957"/>
      <c r="O740" s="4"/>
      <c r="P740" s="4"/>
      <c r="Q740" s="4"/>
      <c r="R740" s="4"/>
      <c r="S740" s="4"/>
      <c r="T740" s="4"/>
      <c r="U740" s="4"/>
      <c r="V740" s="4"/>
      <c r="W740" s="4"/>
      <c r="X740" s="4"/>
    </row>
    <row r="741" spans="1:24" ht="12.75">
      <c r="A741" s="4"/>
      <c r="B741" s="4"/>
      <c r="C741" s="4"/>
      <c r="D741" s="4"/>
      <c r="E741" s="957"/>
      <c r="F741" s="957"/>
      <c r="G741" s="957"/>
      <c r="H741" s="957"/>
      <c r="I741" s="957"/>
      <c r="J741" s="957"/>
      <c r="K741" s="957"/>
      <c r="L741" s="957"/>
      <c r="M741" s="957"/>
      <c r="N741" s="957"/>
      <c r="O741" s="4"/>
      <c r="P741" s="4"/>
      <c r="Q741" s="4"/>
      <c r="R741" s="4"/>
      <c r="S741" s="4"/>
      <c r="T741" s="4"/>
      <c r="U741" s="4"/>
      <c r="V741" s="4"/>
      <c r="W741" s="4"/>
      <c r="X741" s="4"/>
    </row>
    <row r="742" spans="1:24" ht="12.75">
      <c r="A742" s="4"/>
      <c r="B742" s="4"/>
      <c r="C742" s="4"/>
      <c r="D742" s="4"/>
      <c r="E742" s="957"/>
      <c r="F742" s="957"/>
      <c r="G742" s="957"/>
      <c r="H742" s="957"/>
      <c r="I742" s="957"/>
      <c r="J742" s="957"/>
      <c r="K742" s="957"/>
      <c r="L742" s="957"/>
      <c r="M742" s="957"/>
      <c r="N742" s="957"/>
      <c r="O742" s="4"/>
      <c r="P742" s="4"/>
      <c r="Q742" s="4"/>
      <c r="R742" s="4"/>
      <c r="S742" s="4"/>
      <c r="T742" s="4"/>
      <c r="U742" s="4"/>
      <c r="V742" s="4"/>
      <c r="W742" s="4"/>
      <c r="X742" s="4"/>
    </row>
    <row r="743" spans="1:24" ht="12.75">
      <c r="A743" s="4"/>
      <c r="B743" s="4"/>
      <c r="C743" s="4"/>
      <c r="D743" s="4"/>
      <c r="E743" s="957"/>
      <c r="F743" s="957"/>
      <c r="G743" s="957"/>
      <c r="H743" s="957"/>
      <c r="I743" s="957"/>
      <c r="J743" s="957"/>
      <c r="K743" s="957"/>
      <c r="L743" s="957"/>
      <c r="M743" s="957"/>
      <c r="N743" s="957"/>
      <c r="O743" s="4"/>
      <c r="P743" s="4"/>
      <c r="Q743" s="4"/>
      <c r="R743" s="4"/>
      <c r="S743" s="4"/>
      <c r="T743" s="4"/>
      <c r="U743" s="4"/>
      <c r="V743" s="4"/>
      <c r="W743" s="4"/>
      <c r="X743" s="4"/>
    </row>
    <row r="744" spans="1:24" ht="12.75">
      <c r="A744" s="4"/>
      <c r="B744" s="4"/>
      <c r="C744" s="4"/>
      <c r="D744" s="4"/>
      <c r="E744" s="957"/>
      <c r="F744" s="957"/>
      <c r="G744" s="957"/>
      <c r="H744" s="957"/>
      <c r="I744" s="957"/>
      <c r="J744" s="957"/>
      <c r="K744" s="957"/>
      <c r="L744" s="957"/>
      <c r="M744" s="957"/>
      <c r="N744" s="957"/>
      <c r="O744" s="4"/>
      <c r="P744" s="4"/>
      <c r="Q744" s="4"/>
      <c r="R744" s="4"/>
      <c r="S744" s="4"/>
      <c r="T744" s="4"/>
      <c r="U744" s="4"/>
      <c r="V744" s="4"/>
      <c r="W744" s="4"/>
      <c r="X744" s="4"/>
    </row>
    <row r="745" spans="1:24" ht="12.75">
      <c r="A745" s="4"/>
      <c r="B745" s="4"/>
      <c r="C745" s="4"/>
      <c r="D745" s="4"/>
      <c r="E745" s="957"/>
      <c r="F745" s="957"/>
      <c r="G745" s="957"/>
      <c r="H745" s="957"/>
      <c r="I745" s="957"/>
      <c r="J745" s="957"/>
      <c r="K745" s="957"/>
      <c r="L745" s="957"/>
      <c r="M745" s="957"/>
      <c r="N745" s="957"/>
      <c r="O745" s="4"/>
      <c r="P745" s="4"/>
      <c r="Q745" s="4"/>
      <c r="R745" s="4"/>
      <c r="S745" s="4"/>
      <c r="T745" s="4"/>
      <c r="U745" s="4"/>
      <c r="V745" s="4"/>
      <c r="W745" s="4"/>
      <c r="X745" s="4"/>
    </row>
    <row r="746" spans="1:24" ht="12.75">
      <c r="A746" s="4"/>
      <c r="B746" s="4"/>
      <c r="C746" s="4"/>
      <c r="D746" s="4"/>
      <c r="E746" s="957"/>
      <c r="F746" s="957"/>
      <c r="G746" s="957"/>
      <c r="H746" s="957"/>
      <c r="I746" s="957"/>
      <c r="J746" s="957"/>
      <c r="K746" s="957"/>
      <c r="L746" s="957"/>
      <c r="M746" s="957"/>
      <c r="N746" s="957"/>
      <c r="O746" s="4"/>
      <c r="P746" s="4"/>
      <c r="Q746" s="4"/>
      <c r="R746" s="4"/>
      <c r="S746" s="4"/>
      <c r="T746" s="4"/>
      <c r="U746" s="4"/>
      <c r="V746" s="4"/>
      <c r="W746" s="4"/>
      <c r="X746" s="4"/>
    </row>
    <row r="747" spans="1:24" ht="12.75">
      <c r="A747" s="4"/>
      <c r="B747" s="4"/>
      <c r="C747" s="4"/>
      <c r="D747" s="4"/>
      <c r="E747" s="957"/>
      <c r="F747" s="957"/>
      <c r="G747" s="957"/>
      <c r="H747" s="957"/>
      <c r="I747" s="957"/>
      <c r="J747" s="957"/>
      <c r="K747" s="957"/>
      <c r="L747" s="957"/>
      <c r="M747" s="957"/>
      <c r="N747" s="957"/>
      <c r="O747" s="4"/>
      <c r="P747" s="4"/>
      <c r="Q747" s="4"/>
      <c r="R747" s="4"/>
      <c r="S747" s="4"/>
      <c r="T747" s="4"/>
      <c r="U747" s="4"/>
      <c r="V747" s="4"/>
      <c r="W747" s="4"/>
      <c r="X747" s="4"/>
    </row>
    <row r="748" spans="1:24" ht="12.75">
      <c r="A748" s="4"/>
      <c r="B748" s="4"/>
      <c r="C748" s="4"/>
      <c r="D748" s="4"/>
      <c r="E748" s="957"/>
      <c r="F748" s="957"/>
      <c r="G748" s="957"/>
      <c r="H748" s="957"/>
      <c r="I748" s="957"/>
      <c r="J748" s="957"/>
      <c r="K748" s="957"/>
      <c r="L748" s="957"/>
      <c r="M748" s="957"/>
      <c r="N748" s="957"/>
      <c r="O748" s="4"/>
      <c r="P748" s="4"/>
      <c r="Q748" s="4"/>
      <c r="R748" s="4"/>
      <c r="S748" s="4"/>
      <c r="T748" s="4"/>
      <c r="U748" s="4"/>
      <c r="V748" s="4"/>
      <c r="W748" s="4"/>
      <c r="X748" s="4"/>
    </row>
    <row r="749" spans="1:24" ht="12.75">
      <c r="A749" s="4"/>
      <c r="B749" s="4"/>
      <c r="C749" s="4"/>
      <c r="D749" s="4"/>
      <c r="E749" s="957"/>
      <c r="F749" s="957"/>
      <c r="G749" s="957"/>
      <c r="H749" s="957"/>
      <c r="I749" s="957"/>
      <c r="J749" s="957"/>
      <c r="K749" s="957"/>
      <c r="L749" s="957"/>
      <c r="M749" s="957"/>
      <c r="N749" s="957"/>
      <c r="O749" s="4"/>
      <c r="P749" s="4"/>
      <c r="Q749" s="4"/>
      <c r="R749" s="4"/>
      <c r="S749" s="4"/>
      <c r="T749" s="4"/>
      <c r="U749" s="4"/>
      <c r="V749" s="4"/>
      <c r="W749" s="4"/>
      <c r="X749" s="4"/>
    </row>
    <row r="750" spans="1:24" ht="12.75">
      <c r="A750" s="4"/>
      <c r="B750" s="4"/>
      <c r="C750" s="4"/>
      <c r="D750" s="4"/>
      <c r="E750" s="957"/>
      <c r="F750" s="957"/>
      <c r="G750" s="957"/>
      <c r="H750" s="957"/>
      <c r="I750" s="957"/>
      <c r="J750" s="957"/>
      <c r="K750" s="957"/>
      <c r="L750" s="957"/>
      <c r="M750" s="957"/>
      <c r="N750" s="957"/>
      <c r="O750" s="4"/>
      <c r="P750" s="4"/>
      <c r="Q750" s="4"/>
      <c r="R750" s="4"/>
      <c r="S750" s="4"/>
      <c r="T750" s="4"/>
      <c r="U750" s="4"/>
      <c r="V750" s="4"/>
      <c r="W750" s="4"/>
      <c r="X750" s="4"/>
    </row>
    <row r="751" spans="1:24" ht="12.75">
      <c r="A751" s="4"/>
      <c r="B751" s="4"/>
      <c r="C751" s="4"/>
      <c r="D751" s="4"/>
      <c r="E751" s="957"/>
      <c r="F751" s="957"/>
      <c r="G751" s="957"/>
      <c r="H751" s="957"/>
      <c r="I751" s="957"/>
      <c r="J751" s="957"/>
      <c r="K751" s="957"/>
      <c r="L751" s="957"/>
      <c r="M751" s="957"/>
      <c r="N751" s="957"/>
      <c r="O751" s="4"/>
      <c r="P751" s="4"/>
      <c r="Q751" s="4"/>
      <c r="R751" s="4"/>
      <c r="S751" s="4"/>
      <c r="T751" s="4"/>
      <c r="U751" s="4"/>
      <c r="V751" s="4"/>
      <c r="W751" s="4"/>
      <c r="X751" s="4"/>
    </row>
    <row r="752" spans="1:24" ht="12.75">
      <c r="A752" s="4"/>
      <c r="B752" s="4"/>
      <c r="C752" s="4"/>
      <c r="D752" s="4"/>
      <c r="E752" s="957"/>
      <c r="F752" s="957"/>
      <c r="G752" s="957"/>
      <c r="H752" s="957"/>
      <c r="I752" s="957"/>
      <c r="J752" s="957"/>
      <c r="K752" s="957"/>
      <c r="L752" s="957"/>
      <c r="M752" s="957"/>
      <c r="N752" s="957"/>
      <c r="O752" s="4"/>
      <c r="P752" s="4"/>
      <c r="Q752" s="4"/>
      <c r="R752" s="4"/>
      <c r="S752" s="4"/>
      <c r="T752" s="4"/>
      <c r="U752" s="4"/>
      <c r="V752" s="4"/>
      <c r="W752" s="4"/>
      <c r="X752" s="4"/>
    </row>
    <row r="753" spans="1:24" ht="12.75">
      <c r="A753" s="4"/>
      <c r="B753" s="4"/>
      <c r="C753" s="4"/>
      <c r="D753" s="4"/>
      <c r="E753" s="957"/>
      <c r="F753" s="957"/>
      <c r="G753" s="957"/>
      <c r="H753" s="957"/>
      <c r="I753" s="957"/>
      <c r="J753" s="957"/>
      <c r="K753" s="957"/>
      <c r="L753" s="957"/>
      <c r="M753" s="957"/>
      <c r="N753" s="957"/>
      <c r="O753" s="4"/>
      <c r="P753" s="4"/>
      <c r="Q753" s="4"/>
      <c r="R753" s="4"/>
      <c r="S753" s="4"/>
      <c r="T753" s="4"/>
      <c r="U753" s="4"/>
      <c r="V753" s="4"/>
      <c r="W753" s="4"/>
      <c r="X753" s="4"/>
    </row>
    <row r="754" spans="1:24" ht="12.75">
      <c r="A754" s="4"/>
      <c r="B754" s="4"/>
      <c r="C754" s="4"/>
      <c r="D754" s="4"/>
      <c r="E754" s="957"/>
      <c r="F754" s="957"/>
      <c r="G754" s="957"/>
      <c r="H754" s="957"/>
      <c r="I754" s="957"/>
      <c r="J754" s="957"/>
      <c r="K754" s="957"/>
      <c r="L754" s="957"/>
      <c r="M754" s="957"/>
      <c r="N754" s="957"/>
      <c r="O754" s="4"/>
      <c r="P754" s="4"/>
      <c r="Q754" s="4"/>
      <c r="R754" s="4"/>
      <c r="S754" s="4"/>
      <c r="T754" s="4"/>
      <c r="U754" s="4"/>
      <c r="V754" s="4"/>
      <c r="W754" s="4"/>
      <c r="X754" s="4"/>
    </row>
    <row r="755" spans="1:24" ht="12.75">
      <c r="A755" s="4"/>
      <c r="B755" s="4"/>
      <c r="C755" s="4"/>
      <c r="D755" s="4"/>
      <c r="E755" s="957"/>
      <c r="F755" s="957"/>
      <c r="G755" s="957"/>
      <c r="H755" s="957"/>
      <c r="I755" s="957"/>
      <c r="J755" s="957"/>
      <c r="K755" s="957"/>
      <c r="L755" s="957"/>
      <c r="M755" s="957"/>
      <c r="N755" s="957"/>
      <c r="O755" s="4"/>
      <c r="P755" s="4"/>
      <c r="Q755" s="4"/>
      <c r="R755" s="4"/>
      <c r="S755" s="4"/>
      <c r="T755" s="4"/>
      <c r="U755" s="4"/>
      <c r="V755" s="4"/>
      <c r="W755" s="4"/>
      <c r="X755" s="4"/>
    </row>
    <row r="756" spans="1:24" ht="12.75">
      <c r="A756" s="4"/>
      <c r="B756" s="4"/>
      <c r="C756" s="4"/>
      <c r="D756" s="4"/>
      <c r="E756" s="957"/>
      <c r="F756" s="957"/>
      <c r="G756" s="957"/>
      <c r="H756" s="957"/>
      <c r="I756" s="957"/>
      <c r="J756" s="957"/>
      <c r="K756" s="957"/>
      <c r="L756" s="957"/>
      <c r="M756" s="957"/>
      <c r="N756" s="957"/>
      <c r="O756" s="4"/>
      <c r="P756" s="4"/>
      <c r="Q756" s="4"/>
      <c r="R756" s="4"/>
      <c r="S756" s="4"/>
      <c r="T756" s="4"/>
      <c r="U756" s="4"/>
      <c r="V756" s="4"/>
      <c r="W756" s="4"/>
      <c r="X756" s="4"/>
    </row>
    <row r="757" spans="1:24" ht="12.75">
      <c r="A757" s="4"/>
      <c r="B757" s="4"/>
      <c r="C757" s="4"/>
      <c r="D757" s="4"/>
      <c r="E757" s="957"/>
      <c r="F757" s="957"/>
      <c r="G757" s="957"/>
      <c r="H757" s="957"/>
      <c r="I757" s="957"/>
      <c r="J757" s="957"/>
      <c r="K757" s="957"/>
      <c r="L757" s="957"/>
      <c r="M757" s="957"/>
      <c r="N757" s="957"/>
      <c r="O757" s="4"/>
      <c r="P757" s="4"/>
      <c r="Q757" s="4"/>
      <c r="R757" s="4"/>
      <c r="S757" s="4"/>
      <c r="T757" s="4"/>
      <c r="U757" s="4"/>
      <c r="V757" s="4"/>
      <c r="W757" s="4"/>
      <c r="X757" s="4"/>
    </row>
    <row r="758" spans="1:24" ht="12.75">
      <c r="A758" s="4"/>
      <c r="B758" s="4"/>
      <c r="C758" s="4"/>
      <c r="D758" s="4"/>
      <c r="E758" s="957"/>
      <c r="F758" s="957"/>
      <c r="G758" s="957"/>
      <c r="H758" s="957"/>
      <c r="I758" s="957"/>
      <c r="J758" s="957"/>
      <c r="K758" s="957"/>
      <c r="L758" s="957"/>
      <c r="M758" s="957"/>
      <c r="N758" s="957"/>
      <c r="O758" s="4"/>
      <c r="P758" s="4"/>
      <c r="Q758" s="4"/>
      <c r="R758" s="4"/>
      <c r="S758" s="4"/>
      <c r="T758" s="4"/>
      <c r="U758" s="4"/>
      <c r="V758" s="4"/>
      <c r="W758" s="4"/>
      <c r="X758" s="4"/>
    </row>
    <row r="759" spans="1:24" ht="12.75">
      <c r="A759" s="4"/>
      <c r="B759" s="4"/>
      <c r="C759" s="4"/>
      <c r="D759" s="4"/>
      <c r="E759" s="957"/>
      <c r="F759" s="957"/>
      <c r="G759" s="957"/>
      <c r="H759" s="957"/>
      <c r="I759" s="957"/>
      <c r="J759" s="957"/>
      <c r="K759" s="957"/>
      <c r="L759" s="957"/>
      <c r="M759" s="957"/>
      <c r="N759" s="957"/>
      <c r="O759" s="4"/>
      <c r="P759" s="4"/>
      <c r="Q759" s="4"/>
      <c r="R759" s="4"/>
      <c r="S759" s="4"/>
      <c r="T759" s="4"/>
      <c r="U759" s="4"/>
      <c r="V759" s="4"/>
      <c r="W759" s="4"/>
      <c r="X759" s="4"/>
    </row>
    <row r="760" spans="1:24" ht="12.75">
      <c r="A760" s="4"/>
      <c r="B760" s="4"/>
      <c r="C760" s="4"/>
      <c r="D760" s="4"/>
      <c r="E760" s="957"/>
      <c r="F760" s="957"/>
      <c r="G760" s="957"/>
      <c r="H760" s="957"/>
      <c r="I760" s="957"/>
      <c r="J760" s="957"/>
      <c r="K760" s="957"/>
      <c r="L760" s="957"/>
      <c r="M760" s="957"/>
      <c r="N760" s="957"/>
      <c r="O760" s="4"/>
      <c r="P760" s="4"/>
      <c r="Q760" s="4"/>
      <c r="R760" s="4"/>
      <c r="S760" s="4"/>
      <c r="T760" s="4"/>
      <c r="U760" s="4"/>
      <c r="V760" s="4"/>
      <c r="W760" s="4"/>
      <c r="X760" s="4"/>
    </row>
    <row r="761" spans="1:24" ht="12.75">
      <c r="A761" s="4"/>
      <c r="B761" s="4"/>
      <c r="C761" s="4"/>
      <c r="D761" s="4"/>
      <c r="E761" s="957"/>
      <c r="F761" s="957"/>
      <c r="G761" s="957"/>
      <c r="H761" s="957"/>
      <c r="I761" s="957"/>
      <c r="J761" s="957"/>
      <c r="K761" s="957"/>
      <c r="L761" s="957"/>
      <c r="M761" s="957"/>
      <c r="N761" s="957"/>
      <c r="O761" s="4"/>
      <c r="P761" s="4"/>
      <c r="Q761" s="4"/>
      <c r="R761" s="4"/>
      <c r="S761" s="4"/>
      <c r="T761" s="4"/>
      <c r="U761" s="4"/>
      <c r="V761" s="4"/>
      <c r="W761" s="4"/>
      <c r="X761" s="4"/>
    </row>
    <row r="762" spans="1:24" ht="12.75">
      <c r="A762" s="4"/>
      <c r="B762" s="4"/>
      <c r="C762" s="4"/>
      <c r="D762" s="4"/>
      <c r="E762" s="957"/>
      <c r="F762" s="957"/>
      <c r="G762" s="957"/>
      <c r="H762" s="957"/>
      <c r="I762" s="957"/>
      <c r="J762" s="957"/>
      <c r="K762" s="957"/>
      <c r="L762" s="957"/>
      <c r="M762" s="957"/>
      <c r="N762" s="957"/>
      <c r="O762" s="4"/>
      <c r="P762" s="4"/>
      <c r="Q762" s="4"/>
      <c r="R762" s="4"/>
      <c r="S762" s="4"/>
      <c r="T762" s="4"/>
      <c r="U762" s="4"/>
      <c r="V762" s="4"/>
      <c r="W762" s="4"/>
      <c r="X762" s="4"/>
    </row>
    <row r="763" spans="1:24" ht="12.75">
      <c r="A763" s="4"/>
      <c r="B763" s="4"/>
      <c r="C763" s="4"/>
      <c r="D763" s="4"/>
      <c r="E763" s="957"/>
      <c r="F763" s="957"/>
      <c r="G763" s="957"/>
      <c r="H763" s="957"/>
      <c r="I763" s="957"/>
      <c r="J763" s="957"/>
      <c r="K763" s="957"/>
      <c r="L763" s="957"/>
      <c r="M763" s="957"/>
      <c r="N763" s="957"/>
      <c r="O763" s="4"/>
      <c r="P763" s="4"/>
      <c r="Q763" s="4"/>
      <c r="R763" s="4"/>
      <c r="S763" s="4"/>
      <c r="T763" s="4"/>
      <c r="U763" s="4"/>
      <c r="V763" s="4"/>
      <c r="W763" s="4"/>
      <c r="X763" s="4"/>
    </row>
    <row r="764" spans="1:24" ht="12.75">
      <c r="A764" s="4"/>
      <c r="B764" s="4"/>
      <c r="C764" s="4"/>
      <c r="D764" s="4"/>
      <c r="E764" s="957"/>
      <c r="F764" s="957"/>
      <c r="G764" s="957"/>
      <c r="H764" s="957"/>
      <c r="I764" s="957"/>
      <c r="J764" s="957"/>
      <c r="K764" s="957"/>
      <c r="L764" s="957"/>
      <c r="M764" s="957"/>
      <c r="N764" s="957"/>
      <c r="O764" s="4"/>
      <c r="P764" s="4"/>
      <c r="Q764" s="4"/>
      <c r="R764" s="4"/>
      <c r="S764" s="4"/>
      <c r="T764" s="4"/>
      <c r="U764" s="4"/>
      <c r="V764" s="4"/>
      <c r="W764" s="4"/>
      <c r="X764" s="4"/>
    </row>
    <row r="765" spans="1:24" ht="12.75">
      <c r="A765" s="4"/>
      <c r="B765" s="4"/>
      <c r="C765" s="4"/>
      <c r="D765" s="4"/>
      <c r="E765" s="957"/>
      <c r="F765" s="957"/>
      <c r="G765" s="957"/>
      <c r="H765" s="957"/>
      <c r="I765" s="957"/>
      <c r="J765" s="957"/>
      <c r="K765" s="957"/>
      <c r="L765" s="957"/>
      <c r="M765" s="957"/>
      <c r="N765" s="957"/>
      <c r="O765" s="4"/>
      <c r="P765" s="4"/>
      <c r="Q765" s="4"/>
      <c r="R765" s="4"/>
      <c r="S765" s="4"/>
      <c r="T765" s="4"/>
      <c r="U765" s="4"/>
      <c r="V765" s="4"/>
      <c r="W765" s="4"/>
      <c r="X765" s="4"/>
    </row>
    <row r="766" spans="1:24" ht="12.75">
      <c r="A766" s="4"/>
      <c r="B766" s="4"/>
      <c r="C766" s="4"/>
      <c r="D766" s="4"/>
      <c r="E766" s="957"/>
      <c r="F766" s="957"/>
      <c r="G766" s="957"/>
      <c r="H766" s="957"/>
      <c r="I766" s="957"/>
      <c r="J766" s="957"/>
      <c r="K766" s="957"/>
      <c r="L766" s="957"/>
      <c r="M766" s="957"/>
      <c r="N766" s="957"/>
      <c r="O766" s="4"/>
      <c r="P766" s="4"/>
      <c r="Q766" s="4"/>
      <c r="R766" s="4"/>
      <c r="S766" s="4"/>
      <c r="T766" s="4"/>
      <c r="U766" s="4"/>
      <c r="V766" s="4"/>
      <c r="W766" s="4"/>
      <c r="X766" s="4"/>
    </row>
    <row r="767" spans="1:24" ht="12.75">
      <c r="A767" s="4"/>
      <c r="B767" s="4"/>
      <c r="C767" s="4"/>
      <c r="D767" s="4"/>
      <c r="E767" s="957"/>
      <c r="F767" s="957"/>
      <c r="G767" s="957"/>
      <c r="H767" s="957"/>
      <c r="I767" s="957"/>
      <c r="J767" s="957"/>
      <c r="K767" s="957"/>
      <c r="L767" s="957"/>
      <c r="M767" s="957"/>
      <c r="N767" s="957"/>
      <c r="O767" s="4"/>
      <c r="P767" s="4"/>
      <c r="Q767" s="4"/>
      <c r="R767" s="4"/>
      <c r="S767" s="4"/>
      <c r="T767" s="4"/>
      <c r="U767" s="4"/>
      <c r="V767" s="4"/>
      <c r="W767" s="4"/>
      <c r="X767" s="4"/>
    </row>
    <row r="768" spans="1:24" ht="12.75">
      <c r="A768" s="4"/>
      <c r="B768" s="4"/>
      <c r="C768" s="4"/>
      <c r="D768" s="4"/>
      <c r="E768" s="957"/>
      <c r="F768" s="957"/>
      <c r="G768" s="957"/>
      <c r="H768" s="957"/>
      <c r="I768" s="957"/>
      <c r="J768" s="957"/>
      <c r="K768" s="957"/>
      <c r="L768" s="957"/>
      <c r="M768" s="957"/>
      <c r="N768" s="957"/>
      <c r="O768" s="4"/>
      <c r="P768" s="4"/>
      <c r="Q768" s="4"/>
      <c r="R768" s="4"/>
      <c r="S768" s="4"/>
      <c r="T768" s="4"/>
      <c r="U768" s="4"/>
      <c r="V768" s="4"/>
      <c r="W768" s="4"/>
      <c r="X768" s="4"/>
    </row>
    <row r="769" spans="1:24" ht="12.75">
      <c r="A769" s="4"/>
      <c r="B769" s="4"/>
      <c r="C769" s="4"/>
      <c r="D769" s="4"/>
      <c r="E769" s="957"/>
      <c r="F769" s="957"/>
      <c r="G769" s="957"/>
      <c r="H769" s="957"/>
      <c r="I769" s="957"/>
      <c r="J769" s="957"/>
      <c r="K769" s="957"/>
      <c r="L769" s="957"/>
      <c r="M769" s="957"/>
      <c r="N769" s="957"/>
      <c r="O769" s="4"/>
      <c r="P769" s="4"/>
      <c r="Q769" s="4"/>
      <c r="R769" s="4"/>
      <c r="S769" s="4"/>
      <c r="T769" s="4"/>
      <c r="U769" s="4"/>
      <c r="V769" s="4"/>
      <c r="W769" s="4"/>
      <c r="X769" s="4"/>
    </row>
    <row r="770" spans="1:24" ht="12.75">
      <c r="A770" s="4"/>
      <c r="B770" s="4"/>
      <c r="C770" s="4"/>
      <c r="D770" s="4"/>
      <c r="E770" s="957"/>
      <c r="F770" s="957"/>
      <c r="G770" s="957"/>
      <c r="H770" s="957"/>
      <c r="I770" s="957"/>
      <c r="J770" s="957"/>
      <c r="K770" s="957"/>
      <c r="L770" s="957"/>
      <c r="M770" s="957"/>
      <c r="N770" s="957"/>
      <c r="O770" s="4"/>
      <c r="P770" s="4"/>
      <c r="Q770" s="4"/>
      <c r="R770" s="4"/>
      <c r="S770" s="4"/>
      <c r="T770" s="4"/>
      <c r="U770" s="4"/>
      <c r="V770" s="4"/>
      <c r="W770" s="4"/>
      <c r="X770" s="4"/>
    </row>
    <row r="771" spans="1:24" ht="12.75">
      <c r="A771" s="4"/>
      <c r="B771" s="4"/>
      <c r="C771" s="4"/>
      <c r="D771" s="4"/>
      <c r="E771" s="957"/>
      <c r="F771" s="957"/>
      <c r="G771" s="957"/>
      <c r="H771" s="957"/>
      <c r="I771" s="957"/>
      <c r="J771" s="957"/>
      <c r="K771" s="957"/>
      <c r="L771" s="957"/>
      <c r="M771" s="957"/>
      <c r="N771" s="957"/>
      <c r="O771" s="4"/>
      <c r="P771" s="4"/>
      <c r="Q771" s="4"/>
      <c r="R771" s="4"/>
      <c r="S771" s="4"/>
      <c r="T771" s="4"/>
      <c r="U771" s="4"/>
      <c r="V771" s="4"/>
      <c r="W771" s="4"/>
      <c r="X771" s="4"/>
    </row>
    <row r="772" spans="1:24" ht="12.75">
      <c r="A772" s="4"/>
      <c r="B772" s="4"/>
      <c r="C772" s="4"/>
      <c r="D772" s="4"/>
      <c r="E772" s="957"/>
      <c r="F772" s="957"/>
      <c r="G772" s="957"/>
      <c r="H772" s="957"/>
      <c r="I772" s="957"/>
      <c r="J772" s="957"/>
      <c r="K772" s="957"/>
      <c r="L772" s="957"/>
      <c r="M772" s="957"/>
      <c r="N772" s="957"/>
      <c r="O772" s="4"/>
      <c r="P772" s="4"/>
      <c r="Q772" s="4"/>
      <c r="R772" s="4"/>
      <c r="S772" s="4"/>
      <c r="T772" s="4"/>
      <c r="U772" s="4"/>
      <c r="V772" s="4"/>
      <c r="W772" s="4"/>
      <c r="X772" s="4"/>
    </row>
    <row r="773" spans="1:24" ht="12.75">
      <c r="A773" s="4"/>
      <c r="B773" s="4"/>
      <c r="C773" s="4"/>
      <c r="D773" s="4"/>
      <c r="E773" s="957"/>
      <c r="F773" s="957"/>
      <c r="G773" s="957"/>
      <c r="H773" s="957"/>
      <c r="I773" s="957"/>
      <c r="J773" s="957"/>
      <c r="K773" s="957"/>
      <c r="L773" s="957"/>
      <c r="M773" s="957"/>
      <c r="N773" s="957"/>
      <c r="O773" s="4"/>
      <c r="P773" s="4"/>
      <c r="Q773" s="4"/>
      <c r="R773" s="4"/>
      <c r="S773" s="4"/>
      <c r="T773" s="4"/>
      <c r="U773" s="4"/>
      <c r="V773" s="4"/>
      <c r="W773" s="4"/>
      <c r="X773" s="4"/>
    </row>
    <row r="774" spans="1:24" ht="12.75">
      <c r="A774" s="4"/>
      <c r="B774" s="4"/>
      <c r="C774" s="4"/>
      <c r="D774" s="4"/>
      <c r="E774" s="957"/>
      <c r="F774" s="957"/>
      <c r="G774" s="957"/>
      <c r="H774" s="957"/>
      <c r="I774" s="957"/>
      <c r="J774" s="957"/>
      <c r="K774" s="957"/>
      <c r="L774" s="957"/>
      <c r="M774" s="957"/>
      <c r="N774" s="957"/>
      <c r="O774" s="4"/>
      <c r="P774" s="4"/>
      <c r="Q774" s="4"/>
      <c r="R774" s="4"/>
      <c r="S774" s="4"/>
      <c r="T774" s="4"/>
      <c r="U774" s="4"/>
      <c r="V774" s="4"/>
      <c r="W774" s="4"/>
      <c r="X774" s="4"/>
    </row>
    <row r="775" spans="1:24" ht="12.75">
      <c r="A775" s="4"/>
      <c r="B775" s="4"/>
      <c r="C775" s="4"/>
      <c r="D775" s="4"/>
      <c r="E775" s="957"/>
      <c r="F775" s="957"/>
      <c r="G775" s="957"/>
      <c r="H775" s="957"/>
      <c r="I775" s="957"/>
      <c r="J775" s="957"/>
      <c r="K775" s="957"/>
      <c r="L775" s="957"/>
      <c r="M775" s="957"/>
      <c r="N775" s="957"/>
      <c r="O775" s="4"/>
      <c r="P775" s="4"/>
      <c r="Q775" s="4"/>
      <c r="R775" s="4"/>
      <c r="S775" s="4"/>
      <c r="T775" s="4"/>
      <c r="U775" s="4"/>
      <c r="V775" s="4"/>
      <c r="W775" s="4"/>
      <c r="X775" s="4"/>
    </row>
    <row r="776" spans="1:24" ht="12.75">
      <c r="A776" s="4"/>
      <c r="B776" s="4"/>
      <c r="C776" s="4"/>
      <c r="D776" s="4"/>
      <c r="E776" s="957"/>
      <c r="F776" s="957"/>
      <c r="G776" s="957"/>
      <c r="H776" s="957"/>
      <c r="I776" s="957"/>
      <c r="J776" s="957"/>
      <c r="K776" s="957"/>
      <c r="L776" s="957"/>
      <c r="M776" s="957"/>
      <c r="N776" s="957"/>
      <c r="O776" s="4"/>
      <c r="P776" s="4"/>
      <c r="Q776" s="4"/>
      <c r="R776" s="4"/>
      <c r="S776" s="4"/>
      <c r="T776" s="4"/>
      <c r="U776" s="4"/>
      <c r="V776" s="4"/>
      <c r="W776" s="4"/>
      <c r="X776" s="4"/>
    </row>
    <row r="777" spans="1:24" ht="12.75">
      <c r="A777" s="4"/>
      <c r="B777" s="4"/>
      <c r="C777" s="4"/>
      <c r="D777" s="4"/>
      <c r="E777" s="957"/>
      <c r="F777" s="957"/>
      <c r="G777" s="957"/>
      <c r="H777" s="957"/>
      <c r="I777" s="957"/>
      <c r="J777" s="957"/>
      <c r="K777" s="957"/>
      <c r="L777" s="957"/>
      <c r="M777" s="957"/>
      <c r="N777" s="957"/>
      <c r="O777" s="4"/>
      <c r="P777" s="4"/>
      <c r="Q777" s="4"/>
      <c r="R777" s="4"/>
      <c r="S777" s="4"/>
      <c r="T777" s="4"/>
      <c r="U777" s="4"/>
      <c r="V777" s="4"/>
      <c r="W777" s="4"/>
      <c r="X777" s="4"/>
    </row>
    <row r="778" spans="1:24" ht="12.75">
      <c r="A778" s="4"/>
      <c r="B778" s="4"/>
      <c r="C778" s="4"/>
      <c r="D778" s="4"/>
      <c r="E778" s="957"/>
      <c r="F778" s="957"/>
      <c r="G778" s="957"/>
      <c r="H778" s="957"/>
      <c r="I778" s="957"/>
      <c r="J778" s="957"/>
      <c r="K778" s="957"/>
      <c r="L778" s="957"/>
      <c r="M778" s="957"/>
      <c r="N778" s="957"/>
      <c r="O778" s="4"/>
      <c r="P778" s="4"/>
      <c r="Q778" s="4"/>
      <c r="R778" s="4"/>
      <c r="S778" s="4"/>
      <c r="T778" s="4"/>
      <c r="U778" s="4"/>
      <c r="V778" s="4"/>
      <c r="W778" s="4"/>
      <c r="X778" s="4"/>
    </row>
    <row r="779" spans="1:24" ht="12.75">
      <c r="A779" s="4"/>
      <c r="B779" s="4"/>
      <c r="C779" s="4"/>
      <c r="D779" s="4"/>
      <c r="E779" s="957"/>
      <c r="F779" s="957"/>
      <c r="G779" s="957"/>
      <c r="H779" s="957"/>
      <c r="I779" s="957"/>
      <c r="J779" s="957"/>
      <c r="K779" s="957"/>
      <c r="L779" s="957"/>
      <c r="M779" s="957"/>
      <c r="N779" s="957"/>
      <c r="O779" s="4"/>
      <c r="P779" s="4"/>
      <c r="Q779" s="4"/>
      <c r="R779" s="4"/>
      <c r="S779" s="4"/>
      <c r="T779" s="4"/>
      <c r="U779" s="4"/>
      <c r="V779" s="4"/>
      <c r="W779" s="4"/>
      <c r="X779" s="4"/>
    </row>
    <row r="780" spans="1:24" ht="12.75">
      <c r="A780" s="4"/>
      <c r="B780" s="4"/>
      <c r="C780" s="4"/>
      <c r="D780" s="4"/>
      <c r="E780" s="957"/>
      <c r="F780" s="957"/>
      <c r="G780" s="957"/>
      <c r="H780" s="957"/>
      <c r="I780" s="957"/>
      <c r="J780" s="957"/>
      <c r="K780" s="957"/>
      <c r="L780" s="957"/>
      <c r="M780" s="957"/>
      <c r="N780" s="957"/>
      <c r="O780" s="4"/>
      <c r="P780" s="4"/>
      <c r="Q780" s="4"/>
      <c r="R780" s="4"/>
      <c r="S780" s="4"/>
      <c r="T780" s="4"/>
      <c r="U780" s="4"/>
      <c r="V780" s="4"/>
      <c r="W780" s="4"/>
      <c r="X780" s="4"/>
    </row>
    <row r="781" spans="1:24" ht="12.75">
      <c r="A781" s="4"/>
      <c r="B781" s="4"/>
      <c r="C781" s="4"/>
      <c r="D781" s="4"/>
      <c r="E781" s="957"/>
      <c r="F781" s="957"/>
      <c r="G781" s="957"/>
      <c r="H781" s="957"/>
      <c r="I781" s="957"/>
      <c r="J781" s="957"/>
      <c r="K781" s="957"/>
      <c r="L781" s="957"/>
      <c r="M781" s="957"/>
      <c r="N781" s="957"/>
      <c r="O781" s="4"/>
      <c r="P781" s="4"/>
      <c r="Q781" s="4"/>
      <c r="R781" s="4"/>
      <c r="S781" s="4"/>
      <c r="T781" s="4"/>
      <c r="U781" s="4"/>
      <c r="V781" s="4"/>
      <c r="W781" s="4"/>
      <c r="X781" s="4"/>
    </row>
    <row r="782" spans="1:24" ht="12.75">
      <c r="A782" s="4"/>
      <c r="B782" s="4"/>
      <c r="C782" s="4"/>
      <c r="D782" s="4"/>
      <c r="E782" s="957"/>
      <c r="F782" s="957"/>
      <c r="G782" s="957"/>
      <c r="H782" s="957"/>
      <c r="I782" s="957"/>
      <c r="J782" s="957"/>
      <c r="K782" s="957"/>
      <c r="L782" s="957"/>
      <c r="M782" s="957"/>
      <c r="N782" s="957"/>
      <c r="O782" s="4"/>
      <c r="P782" s="4"/>
      <c r="Q782" s="4"/>
      <c r="R782" s="4"/>
      <c r="S782" s="4"/>
      <c r="T782" s="4"/>
      <c r="U782" s="4"/>
      <c r="V782" s="4"/>
      <c r="W782" s="4"/>
      <c r="X782" s="4"/>
    </row>
    <row r="783" spans="1:24" ht="12.75">
      <c r="A783" s="4"/>
      <c r="B783" s="4"/>
      <c r="C783" s="4"/>
      <c r="D783" s="4"/>
      <c r="E783" s="957"/>
      <c r="F783" s="957"/>
      <c r="G783" s="957"/>
      <c r="H783" s="957"/>
      <c r="I783" s="957"/>
      <c r="J783" s="957"/>
      <c r="K783" s="957"/>
      <c r="L783" s="957"/>
      <c r="M783" s="957"/>
      <c r="N783" s="957"/>
      <c r="O783" s="4"/>
      <c r="P783" s="4"/>
      <c r="Q783" s="4"/>
      <c r="R783" s="4"/>
      <c r="S783" s="4"/>
      <c r="T783" s="4"/>
      <c r="U783" s="4"/>
      <c r="V783" s="4"/>
      <c r="W783" s="4"/>
      <c r="X783" s="4"/>
    </row>
    <row r="784" spans="1:24" ht="12.75">
      <c r="A784" s="4"/>
      <c r="B784" s="4"/>
      <c r="C784" s="4"/>
      <c r="D784" s="4"/>
      <c r="E784" s="957"/>
      <c r="F784" s="957"/>
      <c r="G784" s="957"/>
      <c r="H784" s="957"/>
      <c r="I784" s="957"/>
      <c r="J784" s="957"/>
      <c r="K784" s="957"/>
      <c r="L784" s="957"/>
      <c r="M784" s="957"/>
      <c r="N784" s="957"/>
      <c r="O784" s="4"/>
      <c r="P784" s="4"/>
      <c r="Q784" s="4"/>
      <c r="R784" s="4"/>
      <c r="S784" s="4"/>
      <c r="T784" s="4"/>
      <c r="U784" s="4"/>
      <c r="V784" s="4"/>
      <c r="W784" s="4"/>
      <c r="X784" s="4"/>
    </row>
    <row r="785" spans="1:24" ht="12.75">
      <c r="A785" s="4"/>
      <c r="B785" s="4"/>
      <c r="C785" s="4"/>
      <c r="D785" s="4"/>
      <c r="E785" s="957"/>
      <c r="F785" s="957"/>
      <c r="G785" s="957"/>
      <c r="H785" s="957"/>
      <c r="I785" s="957"/>
      <c r="J785" s="957"/>
      <c r="K785" s="957"/>
      <c r="L785" s="957"/>
      <c r="M785" s="957"/>
      <c r="N785" s="957"/>
      <c r="O785" s="4"/>
      <c r="P785" s="4"/>
      <c r="Q785" s="4"/>
      <c r="R785" s="4"/>
      <c r="S785" s="4"/>
      <c r="T785" s="4"/>
      <c r="U785" s="4"/>
      <c r="V785" s="4"/>
      <c r="W785" s="4"/>
      <c r="X785" s="4"/>
    </row>
    <row r="786" spans="1:24" ht="12.75">
      <c r="A786" s="4"/>
      <c r="B786" s="4"/>
      <c r="C786" s="4"/>
      <c r="D786" s="4"/>
      <c r="E786" s="957"/>
      <c r="F786" s="957"/>
      <c r="G786" s="957"/>
      <c r="H786" s="957"/>
      <c r="I786" s="957"/>
      <c r="J786" s="957"/>
      <c r="K786" s="957"/>
      <c r="L786" s="957"/>
      <c r="M786" s="957"/>
      <c r="N786" s="957"/>
      <c r="O786" s="4"/>
      <c r="P786" s="4"/>
      <c r="Q786" s="4"/>
      <c r="R786" s="4"/>
      <c r="S786" s="4"/>
      <c r="T786" s="4"/>
      <c r="U786" s="4"/>
      <c r="V786" s="4"/>
      <c r="W786" s="4"/>
      <c r="X786" s="4"/>
    </row>
    <row r="787" spans="1:24" ht="12.75">
      <c r="A787" s="4"/>
      <c r="B787" s="4"/>
      <c r="C787" s="4"/>
      <c r="D787" s="4"/>
      <c r="E787" s="957"/>
      <c r="F787" s="957"/>
      <c r="G787" s="957"/>
      <c r="H787" s="957"/>
      <c r="I787" s="957"/>
      <c r="J787" s="957"/>
      <c r="K787" s="957"/>
      <c r="L787" s="957"/>
      <c r="M787" s="957"/>
      <c r="N787" s="957"/>
      <c r="O787" s="4"/>
      <c r="P787" s="4"/>
      <c r="Q787" s="4"/>
      <c r="R787" s="4"/>
      <c r="S787" s="4"/>
      <c r="T787" s="4"/>
      <c r="U787" s="4"/>
      <c r="V787" s="4"/>
      <c r="W787" s="4"/>
      <c r="X787" s="4"/>
    </row>
    <row r="788" spans="1:24" ht="12.75">
      <c r="A788" s="4"/>
      <c r="B788" s="4"/>
      <c r="C788" s="4"/>
      <c r="D788" s="4"/>
      <c r="E788" s="957"/>
      <c r="F788" s="957"/>
      <c r="G788" s="957"/>
      <c r="H788" s="957"/>
      <c r="I788" s="957"/>
      <c r="J788" s="957"/>
      <c r="K788" s="957"/>
      <c r="L788" s="957"/>
      <c r="M788" s="957"/>
      <c r="N788" s="957"/>
      <c r="O788" s="4"/>
      <c r="P788" s="4"/>
      <c r="Q788" s="4"/>
      <c r="R788" s="4"/>
      <c r="S788" s="4"/>
      <c r="T788" s="4"/>
      <c r="U788" s="4"/>
      <c r="V788" s="4"/>
      <c r="W788" s="4"/>
      <c r="X788" s="4"/>
    </row>
    <row r="789" spans="1:24" ht="12.75">
      <c r="A789" s="4"/>
      <c r="B789" s="4"/>
      <c r="C789" s="4"/>
      <c r="D789" s="4"/>
      <c r="E789" s="957"/>
      <c r="F789" s="957"/>
      <c r="G789" s="957"/>
      <c r="H789" s="957"/>
      <c r="I789" s="957"/>
      <c r="J789" s="957"/>
      <c r="K789" s="957"/>
      <c r="L789" s="957"/>
      <c r="M789" s="957"/>
      <c r="N789" s="957"/>
      <c r="O789" s="4"/>
      <c r="P789" s="4"/>
      <c r="Q789" s="4"/>
      <c r="R789" s="4"/>
      <c r="S789" s="4"/>
      <c r="T789" s="4"/>
      <c r="U789" s="4"/>
      <c r="V789" s="4"/>
      <c r="W789" s="4"/>
      <c r="X789" s="4"/>
    </row>
    <row r="790" spans="1:24" ht="12.75">
      <c r="A790" s="4"/>
      <c r="B790" s="4"/>
      <c r="C790" s="4"/>
      <c r="D790" s="4"/>
      <c r="E790" s="957"/>
      <c r="F790" s="957"/>
      <c r="G790" s="957"/>
      <c r="H790" s="957"/>
      <c r="I790" s="957"/>
      <c r="J790" s="957"/>
      <c r="K790" s="957"/>
      <c r="L790" s="957"/>
      <c r="M790" s="957"/>
      <c r="N790" s="957"/>
      <c r="O790" s="4"/>
      <c r="P790" s="4"/>
      <c r="Q790" s="4"/>
      <c r="R790" s="4"/>
      <c r="S790" s="4"/>
      <c r="T790" s="4"/>
      <c r="U790" s="4"/>
      <c r="V790" s="4"/>
      <c r="W790" s="4"/>
      <c r="X790" s="4"/>
    </row>
    <row r="791" spans="1:24" ht="12.75">
      <c r="A791" s="4"/>
      <c r="B791" s="4"/>
      <c r="C791" s="4"/>
      <c r="D791" s="4"/>
      <c r="E791" s="957"/>
      <c r="F791" s="957"/>
      <c r="G791" s="957"/>
      <c r="H791" s="957"/>
      <c r="I791" s="957"/>
      <c r="J791" s="957"/>
      <c r="K791" s="957"/>
      <c r="L791" s="957"/>
      <c r="M791" s="957"/>
      <c r="N791" s="957"/>
      <c r="O791" s="4"/>
      <c r="P791" s="4"/>
      <c r="Q791" s="4"/>
      <c r="R791" s="4"/>
      <c r="S791" s="4"/>
      <c r="T791" s="4"/>
      <c r="U791" s="4"/>
      <c r="V791" s="4"/>
      <c r="W791" s="4"/>
      <c r="X791" s="4"/>
    </row>
    <row r="792" spans="1:24" ht="12.75">
      <c r="A792" s="4"/>
      <c r="B792" s="4"/>
      <c r="C792" s="4"/>
      <c r="D792" s="4"/>
      <c r="E792" s="957"/>
      <c r="F792" s="957"/>
      <c r="G792" s="957"/>
      <c r="H792" s="957"/>
      <c r="I792" s="957"/>
      <c r="J792" s="957"/>
      <c r="K792" s="957"/>
      <c r="L792" s="957"/>
      <c r="M792" s="957"/>
      <c r="N792" s="957"/>
      <c r="O792" s="4"/>
      <c r="P792" s="4"/>
      <c r="Q792" s="4"/>
      <c r="R792" s="4"/>
      <c r="S792" s="4"/>
      <c r="T792" s="4"/>
      <c r="U792" s="4"/>
      <c r="V792" s="4"/>
      <c r="W792" s="4"/>
      <c r="X792" s="4"/>
    </row>
    <row r="793" spans="1:24" ht="12.75">
      <c r="A793" s="4"/>
      <c r="B793" s="4"/>
      <c r="C793" s="4"/>
      <c r="D793" s="4"/>
      <c r="E793" s="957"/>
      <c r="F793" s="957"/>
      <c r="G793" s="957"/>
      <c r="H793" s="957"/>
      <c r="I793" s="957"/>
      <c r="J793" s="957"/>
      <c r="K793" s="957"/>
      <c r="L793" s="957"/>
      <c r="M793" s="957"/>
      <c r="N793" s="957"/>
      <c r="O793" s="4"/>
      <c r="P793" s="4"/>
      <c r="Q793" s="4"/>
      <c r="R793" s="4"/>
      <c r="S793" s="4"/>
      <c r="T793" s="4"/>
      <c r="U793" s="4"/>
      <c r="V793" s="4"/>
      <c r="W793" s="4"/>
      <c r="X793" s="4"/>
    </row>
    <row r="794" spans="1:24" ht="12.75">
      <c r="A794" s="4"/>
      <c r="B794" s="4"/>
      <c r="C794" s="4"/>
      <c r="D794" s="4"/>
      <c r="E794" s="957"/>
      <c r="F794" s="957"/>
      <c r="G794" s="957"/>
      <c r="H794" s="957"/>
      <c r="I794" s="957"/>
      <c r="J794" s="957"/>
      <c r="K794" s="957"/>
      <c r="L794" s="957"/>
      <c r="M794" s="957"/>
      <c r="N794" s="957"/>
      <c r="O794" s="4"/>
      <c r="P794" s="4"/>
      <c r="Q794" s="4"/>
      <c r="R794" s="4"/>
      <c r="S794" s="4"/>
      <c r="T794" s="4"/>
      <c r="U794" s="4"/>
      <c r="V794" s="4"/>
      <c r="W794" s="4"/>
      <c r="X794" s="4"/>
    </row>
    <row r="795" spans="1:24" ht="12.75">
      <c r="A795" s="4"/>
      <c r="B795" s="4"/>
      <c r="C795" s="4"/>
      <c r="D795" s="4"/>
      <c r="E795" s="957"/>
      <c r="F795" s="957"/>
      <c r="G795" s="957"/>
      <c r="H795" s="957"/>
      <c r="I795" s="957"/>
      <c r="J795" s="957"/>
      <c r="K795" s="957"/>
      <c r="L795" s="957"/>
      <c r="M795" s="957"/>
      <c r="N795" s="957"/>
      <c r="O795" s="4"/>
      <c r="P795" s="4"/>
      <c r="Q795" s="4"/>
      <c r="R795" s="4"/>
      <c r="S795" s="4"/>
      <c r="T795" s="4"/>
      <c r="U795" s="4"/>
      <c r="V795" s="4"/>
      <c r="W795" s="4"/>
      <c r="X795" s="4"/>
    </row>
    <row r="796" spans="1:24" ht="12.75">
      <c r="A796" s="4"/>
      <c r="B796" s="4"/>
      <c r="C796" s="4"/>
      <c r="D796" s="4"/>
      <c r="E796" s="957"/>
      <c r="F796" s="957"/>
      <c r="G796" s="957"/>
      <c r="H796" s="957"/>
      <c r="I796" s="957"/>
      <c r="J796" s="957"/>
      <c r="K796" s="957"/>
      <c r="L796" s="957"/>
      <c r="M796" s="957"/>
      <c r="N796" s="957"/>
      <c r="O796" s="4"/>
      <c r="P796" s="4"/>
      <c r="Q796" s="4"/>
      <c r="R796" s="4"/>
      <c r="S796" s="4"/>
      <c r="T796" s="4"/>
      <c r="U796" s="4"/>
      <c r="V796" s="4"/>
      <c r="W796" s="4"/>
      <c r="X796" s="4"/>
    </row>
    <row r="797" spans="1:24" ht="12.75">
      <c r="A797" s="4"/>
      <c r="B797" s="4"/>
      <c r="C797" s="4"/>
      <c r="D797" s="4"/>
      <c r="E797" s="957"/>
      <c r="F797" s="957"/>
      <c r="G797" s="957"/>
      <c r="H797" s="957"/>
      <c r="I797" s="957"/>
      <c r="J797" s="957"/>
      <c r="K797" s="957"/>
      <c r="L797" s="957"/>
      <c r="M797" s="957"/>
      <c r="N797" s="957"/>
      <c r="O797" s="4"/>
      <c r="P797" s="4"/>
      <c r="Q797" s="4"/>
      <c r="R797" s="4"/>
      <c r="S797" s="4"/>
      <c r="T797" s="4"/>
      <c r="U797" s="4"/>
      <c r="V797" s="4"/>
      <c r="W797" s="4"/>
      <c r="X797" s="4"/>
    </row>
    <row r="798" spans="1:24" ht="12.75">
      <c r="A798" s="4"/>
      <c r="B798" s="4"/>
      <c r="C798" s="4"/>
      <c r="D798" s="4"/>
      <c r="E798" s="957"/>
      <c r="F798" s="957"/>
      <c r="G798" s="957"/>
      <c r="H798" s="957"/>
      <c r="I798" s="957"/>
      <c r="J798" s="957"/>
      <c r="K798" s="957"/>
      <c r="L798" s="957"/>
      <c r="M798" s="957"/>
      <c r="N798" s="957"/>
      <c r="O798" s="4"/>
      <c r="P798" s="4"/>
      <c r="Q798" s="4"/>
      <c r="R798" s="4"/>
      <c r="S798" s="4"/>
      <c r="T798" s="4"/>
      <c r="U798" s="4"/>
      <c r="V798" s="4"/>
      <c r="W798" s="4"/>
      <c r="X798" s="4"/>
    </row>
    <row r="799" spans="1:24" ht="12.75">
      <c r="A799" s="4"/>
      <c r="B799" s="4"/>
      <c r="C799" s="4"/>
      <c r="D799" s="4"/>
      <c r="E799" s="957"/>
      <c r="F799" s="957"/>
      <c r="G799" s="957"/>
      <c r="H799" s="957"/>
      <c r="I799" s="957"/>
      <c r="J799" s="957"/>
      <c r="K799" s="957"/>
      <c r="L799" s="957"/>
      <c r="M799" s="957"/>
      <c r="N799" s="957"/>
      <c r="O799" s="4"/>
      <c r="P799" s="4"/>
      <c r="Q799" s="4"/>
      <c r="R799" s="4"/>
      <c r="S799" s="4"/>
      <c r="T799" s="4"/>
      <c r="U799" s="4"/>
      <c r="V799" s="4"/>
      <c r="W799" s="4"/>
      <c r="X799" s="4"/>
    </row>
    <row r="800" spans="1:24" ht="12.75">
      <c r="A800" s="4"/>
      <c r="B800" s="4"/>
      <c r="C800" s="4"/>
      <c r="D800" s="4"/>
      <c r="E800" s="957"/>
      <c r="F800" s="957"/>
      <c r="G800" s="957"/>
      <c r="H800" s="957"/>
      <c r="I800" s="957"/>
      <c r="J800" s="957"/>
      <c r="K800" s="957"/>
      <c r="L800" s="957"/>
      <c r="M800" s="957"/>
      <c r="N800" s="957"/>
      <c r="O800" s="4"/>
      <c r="P800" s="4"/>
      <c r="Q800" s="4"/>
      <c r="R800" s="4"/>
      <c r="S800" s="4"/>
      <c r="T800" s="4"/>
      <c r="U800" s="4"/>
      <c r="V800" s="4"/>
      <c r="W800" s="4"/>
      <c r="X800" s="4"/>
    </row>
    <row r="801" spans="1:24" ht="12.75">
      <c r="A801" s="4"/>
      <c r="B801" s="4"/>
      <c r="C801" s="4"/>
      <c r="D801" s="4"/>
      <c r="E801" s="957"/>
      <c r="F801" s="957"/>
      <c r="G801" s="957"/>
      <c r="H801" s="957"/>
      <c r="I801" s="957"/>
      <c r="J801" s="957"/>
      <c r="K801" s="957"/>
      <c r="L801" s="957"/>
      <c r="M801" s="957"/>
      <c r="N801" s="957"/>
      <c r="O801" s="4"/>
      <c r="P801" s="4"/>
      <c r="Q801" s="4"/>
      <c r="R801" s="4"/>
      <c r="S801" s="4"/>
      <c r="T801" s="4"/>
      <c r="U801" s="4"/>
      <c r="V801" s="4"/>
      <c r="W801" s="4"/>
      <c r="X801" s="4"/>
    </row>
    <row r="802" spans="1:24" ht="12.75">
      <c r="A802" s="4"/>
      <c r="B802" s="4"/>
      <c r="C802" s="4"/>
      <c r="D802" s="4"/>
      <c r="E802" s="957"/>
      <c r="F802" s="957"/>
      <c r="G802" s="957"/>
      <c r="H802" s="957"/>
      <c r="I802" s="957"/>
      <c r="J802" s="957"/>
      <c r="K802" s="957"/>
      <c r="L802" s="957"/>
      <c r="M802" s="957"/>
      <c r="N802" s="957"/>
      <c r="O802" s="4"/>
      <c r="P802" s="4"/>
      <c r="Q802" s="4"/>
      <c r="R802" s="4"/>
      <c r="S802" s="4"/>
      <c r="T802" s="4"/>
      <c r="U802" s="4"/>
      <c r="V802" s="4"/>
      <c r="W802" s="4"/>
      <c r="X802" s="4"/>
    </row>
    <row r="803" spans="1:24" ht="12.75">
      <c r="A803" s="4"/>
      <c r="B803" s="4"/>
      <c r="C803" s="4"/>
      <c r="D803" s="4"/>
      <c r="E803" s="957"/>
      <c r="F803" s="957"/>
      <c r="G803" s="957"/>
      <c r="H803" s="957"/>
      <c r="I803" s="957"/>
      <c r="J803" s="957"/>
      <c r="K803" s="957"/>
      <c r="L803" s="957"/>
      <c r="M803" s="957"/>
      <c r="N803" s="957"/>
      <c r="O803" s="4"/>
      <c r="P803" s="4"/>
      <c r="Q803" s="4"/>
      <c r="R803" s="4"/>
      <c r="S803" s="4"/>
      <c r="T803" s="4"/>
      <c r="U803" s="4"/>
      <c r="V803" s="4"/>
      <c r="W803" s="4"/>
      <c r="X803" s="4"/>
    </row>
    <row r="804" spans="1:24" ht="12.75">
      <c r="A804" s="4"/>
      <c r="B804" s="4"/>
      <c r="C804" s="4"/>
      <c r="D804" s="4"/>
      <c r="E804" s="957"/>
      <c r="F804" s="957"/>
      <c r="G804" s="957"/>
      <c r="H804" s="957"/>
      <c r="I804" s="957"/>
      <c r="J804" s="957"/>
      <c r="K804" s="957"/>
      <c r="L804" s="957"/>
      <c r="M804" s="957"/>
      <c r="N804" s="957"/>
      <c r="O804" s="4"/>
      <c r="P804" s="4"/>
      <c r="Q804" s="4"/>
      <c r="R804" s="4"/>
      <c r="S804" s="4"/>
      <c r="T804" s="4"/>
      <c r="U804" s="4"/>
      <c r="V804" s="4"/>
      <c r="W804" s="4"/>
      <c r="X804" s="4"/>
    </row>
    <row r="805" spans="1:24" ht="12.75">
      <c r="A805" s="4"/>
      <c r="B805" s="4"/>
      <c r="C805" s="4"/>
      <c r="D805" s="4"/>
      <c r="E805" s="957"/>
      <c r="F805" s="957"/>
      <c r="G805" s="957"/>
      <c r="H805" s="957"/>
      <c r="I805" s="957"/>
      <c r="J805" s="957"/>
      <c r="K805" s="957"/>
      <c r="L805" s="957"/>
      <c r="M805" s="957"/>
      <c r="N805" s="957"/>
      <c r="O805" s="4"/>
      <c r="P805" s="4"/>
      <c r="Q805" s="4"/>
      <c r="R805" s="4"/>
      <c r="S805" s="4"/>
      <c r="T805" s="4"/>
      <c r="U805" s="4"/>
      <c r="V805" s="4"/>
      <c r="W805" s="4"/>
      <c r="X805" s="4"/>
    </row>
    <row r="806" spans="1:24" ht="12.75">
      <c r="A806" s="4"/>
      <c r="B806" s="4"/>
      <c r="C806" s="4"/>
      <c r="D806" s="4"/>
      <c r="E806" s="957"/>
      <c r="F806" s="957"/>
      <c r="G806" s="957"/>
      <c r="H806" s="957"/>
      <c r="I806" s="957"/>
      <c r="J806" s="957"/>
      <c r="K806" s="957"/>
      <c r="L806" s="957"/>
      <c r="M806" s="957"/>
      <c r="N806" s="957"/>
      <c r="O806" s="4"/>
      <c r="P806" s="4"/>
      <c r="Q806" s="4"/>
      <c r="R806" s="4"/>
      <c r="S806" s="4"/>
      <c r="T806" s="4"/>
      <c r="U806" s="4"/>
      <c r="V806" s="4"/>
      <c r="W806" s="4"/>
      <c r="X806" s="4"/>
    </row>
    <row r="807" spans="1:24" ht="12.75">
      <c r="A807" s="4"/>
      <c r="B807" s="4"/>
      <c r="C807" s="4"/>
      <c r="D807" s="4"/>
      <c r="E807" s="957"/>
      <c r="F807" s="957"/>
      <c r="G807" s="957"/>
      <c r="H807" s="957"/>
      <c r="I807" s="957"/>
      <c r="J807" s="957"/>
      <c r="K807" s="957"/>
      <c r="L807" s="957"/>
      <c r="M807" s="957"/>
      <c r="N807" s="957"/>
      <c r="O807" s="4"/>
      <c r="P807" s="4"/>
      <c r="Q807" s="4"/>
      <c r="R807" s="4"/>
      <c r="S807" s="4"/>
      <c r="T807" s="4"/>
      <c r="U807" s="4"/>
      <c r="V807" s="4"/>
      <c r="W807" s="4"/>
      <c r="X807" s="4"/>
    </row>
    <row r="808" spans="1:24" ht="12.75">
      <c r="A808" s="4"/>
      <c r="B808" s="4"/>
      <c r="C808" s="4"/>
      <c r="D808" s="4"/>
      <c r="E808" s="957"/>
      <c r="F808" s="957"/>
      <c r="G808" s="957"/>
      <c r="H808" s="957"/>
      <c r="I808" s="957"/>
      <c r="J808" s="957"/>
      <c r="K808" s="957"/>
      <c r="L808" s="957"/>
      <c r="M808" s="957"/>
      <c r="N808" s="957"/>
      <c r="O808" s="4"/>
      <c r="P808" s="4"/>
      <c r="Q808" s="4"/>
      <c r="R808" s="4"/>
      <c r="S808" s="4"/>
      <c r="T808" s="4"/>
      <c r="U808" s="4"/>
      <c r="V808" s="4"/>
      <c r="W808" s="4"/>
      <c r="X808" s="4"/>
    </row>
    <row r="809" spans="1:24" ht="12.75">
      <c r="A809" s="4"/>
      <c r="B809" s="4"/>
      <c r="C809" s="4"/>
      <c r="D809" s="4"/>
      <c r="E809" s="957"/>
      <c r="F809" s="957"/>
      <c r="G809" s="957"/>
      <c r="H809" s="957"/>
      <c r="I809" s="957"/>
      <c r="J809" s="957"/>
      <c r="K809" s="957"/>
      <c r="L809" s="957"/>
      <c r="M809" s="957"/>
      <c r="N809" s="957"/>
      <c r="O809" s="4"/>
      <c r="P809" s="4"/>
      <c r="Q809" s="4"/>
      <c r="R809" s="4"/>
      <c r="S809" s="4"/>
      <c r="T809" s="4"/>
      <c r="U809" s="4"/>
      <c r="V809" s="4"/>
      <c r="W809" s="4"/>
      <c r="X809" s="4"/>
    </row>
    <row r="810" spans="1:24" ht="12.75">
      <c r="A810" s="4"/>
      <c r="B810" s="4"/>
      <c r="C810" s="4"/>
      <c r="D810" s="4"/>
      <c r="E810" s="957"/>
      <c r="F810" s="957"/>
      <c r="G810" s="957"/>
      <c r="H810" s="957"/>
      <c r="I810" s="957"/>
      <c r="J810" s="957"/>
      <c r="K810" s="957"/>
      <c r="L810" s="957"/>
      <c r="M810" s="957"/>
      <c r="N810" s="957"/>
      <c r="O810" s="4"/>
      <c r="P810" s="4"/>
      <c r="Q810" s="4"/>
      <c r="R810" s="4"/>
      <c r="S810" s="4"/>
      <c r="T810" s="4"/>
      <c r="U810" s="4"/>
      <c r="V810" s="4"/>
      <c r="W810" s="4"/>
      <c r="X810" s="4"/>
    </row>
    <row r="811" spans="1:24" ht="12.75">
      <c r="A811" s="4"/>
      <c r="B811" s="4"/>
      <c r="C811" s="4"/>
      <c r="D811" s="4"/>
      <c r="E811" s="957"/>
      <c r="F811" s="957"/>
      <c r="G811" s="957"/>
      <c r="H811" s="957"/>
      <c r="I811" s="957"/>
      <c r="J811" s="957"/>
      <c r="K811" s="957"/>
      <c r="L811" s="957"/>
      <c r="M811" s="957"/>
      <c r="N811" s="957"/>
      <c r="O811" s="4"/>
      <c r="P811" s="4"/>
      <c r="Q811" s="4"/>
      <c r="R811" s="4"/>
      <c r="S811" s="4"/>
      <c r="T811" s="4"/>
      <c r="U811" s="4"/>
      <c r="V811" s="4"/>
      <c r="W811" s="4"/>
      <c r="X811" s="4"/>
    </row>
    <row r="812" spans="1:24" ht="12.75">
      <c r="A812" s="4"/>
      <c r="B812" s="4"/>
      <c r="C812" s="4"/>
      <c r="D812" s="4"/>
      <c r="E812" s="957"/>
      <c r="F812" s="957"/>
      <c r="G812" s="957"/>
      <c r="H812" s="957"/>
      <c r="I812" s="957"/>
      <c r="J812" s="957"/>
      <c r="K812" s="957"/>
      <c r="L812" s="957"/>
      <c r="M812" s="957"/>
      <c r="N812" s="957"/>
      <c r="O812" s="4"/>
      <c r="P812" s="4"/>
      <c r="Q812" s="4"/>
      <c r="R812" s="4"/>
      <c r="S812" s="4"/>
      <c r="T812" s="4"/>
      <c r="U812" s="4"/>
      <c r="V812" s="4"/>
      <c r="W812" s="4"/>
      <c r="X812" s="4"/>
    </row>
    <row r="813" spans="1:24" ht="12.75">
      <c r="A813" s="4"/>
      <c r="B813" s="4"/>
      <c r="C813" s="4"/>
      <c r="D813" s="4"/>
      <c r="E813" s="957"/>
      <c r="F813" s="957"/>
      <c r="G813" s="957"/>
      <c r="H813" s="957"/>
      <c r="I813" s="957"/>
      <c r="J813" s="957"/>
      <c r="K813" s="957"/>
      <c r="L813" s="957"/>
      <c r="M813" s="957"/>
      <c r="N813" s="957"/>
      <c r="O813" s="4"/>
      <c r="P813" s="4"/>
      <c r="Q813" s="4"/>
      <c r="R813" s="4"/>
      <c r="S813" s="4"/>
      <c r="T813" s="4"/>
      <c r="U813" s="4"/>
      <c r="V813" s="4"/>
      <c r="W813" s="4"/>
      <c r="X813" s="4"/>
    </row>
    <row r="814" spans="1:24" ht="12.75">
      <c r="A814" s="4"/>
      <c r="B814" s="4"/>
      <c r="C814" s="4"/>
      <c r="D814" s="4"/>
      <c r="E814" s="957"/>
      <c r="F814" s="957"/>
      <c r="G814" s="957"/>
      <c r="H814" s="957"/>
      <c r="I814" s="957"/>
      <c r="J814" s="957"/>
      <c r="K814" s="957"/>
      <c r="L814" s="957"/>
      <c r="M814" s="957"/>
      <c r="N814" s="957"/>
      <c r="O814" s="4"/>
      <c r="P814" s="4"/>
      <c r="Q814" s="4"/>
      <c r="R814" s="4"/>
      <c r="S814" s="4"/>
      <c r="T814" s="4"/>
      <c r="U814" s="4"/>
      <c r="V814" s="4"/>
      <c r="W814" s="4"/>
      <c r="X814" s="4"/>
    </row>
    <row r="815" spans="1:24" ht="12.75">
      <c r="A815" s="4"/>
      <c r="B815" s="4"/>
      <c r="C815" s="4"/>
      <c r="D815" s="4"/>
      <c r="E815" s="957"/>
      <c r="F815" s="957"/>
      <c r="G815" s="957"/>
      <c r="H815" s="957"/>
      <c r="I815" s="957"/>
      <c r="J815" s="957"/>
      <c r="K815" s="957"/>
      <c r="L815" s="957"/>
      <c r="M815" s="957"/>
      <c r="N815" s="957"/>
      <c r="O815" s="4"/>
      <c r="P815" s="4"/>
      <c r="Q815" s="4"/>
      <c r="R815" s="4"/>
      <c r="S815" s="4"/>
      <c r="T815" s="4"/>
      <c r="U815" s="4"/>
      <c r="V815" s="4"/>
      <c r="W815" s="4"/>
      <c r="X815" s="4"/>
    </row>
    <row r="816" spans="1:24" ht="12.75">
      <c r="A816" s="4"/>
      <c r="B816" s="4"/>
      <c r="C816" s="4"/>
      <c r="D816" s="4"/>
      <c r="E816" s="957"/>
      <c r="F816" s="957"/>
      <c r="G816" s="957"/>
      <c r="H816" s="957"/>
      <c r="I816" s="957"/>
      <c r="J816" s="957"/>
      <c r="K816" s="957"/>
      <c r="L816" s="957"/>
      <c r="M816" s="957"/>
      <c r="N816" s="957"/>
      <c r="O816" s="4"/>
      <c r="P816" s="4"/>
      <c r="Q816" s="4"/>
      <c r="R816" s="4"/>
      <c r="S816" s="4"/>
      <c r="T816" s="4"/>
      <c r="U816" s="4"/>
      <c r="V816" s="4"/>
      <c r="W816" s="4"/>
      <c r="X816" s="4"/>
    </row>
    <row r="817" spans="1:24" ht="12.75">
      <c r="A817" s="4"/>
      <c r="B817" s="4"/>
      <c r="C817" s="4"/>
      <c r="D817" s="4"/>
      <c r="E817" s="957"/>
      <c r="F817" s="957"/>
      <c r="G817" s="957"/>
      <c r="H817" s="957"/>
      <c r="I817" s="957"/>
      <c r="J817" s="957"/>
      <c r="K817" s="957"/>
      <c r="L817" s="957"/>
      <c r="M817" s="957"/>
      <c r="N817" s="957"/>
      <c r="O817" s="4"/>
      <c r="P817" s="4"/>
      <c r="Q817" s="4"/>
      <c r="R817" s="4"/>
      <c r="S817" s="4"/>
      <c r="T817" s="4"/>
      <c r="U817" s="4"/>
      <c r="V817" s="4"/>
      <c r="W817" s="4"/>
      <c r="X817" s="4"/>
    </row>
    <row r="818" spans="1:24" ht="12.75">
      <c r="A818" s="4"/>
      <c r="B818" s="4"/>
      <c r="C818" s="4"/>
      <c r="D818" s="4"/>
      <c r="E818" s="957"/>
      <c r="F818" s="957"/>
      <c r="G818" s="957"/>
      <c r="H818" s="957"/>
      <c r="I818" s="957"/>
      <c r="J818" s="957"/>
      <c r="K818" s="957"/>
      <c r="L818" s="957"/>
      <c r="M818" s="957"/>
      <c r="N818" s="957"/>
      <c r="O818" s="4"/>
      <c r="P818" s="4"/>
      <c r="Q818" s="4"/>
      <c r="R818" s="4"/>
      <c r="S818" s="4"/>
      <c r="T818" s="4"/>
      <c r="U818" s="4"/>
      <c r="V818" s="4"/>
      <c r="W818" s="4"/>
      <c r="X818" s="4"/>
    </row>
    <row r="819" spans="1:24" ht="12.75">
      <c r="A819" s="4"/>
      <c r="B819" s="4"/>
      <c r="C819" s="4"/>
      <c r="D819" s="4"/>
      <c r="E819" s="957"/>
      <c r="F819" s="957"/>
      <c r="G819" s="957"/>
      <c r="H819" s="957"/>
      <c r="I819" s="957"/>
      <c r="J819" s="957"/>
      <c r="K819" s="957"/>
      <c r="L819" s="957"/>
      <c r="M819" s="957"/>
      <c r="N819" s="957"/>
      <c r="O819" s="4"/>
      <c r="P819" s="4"/>
      <c r="Q819" s="4"/>
      <c r="R819" s="4"/>
      <c r="S819" s="4"/>
      <c r="T819" s="4"/>
      <c r="U819" s="4"/>
      <c r="V819" s="4"/>
      <c r="W819" s="4"/>
      <c r="X819" s="4"/>
    </row>
    <row r="820" spans="1:24" ht="12.75">
      <c r="A820" s="4"/>
      <c r="B820" s="4"/>
      <c r="C820" s="4"/>
      <c r="D820" s="4"/>
      <c r="E820" s="957"/>
      <c r="F820" s="957"/>
      <c r="G820" s="957"/>
      <c r="H820" s="957"/>
      <c r="I820" s="957"/>
      <c r="J820" s="957"/>
      <c r="K820" s="957"/>
      <c r="L820" s="957"/>
      <c r="M820" s="957"/>
      <c r="N820" s="957"/>
      <c r="O820" s="4"/>
      <c r="P820" s="4"/>
      <c r="Q820" s="4"/>
      <c r="R820" s="4"/>
      <c r="S820" s="4"/>
      <c r="T820" s="4"/>
      <c r="U820" s="4"/>
      <c r="V820" s="4"/>
      <c r="W820" s="4"/>
      <c r="X820" s="4"/>
    </row>
    <row r="821" spans="1:24" ht="12.75">
      <c r="A821" s="4"/>
      <c r="B821" s="4"/>
      <c r="C821" s="4"/>
      <c r="D821" s="4"/>
      <c r="E821" s="957"/>
      <c r="F821" s="957"/>
      <c r="G821" s="957"/>
      <c r="H821" s="957"/>
      <c r="I821" s="957"/>
      <c r="J821" s="957"/>
      <c r="K821" s="957"/>
      <c r="L821" s="957"/>
      <c r="M821" s="957"/>
      <c r="N821" s="957"/>
      <c r="O821" s="4"/>
      <c r="P821" s="4"/>
      <c r="Q821" s="4"/>
      <c r="R821" s="4"/>
      <c r="S821" s="4"/>
      <c r="T821" s="4"/>
      <c r="U821" s="4"/>
      <c r="V821" s="4"/>
      <c r="W821" s="4"/>
      <c r="X821" s="4"/>
    </row>
    <row r="822" spans="1:24" ht="12.75">
      <c r="A822" s="4"/>
      <c r="B822" s="4"/>
      <c r="C822" s="4"/>
      <c r="D822" s="4"/>
      <c r="E822" s="957"/>
      <c r="F822" s="957"/>
      <c r="G822" s="957"/>
      <c r="H822" s="957"/>
      <c r="I822" s="957"/>
      <c r="J822" s="957"/>
      <c r="K822" s="957"/>
      <c r="L822" s="957"/>
      <c r="M822" s="957"/>
      <c r="N822" s="957"/>
      <c r="O822" s="4"/>
      <c r="P822" s="4"/>
      <c r="Q822" s="4"/>
      <c r="R822" s="4"/>
      <c r="S822" s="4"/>
      <c r="T822" s="4"/>
      <c r="U822" s="4"/>
      <c r="V822" s="4"/>
      <c r="W822" s="4"/>
      <c r="X822" s="4"/>
    </row>
    <row r="823" spans="1:24" ht="12.75">
      <c r="A823" s="4"/>
      <c r="B823" s="4"/>
      <c r="C823" s="4"/>
      <c r="D823" s="4"/>
      <c r="E823" s="957"/>
      <c r="F823" s="957"/>
      <c r="G823" s="957"/>
      <c r="H823" s="957"/>
      <c r="I823" s="957"/>
      <c r="J823" s="957"/>
      <c r="K823" s="957"/>
      <c r="L823" s="957"/>
      <c r="M823" s="957"/>
      <c r="N823" s="957"/>
      <c r="O823" s="4"/>
      <c r="P823" s="4"/>
      <c r="Q823" s="4"/>
      <c r="R823" s="4"/>
      <c r="S823" s="4"/>
      <c r="T823" s="4"/>
      <c r="U823" s="4"/>
      <c r="V823" s="4"/>
      <c r="W823" s="4"/>
      <c r="X823" s="4"/>
    </row>
    <row r="824" spans="1:24" ht="12.75">
      <c r="A824" s="4"/>
      <c r="B824" s="4"/>
      <c r="C824" s="4"/>
      <c r="D824" s="4"/>
      <c r="E824" s="957"/>
      <c r="F824" s="957"/>
      <c r="G824" s="957"/>
      <c r="H824" s="957"/>
      <c r="I824" s="957"/>
      <c r="J824" s="957"/>
      <c r="K824" s="957"/>
      <c r="L824" s="957"/>
      <c r="M824" s="957"/>
      <c r="N824" s="957"/>
      <c r="O824" s="4"/>
      <c r="P824" s="4"/>
      <c r="Q824" s="4"/>
      <c r="R824" s="4"/>
      <c r="S824" s="4"/>
      <c r="T824" s="4"/>
      <c r="U824" s="4"/>
      <c r="V824" s="4"/>
      <c r="W824" s="4"/>
      <c r="X824" s="4"/>
    </row>
    <row r="825" spans="1:24" ht="12.75">
      <c r="A825" s="4"/>
      <c r="B825" s="4"/>
      <c r="C825" s="4"/>
      <c r="D825" s="4"/>
      <c r="E825" s="957"/>
      <c r="F825" s="957"/>
      <c r="G825" s="957"/>
      <c r="H825" s="957"/>
      <c r="I825" s="957"/>
      <c r="J825" s="957"/>
      <c r="K825" s="957"/>
      <c r="L825" s="957"/>
      <c r="M825" s="957"/>
      <c r="N825" s="957"/>
      <c r="O825" s="4"/>
      <c r="P825" s="4"/>
      <c r="Q825" s="4"/>
      <c r="R825" s="4"/>
      <c r="S825" s="4"/>
      <c r="T825" s="4"/>
      <c r="U825" s="4"/>
      <c r="V825" s="4"/>
      <c r="W825" s="4"/>
      <c r="X825" s="4"/>
    </row>
    <row r="826" spans="1:24" ht="12.75">
      <c r="A826" s="4"/>
      <c r="B826" s="4"/>
      <c r="C826" s="4"/>
      <c r="D826" s="4"/>
      <c r="E826" s="957"/>
      <c r="F826" s="957"/>
      <c r="G826" s="957"/>
      <c r="H826" s="957"/>
      <c r="I826" s="957"/>
      <c r="J826" s="957"/>
      <c r="K826" s="957"/>
      <c r="L826" s="957"/>
      <c r="M826" s="957"/>
      <c r="N826" s="957"/>
      <c r="O826" s="4"/>
      <c r="P826" s="4"/>
      <c r="Q826" s="4"/>
      <c r="R826" s="4"/>
      <c r="S826" s="4"/>
      <c r="T826" s="4"/>
      <c r="U826" s="4"/>
      <c r="V826" s="4"/>
      <c r="W826" s="4"/>
      <c r="X826" s="4"/>
    </row>
    <row r="827" spans="1:24" ht="12.75">
      <c r="A827" s="4"/>
      <c r="B827" s="4"/>
      <c r="C827" s="4"/>
      <c r="D827" s="4"/>
      <c r="E827" s="957"/>
      <c r="F827" s="957"/>
      <c r="G827" s="957"/>
      <c r="H827" s="957"/>
      <c r="I827" s="957"/>
      <c r="J827" s="957"/>
      <c r="K827" s="957"/>
      <c r="L827" s="957"/>
      <c r="M827" s="957"/>
      <c r="N827" s="957"/>
      <c r="O827" s="4"/>
      <c r="P827" s="4"/>
      <c r="Q827" s="4"/>
      <c r="R827" s="4"/>
      <c r="S827" s="4"/>
      <c r="T827" s="4"/>
      <c r="U827" s="4"/>
      <c r="V827" s="4"/>
      <c r="W827" s="4"/>
      <c r="X827" s="4"/>
    </row>
    <row r="828" spans="1:24" ht="12.75">
      <c r="A828" s="4"/>
      <c r="B828" s="4"/>
      <c r="C828" s="4"/>
      <c r="D828" s="4"/>
      <c r="E828" s="957"/>
      <c r="F828" s="957"/>
      <c r="G828" s="957"/>
      <c r="H828" s="957"/>
      <c r="I828" s="957"/>
      <c r="J828" s="957"/>
      <c r="K828" s="957"/>
      <c r="L828" s="957"/>
      <c r="M828" s="957"/>
      <c r="N828" s="957"/>
      <c r="O828" s="4"/>
      <c r="P828" s="4"/>
      <c r="Q828" s="4"/>
      <c r="R828" s="4"/>
      <c r="S828" s="4"/>
      <c r="T828" s="4"/>
      <c r="U828" s="4"/>
      <c r="V828" s="4"/>
      <c r="W828" s="4"/>
      <c r="X828" s="4"/>
    </row>
    <row r="829" spans="1:24" ht="12.75">
      <c r="A829" s="4"/>
      <c r="B829" s="4"/>
      <c r="C829" s="4"/>
      <c r="D829" s="4"/>
      <c r="E829" s="957"/>
      <c r="F829" s="957"/>
      <c r="G829" s="957"/>
      <c r="H829" s="957"/>
      <c r="I829" s="957"/>
      <c r="J829" s="957"/>
      <c r="K829" s="957"/>
      <c r="L829" s="957"/>
      <c r="M829" s="957"/>
      <c r="N829" s="957"/>
      <c r="O829" s="4"/>
      <c r="P829" s="4"/>
      <c r="Q829" s="4"/>
      <c r="R829" s="4"/>
      <c r="S829" s="4"/>
      <c r="T829" s="4"/>
      <c r="U829" s="4"/>
      <c r="V829" s="4"/>
      <c r="W829" s="4"/>
      <c r="X829" s="4"/>
    </row>
    <row r="830" spans="1:24" ht="12.75">
      <c r="A830" s="4"/>
      <c r="B830" s="4"/>
      <c r="C830" s="4"/>
      <c r="D830" s="4"/>
      <c r="E830" s="957"/>
      <c r="F830" s="957"/>
      <c r="G830" s="957"/>
      <c r="H830" s="957"/>
      <c r="I830" s="957"/>
      <c r="J830" s="957"/>
      <c r="K830" s="957"/>
      <c r="L830" s="957"/>
      <c r="M830" s="957"/>
      <c r="N830" s="957"/>
      <c r="O830" s="4"/>
      <c r="P830" s="4"/>
      <c r="Q830" s="4"/>
      <c r="R830" s="4"/>
      <c r="S830" s="4"/>
      <c r="T830" s="4"/>
      <c r="U830" s="4"/>
      <c r="V830" s="4"/>
      <c r="W830" s="4"/>
      <c r="X830" s="4"/>
    </row>
    <row r="831" spans="1:24" ht="12.75">
      <c r="A831" s="4"/>
      <c r="B831" s="4"/>
      <c r="C831" s="4"/>
      <c r="D831" s="4"/>
      <c r="E831" s="957"/>
      <c r="F831" s="957"/>
      <c r="G831" s="957"/>
      <c r="H831" s="957"/>
      <c r="I831" s="957"/>
      <c r="J831" s="957"/>
      <c r="K831" s="957"/>
      <c r="L831" s="957"/>
      <c r="M831" s="957"/>
      <c r="N831" s="957"/>
      <c r="O831" s="4"/>
      <c r="P831" s="4"/>
      <c r="Q831" s="4"/>
      <c r="R831" s="4"/>
      <c r="S831" s="4"/>
      <c r="T831" s="4"/>
      <c r="U831" s="4"/>
      <c r="V831" s="4"/>
      <c r="W831" s="4"/>
      <c r="X831" s="4"/>
    </row>
    <row r="832" spans="1:24" ht="12.75">
      <c r="A832" s="4"/>
      <c r="B832" s="4"/>
      <c r="C832" s="4"/>
      <c r="D832" s="4"/>
      <c r="E832" s="957"/>
      <c r="F832" s="957"/>
      <c r="G832" s="957"/>
      <c r="H832" s="957"/>
      <c r="I832" s="957"/>
      <c r="J832" s="957"/>
      <c r="K832" s="957"/>
      <c r="L832" s="957"/>
      <c r="M832" s="957"/>
      <c r="N832" s="957"/>
      <c r="O832" s="4"/>
      <c r="P832" s="4"/>
      <c r="Q832" s="4"/>
      <c r="R832" s="4"/>
      <c r="S832" s="4"/>
      <c r="T832" s="4"/>
      <c r="U832" s="4"/>
      <c r="V832" s="4"/>
      <c r="W832" s="4"/>
      <c r="X832" s="4"/>
    </row>
    <row r="833" spans="1:24" ht="12.75">
      <c r="A833" s="4"/>
      <c r="B833" s="4"/>
      <c r="C833" s="4"/>
      <c r="D833" s="4"/>
      <c r="E833" s="957"/>
      <c r="F833" s="957"/>
      <c r="G833" s="957"/>
      <c r="H833" s="957"/>
      <c r="I833" s="957"/>
      <c r="J833" s="957"/>
      <c r="K833" s="957"/>
      <c r="L833" s="957"/>
      <c r="M833" s="957"/>
      <c r="N833" s="957"/>
      <c r="O833" s="4"/>
      <c r="P833" s="4"/>
      <c r="Q833" s="4"/>
      <c r="R833" s="4"/>
      <c r="S833" s="4"/>
      <c r="T833" s="4"/>
      <c r="U833" s="4"/>
      <c r="V833" s="4"/>
      <c r="W833" s="4"/>
      <c r="X833" s="4"/>
    </row>
    <row r="834" spans="1:24" ht="12.75">
      <c r="A834" s="4"/>
      <c r="B834" s="4"/>
      <c r="C834" s="4"/>
      <c r="D834" s="4"/>
      <c r="E834" s="957"/>
      <c r="F834" s="957"/>
      <c r="G834" s="957"/>
      <c r="H834" s="957"/>
      <c r="I834" s="957"/>
      <c r="J834" s="957"/>
      <c r="K834" s="957"/>
      <c r="L834" s="957"/>
      <c r="M834" s="957"/>
      <c r="N834" s="957"/>
      <c r="O834" s="4"/>
      <c r="P834" s="4"/>
      <c r="Q834" s="4"/>
      <c r="R834" s="4"/>
      <c r="S834" s="4"/>
      <c r="T834" s="4"/>
      <c r="U834" s="4"/>
      <c r="V834" s="4"/>
      <c r="W834" s="4"/>
      <c r="X834" s="4"/>
    </row>
    <row r="835" spans="1:24" ht="12.75">
      <c r="A835" s="4"/>
      <c r="B835" s="4"/>
      <c r="C835" s="4"/>
      <c r="D835" s="4"/>
      <c r="E835" s="957"/>
      <c r="F835" s="957"/>
      <c r="G835" s="957"/>
      <c r="H835" s="957"/>
      <c r="I835" s="957"/>
      <c r="J835" s="957"/>
      <c r="K835" s="957"/>
      <c r="L835" s="957"/>
      <c r="M835" s="957"/>
      <c r="N835" s="957"/>
      <c r="O835" s="4"/>
      <c r="P835" s="4"/>
      <c r="Q835" s="4"/>
      <c r="R835" s="4"/>
      <c r="S835" s="4"/>
      <c r="T835" s="4"/>
      <c r="U835" s="4"/>
      <c r="V835" s="4"/>
      <c r="W835" s="4"/>
      <c r="X835" s="4"/>
    </row>
    <row r="836" spans="1:24" ht="12.75">
      <c r="A836" s="4"/>
      <c r="B836" s="4"/>
      <c r="C836" s="4"/>
      <c r="D836" s="4"/>
      <c r="E836" s="957"/>
      <c r="F836" s="957"/>
      <c r="G836" s="957"/>
      <c r="H836" s="957"/>
      <c r="I836" s="957"/>
      <c r="J836" s="957"/>
      <c r="K836" s="957"/>
      <c r="L836" s="957"/>
      <c r="M836" s="957"/>
      <c r="N836" s="957"/>
      <c r="O836" s="4"/>
      <c r="P836" s="4"/>
      <c r="Q836" s="4"/>
      <c r="R836" s="4"/>
      <c r="S836" s="4"/>
      <c r="T836" s="4"/>
      <c r="U836" s="4"/>
      <c r="V836" s="4"/>
      <c r="W836" s="4"/>
      <c r="X836" s="4"/>
    </row>
    <row r="837" spans="1:24" ht="12.75">
      <c r="A837" s="4"/>
      <c r="B837" s="4"/>
      <c r="C837" s="4"/>
      <c r="D837" s="4"/>
      <c r="E837" s="957"/>
      <c r="F837" s="957"/>
      <c r="G837" s="957"/>
      <c r="H837" s="957"/>
      <c r="I837" s="957"/>
      <c r="J837" s="957"/>
      <c r="K837" s="957"/>
      <c r="L837" s="957"/>
      <c r="M837" s="957"/>
      <c r="N837" s="957"/>
      <c r="O837" s="4"/>
      <c r="P837" s="4"/>
      <c r="Q837" s="4"/>
      <c r="R837" s="4"/>
      <c r="S837" s="4"/>
      <c r="T837" s="4"/>
      <c r="U837" s="4"/>
      <c r="V837" s="4"/>
      <c r="W837" s="4"/>
      <c r="X837" s="4"/>
    </row>
    <row r="838" spans="1:24" ht="12.75">
      <c r="A838" s="4"/>
      <c r="B838" s="4"/>
      <c r="C838" s="4"/>
      <c r="D838" s="4"/>
      <c r="E838" s="957"/>
      <c r="F838" s="957"/>
      <c r="G838" s="957"/>
      <c r="H838" s="957"/>
      <c r="I838" s="957"/>
      <c r="J838" s="957"/>
      <c r="K838" s="957"/>
      <c r="L838" s="957"/>
      <c r="M838" s="957"/>
      <c r="N838" s="957"/>
      <c r="O838" s="4"/>
      <c r="P838" s="4"/>
      <c r="Q838" s="4"/>
      <c r="R838" s="4"/>
      <c r="S838" s="4"/>
      <c r="T838" s="4"/>
      <c r="U838" s="4"/>
      <c r="V838" s="4"/>
      <c r="W838" s="4"/>
      <c r="X838" s="4"/>
    </row>
    <row r="839" spans="1:24" ht="12.75">
      <c r="A839" s="4"/>
      <c r="B839" s="4"/>
      <c r="C839" s="4"/>
      <c r="D839" s="4"/>
      <c r="E839" s="957"/>
      <c r="F839" s="957"/>
      <c r="G839" s="957"/>
      <c r="H839" s="957"/>
      <c r="I839" s="957"/>
      <c r="J839" s="957"/>
      <c r="K839" s="957"/>
      <c r="L839" s="957"/>
      <c r="M839" s="957"/>
      <c r="N839" s="957"/>
      <c r="O839" s="4"/>
      <c r="P839" s="4"/>
      <c r="Q839" s="4"/>
      <c r="R839" s="4"/>
      <c r="S839" s="4"/>
      <c r="T839" s="4"/>
      <c r="U839" s="4"/>
      <c r="V839" s="4"/>
      <c r="W839" s="4"/>
      <c r="X839" s="4"/>
    </row>
    <row r="840" spans="1:24" ht="12.75">
      <c r="A840" s="4"/>
      <c r="B840" s="4"/>
      <c r="C840" s="4"/>
      <c r="D840" s="4"/>
      <c r="E840" s="957"/>
      <c r="F840" s="957"/>
      <c r="G840" s="957"/>
      <c r="H840" s="957"/>
      <c r="I840" s="957"/>
      <c r="J840" s="957"/>
      <c r="K840" s="957"/>
      <c r="L840" s="957"/>
      <c r="M840" s="957"/>
      <c r="N840" s="957"/>
      <c r="O840" s="4"/>
      <c r="P840" s="4"/>
      <c r="Q840" s="4"/>
      <c r="R840" s="4"/>
      <c r="S840" s="4"/>
      <c r="T840" s="4"/>
      <c r="U840" s="4"/>
      <c r="V840" s="4"/>
      <c r="W840" s="4"/>
      <c r="X840" s="4"/>
    </row>
    <row r="841" spans="1:24" ht="12.75">
      <c r="A841" s="4"/>
      <c r="B841" s="4"/>
      <c r="C841" s="4"/>
      <c r="D841" s="4"/>
      <c r="E841" s="957"/>
      <c r="F841" s="957"/>
      <c r="G841" s="957"/>
      <c r="H841" s="957"/>
      <c r="I841" s="957"/>
      <c r="J841" s="957"/>
      <c r="K841" s="957"/>
      <c r="L841" s="957"/>
      <c r="M841" s="957"/>
      <c r="N841" s="957"/>
      <c r="O841" s="4"/>
      <c r="P841" s="4"/>
      <c r="Q841" s="4"/>
      <c r="R841" s="4"/>
      <c r="S841" s="4"/>
      <c r="T841" s="4"/>
      <c r="U841" s="4"/>
      <c r="V841" s="4"/>
      <c r="W841" s="4"/>
      <c r="X841" s="4"/>
    </row>
    <row r="842" spans="1:24" ht="12.75">
      <c r="A842" s="4"/>
      <c r="B842" s="4"/>
      <c r="C842" s="4"/>
      <c r="D842" s="4"/>
      <c r="E842" s="957"/>
      <c r="F842" s="957"/>
      <c r="G842" s="957"/>
      <c r="H842" s="957"/>
      <c r="I842" s="957"/>
      <c r="J842" s="957"/>
      <c r="K842" s="957"/>
      <c r="L842" s="957"/>
      <c r="M842" s="957"/>
      <c r="N842" s="957"/>
      <c r="O842" s="4"/>
      <c r="P842" s="4"/>
      <c r="Q842" s="4"/>
      <c r="R842" s="4"/>
      <c r="S842" s="4"/>
      <c r="T842" s="4"/>
      <c r="U842" s="4"/>
      <c r="V842" s="4"/>
      <c r="W842" s="4"/>
      <c r="X842" s="4"/>
    </row>
    <row r="843" spans="1:24" ht="12.75">
      <c r="A843" s="4"/>
      <c r="B843" s="4"/>
      <c r="C843" s="4"/>
      <c r="D843" s="4"/>
      <c r="E843" s="957"/>
      <c r="F843" s="957"/>
      <c r="G843" s="957"/>
      <c r="H843" s="957"/>
      <c r="I843" s="957"/>
      <c r="J843" s="957"/>
      <c r="K843" s="957"/>
      <c r="L843" s="957"/>
      <c r="M843" s="957"/>
      <c r="N843" s="957"/>
      <c r="O843" s="4"/>
      <c r="P843" s="4"/>
      <c r="Q843" s="4"/>
      <c r="R843" s="4"/>
      <c r="S843" s="4"/>
      <c r="T843" s="4"/>
      <c r="U843" s="4"/>
      <c r="V843" s="4"/>
      <c r="W843" s="4"/>
      <c r="X843" s="4"/>
    </row>
    <row r="844" spans="1:24" ht="12.75">
      <c r="A844" s="4"/>
      <c r="B844" s="4"/>
      <c r="C844" s="4"/>
      <c r="D844" s="4"/>
      <c r="E844" s="957"/>
      <c r="F844" s="957"/>
      <c r="G844" s="957"/>
      <c r="H844" s="957"/>
      <c r="I844" s="957"/>
      <c r="J844" s="957"/>
      <c r="K844" s="957"/>
      <c r="L844" s="957"/>
      <c r="M844" s="957"/>
      <c r="N844" s="957"/>
      <c r="O844" s="4"/>
      <c r="P844" s="4"/>
      <c r="Q844" s="4"/>
      <c r="R844" s="4"/>
      <c r="S844" s="4"/>
      <c r="T844" s="4"/>
      <c r="U844" s="4"/>
      <c r="V844" s="4"/>
      <c r="W844" s="4"/>
      <c r="X844" s="4"/>
    </row>
    <row r="845" spans="1:24" ht="12.75">
      <c r="A845" s="4"/>
      <c r="B845" s="4"/>
      <c r="C845" s="4"/>
      <c r="D845" s="4"/>
      <c r="E845" s="957"/>
      <c r="F845" s="957"/>
      <c r="G845" s="957"/>
      <c r="H845" s="957"/>
      <c r="I845" s="957"/>
      <c r="J845" s="957"/>
      <c r="K845" s="957"/>
      <c r="L845" s="957"/>
      <c r="M845" s="957"/>
      <c r="N845" s="957"/>
      <c r="O845" s="4"/>
      <c r="P845" s="4"/>
      <c r="Q845" s="4"/>
      <c r="R845" s="4"/>
      <c r="S845" s="4"/>
      <c r="T845" s="4"/>
      <c r="U845" s="4"/>
      <c r="V845" s="4"/>
      <c r="W845" s="4"/>
      <c r="X845" s="4"/>
    </row>
    <row r="846" spans="1:24" ht="12.75">
      <c r="A846" s="4"/>
      <c r="B846" s="4"/>
      <c r="C846" s="4"/>
      <c r="D846" s="4"/>
      <c r="E846" s="957"/>
      <c r="F846" s="957"/>
      <c r="G846" s="957"/>
      <c r="H846" s="957"/>
      <c r="I846" s="957"/>
      <c r="J846" s="957"/>
      <c r="K846" s="957"/>
      <c r="L846" s="957"/>
      <c r="M846" s="957"/>
      <c r="N846" s="957"/>
      <c r="O846" s="4"/>
      <c r="P846" s="4"/>
      <c r="Q846" s="4"/>
      <c r="R846" s="4"/>
      <c r="S846" s="4"/>
      <c r="T846" s="4"/>
      <c r="U846" s="4"/>
      <c r="V846" s="4"/>
      <c r="W846" s="4"/>
      <c r="X846" s="4"/>
    </row>
    <row r="847" spans="1:24" ht="12.75">
      <c r="A847" s="4"/>
      <c r="B847" s="4"/>
      <c r="C847" s="4"/>
      <c r="D847" s="4"/>
      <c r="E847" s="957"/>
      <c r="F847" s="957"/>
      <c r="G847" s="957"/>
      <c r="H847" s="957"/>
      <c r="I847" s="957"/>
      <c r="J847" s="957"/>
      <c r="K847" s="957"/>
      <c r="L847" s="957"/>
      <c r="M847" s="957"/>
      <c r="N847" s="957"/>
      <c r="O847" s="4"/>
      <c r="P847" s="4"/>
      <c r="Q847" s="4"/>
      <c r="R847" s="4"/>
      <c r="S847" s="4"/>
      <c r="T847" s="4"/>
      <c r="U847" s="4"/>
      <c r="V847" s="4"/>
      <c r="W847" s="4"/>
      <c r="X847" s="4"/>
    </row>
    <row r="848" spans="1:24" ht="12.75">
      <c r="A848" s="4"/>
      <c r="B848" s="4"/>
      <c r="C848" s="4"/>
      <c r="D848" s="4"/>
      <c r="E848" s="957"/>
      <c r="F848" s="957"/>
      <c r="G848" s="957"/>
      <c r="H848" s="957"/>
      <c r="I848" s="957"/>
      <c r="J848" s="957"/>
      <c r="K848" s="957"/>
      <c r="L848" s="957"/>
      <c r="M848" s="957"/>
      <c r="N848" s="957"/>
      <c r="O848" s="4"/>
      <c r="P848" s="4"/>
      <c r="Q848" s="4"/>
      <c r="R848" s="4"/>
      <c r="S848" s="4"/>
      <c r="T848" s="4"/>
      <c r="U848" s="4"/>
      <c r="V848" s="4"/>
      <c r="W848" s="4"/>
      <c r="X848" s="4"/>
    </row>
    <row r="849" spans="1:24" ht="12.75">
      <c r="A849" s="4"/>
      <c r="B849" s="4"/>
      <c r="C849" s="4"/>
      <c r="D849" s="4"/>
      <c r="E849" s="957"/>
      <c r="F849" s="957"/>
      <c r="G849" s="957"/>
      <c r="H849" s="957"/>
      <c r="I849" s="957"/>
      <c r="J849" s="957"/>
      <c r="K849" s="957"/>
      <c r="L849" s="957"/>
      <c r="M849" s="957"/>
      <c r="N849" s="957"/>
      <c r="O849" s="4"/>
      <c r="P849" s="4"/>
      <c r="Q849" s="4"/>
      <c r="R849" s="4"/>
      <c r="S849" s="4"/>
      <c r="T849" s="4"/>
      <c r="U849" s="4"/>
      <c r="V849" s="4"/>
      <c r="W849" s="4"/>
      <c r="X849" s="4"/>
    </row>
    <row r="850" spans="1:24" ht="12.75">
      <c r="A850" s="4"/>
      <c r="B850" s="4"/>
      <c r="C850" s="4"/>
      <c r="D850" s="4"/>
      <c r="E850" s="957"/>
      <c r="F850" s="957"/>
      <c r="G850" s="957"/>
      <c r="H850" s="957"/>
      <c r="I850" s="957"/>
      <c r="J850" s="957"/>
      <c r="K850" s="957"/>
      <c r="L850" s="957"/>
      <c r="M850" s="957"/>
      <c r="N850" s="957"/>
      <c r="O850" s="4"/>
      <c r="P850" s="4"/>
      <c r="Q850" s="4"/>
      <c r="R850" s="4"/>
      <c r="S850" s="4"/>
      <c r="T850" s="4"/>
      <c r="U850" s="4"/>
      <c r="V850" s="4"/>
      <c r="W850" s="4"/>
      <c r="X850" s="4"/>
    </row>
    <row r="851" spans="1:24" ht="12.75">
      <c r="A851" s="4"/>
      <c r="B851" s="4"/>
      <c r="C851" s="4"/>
      <c r="D851" s="4"/>
      <c r="E851" s="957"/>
      <c r="F851" s="957"/>
      <c r="G851" s="957"/>
      <c r="H851" s="957"/>
      <c r="I851" s="957"/>
      <c r="J851" s="957"/>
      <c r="K851" s="957"/>
      <c r="L851" s="957"/>
      <c r="M851" s="957"/>
      <c r="N851" s="957"/>
      <c r="O851" s="4"/>
      <c r="P851" s="4"/>
      <c r="Q851" s="4"/>
      <c r="R851" s="4"/>
      <c r="S851" s="4"/>
      <c r="T851" s="4"/>
      <c r="U851" s="4"/>
      <c r="V851" s="4"/>
      <c r="W851" s="4"/>
      <c r="X851" s="4"/>
    </row>
    <row r="852" spans="1:24" ht="12.75">
      <c r="A852" s="4"/>
      <c r="B852" s="4"/>
      <c r="C852" s="4"/>
      <c r="D852" s="4"/>
      <c r="E852" s="957"/>
      <c r="F852" s="957"/>
      <c r="G852" s="957"/>
      <c r="H852" s="957"/>
      <c r="I852" s="957"/>
      <c r="J852" s="957"/>
      <c r="K852" s="957"/>
      <c r="L852" s="957"/>
      <c r="M852" s="957"/>
      <c r="N852" s="957"/>
      <c r="O852" s="4"/>
      <c r="P852" s="4"/>
      <c r="Q852" s="4"/>
      <c r="R852" s="4"/>
      <c r="S852" s="4"/>
      <c r="T852" s="4"/>
      <c r="U852" s="4"/>
      <c r="V852" s="4"/>
      <c r="W852" s="4"/>
      <c r="X852" s="4"/>
    </row>
    <row r="853" spans="1:24" ht="12.75">
      <c r="A853" s="4"/>
      <c r="B853" s="4"/>
      <c r="C853" s="4"/>
      <c r="D853" s="4"/>
      <c r="E853" s="957"/>
      <c r="F853" s="957"/>
      <c r="G853" s="957"/>
      <c r="H853" s="957"/>
      <c r="I853" s="957"/>
      <c r="J853" s="957"/>
      <c r="K853" s="957"/>
      <c r="L853" s="957"/>
      <c r="M853" s="957"/>
      <c r="N853" s="957"/>
      <c r="O853" s="4"/>
      <c r="P853" s="4"/>
      <c r="Q853" s="4"/>
      <c r="R853" s="4"/>
      <c r="S853" s="4"/>
      <c r="T853" s="4"/>
      <c r="U853" s="4"/>
      <c r="V853" s="4"/>
      <c r="W853" s="4"/>
      <c r="X853" s="4"/>
    </row>
    <row r="854" spans="1:24" ht="12.75">
      <c r="A854" s="4"/>
      <c r="B854" s="4"/>
      <c r="C854" s="4"/>
      <c r="D854" s="4"/>
      <c r="E854" s="957"/>
      <c r="F854" s="957"/>
      <c r="G854" s="957"/>
      <c r="H854" s="957"/>
      <c r="I854" s="957"/>
      <c r="J854" s="957"/>
      <c r="K854" s="957"/>
      <c r="L854" s="957"/>
      <c r="M854" s="957"/>
      <c r="N854" s="957"/>
      <c r="O854" s="4"/>
      <c r="P854" s="4"/>
      <c r="Q854" s="4"/>
      <c r="R854" s="4"/>
      <c r="S854" s="4"/>
      <c r="T854" s="4"/>
      <c r="U854" s="4"/>
      <c r="V854" s="4"/>
      <c r="W854" s="4"/>
      <c r="X854" s="4"/>
    </row>
    <row r="855" spans="1:24" ht="12.75">
      <c r="A855" s="4"/>
      <c r="B855" s="4"/>
      <c r="C855" s="4"/>
      <c r="D855" s="4"/>
      <c r="E855" s="957"/>
      <c r="F855" s="957"/>
      <c r="G855" s="957"/>
      <c r="H855" s="957"/>
      <c r="I855" s="957"/>
      <c r="J855" s="957"/>
      <c r="K855" s="957"/>
      <c r="L855" s="957"/>
      <c r="M855" s="957"/>
      <c r="N855" s="957"/>
      <c r="O855" s="4"/>
      <c r="P855" s="4"/>
      <c r="Q855" s="4"/>
      <c r="R855" s="4"/>
      <c r="S855" s="4"/>
      <c r="T855" s="4"/>
      <c r="U855" s="4"/>
      <c r="V855" s="4"/>
      <c r="W855" s="4"/>
      <c r="X855" s="4"/>
    </row>
    <row r="856" spans="1:24" ht="12.75">
      <c r="A856" s="4"/>
      <c r="B856" s="4"/>
      <c r="C856" s="4"/>
      <c r="D856" s="4"/>
      <c r="E856" s="957"/>
      <c r="F856" s="957"/>
      <c r="G856" s="957"/>
      <c r="H856" s="957"/>
      <c r="I856" s="957"/>
      <c r="J856" s="957"/>
      <c r="K856" s="957"/>
      <c r="L856" s="957"/>
      <c r="M856" s="957"/>
      <c r="N856" s="957"/>
      <c r="O856" s="4"/>
      <c r="P856" s="4"/>
      <c r="Q856" s="4"/>
      <c r="R856" s="4"/>
      <c r="S856" s="4"/>
      <c r="T856" s="4"/>
      <c r="U856" s="4"/>
      <c r="V856" s="4"/>
      <c r="W856" s="4"/>
      <c r="X856" s="4"/>
    </row>
    <row r="857" spans="1:24" ht="12.75">
      <c r="A857" s="4"/>
      <c r="B857" s="4"/>
      <c r="C857" s="4"/>
      <c r="D857" s="4"/>
      <c r="E857" s="957"/>
      <c r="F857" s="957"/>
      <c r="G857" s="957"/>
      <c r="H857" s="957"/>
      <c r="I857" s="957"/>
      <c r="J857" s="957"/>
      <c r="K857" s="957"/>
      <c r="L857" s="957"/>
      <c r="M857" s="957"/>
      <c r="N857" s="957"/>
      <c r="O857" s="4"/>
      <c r="P857" s="4"/>
      <c r="Q857" s="4"/>
      <c r="R857" s="4"/>
      <c r="S857" s="4"/>
      <c r="T857" s="4"/>
      <c r="U857" s="4"/>
      <c r="V857" s="4"/>
      <c r="W857" s="4"/>
      <c r="X857" s="4"/>
    </row>
    <row r="858" spans="1:24" ht="12.75">
      <c r="A858" s="4"/>
      <c r="B858" s="4"/>
      <c r="C858" s="4"/>
      <c r="D858" s="4"/>
      <c r="E858" s="957"/>
      <c r="F858" s="957"/>
      <c r="G858" s="957"/>
      <c r="H858" s="957"/>
      <c r="I858" s="957"/>
      <c r="J858" s="957"/>
      <c r="K858" s="957"/>
      <c r="L858" s="957"/>
      <c r="M858" s="957"/>
      <c r="N858" s="957"/>
      <c r="O858" s="4"/>
      <c r="P858" s="4"/>
      <c r="Q858" s="4"/>
      <c r="R858" s="4"/>
      <c r="S858" s="4"/>
      <c r="T858" s="4"/>
      <c r="U858" s="4"/>
      <c r="V858" s="4"/>
      <c r="W858" s="4"/>
      <c r="X858" s="4"/>
    </row>
    <row r="859" spans="1:24" ht="12.75">
      <c r="A859" s="4"/>
      <c r="B859" s="4"/>
      <c r="C859" s="4"/>
      <c r="D859" s="4"/>
      <c r="E859" s="957"/>
      <c r="F859" s="957"/>
      <c r="G859" s="957"/>
      <c r="H859" s="957"/>
      <c r="I859" s="957"/>
      <c r="J859" s="957"/>
      <c r="K859" s="957"/>
      <c r="L859" s="957"/>
      <c r="M859" s="957"/>
      <c r="N859" s="957"/>
      <c r="O859" s="4"/>
      <c r="P859" s="4"/>
      <c r="Q859" s="4"/>
      <c r="R859" s="4"/>
      <c r="S859" s="4"/>
      <c r="T859" s="4"/>
      <c r="U859" s="4"/>
      <c r="V859" s="4"/>
      <c r="W859" s="4"/>
      <c r="X859" s="4"/>
    </row>
    <row r="860" spans="1:24" ht="12.75">
      <c r="A860" s="4"/>
      <c r="B860" s="4"/>
      <c r="C860" s="4"/>
      <c r="D860" s="4"/>
      <c r="E860" s="957"/>
      <c r="F860" s="957"/>
      <c r="G860" s="957"/>
      <c r="H860" s="957"/>
      <c r="I860" s="957"/>
      <c r="J860" s="957"/>
      <c r="K860" s="957"/>
      <c r="L860" s="957"/>
      <c r="M860" s="957"/>
      <c r="N860" s="957"/>
      <c r="O860" s="4"/>
      <c r="P860" s="4"/>
      <c r="Q860" s="4"/>
      <c r="R860" s="4"/>
      <c r="S860" s="4"/>
      <c r="T860" s="4"/>
      <c r="U860" s="4"/>
      <c r="V860" s="4"/>
      <c r="W860" s="4"/>
      <c r="X860" s="4"/>
    </row>
    <row r="861" spans="1:24" ht="12.75">
      <c r="A861" s="4"/>
      <c r="B861" s="4"/>
      <c r="C861" s="4"/>
      <c r="D861" s="4"/>
      <c r="E861" s="957"/>
      <c r="F861" s="957"/>
      <c r="G861" s="957"/>
      <c r="H861" s="957"/>
      <c r="I861" s="957"/>
      <c r="J861" s="957"/>
      <c r="K861" s="957"/>
      <c r="L861" s="957"/>
      <c r="M861" s="957"/>
      <c r="N861" s="957"/>
      <c r="O861" s="4"/>
      <c r="P861" s="4"/>
      <c r="Q861" s="4"/>
      <c r="R861" s="4"/>
      <c r="S861" s="4"/>
      <c r="T861" s="4"/>
      <c r="U861" s="4"/>
      <c r="V861" s="4"/>
      <c r="W861" s="4"/>
      <c r="X861" s="4"/>
    </row>
    <row r="862" spans="1:24" ht="12.75">
      <c r="A862" s="4"/>
      <c r="B862" s="4"/>
      <c r="C862" s="4"/>
      <c r="D862" s="4"/>
      <c r="E862" s="957"/>
      <c r="F862" s="957"/>
      <c r="G862" s="957"/>
      <c r="H862" s="957"/>
      <c r="I862" s="957"/>
      <c r="J862" s="957"/>
      <c r="K862" s="957"/>
      <c r="L862" s="957"/>
      <c r="M862" s="957"/>
      <c r="N862" s="957"/>
      <c r="O862" s="4"/>
      <c r="P862" s="4"/>
      <c r="Q862" s="4"/>
      <c r="R862" s="4"/>
      <c r="S862" s="4"/>
      <c r="T862" s="4"/>
      <c r="U862" s="4"/>
      <c r="V862" s="4"/>
      <c r="W862" s="4"/>
      <c r="X862" s="4"/>
    </row>
    <row r="863" spans="1:24" ht="12.75">
      <c r="A863" s="4"/>
      <c r="B863" s="4"/>
      <c r="C863" s="4"/>
      <c r="D863" s="4"/>
      <c r="E863" s="957"/>
      <c r="F863" s="957"/>
      <c r="G863" s="957"/>
      <c r="H863" s="957"/>
      <c r="I863" s="957"/>
      <c r="J863" s="957"/>
      <c r="K863" s="957"/>
      <c r="L863" s="957"/>
      <c r="M863" s="957"/>
      <c r="N863" s="957"/>
      <c r="O863" s="4"/>
      <c r="P863" s="4"/>
      <c r="Q863" s="4"/>
      <c r="R863" s="4"/>
      <c r="S863" s="4"/>
      <c r="T863" s="4"/>
      <c r="U863" s="4"/>
      <c r="V863" s="4"/>
      <c r="W863" s="4"/>
      <c r="X863" s="4"/>
    </row>
    <row r="864" spans="1:24" ht="12.75">
      <c r="A864" s="4"/>
      <c r="B864" s="4"/>
      <c r="C864" s="4"/>
      <c r="D864" s="4"/>
      <c r="E864" s="957"/>
      <c r="F864" s="957"/>
      <c r="G864" s="957"/>
      <c r="H864" s="957"/>
      <c r="I864" s="957"/>
      <c r="J864" s="957"/>
      <c r="K864" s="957"/>
      <c r="L864" s="957"/>
      <c r="M864" s="957"/>
      <c r="N864" s="957"/>
      <c r="O864" s="4"/>
      <c r="P864" s="4"/>
      <c r="Q864" s="4"/>
      <c r="R864" s="4"/>
      <c r="S864" s="4"/>
      <c r="T864" s="4"/>
      <c r="U864" s="4"/>
      <c r="V864" s="4"/>
      <c r="W864" s="4"/>
      <c r="X864" s="4"/>
    </row>
    <row r="865" spans="1:24" ht="12.75">
      <c r="A865" s="4"/>
      <c r="B865" s="4"/>
      <c r="C865" s="4"/>
      <c r="D865" s="4"/>
      <c r="E865" s="957"/>
      <c r="F865" s="957"/>
      <c r="G865" s="957"/>
      <c r="H865" s="957"/>
      <c r="I865" s="957"/>
      <c r="J865" s="957"/>
      <c r="K865" s="957"/>
      <c r="L865" s="957"/>
      <c r="M865" s="957"/>
      <c r="N865" s="957"/>
      <c r="O865" s="4"/>
      <c r="P865" s="4"/>
      <c r="Q865" s="4"/>
      <c r="R865" s="4"/>
      <c r="S865" s="4"/>
      <c r="T865" s="4"/>
      <c r="U865" s="4"/>
      <c r="V865" s="4"/>
      <c r="W865" s="4"/>
      <c r="X865" s="4"/>
    </row>
    <row r="866" spans="1:24" ht="12.75">
      <c r="A866" s="4"/>
      <c r="B866" s="4"/>
      <c r="C866" s="4"/>
      <c r="D866" s="4"/>
      <c r="E866" s="957"/>
      <c r="F866" s="957"/>
      <c r="G866" s="957"/>
      <c r="H866" s="957"/>
      <c r="I866" s="957"/>
      <c r="J866" s="957"/>
      <c r="K866" s="957"/>
      <c r="L866" s="957"/>
      <c r="M866" s="957"/>
      <c r="N866" s="957"/>
      <c r="O866" s="4"/>
      <c r="P866" s="4"/>
      <c r="Q866" s="4"/>
      <c r="R866" s="4"/>
      <c r="S866" s="4"/>
      <c r="T866" s="4"/>
      <c r="U866" s="4"/>
      <c r="V866" s="4"/>
      <c r="W866" s="4"/>
      <c r="X866" s="4"/>
    </row>
    <row r="867" spans="1:24" ht="12.75">
      <c r="A867" s="4"/>
      <c r="B867" s="4"/>
      <c r="C867" s="4"/>
      <c r="D867" s="4"/>
      <c r="E867" s="957"/>
      <c r="F867" s="957"/>
      <c r="G867" s="957"/>
      <c r="H867" s="957"/>
      <c r="I867" s="957"/>
      <c r="J867" s="957"/>
      <c r="K867" s="957"/>
      <c r="L867" s="957"/>
      <c r="M867" s="957"/>
      <c r="N867" s="957"/>
      <c r="O867" s="4"/>
      <c r="P867" s="4"/>
      <c r="Q867" s="4"/>
      <c r="R867" s="4"/>
      <c r="S867" s="4"/>
      <c r="T867" s="4"/>
      <c r="U867" s="4"/>
      <c r="V867" s="4"/>
      <c r="W867" s="4"/>
      <c r="X867" s="4"/>
    </row>
    <row r="868" spans="1:24" ht="12.75">
      <c r="A868" s="4"/>
      <c r="B868" s="4"/>
      <c r="C868" s="4"/>
      <c r="D868" s="4"/>
      <c r="E868" s="957"/>
      <c r="F868" s="957"/>
      <c r="G868" s="957"/>
      <c r="H868" s="957"/>
      <c r="I868" s="957"/>
      <c r="J868" s="957"/>
      <c r="K868" s="957"/>
      <c r="L868" s="957"/>
      <c r="M868" s="957"/>
      <c r="N868" s="957"/>
      <c r="O868" s="4"/>
      <c r="P868" s="4"/>
      <c r="Q868" s="4"/>
      <c r="R868" s="4"/>
      <c r="S868" s="4"/>
      <c r="T868" s="4"/>
      <c r="U868" s="4"/>
      <c r="V868" s="4"/>
      <c r="W868" s="4"/>
      <c r="X868" s="4"/>
    </row>
    <row r="869" spans="1:24" ht="12.75">
      <c r="A869" s="4"/>
      <c r="B869" s="4"/>
      <c r="C869" s="4"/>
      <c r="D869" s="4"/>
      <c r="E869" s="957"/>
      <c r="F869" s="957"/>
      <c r="G869" s="957"/>
      <c r="H869" s="957"/>
      <c r="I869" s="957"/>
      <c r="J869" s="957"/>
      <c r="K869" s="957"/>
      <c r="L869" s="957"/>
      <c r="M869" s="957"/>
      <c r="N869" s="957"/>
      <c r="O869" s="4"/>
      <c r="P869" s="4"/>
      <c r="Q869" s="4"/>
      <c r="R869" s="4"/>
      <c r="S869" s="4"/>
      <c r="T869" s="4"/>
      <c r="U869" s="4"/>
      <c r="V869" s="4"/>
      <c r="W869" s="4"/>
      <c r="X869" s="4"/>
    </row>
    <row r="870" spans="1:24" ht="12.75">
      <c r="A870" s="4"/>
      <c r="B870" s="4"/>
      <c r="C870" s="4"/>
      <c r="D870" s="4"/>
      <c r="E870" s="957"/>
      <c r="F870" s="957"/>
      <c r="G870" s="957"/>
      <c r="H870" s="957"/>
      <c r="I870" s="957"/>
      <c r="J870" s="957"/>
      <c r="K870" s="957"/>
      <c r="L870" s="957"/>
      <c r="M870" s="957"/>
      <c r="N870" s="957"/>
      <c r="O870" s="4"/>
      <c r="P870" s="4"/>
      <c r="Q870" s="4"/>
      <c r="R870" s="4"/>
      <c r="S870" s="4"/>
      <c r="T870" s="4"/>
      <c r="U870" s="4"/>
      <c r="V870" s="4"/>
      <c r="W870" s="4"/>
      <c r="X870" s="4"/>
    </row>
    <row r="871" spans="1:24" ht="12.75">
      <c r="A871" s="4"/>
      <c r="B871" s="4"/>
      <c r="C871" s="4"/>
      <c r="D871" s="4"/>
      <c r="E871" s="957"/>
      <c r="F871" s="957"/>
      <c r="G871" s="957"/>
      <c r="H871" s="957"/>
      <c r="I871" s="957"/>
      <c r="J871" s="957"/>
      <c r="K871" s="957"/>
      <c r="L871" s="957"/>
      <c r="M871" s="957"/>
      <c r="N871" s="957"/>
      <c r="O871" s="4"/>
      <c r="P871" s="4"/>
      <c r="Q871" s="4"/>
      <c r="R871" s="4"/>
      <c r="S871" s="4"/>
      <c r="T871" s="4"/>
      <c r="U871" s="4"/>
      <c r="V871" s="4"/>
      <c r="W871" s="4"/>
      <c r="X871" s="4"/>
    </row>
    <row r="872" spans="1:24" ht="12.75">
      <c r="A872" s="4"/>
      <c r="B872" s="4"/>
      <c r="C872" s="4"/>
      <c r="D872" s="4"/>
      <c r="E872" s="957"/>
      <c r="F872" s="957"/>
      <c r="G872" s="957"/>
      <c r="H872" s="957"/>
      <c r="I872" s="957"/>
      <c r="J872" s="957"/>
      <c r="K872" s="957"/>
      <c r="L872" s="957"/>
      <c r="M872" s="957"/>
      <c r="N872" s="957"/>
      <c r="O872" s="4"/>
      <c r="P872" s="4"/>
      <c r="Q872" s="4"/>
      <c r="R872" s="4"/>
      <c r="S872" s="4"/>
      <c r="T872" s="4"/>
      <c r="U872" s="4"/>
      <c r="V872" s="4"/>
      <c r="W872" s="4"/>
      <c r="X872" s="4"/>
    </row>
    <row r="873" spans="1:24" ht="12.75">
      <c r="A873" s="4"/>
      <c r="B873" s="4"/>
      <c r="C873" s="4"/>
      <c r="D873" s="4"/>
      <c r="E873" s="957"/>
      <c r="F873" s="957"/>
      <c r="G873" s="957"/>
      <c r="H873" s="957"/>
      <c r="I873" s="957"/>
      <c r="J873" s="957"/>
      <c r="K873" s="957"/>
      <c r="L873" s="957"/>
      <c r="M873" s="957"/>
      <c r="N873" s="957"/>
      <c r="O873" s="4"/>
      <c r="P873" s="4"/>
      <c r="Q873" s="4"/>
      <c r="R873" s="4"/>
      <c r="S873" s="4"/>
      <c r="T873" s="4"/>
      <c r="U873" s="4"/>
      <c r="V873" s="4"/>
      <c r="W873" s="4"/>
      <c r="X873" s="4"/>
    </row>
    <row r="874" spans="1:24" ht="12.75">
      <c r="A874" s="4"/>
      <c r="B874" s="4"/>
      <c r="C874" s="4"/>
      <c r="D874" s="4"/>
      <c r="E874" s="957"/>
      <c r="F874" s="957"/>
      <c r="G874" s="957"/>
      <c r="H874" s="957"/>
      <c r="I874" s="957"/>
      <c r="J874" s="957"/>
      <c r="K874" s="957"/>
      <c r="L874" s="957"/>
      <c r="M874" s="957"/>
      <c r="N874" s="957"/>
      <c r="O874" s="4"/>
      <c r="P874" s="4"/>
      <c r="Q874" s="4"/>
      <c r="R874" s="4"/>
      <c r="S874" s="4"/>
      <c r="T874" s="4"/>
      <c r="U874" s="4"/>
      <c r="V874" s="4"/>
      <c r="W874" s="4"/>
      <c r="X874" s="4"/>
    </row>
    <row r="875" spans="1:24" ht="12.75">
      <c r="A875" s="4"/>
      <c r="B875" s="4"/>
      <c r="C875" s="4"/>
      <c r="D875" s="4"/>
      <c r="E875" s="957"/>
      <c r="F875" s="957"/>
      <c r="G875" s="957"/>
      <c r="H875" s="957"/>
      <c r="I875" s="957"/>
      <c r="J875" s="957"/>
      <c r="K875" s="957"/>
      <c r="L875" s="957"/>
      <c r="M875" s="957"/>
      <c r="N875" s="957"/>
      <c r="O875" s="4"/>
      <c r="P875" s="4"/>
      <c r="Q875" s="4"/>
      <c r="R875" s="4"/>
      <c r="S875" s="4"/>
      <c r="T875" s="4"/>
      <c r="U875" s="4"/>
      <c r="V875" s="4"/>
      <c r="W875" s="4"/>
      <c r="X875" s="4"/>
    </row>
    <row r="876" spans="1:24" ht="12.75">
      <c r="A876" s="4"/>
      <c r="B876" s="4"/>
      <c r="C876" s="4"/>
      <c r="D876" s="4"/>
      <c r="E876" s="957"/>
      <c r="F876" s="957"/>
      <c r="G876" s="957"/>
      <c r="H876" s="957"/>
      <c r="I876" s="957"/>
      <c r="J876" s="957"/>
      <c r="K876" s="957"/>
      <c r="L876" s="957"/>
      <c r="M876" s="957"/>
      <c r="N876" s="957"/>
      <c r="O876" s="4"/>
      <c r="P876" s="4"/>
      <c r="Q876" s="4"/>
      <c r="R876" s="4"/>
      <c r="S876" s="4"/>
      <c r="T876" s="4"/>
      <c r="U876" s="4"/>
      <c r="V876" s="4"/>
      <c r="W876" s="4"/>
      <c r="X876" s="4"/>
    </row>
    <row r="877" spans="1:24" ht="12.75">
      <c r="A877" s="4"/>
      <c r="B877" s="4"/>
      <c r="C877" s="4"/>
      <c r="D877" s="4"/>
      <c r="E877" s="957"/>
      <c r="F877" s="957"/>
      <c r="G877" s="957"/>
      <c r="H877" s="957"/>
      <c r="I877" s="957"/>
      <c r="J877" s="957"/>
      <c r="K877" s="957"/>
      <c r="L877" s="957"/>
      <c r="M877" s="957"/>
      <c r="N877" s="957"/>
      <c r="O877" s="4"/>
      <c r="P877" s="4"/>
      <c r="Q877" s="4"/>
      <c r="R877" s="4"/>
      <c r="S877" s="4"/>
      <c r="T877" s="4"/>
      <c r="U877" s="4"/>
      <c r="V877" s="4"/>
      <c r="W877" s="4"/>
      <c r="X877" s="4"/>
    </row>
    <row r="878" spans="1:24" ht="12.75">
      <c r="A878" s="4"/>
      <c r="B878" s="4"/>
      <c r="C878" s="4"/>
      <c r="D878" s="4"/>
      <c r="E878" s="957"/>
      <c r="F878" s="957"/>
      <c r="G878" s="957"/>
      <c r="H878" s="957"/>
      <c r="I878" s="957"/>
      <c r="J878" s="957"/>
      <c r="K878" s="957"/>
      <c r="L878" s="957"/>
      <c r="M878" s="957"/>
      <c r="N878" s="957"/>
      <c r="O878" s="4"/>
      <c r="P878" s="4"/>
      <c r="Q878" s="4"/>
      <c r="R878" s="4"/>
      <c r="S878" s="4"/>
      <c r="T878" s="4"/>
      <c r="U878" s="4"/>
      <c r="V878" s="4"/>
      <c r="W878" s="4"/>
      <c r="X878" s="4"/>
    </row>
    <row r="879" spans="1:24" ht="12.75">
      <c r="A879" s="4"/>
      <c r="B879" s="4"/>
      <c r="C879" s="4"/>
      <c r="D879" s="4"/>
      <c r="E879" s="957"/>
      <c r="F879" s="957"/>
      <c r="G879" s="957"/>
      <c r="H879" s="957"/>
      <c r="I879" s="957"/>
      <c r="J879" s="957"/>
      <c r="K879" s="957"/>
      <c r="L879" s="957"/>
      <c r="M879" s="957"/>
      <c r="N879" s="957"/>
      <c r="O879" s="4"/>
      <c r="P879" s="4"/>
      <c r="Q879" s="4"/>
      <c r="R879" s="4"/>
      <c r="S879" s="4"/>
      <c r="T879" s="4"/>
      <c r="U879" s="4"/>
      <c r="V879" s="4"/>
      <c r="W879" s="4"/>
      <c r="X879" s="4"/>
    </row>
    <row r="880" spans="1:24" ht="12.75">
      <c r="A880" s="4"/>
      <c r="B880" s="4"/>
      <c r="C880" s="4"/>
      <c r="D880" s="4"/>
      <c r="E880" s="957"/>
      <c r="F880" s="957"/>
      <c r="G880" s="957"/>
      <c r="H880" s="957"/>
      <c r="I880" s="957"/>
      <c r="J880" s="957"/>
      <c r="K880" s="957"/>
      <c r="L880" s="957"/>
      <c r="M880" s="957"/>
      <c r="N880" s="957"/>
      <c r="O880" s="4"/>
      <c r="P880" s="4"/>
      <c r="Q880" s="4"/>
      <c r="R880" s="4"/>
      <c r="S880" s="4"/>
      <c r="T880" s="4"/>
      <c r="U880" s="4"/>
      <c r="V880" s="4"/>
      <c r="W880" s="4"/>
      <c r="X880" s="4"/>
    </row>
    <row r="881" spans="1:24" ht="12.75">
      <c r="A881" s="4"/>
      <c r="B881" s="4"/>
      <c r="C881" s="4"/>
      <c r="D881" s="4"/>
      <c r="E881" s="957"/>
      <c r="F881" s="957"/>
      <c r="G881" s="957"/>
      <c r="H881" s="957"/>
      <c r="I881" s="957"/>
      <c r="J881" s="957"/>
      <c r="K881" s="957"/>
      <c r="L881" s="957"/>
      <c r="M881" s="957"/>
      <c r="N881" s="957"/>
      <c r="O881" s="4"/>
      <c r="P881" s="4"/>
      <c r="Q881" s="4"/>
      <c r="R881" s="4"/>
      <c r="S881" s="4"/>
      <c r="T881" s="4"/>
      <c r="U881" s="4"/>
      <c r="V881" s="4"/>
      <c r="W881" s="4"/>
      <c r="X881" s="4"/>
    </row>
    <row r="882" spans="1:24" ht="12.75">
      <c r="A882" s="4"/>
      <c r="B882" s="4"/>
      <c r="C882" s="4"/>
      <c r="D882" s="4"/>
      <c r="E882" s="957"/>
      <c r="F882" s="957"/>
      <c r="G882" s="957"/>
      <c r="H882" s="957"/>
      <c r="I882" s="957"/>
      <c r="J882" s="957"/>
      <c r="K882" s="957"/>
      <c r="L882" s="957"/>
      <c r="M882" s="957"/>
      <c r="N882" s="957"/>
      <c r="O882" s="4"/>
      <c r="P882" s="4"/>
      <c r="Q882" s="4"/>
      <c r="R882" s="4"/>
      <c r="S882" s="4"/>
      <c r="T882" s="4"/>
      <c r="U882" s="4"/>
      <c r="V882" s="4"/>
      <c r="W882" s="4"/>
      <c r="X882" s="4"/>
    </row>
    <row r="883" spans="1:24" ht="12.75">
      <c r="A883" s="4"/>
      <c r="B883" s="4"/>
      <c r="C883" s="4"/>
      <c r="D883" s="4"/>
      <c r="E883" s="957"/>
      <c r="F883" s="957"/>
      <c r="G883" s="957"/>
      <c r="H883" s="957"/>
      <c r="I883" s="957"/>
      <c r="J883" s="957"/>
      <c r="K883" s="957"/>
      <c r="L883" s="957"/>
      <c r="M883" s="957"/>
      <c r="N883" s="957"/>
      <c r="O883" s="4"/>
      <c r="P883" s="4"/>
      <c r="Q883" s="4"/>
      <c r="R883" s="4"/>
      <c r="S883" s="4"/>
      <c r="T883" s="4"/>
      <c r="U883" s="4"/>
      <c r="V883" s="4"/>
      <c r="W883" s="4"/>
      <c r="X883" s="4"/>
    </row>
    <row r="884" spans="1:24" ht="12.75">
      <c r="A884" s="4"/>
      <c r="B884" s="4"/>
      <c r="C884" s="4"/>
      <c r="D884" s="4"/>
      <c r="E884" s="957"/>
      <c r="F884" s="957"/>
      <c r="G884" s="957"/>
      <c r="H884" s="957"/>
      <c r="I884" s="957"/>
      <c r="J884" s="957"/>
      <c r="K884" s="957"/>
      <c r="L884" s="957"/>
      <c r="M884" s="957"/>
      <c r="N884" s="957"/>
      <c r="O884" s="4"/>
      <c r="P884" s="4"/>
      <c r="Q884" s="4"/>
      <c r="R884" s="4"/>
      <c r="S884" s="4"/>
      <c r="T884" s="4"/>
      <c r="U884" s="4"/>
      <c r="V884" s="4"/>
      <c r="W884" s="4"/>
      <c r="X884" s="4"/>
    </row>
    <row r="885" spans="1:24" ht="12.75">
      <c r="A885" s="4"/>
      <c r="B885" s="4"/>
      <c r="C885" s="4"/>
      <c r="D885" s="4"/>
      <c r="E885" s="957"/>
      <c r="F885" s="957"/>
      <c r="G885" s="957"/>
      <c r="H885" s="957"/>
      <c r="I885" s="957"/>
      <c r="J885" s="957"/>
      <c r="K885" s="957"/>
      <c r="L885" s="957"/>
      <c r="M885" s="957"/>
      <c r="N885" s="957"/>
      <c r="O885" s="4"/>
      <c r="P885" s="4"/>
      <c r="Q885" s="4"/>
      <c r="R885" s="4"/>
      <c r="S885" s="4"/>
      <c r="T885" s="4"/>
      <c r="U885" s="4"/>
      <c r="V885" s="4"/>
      <c r="W885" s="4"/>
      <c r="X885" s="4"/>
    </row>
    <row r="886" spans="1:24" ht="12.75">
      <c r="A886" s="4"/>
      <c r="B886" s="4"/>
      <c r="C886" s="4"/>
      <c r="D886" s="4"/>
      <c r="E886" s="957"/>
      <c r="F886" s="957"/>
      <c r="G886" s="957"/>
      <c r="H886" s="957"/>
      <c r="I886" s="957"/>
      <c r="J886" s="957"/>
      <c r="K886" s="957"/>
      <c r="L886" s="957"/>
      <c r="M886" s="957"/>
      <c r="N886" s="957"/>
      <c r="O886" s="4"/>
      <c r="P886" s="4"/>
      <c r="Q886" s="4"/>
      <c r="R886" s="4"/>
      <c r="S886" s="4"/>
      <c r="T886" s="4"/>
      <c r="U886" s="4"/>
      <c r="V886" s="4"/>
      <c r="W886" s="4"/>
      <c r="X886" s="4"/>
    </row>
    <row r="887" spans="1:24" ht="12.75">
      <c r="A887" s="4"/>
      <c r="B887" s="4"/>
      <c r="C887" s="4"/>
      <c r="D887" s="4"/>
      <c r="E887" s="957"/>
      <c r="F887" s="957"/>
      <c r="G887" s="957"/>
      <c r="H887" s="957"/>
      <c r="I887" s="957"/>
      <c r="J887" s="957"/>
      <c r="K887" s="957"/>
      <c r="L887" s="957"/>
      <c r="M887" s="957"/>
      <c r="N887" s="957"/>
      <c r="O887" s="4"/>
      <c r="P887" s="4"/>
      <c r="Q887" s="4"/>
      <c r="R887" s="4"/>
      <c r="S887" s="4"/>
      <c r="T887" s="4"/>
      <c r="U887" s="4"/>
      <c r="V887" s="4"/>
      <c r="W887" s="4"/>
      <c r="X887" s="4"/>
    </row>
    <row r="888" spans="1:24" ht="12.75">
      <c r="A888" s="4"/>
      <c r="B888" s="4"/>
      <c r="C888" s="4"/>
      <c r="D888" s="4"/>
      <c r="E888" s="957"/>
      <c r="F888" s="957"/>
      <c r="G888" s="957"/>
      <c r="H888" s="957"/>
      <c r="I888" s="957"/>
      <c r="J888" s="957"/>
      <c r="K888" s="957"/>
      <c r="L888" s="957"/>
      <c r="M888" s="957"/>
      <c r="N888" s="957"/>
      <c r="O888" s="4"/>
      <c r="P888" s="4"/>
      <c r="Q888" s="4"/>
      <c r="R888" s="4"/>
      <c r="S888" s="4"/>
      <c r="T888" s="4"/>
      <c r="U888" s="4"/>
      <c r="V888" s="4"/>
      <c r="W888" s="4"/>
      <c r="X888" s="4"/>
    </row>
    <row r="889" spans="1:24" ht="12.75">
      <c r="A889" s="4"/>
      <c r="B889" s="4"/>
      <c r="C889" s="4"/>
      <c r="D889" s="4"/>
      <c r="E889" s="957"/>
      <c r="F889" s="957"/>
      <c r="G889" s="957"/>
      <c r="H889" s="957"/>
      <c r="I889" s="957"/>
      <c r="J889" s="957"/>
      <c r="K889" s="957"/>
      <c r="L889" s="957"/>
      <c r="M889" s="957"/>
      <c r="N889" s="957"/>
      <c r="O889" s="4"/>
      <c r="P889" s="4"/>
      <c r="Q889" s="4"/>
      <c r="R889" s="4"/>
      <c r="S889" s="4"/>
      <c r="T889" s="4"/>
      <c r="U889" s="4"/>
      <c r="V889" s="4"/>
      <c r="W889" s="4"/>
      <c r="X889" s="4"/>
    </row>
    <row r="890" spans="1:24" ht="12.75">
      <c r="A890" s="4"/>
      <c r="B890" s="4"/>
      <c r="C890" s="4"/>
      <c r="D890" s="4"/>
      <c r="E890" s="957"/>
      <c r="F890" s="957"/>
      <c r="G890" s="957"/>
      <c r="H890" s="957"/>
      <c r="I890" s="957"/>
      <c r="J890" s="957"/>
      <c r="K890" s="957"/>
      <c r="L890" s="957"/>
      <c r="M890" s="957"/>
      <c r="N890" s="957"/>
      <c r="O890" s="4"/>
      <c r="P890" s="4"/>
      <c r="Q890" s="4"/>
      <c r="R890" s="4"/>
      <c r="S890" s="4"/>
      <c r="T890" s="4"/>
      <c r="U890" s="4"/>
      <c r="V890" s="4"/>
      <c r="W890" s="4"/>
      <c r="X890" s="4"/>
    </row>
    <row r="891" spans="1:24" ht="12.75">
      <c r="A891" s="4"/>
      <c r="B891" s="4"/>
      <c r="C891" s="4"/>
      <c r="D891" s="4"/>
      <c r="E891" s="957"/>
      <c r="F891" s="957"/>
      <c r="G891" s="957"/>
      <c r="H891" s="957"/>
      <c r="I891" s="957"/>
      <c r="J891" s="957"/>
      <c r="K891" s="957"/>
      <c r="L891" s="957"/>
      <c r="M891" s="957"/>
      <c r="N891" s="957"/>
      <c r="O891" s="4"/>
      <c r="P891" s="4"/>
      <c r="Q891" s="4"/>
      <c r="R891" s="4"/>
      <c r="S891" s="4"/>
      <c r="T891" s="4"/>
      <c r="U891" s="4"/>
      <c r="V891" s="4"/>
      <c r="W891" s="4"/>
      <c r="X891" s="4"/>
    </row>
    <row r="892" spans="1:24" ht="12.75">
      <c r="A892" s="4"/>
      <c r="B892" s="4"/>
      <c r="C892" s="4"/>
      <c r="D892" s="4"/>
      <c r="E892" s="957"/>
      <c r="F892" s="957"/>
      <c r="G892" s="957"/>
      <c r="H892" s="957"/>
      <c r="I892" s="957"/>
      <c r="J892" s="957"/>
      <c r="K892" s="957"/>
      <c r="L892" s="957"/>
      <c r="M892" s="957"/>
      <c r="N892" s="957"/>
      <c r="O892" s="4"/>
      <c r="P892" s="4"/>
      <c r="Q892" s="4"/>
      <c r="R892" s="4"/>
      <c r="S892" s="4"/>
      <c r="T892" s="4"/>
      <c r="U892" s="4"/>
      <c r="V892" s="4"/>
      <c r="W892" s="4"/>
      <c r="X892" s="4"/>
    </row>
    <row r="893" spans="1:24" ht="12.75">
      <c r="A893" s="4"/>
      <c r="B893" s="4"/>
      <c r="C893" s="4"/>
      <c r="D893" s="4"/>
      <c r="E893" s="957"/>
      <c r="F893" s="957"/>
      <c r="G893" s="957"/>
      <c r="H893" s="957"/>
      <c r="I893" s="957"/>
      <c r="J893" s="957"/>
      <c r="K893" s="957"/>
      <c r="L893" s="957"/>
      <c r="M893" s="957"/>
      <c r="N893" s="957"/>
      <c r="O893" s="4"/>
      <c r="P893" s="4"/>
      <c r="Q893" s="4"/>
      <c r="R893" s="4"/>
      <c r="S893" s="4"/>
      <c r="T893" s="4"/>
      <c r="U893" s="4"/>
      <c r="V893" s="4"/>
      <c r="W893" s="4"/>
      <c r="X893" s="4"/>
    </row>
    <row r="894" spans="1:24" ht="12.75">
      <c r="A894" s="4"/>
      <c r="B894" s="4"/>
      <c r="C894" s="4"/>
      <c r="D894" s="4"/>
      <c r="E894" s="957"/>
      <c r="F894" s="957"/>
      <c r="G894" s="957"/>
      <c r="H894" s="957"/>
      <c r="I894" s="957"/>
      <c r="J894" s="957"/>
      <c r="K894" s="957"/>
      <c r="L894" s="957"/>
      <c r="M894" s="957"/>
      <c r="N894" s="957"/>
      <c r="O894" s="4"/>
      <c r="P894" s="4"/>
      <c r="Q894" s="4"/>
      <c r="R894" s="4"/>
      <c r="S894" s="4"/>
      <c r="T894" s="4"/>
      <c r="U894" s="4"/>
      <c r="V894" s="4"/>
      <c r="W894" s="4"/>
      <c r="X894" s="4"/>
    </row>
    <row r="895" spans="1:24" ht="12.75">
      <c r="A895" s="4"/>
      <c r="B895" s="4"/>
      <c r="C895" s="4"/>
      <c r="D895" s="4"/>
      <c r="E895" s="957"/>
      <c r="F895" s="957"/>
      <c r="G895" s="957"/>
      <c r="H895" s="957"/>
      <c r="I895" s="957"/>
      <c r="J895" s="957"/>
      <c r="K895" s="957"/>
      <c r="L895" s="957"/>
      <c r="M895" s="957"/>
      <c r="N895" s="957"/>
      <c r="O895" s="4"/>
      <c r="P895" s="4"/>
      <c r="Q895" s="4"/>
      <c r="R895" s="4"/>
      <c r="S895" s="4"/>
      <c r="T895" s="4"/>
      <c r="U895" s="4"/>
      <c r="V895" s="4"/>
      <c r="W895" s="4"/>
      <c r="X895" s="4"/>
    </row>
    <row r="896" spans="1:24" ht="12.75">
      <c r="A896" s="4"/>
      <c r="B896" s="4"/>
      <c r="C896" s="4"/>
      <c r="D896" s="4"/>
      <c r="E896" s="957"/>
      <c r="F896" s="957"/>
      <c r="G896" s="957"/>
      <c r="H896" s="957"/>
      <c r="I896" s="957"/>
      <c r="J896" s="957"/>
      <c r="K896" s="957"/>
      <c r="L896" s="957"/>
      <c r="M896" s="957"/>
      <c r="N896" s="957"/>
      <c r="O896" s="4"/>
      <c r="P896" s="4"/>
      <c r="Q896" s="4"/>
      <c r="R896" s="4"/>
      <c r="S896" s="4"/>
      <c r="T896" s="4"/>
      <c r="U896" s="4"/>
      <c r="V896" s="4"/>
      <c r="W896" s="4"/>
      <c r="X896" s="4"/>
    </row>
    <row r="897" spans="1:24" ht="12.75">
      <c r="A897" s="4"/>
      <c r="B897" s="4"/>
      <c r="C897" s="4"/>
      <c r="D897" s="4"/>
      <c r="E897" s="957"/>
      <c r="F897" s="957"/>
      <c r="G897" s="957"/>
      <c r="H897" s="957"/>
      <c r="I897" s="957"/>
      <c r="J897" s="957"/>
      <c r="K897" s="957"/>
      <c r="L897" s="957"/>
      <c r="M897" s="957"/>
      <c r="N897" s="957"/>
      <c r="O897" s="4"/>
      <c r="P897" s="4"/>
      <c r="Q897" s="4"/>
      <c r="R897" s="4"/>
      <c r="S897" s="4"/>
      <c r="T897" s="4"/>
      <c r="U897" s="4"/>
      <c r="V897" s="4"/>
      <c r="W897" s="4"/>
      <c r="X897" s="4"/>
    </row>
    <row r="898" spans="1:24" ht="12.75">
      <c r="A898" s="4"/>
      <c r="B898" s="4"/>
      <c r="C898" s="4"/>
      <c r="D898" s="4"/>
      <c r="E898" s="957"/>
      <c r="F898" s="957"/>
      <c r="G898" s="957"/>
      <c r="H898" s="957"/>
      <c r="I898" s="957"/>
      <c r="J898" s="957"/>
      <c r="K898" s="957"/>
      <c r="L898" s="957"/>
      <c r="M898" s="957"/>
      <c r="N898" s="957"/>
      <c r="O898" s="4"/>
      <c r="P898" s="4"/>
      <c r="Q898" s="4"/>
      <c r="R898" s="4"/>
      <c r="S898" s="4"/>
      <c r="T898" s="4"/>
      <c r="U898" s="4"/>
      <c r="V898" s="4"/>
      <c r="W898" s="4"/>
      <c r="X898" s="4"/>
    </row>
    <row r="899" spans="1:24" ht="12.75">
      <c r="A899" s="4"/>
      <c r="B899" s="4"/>
      <c r="C899" s="4"/>
      <c r="D899" s="4"/>
      <c r="E899" s="957"/>
      <c r="F899" s="957"/>
      <c r="G899" s="957"/>
      <c r="H899" s="957"/>
      <c r="I899" s="957"/>
      <c r="J899" s="957"/>
      <c r="K899" s="957"/>
      <c r="L899" s="957"/>
      <c r="M899" s="957"/>
      <c r="N899" s="957"/>
      <c r="O899" s="4"/>
      <c r="P899" s="4"/>
      <c r="Q899" s="4"/>
      <c r="R899" s="4"/>
      <c r="S899" s="4"/>
      <c r="T899" s="4"/>
      <c r="U899" s="4"/>
      <c r="V899" s="4"/>
      <c r="W899" s="4"/>
      <c r="X899" s="4"/>
    </row>
    <row r="900" spans="1:24" ht="12.75">
      <c r="A900" s="4"/>
      <c r="B900" s="4"/>
      <c r="C900" s="4"/>
      <c r="D900" s="4"/>
      <c r="E900" s="957"/>
      <c r="F900" s="957"/>
      <c r="G900" s="957"/>
      <c r="H900" s="957"/>
      <c r="I900" s="957"/>
      <c r="J900" s="957"/>
      <c r="K900" s="957"/>
      <c r="L900" s="957"/>
      <c r="M900" s="957"/>
      <c r="N900" s="957"/>
      <c r="O900" s="4"/>
      <c r="P900" s="4"/>
      <c r="Q900" s="4"/>
      <c r="R900" s="4"/>
      <c r="S900" s="4"/>
      <c r="T900" s="4"/>
      <c r="U900" s="4"/>
      <c r="V900" s="4"/>
      <c r="W900" s="4"/>
      <c r="X900" s="4"/>
    </row>
    <row r="901" spans="1:24" ht="12.75">
      <c r="A901" s="4"/>
      <c r="B901" s="4"/>
      <c r="C901" s="4"/>
      <c r="D901" s="4"/>
      <c r="E901" s="957"/>
      <c r="F901" s="957"/>
      <c r="G901" s="957"/>
      <c r="H901" s="957"/>
      <c r="I901" s="957"/>
      <c r="J901" s="957"/>
      <c r="K901" s="957"/>
      <c r="L901" s="957"/>
      <c r="M901" s="957"/>
      <c r="N901" s="957"/>
      <c r="O901" s="4"/>
      <c r="P901" s="4"/>
      <c r="Q901" s="4"/>
      <c r="R901" s="4"/>
      <c r="S901" s="4"/>
      <c r="T901" s="4"/>
      <c r="U901" s="4"/>
      <c r="V901" s="4"/>
      <c r="W901" s="4"/>
      <c r="X901" s="4"/>
    </row>
    <row r="902" spans="1:24" ht="12.75">
      <c r="A902" s="4"/>
      <c r="B902" s="4"/>
      <c r="C902" s="4"/>
      <c r="D902" s="4"/>
      <c r="E902" s="957"/>
      <c r="F902" s="957"/>
      <c r="G902" s="957"/>
      <c r="H902" s="957"/>
      <c r="I902" s="957"/>
      <c r="J902" s="957"/>
      <c r="K902" s="957"/>
      <c r="L902" s="957"/>
      <c r="M902" s="957"/>
      <c r="N902" s="957"/>
      <c r="O902" s="4"/>
      <c r="P902" s="4"/>
      <c r="Q902" s="4"/>
      <c r="R902" s="4"/>
      <c r="S902" s="4"/>
      <c r="T902" s="4"/>
      <c r="U902" s="4"/>
      <c r="V902" s="4"/>
      <c r="W902" s="4"/>
      <c r="X902" s="4"/>
    </row>
    <row r="903" spans="1:24" ht="12.75">
      <c r="A903" s="4"/>
      <c r="B903" s="4"/>
      <c r="C903" s="4"/>
      <c r="D903" s="4"/>
      <c r="E903" s="957"/>
      <c r="F903" s="957"/>
      <c r="G903" s="957"/>
      <c r="H903" s="957"/>
      <c r="I903" s="957"/>
      <c r="J903" s="957"/>
      <c r="K903" s="957"/>
      <c r="L903" s="957"/>
      <c r="M903" s="957"/>
      <c r="N903" s="957"/>
      <c r="O903" s="4"/>
      <c r="P903" s="4"/>
      <c r="Q903" s="4"/>
      <c r="R903" s="4"/>
      <c r="S903" s="4"/>
      <c r="T903" s="4"/>
      <c r="U903" s="4"/>
      <c r="V903" s="4"/>
      <c r="W903" s="4"/>
      <c r="X903" s="4"/>
    </row>
    <row r="904" spans="1:24" ht="12.75">
      <c r="A904" s="4"/>
      <c r="B904" s="4"/>
      <c r="C904" s="4"/>
      <c r="D904" s="4"/>
      <c r="E904" s="957"/>
      <c r="F904" s="957"/>
      <c r="G904" s="957"/>
      <c r="H904" s="957"/>
      <c r="I904" s="957"/>
      <c r="J904" s="957"/>
      <c r="K904" s="957"/>
      <c r="L904" s="957"/>
      <c r="M904" s="957"/>
      <c r="N904" s="957"/>
      <c r="O904" s="4"/>
      <c r="P904" s="4"/>
      <c r="Q904" s="4"/>
      <c r="R904" s="4"/>
      <c r="S904" s="4"/>
      <c r="T904" s="4"/>
      <c r="U904" s="4"/>
      <c r="V904" s="4"/>
      <c r="W904" s="4"/>
      <c r="X904" s="4"/>
    </row>
    <row r="905" spans="1:24" ht="12.75">
      <c r="A905" s="4"/>
      <c r="B905" s="4"/>
      <c r="C905" s="4"/>
      <c r="D905" s="4"/>
      <c r="E905" s="957"/>
      <c r="F905" s="957"/>
      <c r="G905" s="957"/>
      <c r="H905" s="957"/>
      <c r="I905" s="957"/>
      <c r="J905" s="957"/>
      <c r="K905" s="957"/>
      <c r="L905" s="957"/>
      <c r="M905" s="957"/>
      <c r="N905" s="957"/>
      <c r="O905" s="4"/>
      <c r="P905" s="4"/>
      <c r="Q905" s="4"/>
      <c r="R905" s="4"/>
      <c r="S905" s="4"/>
      <c r="T905" s="4"/>
      <c r="U905" s="4"/>
      <c r="V905" s="4"/>
      <c r="W905" s="4"/>
      <c r="X905" s="4"/>
    </row>
    <row r="906" spans="1:24" ht="12.75">
      <c r="A906" s="4"/>
      <c r="B906" s="4"/>
      <c r="C906" s="4"/>
      <c r="D906" s="4"/>
      <c r="E906" s="957"/>
      <c r="F906" s="957"/>
      <c r="G906" s="957"/>
      <c r="H906" s="957"/>
      <c r="I906" s="957"/>
      <c r="J906" s="957"/>
      <c r="K906" s="957"/>
      <c r="L906" s="957"/>
      <c r="M906" s="957"/>
      <c r="N906" s="957"/>
      <c r="O906" s="4"/>
      <c r="P906" s="4"/>
      <c r="Q906" s="4"/>
      <c r="R906" s="4"/>
      <c r="S906" s="4"/>
      <c r="T906" s="4"/>
      <c r="U906" s="4"/>
      <c r="V906" s="4"/>
      <c r="W906" s="4"/>
      <c r="X906" s="4"/>
    </row>
    <row r="907" spans="1:24" ht="12.75">
      <c r="A907" s="4"/>
      <c r="B907" s="4"/>
      <c r="C907" s="4"/>
      <c r="D907" s="4"/>
      <c r="E907" s="957"/>
      <c r="F907" s="957"/>
      <c r="G907" s="957"/>
      <c r="H907" s="957"/>
      <c r="I907" s="957"/>
      <c r="J907" s="957"/>
      <c r="K907" s="957"/>
      <c r="L907" s="957"/>
      <c r="M907" s="957"/>
      <c r="N907" s="957"/>
      <c r="O907" s="4"/>
      <c r="P907" s="4"/>
      <c r="Q907" s="4"/>
      <c r="R907" s="4"/>
      <c r="S907" s="4"/>
      <c r="T907" s="4"/>
      <c r="U907" s="4"/>
      <c r="V907" s="4"/>
      <c r="W907" s="4"/>
      <c r="X907" s="4"/>
    </row>
    <row r="908" spans="1:24" ht="12.75">
      <c r="A908" s="4"/>
      <c r="B908" s="4"/>
      <c r="C908" s="4"/>
      <c r="D908" s="4"/>
      <c r="E908" s="957"/>
      <c r="F908" s="957"/>
      <c r="G908" s="957"/>
      <c r="H908" s="957"/>
      <c r="I908" s="957"/>
      <c r="J908" s="957"/>
      <c r="K908" s="957"/>
      <c r="L908" s="957"/>
      <c r="M908" s="957"/>
      <c r="N908" s="957"/>
      <c r="O908" s="4"/>
      <c r="P908" s="4"/>
      <c r="Q908" s="4"/>
      <c r="R908" s="4"/>
      <c r="S908" s="4"/>
      <c r="T908" s="4"/>
      <c r="U908" s="4"/>
      <c r="V908" s="4"/>
      <c r="W908" s="4"/>
      <c r="X908" s="4"/>
    </row>
    <row r="909" spans="1:24" ht="12.75">
      <c r="A909" s="4"/>
      <c r="B909" s="4"/>
      <c r="C909" s="4"/>
      <c r="D909" s="4"/>
      <c r="E909" s="957"/>
      <c r="F909" s="957"/>
      <c r="G909" s="957"/>
      <c r="H909" s="957"/>
      <c r="I909" s="957"/>
      <c r="J909" s="957"/>
      <c r="K909" s="957"/>
      <c r="L909" s="957"/>
      <c r="M909" s="957"/>
      <c r="N909" s="957"/>
      <c r="O909" s="4"/>
      <c r="P909" s="4"/>
      <c r="Q909" s="4"/>
      <c r="R909" s="4"/>
      <c r="S909" s="4"/>
      <c r="T909" s="4"/>
      <c r="U909" s="4"/>
      <c r="V909" s="4"/>
      <c r="W909" s="4"/>
      <c r="X909" s="4"/>
    </row>
    <row r="910" spans="1:24" ht="12.75">
      <c r="A910" s="4"/>
      <c r="B910" s="4"/>
      <c r="C910" s="4"/>
      <c r="D910" s="4"/>
      <c r="E910" s="957"/>
      <c r="F910" s="957"/>
      <c r="G910" s="957"/>
      <c r="H910" s="957"/>
      <c r="I910" s="957"/>
      <c r="J910" s="957"/>
      <c r="K910" s="957"/>
      <c r="L910" s="957"/>
      <c r="M910" s="957"/>
      <c r="N910" s="957"/>
      <c r="O910" s="4"/>
      <c r="P910" s="4"/>
      <c r="Q910" s="4"/>
      <c r="R910" s="4"/>
      <c r="S910" s="4"/>
      <c r="T910" s="4"/>
      <c r="U910" s="4"/>
      <c r="V910" s="4"/>
      <c r="W910" s="4"/>
      <c r="X910" s="4"/>
    </row>
    <row r="911" spans="1:24" ht="12.75">
      <c r="A911" s="4"/>
      <c r="B911" s="4"/>
      <c r="C911" s="4"/>
      <c r="D911" s="4"/>
      <c r="E911" s="957"/>
      <c r="F911" s="957"/>
      <c r="G911" s="957"/>
      <c r="H911" s="957"/>
      <c r="I911" s="957"/>
      <c r="J911" s="957"/>
      <c r="K911" s="957"/>
      <c r="L911" s="957"/>
      <c r="M911" s="957"/>
      <c r="N911" s="957"/>
      <c r="O911" s="4"/>
      <c r="P911" s="4"/>
      <c r="Q911" s="4"/>
      <c r="R911" s="4"/>
      <c r="S911" s="4"/>
      <c r="T911" s="4"/>
      <c r="U911" s="4"/>
      <c r="V911" s="4"/>
      <c r="W911" s="4"/>
      <c r="X911" s="4"/>
    </row>
    <row r="912" spans="1:24" ht="12.75">
      <c r="A912" s="4"/>
      <c r="B912" s="4"/>
      <c r="C912" s="4"/>
      <c r="D912" s="4"/>
      <c r="E912" s="957"/>
      <c r="F912" s="957"/>
      <c r="G912" s="957"/>
      <c r="H912" s="957"/>
      <c r="I912" s="957"/>
      <c r="J912" s="957"/>
      <c r="K912" s="957"/>
      <c r="L912" s="957"/>
      <c r="M912" s="957"/>
      <c r="N912" s="957"/>
      <c r="O912" s="4"/>
      <c r="P912" s="4"/>
      <c r="Q912" s="4"/>
      <c r="R912" s="4"/>
      <c r="S912" s="4"/>
      <c r="T912" s="4"/>
      <c r="U912" s="4"/>
      <c r="V912" s="4"/>
      <c r="W912" s="4"/>
      <c r="X912" s="4"/>
    </row>
    <row r="913" spans="1:24" ht="12.75">
      <c r="A913" s="4"/>
      <c r="B913" s="4"/>
      <c r="C913" s="4"/>
      <c r="D913" s="4"/>
      <c r="E913" s="957"/>
      <c r="F913" s="957"/>
      <c r="G913" s="957"/>
      <c r="H913" s="957"/>
      <c r="I913" s="957"/>
      <c r="J913" s="957"/>
      <c r="K913" s="957"/>
      <c r="L913" s="957"/>
      <c r="M913" s="957"/>
      <c r="N913" s="957"/>
      <c r="O913" s="4"/>
      <c r="P913" s="4"/>
      <c r="Q913" s="4"/>
      <c r="R913" s="4"/>
      <c r="S913" s="4"/>
      <c r="T913" s="4"/>
      <c r="U913" s="4"/>
      <c r="V913" s="4"/>
      <c r="W913" s="4"/>
      <c r="X913" s="4"/>
    </row>
    <row r="914" spans="1:24" ht="12.75">
      <c r="A914" s="4"/>
      <c r="B914" s="4"/>
      <c r="C914" s="4"/>
      <c r="D914" s="4"/>
      <c r="E914" s="957"/>
      <c r="F914" s="957"/>
      <c r="G914" s="957"/>
      <c r="H914" s="957"/>
      <c r="I914" s="957"/>
      <c r="J914" s="957"/>
      <c r="K914" s="957"/>
      <c r="L914" s="957"/>
      <c r="M914" s="957"/>
      <c r="N914" s="957"/>
      <c r="O914" s="4"/>
      <c r="P914" s="4"/>
      <c r="Q914" s="4"/>
      <c r="R914" s="4"/>
      <c r="S914" s="4"/>
      <c r="T914" s="4"/>
      <c r="U914" s="4"/>
      <c r="V914" s="4"/>
      <c r="W914" s="4"/>
      <c r="X914" s="4"/>
    </row>
    <row r="915" spans="1:24" ht="12.75">
      <c r="A915" s="4"/>
      <c r="B915" s="4"/>
      <c r="C915" s="4"/>
      <c r="D915" s="4"/>
      <c r="E915" s="957"/>
      <c r="F915" s="957"/>
      <c r="G915" s="957"/>
      <c r="H915" s="957"/>
      <c r="I915" s="957"/>
      <c r="J915" s="957"/>
      <c r="K915" s="957"/>
      <c r="L915" s="957"/>
      <c r="M915" s="957"/>
      <c r="N915" s="957"/>
      <c r="O915" s="4"/>
      <c r="P915" s="4"/>
      <c r="Q915" s="4"/>
      <c r="R915" s="4"/>
      <c r="S915" s="4"/>
      <c r="T915" s="4"/>
      <c r="U915" s="4"/>
      <c r="V915" s="4"/>
      <c r="W915" s="4"/>
      <c r="X915" s="4"/>
    </row>
    <row r="916" spans="1:24" ht="12.75">
      <c r="A916" s="4"/>
      <c r="B916" s="4"/>
      <c r="C916" s="4"/>
      <c r="D916" s="4"/>
      <c r="E916" s="957"/>
      <c r="F916" s="957"/>
      <c r="G916" s="957"/>
      <c r="H916" s="957"/>
      <c r="I916" s="957"/>
      <c r="J916" s="957"/>
      <c r="K916" s="957"/>
      <c r="L916" s="957"/>
      <c r="M916" s="957"/>
      <c r="N916" s="957"/>
      <c r="O916" s="4"/>
      <c r="P916" s="4"/>
      <c r="Q916" s="4"/>
      <c r="R916" s="4"/>
      <c r="S916" s="4"/>
      <c r="T916" s="4"/>
      <c r="U916" s="4"/>
      <c r="V916" s="4"/>
      <c r="W916" s="4"/>
      <c r="X916" s="4"/>
    </row>
    <row r="917" spans="1:24" ht="12.75">
      <c r="A917" s="4"/>
      <c r="B917" s="4"/>
      <c r="C917" s="4"/>
      <c r="D917" s="4"/>
      <c r="E917" s="957"/>
      <c r="F917" s="957"/>
      <c r="G917" s="957"/>
      <c r="H917" s="957"/>
      <c r="I917" s="957"/>
      <c r="J917" s="957"/>
      <c r="K917" s="957"/>
      <c r="L917" s="957"/>
      <c r="M917" s="957"/>
      <c r="N917" s="957"/>
      <c r="O917" s="4"/>
      <c r="P917" s="4"/>
      <c r="Q917" s="4"/>
      <c r="R917" s="4"/>
      <c r="S917" s="4"/>
      <c r="T917" s="4"/>
      <c r="U917" s="4"/>
      <c r="V917" s="4"/>
      <c r="W917" s="4"/>
      <c r="X917" s="4"/>
    </row>
    <row r="918" spans="1:24" ht="12.75">
      <c r="A918" s="4"/>
      <c r="B918" s="4"/>
      <c r="C918" s="4"/>
      <c r="D918" s="4"/>
      <c r="E918" s="957"/>
      <c r="F918" s="957"/>
      <c r="G918" s="957"/>
      <c r="H918" s="957"/>
      <c r="I918" s="957"/>
      <c r="J918" s="957"/>
      <c r="K918" s="957"/>
      <c r="L918" s="957"/>
      <c r="M918" s="957"/>
      <c r="N918" s="957"/>
      <c r="O918" s="4"/>
      <c r="P918" s="4"/>
      <c r="Q918" s="4"/>
      <c r="R918" s="4"/>
      <c r="S918" s="4"/>
      <c r="T918" s="4"/>
      <c r="U918" s="4"/>
      <c r="V918" s="4"/>
      <c r="W918" s="4"/>
      <c r="X918" s="4"/>
    </row>
    <row r="919" spans="1:24" ht="12.75">
      <c r="A919" s="4"/>
      <c r="B919" s="4"/>
      <c r="C919" s="4"/>
      <c r="D919" s="4"/>
      <c r="E919" s="957"/>
      <c r="F919" s="957"/>
      <c r="G919" s="957"/>
      <c r="H919" s="957"/>
      <c r="I919" s="957"/>
      <c r="J919" s="957"/>
      <c r="K919" s="957"/>
      <c r="L919" s="957"/>
      <c r="M919" s="957"/>
      <c r="N919" s="957"/>
      <c r="O919" s="4"/>
      <c r="P919" s="4"/>
      <c r="Q919" s="4"/>
      <c r="R919" s="4"/>
      <c r="S919" s="4"/>
      <c r="T919" s="4"/>
      <c r="U919" s="4"/>
      <c r="V919" s="4"/>
      <c r="W919" s="4"/>
      <c r="X919" s="4"/>
    </row>
    <row r="920" spans="1:24" ht="12.75">
      <c r="A920" s="4"/>
      <c r="B920" s="4"/>
      <c r="C920" s="4"/>
      <c r="D920" s="4"/>
      <c r="E920" s="957"/>
      <c r="F920" s="957"/>
      <c r="G920" s="957"/>
      <c r="H920" s="957"/>
      <c r="I920" s="957"/>
      <c r="J920" s="957"/>
      <c r="K920" s="957"/>
      <c r="L920" s="957"/>
      <c r="M920" s="957"/>
      <c r="N920" s="957"/>
      <c r="O920" s="4"/>
      <c r="P920" s="4"/>
      <c r="Q920" s="4"/>
      <c r="R920" s="4"/>
      <c r="S920" s="4"/>
      <c r="T920" s="4"/>
      <c r="U920" s="4"/>
      <c r="V920" s="4"/>
      <c r="W920" s="4"/>
      <c r="X920" s="4"/>
    </row>
    <row r="921" spans="1:24" ht="12.75">
      <c r="A921" s="4"/>
      <c r="B921" s="4"/>
      <c r="C921" s="4"/>
      <c r="D921" s="4"/>
      <c r="E921" s="957"/>
      <c r="F921" s="957"/>
      <c r="G921" s="957"/>
      <c r="H921" s="957"/>
      <c r="I921" s="957"/>
      <c r="J921" s="957"/>
      <c r="K921" s="957"/>
      <c r="L921" s="957"/>
      <c r="M921" s="957"/>
      <c r="N921" s="957"/>
      <c r="O921" s="4"/>
      <c r="P921" s="4"/>
      <c r="Q921" s="4"/>
      <c r="R921" s="4"/>
      <c r="S921" s="4"/>
      <c r="T921" s="4"/>
      <c r="U921" s="4"/>
      <c r="V921" s="4"/>
      <c r="W921" s="4"/>
      <c r="X921" s="4"/>
    </row>
    <row r="922" spans="1:24" ht="12.75">
      <c r="A922" s="4"/>
      <c r="B922" s="4"/>
      <c r="C922" s="4"/>
      <c r="D922" s="4"/>
      <c r="E922" s="957"/>
      <c r="F922" s="957"/>
      <c r="G922" s="957"/>
      <c r="H922" s="957"/>
      <c r="I922" s="957"/>
      <c r="J922" s="957"/>
      <c r="K922" s="957"/>
      <c r="L922" s="957"/>
      <c r="M922" s="957"/>
      <c r="N922" s="957"/>
      <c r="O922" s="4"/>
      <c r="P922" s="4"/>
      <c r="Q922" s="4"/>
      <c r="R922" s="4"/>
      <c r="S922" s="4"/>
      <c r="T922" s="4"/>
      <c r="U922" s="4"/>
      <c r="V922" s="4"/>
      <c r="W922" s="4"/>
      <c r="X922" s="4"/>
    </row>
    <row r="923" spans="1:24" ht="12.75">
      <c r="A923" s="4"/>
      <c r="B923" s="4"/>
      <c r="C923" s="4"/>
      <c r="D923" s="4"/>
      <c r="E923" s="957"/>
      <c r="F923" s="957"/>
      <c r="G923" s="957"/>
      <c r="H923" s="957"/>
      <c r="I923" s="957"/>
      <c r="J923" s="957"/>
      <c r="K923" s="957"/>
      <c r="L923" s="957"/>
      <c r="M923" s="957"/>
      <c r="N923" s="957"/>
      <c r="O923" s="4"/>
      <c r="P923" s="4"/>
      <c r="Q923" s="4"/>
      <c r="R923" s="4"/>
      <c r="S923" s="4"/>
      <c r="T923" s="4"/>
      <c r="U923" s="4"/>
      <c r="V923" s="4"/>
      <c r="W923" s="4"/>
      <c r="X923" s="4"/>
    </row>
    <row r="924" spans="1:24" ht="12.75">
      <c r="A924" s="4"/>
      <c r="B924" s="4"/>
      <c r="C924" s="4"/>
      <c r="D924" s="4"/>
      <c r="E924" s="957"/>
      <c r="F924" s="957"/>
      <c r="G924" s="957"/>
      <c r="H924" s="957"/>
      <c r="I924" s="957"/>
      <c r="J924" s="957"/>
      <c r="K924" s="957"/>
      <c r="L924" s="957"/>
      <c r="M924" s="957"/>
      <c r="N924" s="957"/>
      <c r="O924" s="4"/>
      <c r="P924" s="4"/>
      <c r="Q924" s="4"/>
      <c r="R924" s="4"/>
      <c r="S924" s="4"/>
      <c r="T924" s="4"/>
      <c r="U924" s="4"/>
      <c r="V924" s="4"/>
      <c r="W924" s="4"/>
      <c r="X924" s="4"/>
    </row>
    <row r="925" spans="1:24" ht="12.75">
      <c r="A925" s="4"/>
      <c r="B925" s="4"/>
      <c r="C925" s="4"/>
      <c r="D925" s="4"/>
      <c r="E925" s="957"/>
      <c r="F925" s="957"/>
      <c r="G925" s="957"/>
      <c r="H925" s="957"/>
      <c r="I925" s="957"/>
      <c r="J925" s="957"/>
      <c r="K925" s="957"/>
      <c r="L925" s="957"/>
      <c r="M925" s="957"/>
      <c r="N925" s="957"/>
      <c r="O925" s="4"/>
      <c r="P925" s="4"/>
      <c r="Q925" s="4"/>
      <c r="R925" s="4"/>
      <c r="S925" s="4"/>
      <c r="T925" s="4"/>
      <c r="U925" s="4"/>
      <c r="V925" s="4"/>
      <c r="W925" s="4"/>
      <c r="X925" s="4"/>
    </row>
    <row r="926" spans="1:24" ht="12.75">
      <c r="A926" s="4"/>
      <c r="B926" s="4"/>
      <c r="C926" s="4"/>
      <c r="D926" s="4"/>
      <c r="E926" s="957"/>
      <c r="F926" s="957"/>
      <c r="G926" s="957"/>
      <c r="H926" s="957"/>
      <c r="I926" s="957"/>
      <c r="J926" s="957"/>
      <c r="K926" s="957"/>
      <c r="L926" s="957"/>
      <c r="M926" s="957"/>
      <c r="N926" s="957"/>
      <c r="O926" s="4"/>
      <c r="P926" s="4"/>
      <c r="Q926" s="4"/>
      <c r="R926" s="4"/>
      <c r="S926" s="4"/>
      <c r="T926" s="4"/>
      <c r="U926" s="4"/>
      <c r="V926" s="4"/>
      <c r="W926" s="4"/>
      <c r="X926" s="4"/>
    </row>
    <row r="927" spans="1:24" ht="12.75">
      <c r="A927" s="4"/>
      <c r="B927" s="4"/>
      <c r="C927" s="4"/>
      <c r="D927" s="4"/>
      <c r="E927" s="957"/>
      <c r="F927" s="957"/>
      <c r="G927" s="957"/>
      <c r="H927" s="957"/>
      <c r="I927" s="957"/>
      <c r="J927" s="957"/>
      <c r="K927" s="957"/>
      <c r="L927" s="957"/>
      <c r="M927" s="957"/>
      <c r="N927" s="957"/>
      <c r="O927" s="4"/>
      <c r="P927" s="4"/>
      <c r="Q927" s="4"/>
      <c r="R927" s="4"/>
      <c r="S927" s="4"/>
      <c r="T927" s="4"/>
      <c r="U927" s="4"/>
      <c r="V927" s="4"/>
      <c r="W927" s="4"/>
      <c r="X927" s="4"/>
    </row>
    <row r="928" spans="1:24" ht="12.75">
      <c r="A928" s="4"/>
      <c r="B928" s="4"/>
      <c r="C928" s="4"/>
      <c r="D928" s="4"/>
      <c r="E928" s="957"/>
      <c r="F928" s="957"/>
      <c r="G928" s="957"/>
      <c r="H928" s="957"/>
      <c r="I928" s="957"/>
      <c r="J928" s="957"/>
      <c r="K928" s="957"/>
      <c r="L928" s="957"/>
      <c r="M928" s="957"/>
      <c r="N928" s="957"/>
      <c r="O928" s="4"/>
      <c r="P928" s="4"/>
      <c r="Q928" s="4"/>
      <c r="R928" s="4"/>
      <c r="S928" s="4"/>
      <c r="T928" s="4"/>
      <c r="U928" s="4"/>
      <c r="V928" s="4"/>
      <c r="W928" s="4"/>
      <c r="X928" s="4"/>
    </row>
    <row r="929" spans="1:24" ht="12.75">
      <c r="A929" s="4"/>
      <c r="B929" s="4"/>
      <c r="C929" s="4"/>
      <c r="D929" s="4"/>
      <c r="E929" s="957"/>
      <c r="F929" s="957"/>
      <c r="G929" s="957"/>
      <c r="H929" s="957"/>
      <c r="I929" s="957"/>
      <c r="J929" s="957"/>
      <c r="K929" s="957"/>
      <c r="L929" s="957"/>
      <c r="M929" s="957"/>
      <c r="N929" s="957"/>
      <c r="O929" s="4"/>
      <c r="P929" s="4"/>
      <c r="Q929" s="4"/>
      <c r="R929" s="4"/>
      <c r="S929" s="4"/>
      <c r="T929" s="4"/>
      <c r="U929" s="4"/>
      <c r="V929" s="4"/>
      <c r="W929" s="4"/>
      <c r="X929" s="4"/>
    </row>
    <row r="930" spans="1:24" ht="12.75">
      <c r="A930" s="4"/>
      <c r="B930" s="4"/>
      <c r="C930" s="4"/>
      <c r="D930" s="4"/>
      <c r="E930" s="957"/>
      <c r="F930" s="957"/>
      <c r="G930" s="957"/>
      <c r="H930" s="957"/>
      <c r="I930" s="957"/>
      <c r="J930" s="957"/>
      <c r="K930" s="957"/>
      <c r="L930" s="957"/>
      <c r="M930" s="957"/>
      <c r="N930" s="957"/>
      <c r="O930" s="4"/>
      <c r="P930" s="4"/>
      <c r="Q930" s="4"/>
      <c r="R930" s="4"/>
      <c r="S930" s="4"/>
      <c r="T930" s="4"/>
      <c r="U930" s="4"/>
      <c r="V930" s="4"/>
      <c r="W930" s="4"/>
      <c r="X930" s="4"/>
    </row>
    <row r="931" spans="1:24" ht="12.75">
      <c r="A931" s="4"/>
      <c r="B931" s="4"/>
      <c r="C931" s="4"/>
      <c r="D931" s="4"/>
      <c r="E931" s="957"/>
      <c r="F931" s="957"/>
      <c r="G931" s="957"/>
      <c r="H931" s="957"/>
      <c r="I931" s="957"/>
      <c r="J931" s="957"/>
      <c r="K931" s="957"/>
      <c r="L931" s="957"/>
      <c r="M931" s="957"/>
      <c r="N931" s="957"/>
      <c r="O931" s="4"/>
      <c r="P931" s="4"/>
      <c r="Q931" s="4"/>
      <c r="R931" s="4"/>
      <c r="S931" s="4"/>
      <c r="T931" s="4"/>
      <c r="U931" s="4"/>
      <c r="V931" s="4"/>
      <c r="W931" s="4"/>
      <c r="X931" s="4"/>
    </row>
    <row r="932" spans="1:24" ht="12.75">
      <c r="A932" s="4"/>
      <c r="B932" s="4"/>
      <c r="C932" s="4"/>
      <c r="D932" s="4"/>
      <c r="E932" s="957"/>
      <c r="F932" s="957"/>
      <c r="G932" s="957"/>
      <c r="H932" s="957"/>
      <c r="I932" s="957"/>
      <c r="J932" s="957"/>
      <c r="K932" s="957"/>
      <c r="L932" s="957"/>
      <c r="M932" s="957"/>
      <c r="N932" s="957"/>
      <c r="O932" s="4"/>
      <c r="P932" s="4"/>
      <c r="Q932" s="4"/>
      <c r="R932" s="4"/>
      <c r="S932" s="4"/>
      <c r="T932" s="4"/>
      <c r="U932" s="4"/>
      <c r="V932" s="4"/>
      <c r="W932" s="4"/>
      <c r="X932" s="4"/>
    </row>
    <row r="933" spans="1:24" ht="12.75">
      <c r="A933" s="4"/>
      <c r="B933" s="4"/>
      <c r="C933" s="4"/>
      <c r="D933" s="4"/>
      <c r="E933" s="957"/>
      <c r="F933" s="957"/>
      <c r="G933" s="957"/>
      <c r="H933" s="957"/>
      <c r="I933" s="957"/>
      <c r="J933" s="957"/>
      <c r="K933" s="957"/>
      <c r="L933" s="957"/>
      <c r="M933" s="957"/>
      <c r="N933" s="957"/>
      <c r="O933" s="4"/>
      <c r="P933" s="4"/>
      <c r="Q933" s="4"/>
      <c r="R933" s="4"/>
      <c r="S933" s="4"/>
      <c r="T933" s="4"/>
      <c r="U933" s="4"/>
      <c r="V933" s="4"/>
      <c r="W933" s="4"/>
      <c r="X933" s="4"/>
    </row>
    <row r="934" spans="1:24" ht="12.75">
      <c r="A934" s="4"/>
      <c r="B934" s="4"/>
      <c r="C934" s="4"/>
      <c r="D934" s="4"/>
      <c r="E934" s="957"/>
      <c r="F934" s="957"/>
      <c r="G934" s="957"/>
      <c r="H934" s="957"/>
      <c r="I934" s="957"/>
      <c r="J934" s="957"/>
      <c r="K934" s="957"/>
      <c r="L934" s="957"/>
      <c r="M934" s="957"/>
      <c r="N934" s="957"/>
      <c r="O934" s="4"/>
      <c r="P934" s="4"/>
      <c r="Q934" s="4"/>
      <c r="R934" s="4"/>
      <c r="S934" s="4"/>
      <c r="T934" s="4"/>
      <c r="U934" s="4"/>
      <c r="V934" s="4"/>
      <c r="W934" s="4"/>
      <c r="X934" s="4"/>
    </row>
    <row r="935" spans="1:24" ht="12.75">
      <c r="A935" s="4"/>
      <c r="B935" s="4"/>
      <c r="C935" s="4"/>
      <c r="D935" s="4"/>
      <c r="E935" s="957"/>
      <c r="F935" s="957"/>
      <c r="G935" s="957"/>
      <c r="H935" s="957"/>
      <c r="I935" s="957"/>
      <c r="J935" s="957"/>
      <c r="K935" s="957"/>
      <c r="L935" s="957"/>
      <c r="M935" s="957"/>
      <c r="N935" s="957"/>
      <c r="O935" s="4"/>
      <c r="P935" s="4"/>
      <c r="Q935" s="4"/>
      <c r="R935" s="4"/>
      <c r="S935" s="4"/>
      <c r="T935" s="4"/>
      <c r="U935" s="4"/>
      <c r="V935" s="4"/>
      <c r="W935" s="4"/>
      <c r="X935" s="4"/>
    </row>
    <row r="936" spans="1:24" ht="12.75">
      <c r="A936" s="4"/>
      <c r="B936" s="4"/>
      <c r="C936" s="4"/>
      <c r="D936" s="4"/>
      <c r="E936" s="957"/>
      <c r="F936" s="957"/>
      <c r="G936" s="957"/>
      <c r="H936" s="957"/>
      <c r="I936" s="957"/>
      <c r="J936" s="957"/>
      <c r="K936" s="957"/>
      <c r="L936" s="957"/>
      <c r="M936" s="957"/>
      <c r="N936" s="957"/>
      <c r="O936" s="4"/>
      <c r="P936" s="4"/>
      <c r="Q936" s="4"/>
      <c r="R936" s="4"/>
      <c r="S936" s="4"/>
      <c r="T936" s="4"/>
      <c r="U936" s="4"/>
      <c r="V936" s="4"/>
      <c r="W936" s="4"/>
      <c r="X936" s="4"/>
    </row>
    <row r="937" spans="1:24" ht="12.75">
      <c r="A937" s="4"/>
      <c r="B937" s="4"/>
      <c r="C937" s="4"/>
      <c r="D937" s="4"/>
      <c r="E937" s="957"/>
      <c r="F937" s="957"/>
      <c r="G937" s="957"/>
      <c r="H937" s="957"/>
      <c r="I937" s="957"/>
      <c r="J937" s="957"/>
      <c r="K937" s="957"/>
      <c r="L937" s="957"/>
      <c r="M937" s="957"/>
      <c r="N937" s="957"/>
      <c r="O937" s="4"/>
      <c r="P937" s="4"/>
      <c r="Q937" s="4"/>
      <c r="R937" s="4"/>
      <c r="S937" s="4"/>
      <c r="T937" s="4"/>
      <c r="U937" s="4"/>
      <c r="V937" s="4"/>
      <c r="W937" s="4"/>
      <c r="X937" s="4"/>
    </row>
    <row r="938" spans="1:24" ht="12.75">
      <c r="A938" s="4"/>
      <c r="B938" s="4"/>
      <c r="C938" s="4"/>
      <c r="D938" s="4"/>
      <c r="E938" s="957"/>
      <c r="F938" s="957"/>
      <c r="G938" s="957"/>
      <c r="H938" s="957"/>
      <c r="I938" s="957"/>
      <c r="J938" s="957"/>
      <c r="K938" s="957"/>
      <c r="L938" s="957"/>
      <c r="M938" s="957"/>
      <c r="N938" s="957"/>
      <c r="O938" s="4"/>
      <c r="P938" s="4"/>
      <c r="Q938" s="4"/>
      <c r="R938" s="4"/>
      <c r="S938" s="4"/>
      <c r="T938" s="4"/>
      <c r="U938" s="4"/>
      <c r="V938" s="4"/>
      <c r="W938" s="4"/>
      <c r="X938" s="4"/>
    </row>
    <row r="939" spans="1:24" ht="12.75">
      <c r="A939" s="4"/>
      <c r="B939" s="4"/>
      <c r="C939" s="4"/>
      <c r="D939" s="4"/>
      <c r="E939" s="957"/>
      <c r="F939" s="957"/>
      <c r="G939" s="957"/>
      <c r="H939" s="957"/>
      <c r="I939" s="957"/>
      <c r="J939" s="957"/>
      <c r="K939" s="957"/>
      <c r="L939" s="957"/>
      <c r="M939" s="957"/>
      <c r="N939" s="957"/>
      <c r="O939" s="4"/>
      <c r="P939" s="4"/>
      <c r="Q939" s="4"/>
      <c r="R939" s="4"/>
      <c r="S939" s="4"/>
      <c r="T939" s="4"/>
      <c r="U939" s="4"/>
      <c r="V939" s="4"/>
      <c r="W939" s="4"/>
      <c r="X939" s="4"/>
    </row>
    <row r="940" spans="1:24" ht="12.75">
      <c r="A940" s="4"/>
      <c r="B940" s="4"/>
      <c r="C940" s="4"/>
      <c r="D940" s="4"/>
      <c r="E940" s="957"/>
      <c r="F940" s="957"/>
      <c r="G940" s="957"/>
      <c r="H940" s="957"/>
      <c r="I940" s="957"/>
      <c r="J940" s="957"/>
      <c r="K940" s="957"/>
      <c r="L940" s="957"/>
      <c r="M940" s="957"/>
      <c r="N940" s="957"/>
      <c r="O940" s="4"/>
      <c r="P940" s="4"/>
      <c r="Q940" s="4"/>
      <c r="R940" s="4"/>
      <c r="S940" s="4"/>
      <c r="T940" s="4"/>
      <c r="U940" s="4"/>
      <c r="V940" s="4"/>
      <c r="W940" s="4"/>
      <c r="X940" s="4"/>
    </row>
    <row r="941" spans="1:24" ht="12.75">
      <c r="A941" s="4"/>
      <c r="B941" s="4"/>
      <c r="C941" s="4"/>
      <c r="D941" s="4"/>
      <c r="E941" s="957"/>
      <c r="F941" s="957"/>
      <c r="G941" s="957"/>
      <c r="H941" s="957"/>
      <c r="I941" s="957"/>
      <c r="J941" s="957"/>
      <c r="K941" s="957"/>
      <c r="L941" s="957"/>
      <c r="M941" s="957"/>
      <c r="N941" s="957"/>
      <c r="O941" s="4"/>
      <c r="P941" s="4"/>
      <c r="Q941" s="4"/>
      <c r="R941" s="4"/>
      <c r="S941" s="4"/>
      <c r="T941" s="4"/>
      <c r="U941" s="4"/>
      <c r="V941" s="4"/>
      <c r="W941" s="4"/>
      <c r="X941" s="4"/>
    </row>
    <row r="942" spans="1:24" ht="12.75">
      <c r="A942" s="4"/>
      <c r="B942" s="4"/>
      <c r="C942" s="4"/>
      <c r="D942" s="4"/>
      <c r="E942" s="957"/>
      <c r="F942" s="957"/>
      <c r="G942" s="957"/>
      <c r="H942" s="957"/>
      <c r="I942" s="957"/>
      <c r="J942" s="957"/>
      <c r="K942" s="957"/>
      <c r="L942" s="957"/>
      <c r="M942" s="957"/>
      <c r="N942" s="957"/>
      <c r="O942" s="4"/>
      <c r="P942" s="4"/>
      <c r="Q942" s="4"/>
      <c r="R942" s="4"/>
      <c r="S942" s="4"/>
      <c r="T942" s="4"/>
      <c r="U942" s="4"/>
      <c r="V942" s="4"/>
      <c r="W942" s="4"/>
      <c r="X942" s="4"/>
    </row>
    <row r="943" spans="1:24" ht="12.75">
      <c r="A943" s="4"/>
      <c r="B943" s="4"/>
      <c r="C943" s="4"/>
      <c r="D943" s="4"/>
      <c r="E943" s="957"/>
      <c r="F943" s="957"/>
      <c r="G943" s="957"/>
      <c r="H943" s="957"/>
      <c r="I943" s="957"/>
      <c r="J943" s="957"/>
      <c r="K943" s="957"/>
      <c r="L943" s="957"/>
      <c r="M943" s="957"/>
      <c r="N943" s="957"/>
      <c r="O943" s="4"/>
      <c r="P943" s="4"/>
      <c r="Q943" s="4"/>
      <c r="R943" s="4"/>
      <c r="S943" s="4"/>
      <c r="T943" s="4"/>
      <c r="U943" s="4"/>
      <c r="V943" s="4"/>
      <c r="W943" s="4"/>
      <c r="X943" s="4"/>
    </row>
    <row r="944" spans="1:24" ht="12.75">
      <c r="A944" s="4"/>
      <c r="B944" s="4"/>
      <c r="C944" s="4"/>
      <c r="D944" s="4"/>
      <c r="E944" s="957"/>
      <c r="F944" s="957"/>
      <c r="G944" s="957"/>
      <c r="H944" s="957"/>
      <c r="I944" s="957"/>
      <c r="J944" s="957"/>
      <c r="K944" s="957"/>
      <c r="L944" s="957"/>
      <c r="M944" s="957"/>
      <c r="N944" s="957"/>
      <c r="O944" s="4"/>
      <c r="P944" s="4"/>
      <c r="Q944" s="4"/>
      <c r="R944" s="4"/>
      <c r="S944" s="4"/>
      <c r="T944" s="4"/>
      <c r="U944" s="4"/>
      <c r="V944" s="4"/>
      <c r="W944" s="4"/>
      <c r="X944" s="4"/>
    </row>
    <row r="945" spans="1:24" ht="12.75">
      <c r="A945" s="4"/>
      <c r="B945" s="4"/>
      <c r="C945" s="4"/>
      <c r="D945" s="4"/>
      <c r="E945" s="957"/>
      <c r="F945" s="957"/>
      <c r="G945" s="957"/>
      <c r="H945" s="957"/>
      <c r="I945" s="957"/>
      <c r="J945" s="957"/>
      <c r="K945" s="957"/>
      <c r="L945" s="957"/>
      <c r="M945" s="957"/>
      <c r="N945" s="957"/>
      <c r="O945" s="4"/>
      <c r="P945" s="4"/>
      <c r="Q945" s="4"/>
      <c r="R945" s="4"/>
      <c r="S945" s="4"/>
      <c r="T945" s="4"/>
      <c r="U945" s="4"/>
      <c r="V945" s="4"/>
      <c r="W945" s="4"/>
      <c r="X945" s="4"/>
    </row>
    <row r="946" spans="1:24" ht="12.75">
      <c r="A946" s="4"/>
      <c r="B946" s="4"/>
      <c r="C946" s="4"/>
      <c r="D946" s="4"/>
      <c r="E946" s="957"/>
      <c r="F946" s="957"/>
      <c r="G946" s="957"/>
      <c r="H946" s="957"/>
      <c r="I946" s="957"/>
      <c r="J946" s="957"/>
      <c r="K946" s="957"/>
      <c r="L946" s="957"/>
      <c r="M946" s="957"/>
      <c r="N946" s="957"/>
      <c r="O946" s="4"/>
      <c r="P946" s="4"/>
      <c r="Q946" s="4"/>
      <c r="R946" s="4"/>
      <c r="S946" s="4"/>
      <c r="T946" s="4"/>
      <c r="U946" s="4"/>
      <c r="V946" s="4"/>
      <c r="W946" s="4"/>
      <c r="X946" s="4"/>
    </row>
    <row r="947" spans="1:24" ht="12.75">
      <c r="A947" s="4"/>
      <c r="B947" s="4"/>
      <c r="C947" s="4"/>
      <c r="D947" s="4"/>
      <c r="E947" s="957"/>
      <c r="F947" s="957"/>
      <c r="G947" s="957"/>
      <c r="H947" s="957"/>
      <c r="I947" s="957"/>
      <c r="J947" s="957"/>
      <c r="K947" s="957"/>
      <c r="L947" s="957"/>
      <c r="M947" s="957"/>
      <c r="N947" s="957"/>
      <c r="O947" s="4"/>
      <c r="P947" s="4"/>
      <c r="Q947" s="4"/>
      <c r="R947" s="4"/>
      <c r="S947" s="4"/>
      <c r="T947" s="4"/>
      <c r="U947" s="4"/>
      <c r="V947" s="4"/>
      <c r="W947" s="4"/>
      <c r="X947" s="4"/>
    </row>
    <row r="948" spans="1:24" ht="12.75">
      <c r="A948" s="4"/>
      <c r="B948" s="4"/>
      <c r="C948" s="4"/>
      <c r="D948" s="4"/>
      <c r="E948" s="957"/>
      <c r="F948" s="957"/>
      <c r="G948" s="957"/>
      <c r="H948" s="957"/>
      <c r="I948" s="957"/>
      <c r="J948" s="957"/>
      <c r="K948" s="957"/>
      <c r="L948" s="957"/>
      <c r="M948" s="957"/>
      <c r="N948" s="957"/>
      <c r="O948" s="4"/>
      <c r="P948" s="4"/>
      <c r="Q948" s="4"/>
      <c r="R948" s="4"/>
      <c r="S948" s="4"/>
      <c r="T948" s="4"/>
      <c r="U948" s="4"/>
      <c r="V948" s="4"/>
      <c r="W948" s="4"/>
      <c r="X948" s="4"/>
    </row>
    <row r="949" spans="1:24" ht="12.75">
      <c r="A949" s="4"/>
      <c r="B949" s="4"/>
      <c r="C949" s="4"/>
      <c r="D949" s="4"/>
      <c r="E949" s="957"/>
      <c r="F949" s="957"/>
      <c r="G949" s="957"/>
      <c r="H949" s="957"/>
      <c r="I949" s="957"/>
      <c r="J949" s="957"/>
      <c r="K949" s="957"/>
      <c r="L949" s="957"/>
      <c r="M949" s="957"/>
      <c r="N949" s="957"/>
      <c r="O949" s="4"/>
      <c r="P949" s="4"/>
      <c r="Q949" s="4"/>
      <c r="R949" s="4"/>
      <c r="S949" s="4"/>
      <c r="T949" s="4"/>
      <c r="U949" s="4"/>
      <c r="V949" s="4"/>
      <c r="W949" s="4"/>
      <c r="X949" s="4"/>
    </row>
    <row r="950" spans="1:24" ht="12.75">
      <c r="A950" s="4"/>
      <c r="B950" s="4"/>
      <c r="C950" s="4"/>
      <c r="D950" s="4"/>
      <c r="E950" s="957"/>
      <c r="F950" s="957"/>
      <c r="G950" s="957"/>
      <c r="H950" s="957"/>
      <c r="I950" s="957"/>
      <c r="J950" s="957"/>
      <c r="K950" s="957"/>
      <c r="L950" s="957"/>
      <c r="M950" s="957"/>
      <c r="N950" s="957"/>
      <c r="O950" s="4"/>
      <c r="P950" s="4"/>
      <c r="Q950" s="4"/>
      <c r="R950" s="4"/>
      <c r="S950" s="4"/>
      <c r="T950" s="4"/>
      <c r="U950" s="4"/>
      <c r="V950" s="4"/>
      <c r="W950" s="4"/>
      <c r="X950" s="4"/>
    </row>
    <row r="951" spans="1:24" ht="12.75">
      <c r="A951" s="4"/>
      <c r="B951" s="4"/>
      <c r="C951" s="4"/>
      <c r="D951" s="4"/>
      <c r="E951" s="957"/>
      <c r="F951" s="957"/>
      <c r="G951" s="957"/>
      <c r="H951" s="957"/>
      <c r="I951" s="957"/>
      <c r="J951" s="957"/>
      <c r="K951" s="957"/>
      <c r="L951" s="957"/>
      <c r="M951" s="957"/>
      <c r="N951" s="957"/>
      <c r="O951" s="4"/>
      <c r="P951" s="4"/>
      <c r="Q951" s="4"/>
      <c r="R951" s="4"/>
      <c r="S951" s="4"/>
      <c r="T951" s="4"/>
      <c r="U951" s="4"/>
      <c r="V951" s="4"/>
      <c r="W951" s="4"/>
      <c r="X951" s="4"/>
    </row>
    <row r="952" spans="1:24" ht="12.75">
      <c r="A952" s="4"/>
      <c r="B952" s="4"/>
      <c r="C952" s="4"/>
      <c r="D952" s="4"/>
      <c r="E952" s="957"/>
      <c r="F952" s="957"/>
      <c r="G952" s="957"/>
      <c r="H952" s="957"/>
      <c r="I952" s="957"/>
      <c r="J952" s="957"/>
      <c r="K952" s="957"/>
      <c r="L952" s="957"/>
      <c r="M952" s="957"/>
      <c r="N952" s="957"/>
      <c r="O952" s="4"/>
      <c r="P952" s="4"/>
      <c r="Q952" s="4"/>
      <c r="R952" s="4"/>
      <c r="S952" s="4"/>
      <c r="T952" s="4"/>
      <c r="U952" s="4"/>
      <c r="V952" s="4"/>
      <c r="W952" s="4"/>
      <c r="X952" s="4"/>
    </row>
    <row r="953" spans="1:24" ht="12.75">
      <c r="A953" s="4"/>
      <c r="B953" s="4"/>
      <c r="C953" s="4"/>
      <c r="D953" s="4"/>
      <c r="E953" s="957"/>
      <c r="F953" s="957"/>
      <c r="G953" s="957"/>
      <c r="H953" s="957"/>
      <c r="I953" s="957"/>
      <c r="J953" s="957"/>
      <c r="K953" s="957"/>
      <c r="L953" s="957"/>
      <c r="M953" s="957"/>
      <c r="N953" s="957"/>
      <c r="O953" s="4"/>
      <c r="P953" s="4"/>
      <c r="Q953" s="4"/>
      <c r="R953" s="4"/>
      <c r="S953" s="4"/>
      <c r="T953" s="4"/>
      <c r="U953" s="4"/>
      <c r="V953" s="4"/>
      <c r="W953" s="4"/>
      <c r="X953" s="4"/>
    </row>
    <row r="954" spans="1:24" ht="12.75">
      <c r="A954" s="4"/>
      <c r="B954" s="4"/>
      <c r="C954" s="4"/>
      <c r="D954" s="4"/>
      <c r="E954" s="957"/>
      <c r="F954" s="957"/>
      <c r="G954" s="957"/>
      <c r="H954" s="957"/>
      <c r="I954" s="957"/>
      <c r="J954" s="957"/>
      <c r="K954" s="957"/>
      <c r="L954" s="957"/>
      <c r="M954" s="957"/>
      <c r="N954" s="957"/>
      <c r="O954" s="4"/>
      <c r="P954" s="4"/>
      <c r="Q954" s="4"/>
      <c r="R954" s="4"/>
      <c r="S954" s="4"/>
      <c r="T954" s="4"/>
      <c r="U954" s="4"/>
      <c r="V954" s="4"/>
      <c r="W954" s="4"/>
      <c r="X954" s="4"/>
    </row>
    <row r="955" spans="1:24" ht="12.75">
      <c r="A955" s="4"/>
      <c r="B955" s="4"/>
      <c r="C955" s="4"/>
      <c r="D955" s="4"/>
      <c r="E955" s="957"/>
      <c r="F955" s="957"/>
      <c r="G955" s="957"/>
      <c r="H955" s="957"/>
      <c r="I955" s="957"/>
      <c r="J955" s="957"/>
      <c r="K955" s="957"/>
      <c r="L955" s="957"/>
      <c r="M955" s="957"/>
      <c r="N955" s="957"/>
      <c r="O955" s="4"/>
      <c r="P955" s="4"/>
      <c r="Q955" s="4"/>
      <c r="R955" s="4"/>
      <c r="S955" s="4"/>
      <c r="T955" s="4"/>
      <c r="U955" s="4"/>
      <c r="V955" s="4"/>
      <c r="W955" s="4"/>
      <c r="X955" s="4"/>
    </row>
    <row r="956" spans="1:24" ht="12.75">
      <c r="A956" s="4"/>
      <c r="B956" s="4"/>
      <c r="C956" s="4"/>
      <c r="D956" s="4"/>
      <c r="E956" s="957"/>
      <c r="F956" s="957"/>
      <c r="G956" s="957"/>
      <c r="H956" s="957"/>
      <c r="I956" s="957"/>
      <c r="J956" s="957"/>
      <c r="K956" s="957"/>
      <c r="L956" s="957"/>
      <c r="M956" s="957"/>
      <c r="N956" s="957"/>
      <c r="O956" s="4"/>
      <c r="P956" s="4"/>
      <c r="Q956" s="4"/>
      <c r="R956" s="4"/>
      <c r="S956" s="4"/>
      <c r="T956" s="4"/>
      <c r="U956" s="4"/>
      <c r="V956" s="4"/>
      <c r="W956" s="4"/>
      <c r="X956" s="4"/>
    </row>
    <row r="957" spans="1:24" ht="12.75">
      <c r="A957" s="4"/>
      <c r="B957" s="4"/>
      <c r="C957" s="4"/>
      <c r="D957" s="4"/>
      <c r="E957" s="957"/>
      <c r="F957" s="957"/>
      <c r="G957" s="957"/>
      <c r="H957" s="957"/>
      <c r="I957" s="957"/>
      <c r="J957" s="957"/>
      <c r="K957" s="957"/>
      <c r="L957" s="957"/>
      <c r="M957" s="957"/>
      <c r="N957" s="957"/>
      <c r="O957" s="4"/>
      <c r="P957" s="4"/>
      <c r="Q957" s="4"/>
      <c r="R957" s="4"/>
      <c r="S957" s="4"/>
      <c r="T957" s="4"/>
      <c r="U957" s="4"/>
      <c r="V957" s="4"/>
      <c r="W957" s="4"/>
      <c r="X957" s="4"/>
    </row>
    <row r="958" spans="1:24" ht="12.75">
      <c r="A958" s="4"/>
      <c r="B958" s="4"/>
      <c r="C958" s="4"/>
      <c r="D958" s="4"/>
      <c r="E958" s="957"/>
      <c r="F958" s="957"/>
      <c r="G958" s="957"/>
      <c r="H958" s="957"/>
      <c r="I958" s="957"/>
      <c r="J958" s="957"/>
      <c r="K958" s="957"/>
      <c r="L958" s="957"/>
      <c r="M958" s="957"/>
      <c r="N958" s="957"/>
      <c r="O958" s="4"/>
      <c r="P958" s="4"/>
      <c r="Q958" s="4"/>
      <c r="R958" s="4"/>
      <c r="S958" s="4"/>
      <c r="T958" s="4"/>
      <c r="U958" s="4"/>
      <c r="V958" s="4"/>
      <c r="W958" s="4"/>
      <c r="X958" s="4"/>
    </row>
    <row r="959" spans="1:24" ht="12.75">
      <c r="A959" s="4"/>
      <c r="B959" s="4"/>
      <c r="C959" s="4"/>
      <c r="D959" s="4"/>
      <c r="E959" s="957"/>
      <c r="F959" s="957"/>
      <c r="G959" s="957"/>
      <c r="H959" s="957"/>
      <c r="I959" s="957"/>
      <c r="J959" s="957"/>
      <c r="K959" s="957"/>
      <c r="L959" s="957"/>
      <c r="M959" s="957"/>
      <c r="N959" s="957"/>
      <c r="O959" s="4"/>
      <c r="P959" s="4"/>
      <c r="Q959" s="4"/>
      <c r="R959" s="4"/>
      <c r="S959" s="4"/>
      <c r="T959" s="4"/>
      <c r="U959" s="4"/>
      <c r="V959" s="4"/>
      <c r="W959" s="4"/>
      <c r="X959" s="4"/>
    </row>
    <row r="960" spans="1:24" ht="12.75">
      <c r="A960" s="4"/>
      <c r="B960" s="4"/>
      <c r="C960" s="4"/>
      <c r="D960" s="4"/>
      <c r="E960" s="957"/>
      <c r="F960" s="957"/>
      <c r="G960" s="957"/>
      <c r="H960" s="957"/>
      <c r="I960" s="957"/>
      <c r="J960" s="957"/>
      <c r="K960" s="957"/>
      <c r="L960" s="957"/>
      <c r="M960" s="957"/>
      <c r="N960" s="957"/>
      <c r="O960" s="4"/>
      <c r="P960" s="4"/>
      <c r="Q960" s="4"/>
      <c r="R960" s="4"/>
      <c r="S960" s="4"/>
      <c r="T960" s="4"/>
      <c r="U960" s="4"/>
      <c r="V960" s="4"/>
      <c r="W960" s="4"/>
      <c r="X960" s="4"/>
    </row>
    <row r="961" spans="1:24" ht="12.75">
      <c r="A961" s="4"/>
      <c r="B961" s="4"/>
      <c r="C961" s="4"/>
      <c r="D961" s="4"/>
      <c r="E961" s="957"/>
      <c r="F961" s="957"/>
      <c r="G961" s="957"/>
      <c r="H961" s="957"/>
      <c r="I961" s="957"/>
      <c r="J961" s="957"/>
      <c r="K961" s="957"/>
      <c r="L961" s="957"/>
      <c r="M961" s="957"/>
      <c r="N961" s="957"/>
      <c r="O961" s="4"/>
      <c r="P961" s="4"/>
      <c r="Q961" s="4"/>
      <c r="R961" s="4"/>
      <c r="S961" s="4"/>
      <c r="T961" s="4"/>
      <c r="U961" s="4"/>
      <c r="V961" s="4"/>
      <c r="W961" s="4"/>
      <c r="X961" s="4"/>
    </row>
    <row r="962" spans="1:24" ht="12.75">
      <c r="A962" s="4"/>
      <c r="B962" s="4"/>
      <c r="C962" s="4"/>
      <c r="D962" s="4"/>
      <c r="E962" s="957"/>
      <c r="F962" s="957"/>
      <c r="G962" s="957"/>
      <c r="H962" s="957"/>
      <c r="I962" s="957"/>
      <c r="J962" s="957"/>
      <c r="K962" s="957"/>
      <c r="L962" s="957"/>
      <c r="M962" s="957"/>
      <c r="N962" s="957"/>
      <c r="O962" s="4"/>
      <c r="P962" s="4"/>
      <c r="Q962" s="4"/>
      <c r="R962" s="4"/>
      <c r="S962" s="4"/>
      <c r="T962" s="4"/>
      <c r="U962" s="4"/>
      <c r="V962" s="4"/>
      <c r="W962" s="4"/>
      <c r="X962" s="4"/>
    </row>
    <row r="963" spans="1:24" ht="12.75">
      <c r="A963" s="4"/>
      <c r="B963" s="4"/>
      <c r="C963" s="4"/>
      <c r="D963" s="4"/>
      <c r="E963" s="957"/>
      <c r="F963" s="957"/>
      <c r="G963" s="957"/>
      <c r="H963" s="957"/>
      <c r="I963" s="957"/>
      <c r="J963" s="957"/>
      <c r="K963" s="957"/>
      <c r="L963" s="957"/>
      <c r="M963" s="957"/>
      <c r="N963" s="957"/>
      <c r="O963" s="4"/>
      <c r="P963" s="4"/>
      <c r="Q963" s="4"/>
      <c r="R963" s="4"/>
      <c r="S963" s="4"/>
      <c r="T963" s="4"/>
      <c r="U963" s="4"/>
      <c r="V963" s="4"/>
      <c r="W963" s="4"/>
      <c r="X963" s="4"/>
    </row>
    <row r="964" spans="1:24" ht="12.75">
      <c r="A964" s="4"/>
      <c r="B964" s="4"/>
      <c r="C964" s="4"/>
      <c r="D964" s="4"/>
      <c r="E964" s="957"/>
      <c r="F964" s="957"/>
      <c r="G964" s="957"/>
      <c r="H964" s="957"/>
      <c r="I964" s="957"/>
      <c r="J964" s="957"/>
      <c r="K964" s="957"/>
      <c r="L964" s="957"/>
      <c r="M964" s="957"/>
      <c r="N964" s="957"/>
      <c r="O964" s="4"/>
      <c r="P964" s="4"/>
      <c r="Q964" s="4"/>
      <c r="R964" s="4"/>
      <c r="S964" s="4"/>
      <c r="T964" s="4"/>
      <c r="U964" s="4"/>
      <c r="V964" s="4"/>
      <c r="W964" s="4"/>
      <c r="X964" s="4"/>
    </row>
    <row r="965" spans="1:24" ht="12.75">
      <c r="A965" s="4"/>
      <c r="B965" s="4"/>
      <c r="C965" s="4"/>
      <c r="D965" s="4"/>
      <c r="E965" s="957"/>
      <c r="F965" s="957"/>
      <c r="G965" s="957"/>
      <c r="H965" s="957"/>
      <c r="I965" s="957"/>
      <c r="J965" s="957"/>
      <c r="K965" s="957"/>
      <c r="L965" s="957"/>
      <c r="M965" s="957"/>
      <c r="N965" s="957"/>
      <c r="O965" s="4"/>
      <c r="P965" s="4"/>
      <c r="Q965" s="4"/>
      <c r="R965" s="4"/>
      <c r="S965" s="4"/>
      <c r="T965" s="4"/>
      <c r="U965" s="4"/>
      <c r="V965" s="4"/>
      <c r="W965" s="4"/>
      <c r="X965" s="4"/>
    </row>
    <row r="966" spans="1:24" ht="12.75">
      <c r="A966" s="4"/>
      <c r="B966" s="4"/>
      <c r="C966" s="4"/>
      <c r="D966" s="4"/>
      <c r="E966" s="957"/>
      <c r="F966" s="957"/>
      <c r="G966" s="957"/>
      <c r="H966" s="957"/>
      <c r="I966" s="957"/>
      <c r="J966" s="957"/>
      <c r="K966" s="957"/>
      <c r="L966" s="957"/>
      <c r="M966" s="957"/>
      <c r="N966" s="957"/>
      <c r="O966" s="4"/>
      <c r="P966" s="4"/>
      <c r="Q966" s="4"/>
      <c r="R966" s="4"/>
      <c r="S966" s="4"/>
      <c r="T966" s="4"/>
      <c r="U966" s="4"/>
      <c r="V966" s="4"/>
      <c r="W966" s="4"/>
      <c r="X966" s="4"/>
    </row>
    <row r="967" spans="1:24" ht="12.75">
      <c r="A967" s="4"/>
      <c r="B967" s="4"/>
      <c r="C967" s="4"/>
      <c r="D967" s="4"/>
      <c r="E967" s="957"/>
      <c r="F967" s="957"/>
      <c r="G967" s="957"/>
      <c r="H967" s="957"/>
      <c r="I967" s="957"/>
      <c r="J967" s="957"/>
      <c r="K967" s="957"/>
      <c r="L967" s="957"/>
      <c r="M967" s="957"/>
      <c r="N967" s="957"/>
      <c r="O967" s="4"/>
      <c r="P967" s="4"/>
      <c r="Q967" s="4"/>
      <c r="R967" s="4"/>
      <c r="S967" s="4"/>
      <c r="T967" s="4"/>
      <c r="U967" s="4"/>
      <c r="V967" s="4"/>
      <c r="W967" s="4"/>
      <c r="X967" s="4"/>
    </row>
    <row r="968" spans="1:24" ht="12.75">
      <c r="A968" s="4"/>
      <c r="B968" s="4"/>
      <c r="C968" s="4"/>
      <c r="D968" s="4"/>
      <c r="E968" s="957"/>
      <c r="F968" s="957"/>
      <c r="G968" s="957"/>
      <c r="H968" s="957"/>
      <c r="I968" s="957"/>
      <c r="J968" s="957"/>
      <c r="K968" s="957"/>
      <c r="L968" s="957"/>
      <c r="M968" s="957"/>
      <c r="N968" s="957"/>
      <c r="O968" s="4"/>
      <c r="P968" s="4"/>
      <c r="Q968" s="4"/>
      <c r="R968" s="4"/>
      <c r="S968" s="4"/>
      <c r="T968" s="4"/>
      <c r="U968" s="4"/>
      <c r="V968" s="4"/>
      <c r="W968" s="4"/>
      <c r="X968" s="4"/>
    </row>
    <row r="969" spans="1:24" ht="12.75">
      <c r="A969" s="4"/>
      <c r="B969" s="4"/>
      <c r="C969" s="4"/>
      <c r="D969" s="4"/>
      <c r="E969" s="957"/>
      <c r="F969" s="957"/>
      <c r="G969" s="957"/>
      <c r="H969" s="957"/>
      <c r="I969" s="957"/>
      <c r="J969" s="957"/>
      <c r="K969" s="957"/>
      <c r="L969" s="957"/>
      <c r="M969" s="957"/>
      <c r="N969" s="957"/>
      <c r="O969" s="4"/>
      <c r="P969" s="4"/>
      <c r="Q969" s="4"/>
      <c r="R969" s="4"/>
      <c r="S969" s="4"/>
      <c r="T969" s="4"/>
      <c r="U969" s="4"/>
      <c r="V969" s="4"/>
      <c r="W969" s="4"/>
      <c r="X969" s="4"/>
    </row>
    <row r="970" spans="1:24" ht="12.75">
      <c r="A970" s="4"/>
      <c r="B970" s="4"/>
      <c r="C970" s="4"/>
      <c r="D970" s="4"/>
      <c r="E970" s="957"/>
      <c r="F970" s="957"/>
      <c r="G970" s="957"/>
      <c r="H970" s="957"/>
      <c r="I970" s="957"/>
      <c r="J970" s="957"/>
      <c r="K970" s="957"/>
      <c r="L970" s="957"/>
      <c r="M970" s="957"/>
      <c r="N970" s="957"/>
      <c r="O970" s="4"/>
      <c r="P970" s="4"/>
      <c r="Q970" s="4"/>
      <c r="R970" s="4"/>
      <c r="S970" s="4"/>
      <c r="T970" s="4"/>
      <c r="U970" s="4"/>
      <c r="V970" s="4"/>
      <c r="W970" s="4"/>
      <c r="X970" s="4"/>
    </row>
    <row r="971" spans="1:24" ht="12.75">
      <c r="A971" s="4"/>
      <c r="B971" s="4"/>
      <c r="C971" s="4"/>
      <c r="D971" s="4"/>
      <c r="E971" s="957"/>
      <c r="F971" s="957"/>
      <c r="G971" s="957"/>
      <c r="H971" s="957"/>
      <c r="I971" s="957"/>
      <c r="J971" s="957"/>
      <c r="K971" s="957"/>
      <c r="L971" s="957"/>
      <c r="M971" s="957"/>
      <c r="N971" s="957"/>
      <c r="O971" s="4"/>
      <c r="P971" s="4"/>
      <c r="Q971" s="4"/>
      <c r="R971" s="4"/>
      <c r="S971" s="4"/>
      <c r="T971" s="4"/>
      <c r="U971" s="4"/>
      <c r="V971" s="4"/>
      <c r="W971" s="4"/>
      <c r="X971" s="4"/>
    </row>
    <row r="972" spans="1:24" ht="12.75">
      <c r="A972" s="4"/>
      <c r="B972" s="4"/>
      <c r="C972" s="4"/>
      <c r="D972" s="4"/>
      <c r="E972" s="957"/>
      <c r="F972" s="957"/>
      <c r="G972" s="957"/>
      <c r="H972" s="957"/>
      <c r="I972" s="957"/>
      <c r="J972" s="957"/>
      <c r="K972" s="957"/>
      <c r="L972" s="957"/>
      <c r="M972" s="957"/>
      <c r="N972" s="957"/>
      <c r="O972" s="4"/>
      <c r="P972" s="4"/>
      <c r="Q972" s="4"/>
      <c r="R972" s="4"/>
      <c r="S972" s="4"/>
      <c r="T972" s="4"/>
      <c r="U972" s="4"/>
      <c r="V972" s="4"/>
      <c r="W972" s="4"/>
      <c r="X972" s="4"/>
    </row>
    <row r="973" spans="1:24" ht="12.75">
      <c r="A973" s="4"/>
      <c r="B973" s="4"/>
      <c r="C973" s="4"/>
      <c r="D973" s="4"/>
      <c r="E973" s="957"/>
      <c r="F973" s="957"/>
      <c r="G973" s="957"/>
      <c r="H973" s="957"/>
      <c r="I973" s="957"/>
      <c r="J973" s="957"/>
      <c r="K973" s="957"/>
      <c r="L973" s="957"/>
      <c r="M973" s="957"/>
      <c r="N973" s="957"/>
      <c r="O973" s="4"/>
      <c r="P973" s="4"/>
      <c r="Q973" s="4"/>
      <c r="R973" s="4"/>
      <c r="S973" s="4"/>
      <c r="T973" s="4"/>
      <c r="U973" s="4"/>
      <c r="V973" s="4"/>
      <c r="W973" s="4"/>
      <c r="X973" s="4"/>
    </row>
    <row r="974" spans="1:24" ht="12.75">
      <c r="A974" s="4"/>
      <c r="B974" s="4"/>
      <c r="C974" s="4"/>
      <c r="D974" s="4"/>
      <c r="E974" s="957"/>
      <c r="F974" s="957"/>
      <c r="G974" s="957"/>
      <c r="H974" s="957"/>
      <c r="I974" s="957"/>
      <c r="J974" s="957"/>
      <c r="K974" s="957"/>
      <c r="L974" s="957"/>
      <c r="M974" s="957"/>
      <c r="N974" s="957"/>
      <c r="O974" s="4"/>
      <c r="P974" s="4"/>
      <c r="Q974" s="4"/>
      <c r="R974" s="4"/>
      <c r="S974" s="4"/>
      <c r="T974" s="4"/>
      <c r="U974" s="4"/>
      <c r="V974" s="4"/>
      <c r="W974" s="4"/>
      <c r="X974" s="4"/>
    </row>
    <row r="975" spans="1:24" ht="12.75">
      <c r="A975" s="4"/>
      <c r="B975" s="4"/>
      <c r="C975" s="4"/>
      <c r="D975" s="4"/>
      <c r="E975" s="957"/>
      <c r="F975" s="957"/>
      <c r="G975" s="957"/>
      <c r="H975" s="957"/>
      <c r="I975" s="957"/>
      <c r="J975" s="957"/>
      <c r="K975" s="957"/>
      <c r="L975" s="957"/>
      <c r="M975" s="957"/>
      <c r="N975" s="957"/>
      <c r="O975" s="4"/>
      <c r="P975" s="4"/>
      <c r="Q975" s="4"/>
      <c r="R975" s="4"/>
      <c r="S975" s="4"/>
      <c r="T975" s="4"/>
      <c r="U975" s="4"/>
      <c r="V975" s="4"/>
      <c r="W975" s="4"/>
      <c r="X975" s="4"/>
    </row>
    <row r="976" spans="1:24" ht="12.75">
      <c r="A976" s="4"/>
      <c r="B976" s="4"/>
      <c r="C976" s="4"/>
      <c r="D976" s="4"/>
      <c r="E976" s="957"/>
      <c r="F976" s="957"/>
      <c r="G976" s="957"/>
      <c r="H976" s="957"/>
      <c r="I976" s="957"/>
      <c r="J976" s="957"/>
      <c r="K976" s="957"/>
      <c r="L976" s="957"/>
      <c r="M976" s="957"/>
      <c r="N976" s="957"/>
      <c r="O976" s="4"/>
      <c r="P976" s="4"/>
      <c r="Q976" s="4"/>
      <c r="R976" s="4"/>
      <c r="S976" s="4"/>
      <c r="T976" s="4"/>
      <c r="U976" s="4"/>
      <c r="V976" s="4"/>
      <c r="W976" s="4"/>
      <c r="X976" s="4"/>
    </row>
    <row r="977" spans="1:24" ht="12.75">
      <c r="A977" s="4"/>
      <c r="B977" s="4"/>
      <c r="C977" s="4"/>
      <c r="D977" s="4"/>
      <c r="E977" s="957"/>
      <c r="F977" s="957"/>
      <c r="G977" s="957"/>
      <c r="H977" s="957"/>
      <c r="I977" s="957"/>
      <c r="J977" s="957"/>
      <c r="K977" s="957"/>
      <c r="L977" s="957"/>
      <c r="M977" s="957"/>
      <c r="N977" s="957"/>
      <c r="O977" s="4"/>
      <c r="P977" s="4"/>
      <c r="Q977" s="4"/>
      <c r="R977" s="4"/>
      <c r="S977" s="4"/>
      <c r="T977" s="4"/>
      <c r="U977" s="4"/>
      <c r="V977" s="4"/>
      <c r="W977" s="4"/>
      <c r="X977" s="4"/>
    </row>
    <row r="978" spans="1:24" ht="12.75">
      <c r="A978" s="4"/>
      <c r="B978" s="4"/>
      <c r="C978" s="4"/>
      <c r="D978" s="4"/>
      <c r="E978" s="957"/>
      <c r="F978" s="957"/>
      <c r="G978" s="957"/>
      <c r="H978" s="957"/>
      <c r="I978" s="957"/>
      <c r="J978" s="957"/>
      <c r="K978" s="957"/>
      <c r="L978" s="957"/>
      <c r="M978" s="957"/>
      <c r="N978" s="957"/>
      <c r="O978" s="4"/>
      <c r="P978" s="4"/>
      <c r="Q978" s="4"/>
      <c r="R978" s="4"/>
      <c r="S978" s="4"/>
      <c r="T978" s="4"/>
      <c r="U978" s="4"/>
      <c r="V978" s="4"/>
      <c r="W978" s="4"/>
      <c r="X978" s="4"/>
    </row>
    <row r="979" spans="1:24" ht="12.75">
      <c r="A979" s="4"/>
      <c r="B979" s="4"/>
      <c r="C979" s="4"/>
      <c r="D979" s="4"/>
      <c r="E979" s="957"/>
      <c r="F979" s="957"/>
      <c r="G979" s="957"/>
      <c r="H979" s="957"/>
      <c r="I979" s="957"/>
      <c r="J979" s="957"/>
      <c r="K979" s="957"/>
      <c r="L979" s="957"/>
      <c r="M979" s="957"/>
      <c r="N979" s="957"/>
      <c r="O979" s="4"/>
      <c r="P979" s="4"/>
      <c r="Q979" s="4"/>
      <c r="R979" s="4"/>
      <c r="S979" s="4"/>
      <c r="T979" s="4"/>
      <c r="U979" s="4"/>
      <c r="V979" s="4"/>
      <c r="W979" s="4"/>
      <c r="X979" s="4"/>
    </row>
    <row r="980" spans="1:24" ht="12.75">
      <c r="A980" s="4"/>
      <c r="B980" s="4"/>
      <c r="C980" s="4"/>
      <c r="D980" s="4"/>
      <c r="E980" s="957"/>
      <c r="F980" s="957"/>
      <c r="G980" s="957"/>
      <c r="H980" s="957"/>
      <c r="I980" s="957"/>
      <c r="J980" s="957"/>
      <c r="K980" s="957"/>
      <c r="L980" s="957"/>
      <c r="M980" s="957"/>
      <c r="N980" s="957"/>
      <c r="O980" s="4"/>
      <c r="P980" s="4"/>
      <c r="Q980" s="4"/>
      <c r="R980" s="4"/>
      <c r="S980" s="4"/>
      <c r="T980" s="4"/>
      <c r="U980" s="4"/>
      <c r="V980" s="4"/>
      <c r="W980" s="4"/>
      <c r="X980" s="4"/>
    </row>
    <row r="981" spans="1:24" ht="12.75">
      <c r="A981" s="4"/>
      <c r="B981" s="4"/>
      <c r="C981" s="4"/>
      <c r="D981" s="4"/>
      <c r="E981" s="957"/>
      <c r="F981" s="957"/>
      <c r="G981" s="957"/>
      <c r="H981" s="957"/>
      <c r="I981" s="957"/>
      <c r="J981" s="957"/>
      <c r="K981" s="957"/>
      <c r="L981" s="957"/>
      <c r="M981" s="957"/>
      <c r="N981" s="957"/>
      <c r="O981" s="4"/>
      <c r="P981" s="4"/>
      <c r="Q981" s="4"/>
      <c r="R981" s="4"/>
      <c r="S981" s="4"/>
      <c r="T981" s="4"/>
      <c r="U981" s="4"/>
      <c r="V981" s="4"/>
      <c r="W981" s="4"/>
      <c r="X981" s="4"/>
    </row>
    <row r="982" spans="1:24" ht="12.75">
      <c r="A982" s="4"/>
      <c r="B982" s="4"/>
      <c r="C982" s="4"/>
      <c r="D982" s="4"/>
      <c r="E982" s="957"/>
      <c r="F982" s="957"/>
      <c r="G982" s="957"/>
      <c r="H982" s="957"/>
      <c r="I982" s="957"/>
      <c r="J982" s="957"/>
      <c r="K982" s="957"/>
      <c r="L982" s="957"/>
      <c r="M982" s="957"/>
      <c r="N982" s="957"/>
      <c r="O982" s="4"/>
      <c r="P982" s="4"/>
      <c r="Q982" s="4"/>
      <c r="R982" s="4"/>
      <c r="S982" s="4"/>
      <c r="T982" s="4"/>
      <c r="U982" s="4"/>
      <c r="V982" s="4"/>
      <c r="W982" s="4"/>
      <c r="X982" s="4"/>
    </row>
    <row r="983" spans="1:24" ht="12.75">
      <c r="A983" s="4"/>
      <c r="B983" s="4"/>
      <c r="C983" s="4"/>
      <c r="D983" s="4"/>
      <c r="E983" s="957"/>
      <c r="F983" s="957"/>
      <c r="G983" s="957"/>
      <c r="H983" s="957"/>
      <c r="I983" s="957"/>
      <c r="J983" s="957"/>
      <c r="K983" s="957"/>
      <c r="L983" s="957"/>
      <c r="M983" s="957"/>
      <c r="N983" s="957"/>
      <c r="O983" s="4"/>
      <c r="P983" s="4"/>
      <c r="Q983" s="4"/>
      <c r="R983" s="4"/>
      <c r="S983" s="4"/>
      <c r="T983" s="4"/>
      <c r="U983" s="4"/>
      <c r="V983" s="4"/>
      <c r="W983" s="4"/>
      <c r="X983" s="4"/>
    </row>
    <row r="984" spans="1:24" ht="12.75">
      <c r="A984" s="4"/>
      <c r="B984" s="4"/>
      <c r="C984" s="4"/>
      <c r="D984" s="4"/>
      <c r="E984" s="957"/>
      <c r="F984" s="957"/>
      <c r="G984" s="957"/>
      <c r="H984" s="957"/>
      <c r="I984" s="957"/>
      <c r="J984" s="957"/>
      <c r="K984" s="957"/>
      <c r="L984" s="957"/>
      <c r="M984" s="957"/>
      <c r="N984" s="957"/>
      <c r="O984" s="4"/>
      <c r="P984" s="4"/>
      <c r="Q984" s="4"/>
      <c r="R984" s="4"/>
      <c r="S984" s="4"/>
      <c r="T984" s="4"/>
      <c r="U984" s="4"/>
      <c r="V984" s="4"/>
      <c r="W984" s="4"/>
      <c r="X984" s="4"/>
    </row>
    <row r="985" spans="1:24" ht="12.75">
      <c r="A985" s="4"/>
      <c r="B985" s="4"/>
      <c r="C985" s="4"/>
      <c r="D985" s="4"/>
      <c r="E985" s="957"/>
      <c r="F985" s="957"/>
      <c r="G985" s="957"/>
      <c r="H985" s="957"/>
      <c r="I985" s="957"/>
      <c r="J985" s="957"/>
      <c r="K985" s="957"/>
      <c r="L985" s="957"/>
      <c r="M985" s="957"/>
      <c r="N985" s="957"/>
      <c r="O985" s="4"/>
      <c r="P985" s="4"/>
      <c r="Q985" s="4"/>
      <c r="R985" s="4"/>
      <c r="S985" s="4"/>
      <c r="T985" s="4"/>
      <c r="U985" s="4"/>
      <c r="V985" s="4"/>
      <c r="W985" s="4"/>
      <c r="X985" s="4"/>
    </row>
    <row r="986" spans="1:24" ht="12.75">
      <c r="A986" s="4"/>
      <c r="B986" s="4"/>
      <c r="C986" s="4"/>
      <c r="D986" s="4"/>
      <c r="E986" s="957"/>
      <c r="F986" s="957"/>
      <c r="G986" s="957"/>
      <c r="H986" s="957"/>
      <c r="I986" s="957"/>
      <c r="J986" s="957"/>
      <c r="K986" s="957"/>
      <c r="L986" s="957"/>
      <c r="M986" s="957"/>
      <c r="N986" s="957"/>
      <c r="O986" s="4"/>
      <c r="P986" s="4"/>
      <c r="Q986" s="4"/>
      <c r="R986" s="4"/>
      <c r="S986" s="4"/>
      <c r="T986" s="4"/>
      <c r="U986" s="4"/>
      <c r="V986" s="4"/>
      <c r="W986" s="4"/>
      <c r="X986" s="4"/>
    </row>
    <row r="987" spans="1:24" ht="12.75">
      <c r="A987" s="4"/>
      <c r="B987" s="4"/>
      <c r="C987" s="4"/>
      <c r="D987" s="4"/>
      <c r="E987" s="957"/>
      <c r="F987" s="957"/>
      <c r="G987" s="957"/>
      <c r="H987" s="957"/>
      <c r="I987" s="957"/>
      <c r="J987" s="957"/>
      <c r="K987" s="957"/>
      <c r="L987" s="957"/>
      <c r="M987" s="957"/>
      <c r="N987" s="957"/>
      <c r="O987" s="4"/>
      <c r="P987" s="4"/>
      <c r="Q987" s="4"/>
      <c r="R987" s="4"/>
      <c r="S987" s="4"/>
      <c r="T987" s="4"/>
      <c r="U987" s="4"/>
      <c r="V987" s="4"/>
      <c r="W987" s="4"/>
      <c r="X987" s="4"/>
    </row>
  </sheetData>
  <mergeCells count="4">
    <mergeCell ref="A2:E2"/>
    <mergeCell ref="A11:C11"/>
    <mergeCell ref="A6:C6"/>
    <mergeCell ref="A10:C10"/>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1" tint="0.499984740745262"/>
  </sheetPr>
  <dimension ref="A1:Z1039"/>
  <sheetViews>
    <sheetView topLeftCell="A84" workbookViewId="0">
      <selection activeCell="B97" sqref="B97"/>
    </sheetView>
  </sheetViews>
  <sheetFormatPr defaultColWidth="11.125" defaultRowHeight="15" customHeight="1" outlineLevelRow="2"/>
  <cols>
    <col min="1" max="1" width="41.125" style="2" customWidth="1"/>
    <col min="2" max="2" width="29.75" style="2" customWidth="1"/>
    <col min="3" max="3" width="18.25" style="2" customWidth="1"/>
    <col min="4" max="4" width="13.25" style="2" customWidth="1"/>
    <col min="5" max="5" width="15.625" style="2" bestFit="1" customWidth="1"/>
    <col min="6" max="6" width="13.125" style="2" customWidth="1"/>
    <col min="7" max="8" width="13.25" style="2" customWidth="1"/>
    <col min="9" max="10" width="14" style="2" customWidth="1"/>
    <col min="11" max="12" width="11.125" style="2" customWidth="1"/>
    <col min="13" max="13" width="33.125" style="2" customWidth="1"/>
    <col min="14" max="14" width="27.25" style="2" customWidth="1"/>
    <col min="15" max="15" width="16.75" style="2" customWidth="1"/>
    <col min="16" max="16384" width="11.125" style="2"/>
  </cols>
  <sheetData>
    <row r="1" spans="1:26" s="94" customFormat="1" ht="24" customHeight="1">
      <c r="A1" s="210" t="s">
        <v>416</v>
      </c>
      <c r="B1" s="210"/>
      <c r="C1" s="210"/>
      <c r="D1" s="210"/>
      <c r="E1" s="210"/>
      <c r="F1" s="225"/>
      <c r="G1" s="3"/>
      <c r="H1" s="92"/>
      <c r="I1" s="92"/>
      <c r="J1" s="92"/>
      <c r="K1" s="92"/>
      <c r="L1" s="92"/>
      <c r="M1" s="92"/>
      <c r="N1" s="92"/>
      <c r="O1" s="92"/>
      <c r="P1" s="92"/>
      <c r="Q1" s="92"/>
      <c r="R1" s="92"/>
      <c r="S1" s="92"/>
      <c r="T1" s="92"/>
      <c r="U1" s="92"/>
      <c r="V1" s="92"/>
      <c r="W1" s="92"/>
      <c r="X1" s="92"/>
      <c r="Y1" s="92"/>
      <c r="Z1" s="92"/>
    </row>
    <row r="2" spans="1:26" ht="20.65" customHeight="1">
      <c r="A2" s="1106" t="s">
        <v>1343</v>
      </c>
      <c r="B2" s="1107"/>
      <c r="C2" s="1107"/>
      <c r="D2" s="1107"/>
      <c r="E2" s="1107"/>
      <c r="F2" s="1108"/>
    </row>
    <row r="3" spans="1:26" ht="28.15" customHeight="1" outlineLevel="1">
      <c r="A3" s="601" t="s">
        <v>60</v>
      </c>
      <c r="B3" s="601" t="s">
        <v>1100</v>
      </c>
      <c r="C3" s="600" t="s">
        <v>59</v>
      </c>
      <c r="D3" s="75"/>
      <c r="E3" s="75"/>
      <c r="F3" s="75"/>
      <c r="G3" s="75"/>
    </row>
    <row r="4" spans="1:26" ht="15" customHeight="1" outlineLevel="1">
      <c r="A4" s="663" t="s">
        <v>64</v>
      </c>
      <c r="B4" s="660">
        <f>SUM($C$69:$C$74,$C$80:$C$81,$B$86,$B$90,$B$98,$B$107,B94,B101,B111,B112,B117)</f>
        <v>4825744.3665837971</v>
      </c>
      <c r="C4" s="664">
        <f>B4/$B$8</f>
        <v>0.41964077202147226</v>
      </c>
      <c r="D4" s="75"/>
      <c r="E4" s="75"/>
      <c r="F4" s="75"/>
      <c r="G4" s="75"/>
    </row>
    <row r="5" spans="1:26" ht="15" customHeight="1" outlineLevel="1">
      <c r="A5" s="228" t="s">
        <v>66</v>
      </c>
      <c r="B5" s="247">
        <f>SUM($B$87,$C$75:$C$77,B93)</f>
        <v>3456616.461245128</v>
      </c>
      <c r="C5" s="664">
        <f t="shared" ref="C5:C7" si="0">B5/$B$8</f>
        <v>0.30058309976454217</v>
      </c>
      <c r="D5" s="75"/>
      <c r="E5" s="75"/>
      <c r="F5" s="75"/>
      <c r="G5" s="75"/>
    </row>
    <row r="6" spans="1:26" ht="15" customHeight="1" outlineLevel="1">
      <c r="A6" s="228" t="s">
        <v>67</v>
      </c>
      <c r="B6" s="247">
        <f>SUM($B$97:$B$97,$B$106,$B$108)</f>
        <v>814001.79890442197</v>
      </c>
      <c r="C6" s="664">
        <f t="shared" si="0"/>
        <v>7.0784591426862789E-2</v>
      </c>
      <c r="D6" s="75"/>
      <c r="E6" s="75"/>
      <c r="F6" s="75"/>
      <c r="G6" s="75"/>
    </row>
    <row r="7" spans="1:26" ht="15" customHeight="1" outlineLevel="1">
      <c r="A7" s="257" t="s">
        <v>1202</v>
      </c>
      <c r="B7" s="248">
        <f>SUM($B$121:$B$123)</f>
        <v>2403340.6631482961</v>
      </c>
      <c r="C7" s="664">
        <f t="shared" si="0"/>
        <v>0.20899153678712276</v>
      </c>
      <c r="D7" s="75"/>
      <c r="E7" s="75"/>
      <c r="F7" s="75"/>
      <c r="G7" s="75"/>
    </row>
    <row r="8" spans="1:26" ht="15" customHeight="1" outlineLevel="1">
      <c r="A8" s="249" t="s">
        <v>1345</v>
      </c>
      <c r="B8" s="895">
        <f>SUM(B4:B7)</f>
        <v>11499703.289881643</v>
      </c>
      <c r="C8" s="896">
        <f>SUM(C4:C7)</f>
        <v>1</v>
      </c>
      <c r="D8" s="75"/>
      <c r="E8" s="75"/>
      <c r="F8" s="75"/>
      <c r="G8" s="75"/>
    </row>
    <row r="9" spans="1:26" ht="15" customHeight="1" outlineLevel="1">
      <c r="A9" s="252" t="s">
        <v>430</v>
      </c>
      <c r="B9" s="253">
        <f>$B$130</f>
        <v>-878225.31381934579</v>
      </c>
      <c r="C9" s="254" t="s">
        <v>63</v>
      </c>
      <c r="D9" s="75"/>
      <c r="E9" s="75"/>
      <c r="F9" s="75"/>
      <c r="G9" s="75"/>
    </row>
    <row r="10" spans="1:26" ht="20.25">
      <c r="A10" s="1106" t="s">
        <v>1344</v>
      </c>
      <c r="B10" s="1107"/>
      <c r="C10" s="1107"/>
      <c r="D10" s="1107"/>
      <c r="E10" s="1107"/>
      <c r="F10" s="1108"/>
    </row>
    <row r="11" spans="1:26" ht="27" customHeight="1" outlineLevel="1">
      <c r="A11" s="601" t="s">
        <v>60</v>
      </c>
      <c r="B11" s="601" t="s">
        <v>1100</v>
      </c>
      <c r="C11" s="600" t="s">
        <v>1203</v>
      </c>
      <c r="D11" s="75"/>
      <c r="E11" s="75"/>
      <c r="F11" s="75"/>
      <c r="G11" s="75"/>
    </row>
    <row r="12" spans="1:26" ht="15" customHeight="1" outlineLevel="1">
      <c r="A12" s="665" t="s">
        <v>64</v>
      </c>
      <c r="B12" s="660">
        <f xml:space="preserve"> SUM(C69:C74,C80:C81,B86,B90,B98,B107,B94,B101,B111,B112)</f>
        <v>4802494.037425464</v>
      </c>
      <c r="C12" s="666">
        <f>B12/$B$16</f>
        <v>0.56976871840307552</v>
      </c>
      <c r="D12" s="75"/>
      <c r="E12" s="75"/>
      <c r="F12" s="75"/>
      <c r="G12" s="75"/>
    </row>
    <row r="13" spans="1:26" ht="15" customHeight="1" outlineLevel="1">
      <c r="A13" s="255" t="s">
        <v>66</v>
      </c>
      <c r="B13" s="247">
        <f>SUM(C75:C77,B87,B93)</f>
        <v>3456616.461245128</v>
      </c>
      <c r="C13" s="256">
        <f>B13/$B$16</f>
        <v>0.4100935713374485</v>
      </c>
      <c r="D13" s="75"/>
      <c r="E13" s="75"/>
      <c r="F13" s="75"/>
      <c r="G13" s="75"/>
    </row>
    <row r="14" spans="1:26" ht="15" customHeight="1" outlineLevel="1">
      <c r="A14" s="255" t="s">
        <v>67</v>
      </c>
      <c r="B14" s="247">
        <f>SUM(B106,B108)</f>
        <v>169737.70290442201</v>
      </c>
      <c r="C14" s="256">
        <f>B14/$B$16</f>
        <v>2.0137710259475881E-2</v>
      </c>
      <c r="D14" s="75"/>
      <c r="E14" s="75"/>
      <c r="F14" s="75"/>
      <c r="G14" s="75"/>
    </row>
    <row r="15" spans="1:26" ht="15" customHeight="1" outlineLevel="1">
      <c r="A15" s="257" t="s">
        <v>1202</v>
      </c>
      <c r="B15" s="248">
        <f>SUM($B$121:$B$123)</f>
        <v>2403340.6631482961</v>
      </c>
      <c r="C15" s="258" t="s">
        <v>63</v>
      </c>
      <c r="D15" s="75"/>
      <c r="E15" s="75"/>
      <c r="F15" s="75"/>
      <c r="G15" s="75"/>
    </row>
    <row r="16" spans="1:26" ht="15" customHeight="1" outlineLevel="1">
      <c r="A16" s="249" t="s">
        <v>621</v>
      </c>
      <c r="B16" s="250">
        <f>SUM($B$12:$B$14)</f>
        <v>8428848.2015750147</v>
      </c>
      <c r="C16" s="251">
        <f>SUM(C12:C14)</f>
        <v>0.99999999999999989</v>
      </c>
      <c r="D16" s="75"/>
      <c r="E16" s="75"/>
      <c r="F16" s="75"/>
      <c r="G16" s="75"/>
    </row>
    <row r="17" spans="1:15" ht="15" customHeight="1" outlineLevel="1">
      <c r="A17" s="249" t="s">
        <v>622</v>
      </c>
      <c r="B17" s="250">
        <f>$B$16+$B$15</f>
        <v>10832188.86472331</v>
      </c>
      <c r="C17" s="251" t="s">
        <v>63</v>
      </c>
      <c r="D17" s="75"/>
      <c r="E17" s="201"/>
      <c r="F17" s="75"/>
      <c r="G17" s="75"/>
    </row>
    <row r="18" spans="1:15" ht="15" customHeight="1" outlineLevel="1">
      <c r="A18" s="259" t="s">
        <v>430</v>
      </c>
      <c r="B18" s="260">
        <f>$B$130</f>
        <v>-878225.31381934579</v>
      </c>
      <c r="C18" s="261" t="s">
        <v>63</v>
      </c>
      <c r="D18" s="75"/>
      <c r="E18" s="75"/>
      <c r="F18" s="903"/>
      <c r="G18" s="75"/>
    </row>
    <row r="19" spans="1:15" ht="30" customHeight="1" outlineLevel="1">
      <c r="A19" s="1113" t="s">
        <v>1342</v>
      </c>
      <c r="B19" s="1113"/>
      <c r="C19" s="1113"/>
      <c r="D19" s="75"/>
      <c r="E19" s="75"/>
      <c r="F19" s="75"/>
      <c r="G19" s="75"/>
    </row>
    <row r="20" spans="1:15" ht="20.25">
      <c r="A20" s="1106" t="s">
        <v>156</v>
      </c>
      <c r="B20" s="1107"/>
      <c r="C20" s="1107"/>
      <c r="D20" s="1107"/>
      <c r="E20" s="1107"/>
      <c r="F20" s="1108"/>
    </row>
    <row r="21" spans="1:15" ht="28.9" customHeight="1" outlineLevel="1">
      <c r="A21" s="601" t="s">
        <v>74</v>
      </c>
      <c r="B21" s="601" t="s">
        <v>1100</v>
      </c>
      <c r="C21" s="600" t="s">
        <v>59</v>
      </c>
      <c r="D21" s="75"/>
    </row>
    <row r="22" spans="1:15" ht="15" customHeight="1" outlineLevel="1">
      <c r="A22" s="667" t="s">
        <v>1201</v>
      </c>
      <c r="B22" s="668">
        <f>C83</f>
        <v>5439797.1986313146</v>
      </c>
      <c r="C22" s="669">
        <f>B22/$B$28</f>
        <v>0.47303804815709311</v>
      </c>
      <c r="D22" s="75"/>
    </row>
    <row r="23" spans="1:15" ht="15" customHeight="1" outlineLevel="1">
      <c r="A23" s="262" t="s">
        <v>68</v>
      </c>
      <c r="B23" s="263">
        <f>B103</f>
        <v>3457799.1960392767</v>
      </c>
      <c r="C23" s="264">
        <f>B23/$B$28</f>
        <v>0.30068594892197997</v>
      </c>
      <c r="D23" s="76"/>
      <c r="H23" s="75"/>
      <c r="I23" s="75"/>
      <c r="J23" s="49"/>
    </row>
    <row r="24" spans="1:15" ht="15" customHeight="1" outlineLevel="1">
      <c r="A24" s="265" t="s">
        <v>91</v>
      </c>
      <c r="B24" s="263">
        <f>B106+B108+B107</f>
        <v>169849.90290442202</v>
      </c>
      <c r="C24" s="264">
        <f>B24/$B$28</f>
        <v>1.4769937851689577E-2</v>
      </c>
      <c r="D24" s="75"/>
      <c r="H24" s="75"/>
      <c r="I24" s="75"/>
      <c r="J24" s="49"/>
    </row>
    <row r="25" spans="1:15" ht="15" customHeight="1" outlineLevel="1">
      <c r="A25" s="738" t="s">
        <v>70</v>
      </c>
      <c r="B25" s="739">
        <f>B113</f>
        <v>5666</v>
      </c>
      <c r="C25" s="740">
        <f t="shared" ref="C25:C26" si="1">B25/$B$28</f>
        <v>4.9270836448322964E-4</v>
      </c>
      <c r="D25" s="75"/>
      <c r="H25" s="75"/>
      <c r="I25" s="75"/>
      <c r="J25" s="49"/>
      <c r="L25" s="77"/>
      <c r="M25" s="78"/>
      <c r="N25" s="79"/>
    </row>
    <row r="26" spans="1:15" ht="15" customHeight="1" outlineLevel="1">
      <c r="A26" s="693" t="s">
        <v>1228</v>
      </c>
      <c r="B26" s="263">
        <f>B118</f>
        <v>23250.329158333334</v>
      </c>
      <c r="C26" s="740">
        <f t="shared" si="1"/>
        <v>2.0218199176313383E-3</v>
      </c>
      <c r="D26" s="75"/>
      <c r="H26" s="75"/>
      <c r="I26" s="75"/>
      <c r="J26" s="49"/>
      <c r="L26" s="77"/>
      <c r="M26" s="78"/>
      <c r="N26" s="79"/>
    </row>
    <row r="27" spans="1:15" ht="15" customHeight="1" outlineLevel="1">
      <c r="A27" s="266" t="s">
        <v>557</v>
      </c>
      <c r="B27" s="263">
        <f>B124</f>
        <v>2403340.6631482961</v>
      </c>
      <c r="C27" s="264">
        <f>B27/$B$28</f>
        <v>0.20899153678712276</v>
      </c>
      <c r="D27" s="75"/>
      <c r="H27" s="75"/>
      <c r="I27" s="75"/>
      <c r="J27" s="49"/>
      <c r="L27" s="77"/>
      <c r="M27" s="78"/>
      <c r="N27" s="79"/>
    </row>
    <row r="28" spans="1:15" ht="15" customHeight="1" outlineLevel="1">
      <c r="A28" s="267" t="s">
        <v>157</v>
      </c>
      <c r="B28" s="268">
        <f>SUM(B22:B27)</f>
        <v>11499703.289881643</v>
      </c>
      <c r="C28" s="269">
        <f>SUM(C22:C27)</f>
        <v>0.99999999999999989</v>
      </c>
      <c r="D28" s="75"/>
      <c r="H28" s="75"/>
      <c r="I28" s="75"/>
      <c r="J28" s="49"/>
      <c r="L28" s="77"/>
      <c r="M28" s="78"/>
      <c r="N28" s="79"/>
    </row>
    <row r="29" spans="1:15" ht="20.25">
      <c r="A29" s="1106" t="s">
        <v>73</v>
      </c>
      <c r="B29" s="1107"/>
      <c r="C29" s="1107"/>
      <c r="D29" s="1107"/>
      <c r="E29" s="1107"/>
      <c r="F29" s="1108"/>
      <c r="G29" s="75"/>
      <c r="H29" s="75"/>
      <c r="I29" s="49"/>
      <c r="K29" s="77"/>
      <c r="L29" s="78"/>
      <c r="M29" s="79"/>
    </row>
    <row r="30" spans="1:15" ht="18.75" outlineLevel="1">
      <c r="A30" s="601" t="s">
        <v>74</v>
      </c>
      <c r="B30" s="602" t="s">
        <v>1100</v>
      </c>
      <c r="C30" s="604" t="s">
        <v>59</v>
      </c>
      <c r="D30" s="75"/>
      <c r="E30" s="75"/>
      <c r="I30" s="75"/>
      <c r="J30" s="75"/>
      <c r="K30" s="49"/>
      <c r="M30" s="77"/>
      <c r="N30" s="78"/>
      <c r="O30" s="79"/>
    </row>
    <row r="31" spans="1:15" ht="15" customHeight="1" outlineLevel="1">
      <c r="A31" s="659" t="s">
        <v>530</v>
      </c>
      <c r="B31" s="660">
        <f>SUM(C75:C77)</f>
        <v>3420518.2063317443</v>
      </c>
      <c r="C31" s="662">
        <f t="shared" ref="C31:C47" si="2">B31/$B$48</f>
        <v>0.29744404008592024</v>
      </c>
      <c r="D31" s="75"/>
      <c r="E31" s="75"/>
      <c r="I31" s="75"/>
      <c r="J31" s="75"/>
      <c r="K31" s="49"/>
      <c r="M31" s="77"/>
      <c r="N31" s="78"/>
      <c r="O31" s="79"/>
    </row>
    <row r="32" spans="1:15" ht="15" customHeight="1" outlineLevel="1">
      <c r="A32" s="270" t="s">
        <v>623</v>
      </c>
      <c r="B32" s="246">
        <f>SUM(C69,C72,C73,C80,C81)</f>
        <v>2001028.1893668587</v>
      </c>
      <c r="C32" s="662">
        <f t="shared" si="2"/>
        <v>0.17400694078146547</v>
      </c>
      <c r="D32" s="75"/>
      <c r="E32" s="75"/>
      <c r="I32" s="75"/>
      <c r="J32" s="75"/>
      <c r="K32" s="49"/>
      <c r="M32" s="77"/>
      <c r="N32" s="78"/>
      <c r="O32" s="79"/>
    </row>
    <row r="33" spans="1:15" ht="15" customHeight="1" outlineLevel="1">
      <c r="A33" s="270" t="s">
        <v>432</v>
      </c>
      <c r="B33" s="246">
        <f>SUM(C71,C74)</f>
        <v>3656.3364721118801</v>
      </c>
      <c r="C33" s="662">
        <f t="shared" si="2"/>
        <v>3.1795050532556059E-4</v>
      </c>
      <c r="D33" s="75"/>
      <c r="E33" s="75"/>
      <c r="I33" s="75"/>
      <c r="J33" s="75"/>
      <c r="K33" s="49"/>
      <c r="M33" s="77"/>
      <c r="N33" s="78"/>
      <c r="O33" s="79"/>
    </row>
    <row r="34" spans="1:15" ht="15" customHeight="1" outlineLevel="1">
      <c r="A34" s="270" t="s">
        <v>158</v>
      </c>
      <c r="B34" s="246">
        <f>C70</f>
        <v>14594.466460600002</v>
      </c>
      <c r="C34" s="662">
        <f t="shared" si="2"/>
        <v>1.2691167843818527E-3</v>
      </c>
      <c r="D34" s="75"/>
      <c r="E34" s="75"/>
      <c r="F34" s="75"/>
      <c r="G34" s="75"/>
      <c r="H34" s="75"/>
      <c r="I34" s="75"/>
      <c r="J34" s="75"/>
      <c r="K34" s="49"/>
      <c r="M34" s="77"/>
      <c r="N34" s="78"/>
      <c r="O34" s="79"/>
    </row>
    <row r="35" spans="1:15" outlineLevel="1">
      <c r="A35" s="657" t="s">
        <v>1198</v>
      </c>
      <c r="B35" s="246">
        <f>B86+B87</f>
        <v>2670048.0664684745</v>
      </c>
      <c r="C35" s="662">
        <f t="shared" si="2"/>
        <v>0.23218408329002679</v>
      </c>
      <c r="D35" s="75"/>
      <c r="E35" s="75"/>
      <c r="F35" s="75"/>
      <c r="G35" s="75"/>
      <c r="H35" s="75"/>
      <c r="I35" s="75"/>
      <c r="J35" s="75"/>
      <c r="K35" s="49"/>
      <c r="M35" s="77"/>
      <c r="N35" s="78"/>
      <c r="O35" s="79"/>
    </row>
    <row r="36" spans="1:15" outlineLevel="1">
      <c r="A36" s="656" t="s">
        <v>24</v>
      </c>
      <c r="B36" s="246">
        <f>B91</f>
        <v>36266.545636515635</v>
      </c>
      <c r="C36" s="662">
        <f t="shared" si="2"/>
        <v>3.153694032125667E-3</v>
      </c>
      <c r="D36" s="75"/>
      <c r="E36" s="75"/>
      <c r="F36" s="75"/>
      <c r="G36" s="75"/>
      <c r="H36" s="75"/>
      <c r="I36" s="75"/>
      <c r="J36" s="75"/>
      <c r="K36" s="49"/>
      <c r="M36" s="77"/>
      <c r="N36" s="78"/>
      <c r="O36" s="79"/>
    </row>
    <row r="37" spans="1:15" outlineLevel="1">
      <c r="A37" s="656" t="s">
        <v>1199</v>
      </c>
      <c r="B37" s="246">
        <f>B95</f>
        <v>74171.870633112587</v>
      </c>
      <c r="C37" s="662">
        <f t="shared" si="2"/>
        <v>6.4498942940879982E-3</v>
      </c>
      <c r="D37" s="75"/>
      <c r="E37" s="75"/>
      <c r="F37" s="75"/>
      <c r="G37" s="75"/>
      <c r="H37" s="75"/>
      <c r="I37" s="75"/>
      <c r="J37" s="75"/>
      <c r="K37" s="49"/>
      <c r="M37" s="77"/>
      <c r="N37" s="78"/>
      <c r="O37" s="79"/>
    </row>
    <row r="38" spans="1:15" ht="15" customHeight="1" outlineLevel="1">
      <c r="A38" s="270" t="s">
        <v>576</v>
      </c>
      <c r="B38" s="246">
        <f>B97</f>
        <v>644264.09600000002</v>
      </c>
      <c r="C38" s="662">
        <f t="shared" si="2"/>
        <v>5.6024410348645692E-2</v>
      </c>
      <c r="D38" s="75"/>
      <c r="E38" s="75"/>
      <c r="F38" s="75"/>
      <c r="G38" s="75"/>
      <c r="H38" s="75"/>
      <c r="I38" s="75"/>
      <c r="J38" s="75"/>
      <c r="K38" s="49"/>
      <c r="M38" s="77"/>
      <c r="N38" s="78"/>
      <c r="O38" s="79"/>
    </row>
    <row r="39" spans="1:15" ht="15" customHeight="1" outlineLevel="1">
      <c r="A39" s="271" t="s">
        <v>577</v>
      </c>
      <c r="B39" s="246">
        <f>B98</f>
        <v>82.521669299579969</v>
      </c>
      <c r="C39" s="662">
        <f t="shared" si="2"/>
        <v>7.1759824770600058E-6</v>
      </c>
      <c r="D39" s="75"/>
      <c r="E39" s="75"/>
      <c r="F39" s="75"/>
      <c r="G39" s="75"/>
      <c r="H39" s="75"/>
      <c r="I39" s="75"/>
      <c r="J39" s="75"/>
      <c r="K39" s="49"/>
      <c r="M39" s="77"/>
      <c r="N39" s="78"/>
      <c r="O39" s="79"/>
    </row>
    <row r="40" spans="1:15" ht="15" customHeight="1" outlineLevel="1">
      <c r="A40" s="462" t="s">
        <v>953</v>
      </c>
      <c r="B40" s="246">
        <f>B102</f>
        <v>32966.095631874356</v>
      </c>
      <c r="C40" s="662">
        <f t="shared" si="2"/>
        <v>2.8666909746167587E-3</v>
      </c>
      <c r="D40" s="75"/>
      <c r="E40" s="75"/>
      <c r="F40" s="75"/>
      <c r="G40" s="75"/>
      <c r="H40" s="75"/>
      <c r="I40" s="75"/>
      <c r="J40" s="75"/>
      <c r="K40" s="49"/>
      <c r="M40" s="77"/>
      <c r="N40" s="78"/>
      <c r="O40" s="79"/>
    </row>
    <row r="41" spans="1:15" ht="15" customHeight="1" outlineLevel="1">
      <c r="A41" s="658" t="s">
        <v>1200</v>
      </c>
      <c r="B41" s="246">
        <f>B106</f>
        <v>167488.42052842202</v>
      </c>
      <c r="C41" s="662">
        <f t="shared" si="2"/>
        <v>1.456458625987261E-2</v>
      </c>
      <c r="D41" s="75"/>
      <c r="E41" s="75"/>
      <c r="F41" s="75"/>
      <c r="G41" s="75"/>
      <c r="H41" s="75"/>
      <c r="I41" s="75"/>
      <c r="J41" s="75"/>
      <c r="K41" s="49"/>
      <c r="M41" s="77"/>
      <c r="N41" s="78"/>
      <c r="O41" s="79"/>
    </row>
    <row r="42" spans="1:15" ht="15" customHeight="1" outlineLevel="1">
      <c r="A42" s="658" t="s">
        <v>397</v>
      </c>
      <c r="B42" s="246">
        <f>B107+B108</f>
        <v>2361.4823759999999</v>
      </c>
      <c r="C42" s="662">
        <f t="shared" si="2"/>
        <v>2.0535159181696633E-4</v>
      </c>
      <c r="D42" s="75"/>
      <c r="E42" s="75"/>
      <c r="F42" s="75"/>
      <c r="G42" s="75"/>
      <c r="H42" s="75"/>
      <c r="I42" s="75"/>
      <c r="J42" s="75"/>
      <c r="K42" s="49"/>
      <c r="M42" s="77"/>
      <c r="N42" s="78"/>
      <c r="O42" s="79"/>
    </row>
    <row r="43" spans="1:15" outlineLevel="1">
      <c r="A43" s="736" t="s">
        <v>92</v>
      </c>
      <c r="B43" s="737">
        <f>B113</f>
        <v>5666</v>
      </c>
      <c r="C43" s="662">
        <f t="shared" si="2"/>
        <v>4.9270836448322964E-4</v>
      </c>
      <c r="D43" s="1114"/>
      <c r="E43" s="1115"/>
      <c r="F43" s="1115"/>
      <c r="G43" s="75"/>
      <c r="H43" s="75"/>
      <c r="I43" s="75"/>
      <c r="J43" s="75"/>
      <c r="K43" s="49"/>
      <c r="M43" s="77"/>
      <c r="N43" s="78"/>
      <c r="O43" s="79"/>
    </row>
    <row r="44" spans="1:15" outlineLevel="1">
      <c r="A44" s="688" t="s">
        <v>465</v>
      </c>
      <c r="B44" s="689">
        <f>B118</f>
        <v>23250.329158333334</v>
      </c>
      <c r="C44" s="662">
        <f t="shared" si="2"/>
        <v>2.0218199176313383E-3</v>
      </c>
      <c r="D44" s="687"/>
      <c r="E44" s="675"/>
      <c r="F44" s="675"/>
      <c r="G44" s="75"/>
      <c r="H44" s="75"/>
      <c r="I44" s="75"/>
      <c r="J44" s="75"/>
      <c r="K44" s="49"/>
      <c r="M44" s="77"/>
      <c r="N44" s="78"/>
      <c r="O44" s="79"/>
    </row>
    <row r="45" spans="1:15" ht="15" customHeight="1" outlineLevel="1">
      <c r="A45" s="272" t="s">
        <v>608</v>
      </c>
      <c r="B45" s="273">
        <f>B121</f>
        <v>1425725.4103752396</v>
      </c>
      <c r="C45" s="662">
        <f t="shared" si="2"/>
        <v>0.12397932141690182</v>
      </c>
      <c r="D45" s="75"/>
      <c r="E45" s="75"/>
      <c r="F45" s="75"/>
      <c r="G45" s="75"/>
      <c r="H45" s="75"/>
      <c r="I45" s="75"/>
      <c r="J45" s="75"/>
      <c r="K45" s="49"/>
      <c r="M45" s="77"/>
      <c r="N45" s="78"/>
      <c r="O45" s="79"/>
    </row>
    <row r="46" spans="1:15" ht="15" customHeight="1" outlineLevel="1">
      <c r="A46" s="272" t="s">
        <v>559</v>
      </c>
      <c r="B46" s="273">
        <f>B122</f>
        <v>958724.90635305655</v>
      </c>
      <c r="C46" s="662">
        <f t="shared" si="2"/>
        <v>8.3369534168470177E-2</v>
      </c>
      <c r="D46" s="75"/>
      <c r="E46" s="75"/>
      <c r="F46" s="75"/>
      <c r="G46" s="75"/>
      <c r="H46" s="75"/>
      <c r="I46" s="75"/>
      <c r="J46" s="75"/>
      <c r="K46" s="49"/>
      <c r="M46" s="77"/>
      <c r="N46" s="78"/>
      <c r="O46" s="79"/>
    </row>
    <row r="47" spans="1:15" ht="15" customHeight="1" outlineLevel="1">
      <c r="A47" s="272" t="s">
        <v>583</v>
      </c>
      <c r="B47" s="273">
        <f>B123</f>
        <v>18890.346420000002</v>
      </c>
      <c r="C47" s="662">
        <f t="shared" si="2"/>
        <v>1.642681201750765E-3</v>
      </c>
      <c r="D47" s="75"/>
      <c r="E47" s="75"/>
      <c r="F47" s="75"/>
      <c r="G47" s="75"/>
      <c r="H47" s="75"/>
      <c r="I47" s="75"/>
      <c r="J47" s="75"/>
      <c r="K47" s="49"/>
      <c r="M47" s="77"/>
      <c r="N47" s="78"/>
      <c r="O47" s="79"/>
    </row>
    <row r="48" spans="1:15" ht="15" customHeight="1" outlineLevel="1">
      <c r="A48" s="274" t="s">
        <v>157</v>
      </c>
      <c r="B48" s="275">
        <f>SUM(B31:B47)</f>
        <v>11499703.289881643</v>
      </c>
      <c r="C48" s="276">
        <f>SUM(C31:C47)</f>
        <v>0.99999999999999989</v>
      </c>
      <c r="D48" s="75"/>
      <c r="E48" s="75"/>
      <c r="F48" s="75"/>
      <c r="G48" s="75"/>
      <c r="H48" s="75"/>
      <c r="I48" s="75"/>
      <c r="J48" s="75"/>
      <c r="K48" s="49"/>
      <c r="M48" s="77"/>
      <c r="N48" s="78"/>
      <c r="O48" s="79"/>
    </row>
    <row r="49" spans="1:15" ht="20.25">
      <c r="A49" s="1106" t="s">
        <v>1348</v>
      </c>
      <c r="B49" s="1107"/>
      <c r="C49" s="1107"/>
      <c r="D49" s="1107"/>
      <c r="E49" s="1107"/>
      <c r="F49" s="1108"/>
    </row>
    <row r="50" spans="1:15" ht="28.9" hidden="1" customHeight="1" outlineLevel="1">
      <c r="A50" s="908" t="s">
        <v>74</v>
      </c>
      <c r="B50" s="908" t="s">
        <v>1100</v>
      </c>
      <c r="C50" s="909" t="s">
        <v>59</v>
      </c>
      <c r="D50" s="75"/>
    </row>
    <row r="51" spans="1:15" ht="15" hidden="1" customHeight="1" outlineLevel="1">
      <c r="A51" s="667" t="s">
        <v>1201</v>
      </c>
      <c r="B51" s="668">
        <f>C78</f>
        <v>5350440.6138168564</v>
      </c>
      <c r="C51" s="669">
        <f>B51/$B$54</f>
        <v>0.64792524521663009</v>
      </c>
      <c r="D51" s="75"/>
    </row>
    <row r="52" spans="1:15" ht="15" hidden="1" customHeight="1" outlineLevel="1">
      <c r="A52" s="262" t="s">
        <v>68</v>
      </c>
      <c r="B52" s="263">
        <f>B88+B90+B93</f>
        <v>2737514.9219724517</v>
      </c>
      <c r="C52" s="669">
        <f t="shared" ref="C52:C53" si="3">B52/$B$54</f>
        <v>0.33150634781793653</v>
      </c>
      <c r="D52" s="76"/>
      <c r="H52" s="75"/>
      <c r="I52" s="75"/>
      <c r="J52" s="49"/>
    </row>
    <row r="53" spans="1:15" ht="15" hidden="1" customHeight="1" outlineLevel="1">
      <c r="A53" s="265" t="s">
        <v>91</v>
      </c>
      <c r="B53" s="263">
        <f>B109</f>
        <v>169849.90290442202</v>
      </c>
      <c r="C53" s="669">
        <f t="shared" si="3"/>
        <v>2.0568406965433411E-2</v>
      </c>
      <c r="D53" s="75"/>
      <c r="H53" s="75"/>
      <c r="I53" s="75"/>
      <c r="J53" s="49"/>
    </row>
    <row r="54" spans="1:15" ht="15" hidden="1" customHeight="1" outlineLevel="1">
      <c r="A54" s="267" t="s">
        <v>157</v>
      </c>
      <c r="B54" s="268">
        <f>SUM(B51:B53)</f>
        <v>8257805.4386937302</v>
      </c>
      <c r="C54" s="269">
        <f>SUM(C51:C53)</f>
        <v>1</v>
      </c>
      <c r="D54" s="75"/>
      <c r="H54" s="75"/>
      <c r="I54" s="75"/>
      <c r="J54" s="49"/>
      <c r="L54" s="77"/>
      <c r="M54" s="78"/>
      <c r="N54" s="79"/>
    </row>
    <row r="55" spans="1:15" ht="20.25" collapsed="1">
      <c r="A55" s="1106" t="s">
        <v>1349</v>
      </c>
      <c r="B55" s="1107"/>
      <c r="C55" s="1107"/>
      <c r="D55" s="1107"/>
      <c r="E55" s="1107"/>
      <c r="F55" s="1108"/>
      <c r="G55" s="75"/>
      <c r="H55" s="75"/>
      <c r="I55" s="49"/>
      <c r="K55" s="77"/>
      <c r="L55" s="78"/>
      <c r="M55" s="79"/>
    </row>
    <row r="56" spans="1:15" ht="18.75" hidden="1" outlineLevel="1">
      <c r="A56" s="908" t="s">
        <v>74</v>
      </c>
      <c r="B56" s="906" t="s">
        <v>1100</v>
      </c>
      <c r="C56" s="907" t="s">
        <v>59</v>
      </c>
      <c r="D56" s="75"/>
      <c r="E56" s="75"/>
      <c r="I56" s="75"/>
      <c r="J56" s="75"/>
      <c r="K56" s="49"/>
      <c r="M56" s="77"/>
      <c r="N56" s="78"/>
      <c r="O56" s="79"/>
    </row>
    <row r="57" spans="1:15" ht="15" hidden="1" customHeight="1" outlineLevel="1">
      <c r="A57" s="659" t="s">
        <v>530</v>
      </c>
      <c r="B57" s="660">
        <f>C75+C76+C77</f>
        <v>3420518.2063317443</v>
      </c>
      <c r="C57" s="661">
        <f>B57/$B$65</f>
        <v>0.41421637161662445</v>
      </c>
      <c r="D57" s="75"/>
      <c r="E57" s="75"/>
      <c r="I57" s="75"/>
      <c r="J57" s="75"/>
      <c r="K57" s="49"/>
      <c r="M57" s="77"/>
      <c r="N57" s="78"/>
      <c r="O57" s="79"/>
    </row>
    <row r="58" spans="1:15" ht="15" hidden="1" customHeight="1" outlineLevel="1">
      <c r="A58" s="270" t="s">
        <v>623</v>
      </c>
      <c r="B58" s="246">
        <f>C69+C72+C73</f>
        <v>1911671.6045524001</v>
      </c>
      <c r="C58" s="661">
        <f t="shared" ref="C58:C64" si="4">B58/$B$65</f>
        <v>0.23149874609479781</v>
      </c>
      <c r="D58" s="75"/>
      <c r="E58" s="75"/>
      <c r="I58" s="75"/>
      <c r="J58" s="75"/>
      <c r="K58" s="49"/>
      <c r="M58" s="77"/>
      <c r="N58" s="78"/>
      <c r="O58" s="79"/>
    </row>
    <row r="59" spans="1:15" ht="15" hidden="1" customHeight="1" outlineLevel="1">
      <c r="A59" s="270" t="s">
        <v>432</v>
      </c>
      <c r="B59" s="246">
        <f>C71+C74</f>
        <v>3656.3364721118801</v>
      </c>
      <c r="C59" s="661">
        <f t="shared" si="4"/>
        <v>4.4277338564787766E-4</v>
      </c>
      <c r="D59" s="75"/>
      <c r="E59" s="75"/>
      <c r="I59" s="75"/>
      <c r="J59" s="75"/>
      <c r="K59" s="49"/>
      <c r="M59" s="77"/>
      <c r="N59" s="78"/>
      <c r="O59" s="79"/>
    </row>
    <row r="60" spans="1:15" ht="15" hidden="1" customHeight="1" outlineLevel="1">
      <c r="A60" s="270" t="s">
        <v>158</v>
      </c>
      <c r="B60" s="246">
        <f>C70</f>
        <v>14594.466460600002</v>
      </c>
      <c r="C60" s="661">
        <f t="shared" si="4"/>
        <v>1.7673541195599596E-3</v>
      </c>
      <c r="D60" s="75"/>
      <c r="E60" s="75"/>
      <c r="F60" s="75"/>
      <c r="G60" s="75"/>
      <c r="H60" s="75"/>
      <c r="I60" s="75"/>
      <c r="J60" s="75"/>
      <c r="K60" s="49"/>
      <c r="M60" s="77"/>
      <c r="N60" s="78"/>
      <c r="O60" s="79"/>
    </row>
    <row r="61" spans="1:15" hidden="1" outlineLevel="1">
      <c r="A61" s="657" t="s">
        <v>1198</v>
      </c>
      <c r="B61" s="246">
        <f>B88</f>
        <v>2670048.0664684745</v>
      </c>
      <c r="C61" s="661">
        <f t="shared" si="4"/>
        <v>0.32333627696741174</v>
      </c>
      <c r="D61" s="75"/>
      <c r="E61" s="75"/>
      <c r="F61" s="75"/>
      <c r="G61" s="75"/>
      <c r="H61" s="75"/>
      <c r="I61" s="75"/>
      <c r="J61" s="75"/>
      <c r="K61" s="49"/>
      <c r="M61" s="77"/>
      <c r="N61" s="78"/>
      <c r="O61" s="79"/>
    </row>
    <row r="62" spans="1:15" hidden="1" outlineLevel="1">
      <c r="A62" s="910" t="s">
        <v>1350</v>
      </c>
      <c r="B62" s="246">
        <f>B90+B93</f>
        <v>67466.855503977218</v>
      </c>
      <c r="C62" s="661">
        <f t="shared" si="4"/>
        <v>8.1700708505248517E-3</v>
      </c>
      <c r="D62" s="75"/>
      <c r="E62" s="75"/>
      <c r="F62" s="75"/>
      <c r="G62" s="75"/>
      <c r="H62" s="75"/>
      <c r="I62" s="75"/>
      <c r="J62" s="75"/>
      <c r="K62" s="49"/>
      <c r="M62" s="77"/>
      <c r="N62" s="78"/>
      <c r="O62" s="79"/>
    </row>
    <row r="63" spans="1:15" ht="15" hidden="1" customHeight="1" outlineLevel="1">
      <c r="A63" s="658" t="s">
        <v>1200</v>
      </c>
      <c r="B63" s="246">
        <f>B106</f>
        <v>167488.42052842202</v>
      </c>
      <c r="C63" s="661">
        <f t="shared" si="4"/>
        <v>2.0282437237334132E-2</v>
      </c>
      <c r="D63" s="75"/>
      <c r="E63" s="75"/>
      <c r="F63" s="75"/>
      <c r="G63" s="75"/>
      <c r="H63" s="75"/>
      <c r="I63" s="75"/>
      <c r="J63" s="75"/>
      <c r="K63" s="49"/>
      <c r="M63" s="77"/>
      <c r="N63" s="78"/>
      <c r="O63" s="79"/>
    </row>
    <row r="64" spans="1:15" ht="15" hidden="1" customHeight="1" outlineLevel="1">
      <c r="A64" s="658" t="s">
        <v>397</v>
      </c>
      <c r="B64" s="246">
        <f>B107+B108</f>
        <v>2361.4823759999999</v>
      </c>
      <c r="C64" s="661">
        <f t="shared" si="4"/>
        <v>2.8596972809927983E-4</v>
      </c>
      <c r="D64" s="75"/>
      <c r="E64" s="75"/>
      <c r="F64" s="75"/>
      <c r="G64" s="75"/>
      <c r="H64" s="75"/>
      <c r="I64" s="75"/>
      <c r="J64" s="75"/>
      <c r="K64" s="49"/>
      <c r="M64" s="77"/>
      <c r="N64" s="78"/>
      <c r="O64" s="79"/>
    </row>
    <row r="65" spans="1:15" ht="15" hidden="1" customHeight="1" outlineLevel="1">
      <c r="A65" s="274" t="s">
        <v>157</v>
      </c>
      <c r="B65" s="275">
        <f>SUM(B57:B64)</f>
        <v>8257805.4386937292</v>
      </c>
      <c r="C65" s="276">
        <f>SUM(C57:C64)</f>
        <v>1.0000000000000002</v>
      </c>
      <c r="D65" s="75"/>
      <c r="E65" s="75"/>
      <c r="F65" s="75"/>
      <c r="G65" s="75"/>
      <c r="H65" s="75"/>
      <c r="I65" s="75"/>
      <c r="J65" s="75"/>
      <c r="K65" s="49"/>
      <c r="M65" s="77"/>
      <c r="N65" s="78"/>
      <c r="O65" s="79"/>
    </row>
    <row r="66" spans="1:15" ht="20.25" collapsed="1">
      <c r="A66" s="1106" t="s">
        <v>510</v>
      </c>
      <c r="B66" s="1107"/>
      <c r="C66" s="1107"/>
      <c r="D66" s="1107"/>
      <c r="E66" s="1107"/>
      <c r="F66" s="1108"/>
      <c r="G66" s="75"/>
      <c r="K66" s="77"/>
      <c r="L66" s="80"/>
      <c r="M66" s="79"/>
    </row>
    <row r="67" spans="1:15" ht="15.75" outlineLevel="1">
      <c r="A67" s="594" t="s">
        <v>52</v>
      </c>
      <c r="B67" s="595"/>
      <c r="C67" s="595"/>
      <c r="D67" s="595"/>
      <c r="E67" s="595"/>
      <c r="F67" s="596"/>
      <c r="G67" s="245"/>
      <c r="H67" s="245"/>
      <c r="I67" s="5"/>
      <c r="J67" s="5"/>
      <c r="K67" s="5"/>
      <c r="L67" s="5"/>
      <c r="M67" s="5"/>
      <c r="N67" s="5"/>
      <c r="O67" s="5"/>
    </row>
    <row r="68" spans="1:15" ht="33" outlineLevel="2">
      <c r="A68" s="211" t="s">
        <v>504</v>
      </c>
      <c r="B68" s="211" t="s">
        <v>160</v>
      </c>
      <c r="C68" s="211" t="s">
        <v>1101</v>
      </c>
      <c r="D68" s="211" t="s">
        <v>60</v>
      </c>
      <c r="E68" s="211" t="s">
        <v>56</v>
      </c>
      <c r="F68" s="211" t="s">
        <v>161</v>
      </c>
      <c r="G68" s="162"/>
      <c r="H68" s="244"/>
    </row>
    <row r="69" spans="1:15" outlineLevel="2">
      <c r="A69" s="1109" t="s">
        <v>508</v>
      </c>
      <c r="B69" s="277" t="s">
        <v>62</v>
      </c>
      <c r="C69" s="278">
        <f>'Stationary Energy Data'!$F$50+'Stationary Energy Data'!F51</f>
        <v>887752.63056615007</v>
      </c>
      <c r="D69" s="279">
        <v>1</v>
      </c>
      <c r="E69" s="278">
        <f>'Stationary Energy Data'!$B$50+'Stationary Energy Data'!B51</f>
        <v>166913151</v>
      </c>
      <c r="F69" s="280" t="s">
        <v>163</v>
      </c>
      <c r="G69" s="162"/>
      <c r="H69" s="244"/>
    </row>
    <row r="70" spans="1:15" ht="15" customHeight="1" outlineLevel="2">
      <c r="A70" s="1109"/>
      <c r="B70" s="277" t="s">
        <v>62</v>
      </c>
      <c r="C70" s="278">
        <f>'Stationary Energy Data'!$F$60</f>
        <v>14594.466460600002</v>
      </c>
      <c r="D70" s="279">
        <v>1</v>
      </c>
      <c r="E70" s="278">
        <f>'Stationary Energy Data'!$B$60</f>
        <v>1419535</v>
      </c>
      <c r="F70" s="280" t="s">
        <v>506</v>
      </c>
      <c r="G70" s="162"/>
      <c r="H70" s="244"/>
      <c r="I70" s="76"/>
    </row>
    <row r="71" spans="1:15" ht="15" customHeight="1" outlineLevel="2">
      <c r="A71" s="1109"/>
      <c r="B71" s="277" t="s">
        <v>62</v>
      </c>
      <c r="C71" s="278">
        <f>'Stationary Energy Data'!$H$56</f>
        <v>3651.8419983720801</v>
      </c>
      <c r="D71" s="279">
        <v>1</v>
      </c>
      <c r="E71" s="278">
        <f>'Stationary Energy Data'!$D$56</f>
        <v>646642.66</v>
      </c>
      <c r="F71" s="280" t="s">
        <v>507</v>
      </c>
      <c r="G71" s="162"/>
      <c r="H71" s="244"/>
      <c r="I71" s="76"/>
    </row>
    <row r="72" spans="1:15" ht="15" customHeight="1" outlineLevel="2">
      <c r="A72" s="1109"/>
      <c r="B72" s="277" t="s">
        <v>164</v>
      </c>
      <c r="C72" s="278">
        <f>'Stationary Energy Data'!$F$52</f>
        <v>763698.36901130015</v>
      </c>
      <c r="D72" s="279">
        <v>1</v>
      </c>
      <c r="E72" s="278">
        <f>'Stationary Energy Data'!$B$52</f>
        <v>143588762</v>
      </c>
      <c r="F72" s="280" t="s">
        <v>163</v>
      </c>
      <c r="G72" s="162"/>
      <c r="H72" s="244"/>
    </row>
    <row r="73" spans="1:15" ht="15" customHeight="1" outlineLevel="2">
      <c r="A73" s="1110"/>
      <c r="B73" s="889" t="s">
        <v>1340</v>
      </c>
      <c r="C73" s="890">
        <f>'Stationary Energy Data'!F53</f>
        <v>260220.60497495002</v>
      </c>
      <c r="D73" s="891">
        <v>1</v>
      </c>
      <c r="E73" s="890">
        <f>'Stationary Energy Data'!B53</f>
        <v>48926063</v>
      </c>
      <c r="F73" s="280" t="s">
        <v>163</v>
      </c>
      <c r="G73" s="162"/>
      <c r="H73" s="244"/>
    </row>
    <row r="74" spans="1:15" ht="15" customHeight="1" outlineLevel="2">
      <c r="A74" s="1109"/>
      <c r="B74" s="277" t="s">
        <v>164</v>
      </c>
      <c r="C74" s="278">
        <f>'Stationary Energy Data'!$H$57</f>
        <v>4.494473739800001</v>
      </c>
      <c r="D74" s="279">
        <v>1</v>
      </c>
      <c r="E74" s="278">
        <f>'Stationary Energy Data'!$D$57</f>
        <v>795.85</v>
      </c>
      <c r="F74" s="280" t="s">
        <v>507</v>
      </c>
      <c r="G74" s="162"/>
      <c r="H74" s="244"/>
    </row>
    <row r="75" spans="1:15" ht="15" customHeight="1" outlineLevel="2">
      <c r="A75" s="1109" t="s">
        <v>509</v>
      </c>
      <c r="B75" s="277" t="s">
        <v>62</v>
      </c>
      <c r="C75" s="278">
        <f>'Stationary Energy Data'!G44+'Stationary Energy Data'!G45</f>
        <v>2405998.7512205448</v>
      </c>
      <c r="D75" s="279">
        <v>2</v>
      </c>
      <c r="E75" s="278">
        <f>'Stationary Energy Data'!$C$44+'Stationary Energy Data'!C45</f>
        <v>4647245114.5352497</v>
      </c>
      <c r="F75" s="280" t="s">
        <v>43</v>
      </c>
      <c r="G75" s="162"/>
      <c r="H75" s="244"/>
    </row>
    <row r="76" spans="1:15" ht="15" customHeight="1" outlineLevel="2">
      <c r="A76" s="1110"/>
      <c r="B76" s="889" t="s">
        <v>1340</v>
      </c>
      <c r="C76" s="890">
        <f>'Stationary Energy Data'!G47</f>
        <v>535380.81321295991</v>
      </c>
      <c r="D76" s="279">
        <v>2</v>
      </c>
      <c r="E76" s="890">
        <f>'Stationary Energy Data'!C47</f>
        <v>1034101064</v>
      </c>
      <c r="F76" s="280" t="s">
        <v>43</v>
      </c>
      <c r="G76" s="162"/>
      <c r="H76" s="244"/>
    </row>
    <row r="77" spans="1:15" outlineLevel="2">
      <c r="A77" s="1109"/>
      <c r="B77" s="277" t="s">
        <v>164</v>
      </c>
      <c r="C77" s="278">
        <f>'Stationary Energy Data'!$G$46</f>
        <v>479138.64189823944</v>
      </c>
      <c r="D77" s="279">
        <v>2</v>
      </c>
      <c r="E77" s="278">
        <f>'Stationary Energy Data'!$C$46</f>
        <v>925467942</v>
      </c>
      <c r="F77" s="280" t="s">
        <v>43</v>
      </c>
      <c r="G77" s="162"/>
      <c r="H77" s="244"/>
    </row>
    <row r="78" spans="1:15" ht="12.75" outlineLevel="2">
      <c r="A78" s="1116" t="s">
        <v>1185</v>
      </c>
      <c r="B78" s="1116"/>
      <c r="C78" s="642">
        <f>SUM(C69:C77)</f>
        <v>5350440.6138168564</v>
      </c>
      <c r="D78" s="643"/>
      <c r="E78" s="643"/>
      <c r="F78" s="643"/>
      <c r="G78" s="162"/>
      <c r="H78" s="244"/>
    </row>
    <row r="79" spans="1:15" ht="33" outlineLevel="2">
      <c r="A79" s="211" t="s">
        <v>505</v>
      </c>
      <c r="B79" s="211" t="s">
        <v>160</v>
      </c>
      <c r="C79" s="211" t="s">
        <v>1101</v>
      </c>
      <c r="D79" s="211" t="s">
        <v>60</v>
      </c>
      <c r="E79" s="211" t="s">
        <v>56</v>
      </c>
      <c r="F79" s="211" t="s">
        <v>161</v>
      </c>
      <c r="G79" s="162"/>
      <c r="H79" s="244"/>
    </row>
    <row r="80" spans="1:15" ht="13.15" customHeight="1" outlineLevel="2">
      <c r="A80" s="1109" t="s">
        <v>165</v>
      </c>
      <c r="B80" s="277" t="s">
        <v>62</v>
      </c>
      <c r="C80" s="278">
        <f>'Fugitive Emissions Data'!F43+'Fugitive Emissions Data'!C64+'Fugitive Emissions Data'!C71</f>
        <v>55956.210190494574</v>
      </c>
      <c r="D80" s="279">
        <v>1</v>
      </c>
      <c r="E80" s="278">
        <f>'Fugitive Emissions Data'!B43</f>
        <v>166913151</v>
      </c>
      <c r="F80" s="280" t="s">
        <v>163</v>
      </c>
      <c r="G80" s="162"/>
      <c r="H80" s="244"/>
    </row>
    <row r="81" spans="1:8" ht="28.9" customHeight="1" outlineLevel="2">
      <c r="A81" s="1109"/>
      <c r="B81" s="277" t="s">
        <v>164</v>
      </c>
      <c r="C81" s="278">
        <f>'Fugitive Emissions Data'!F44</f>
        <v>33400.374623964039</v>
      </c>
      <c r="D81" s="279">
        <v>1</v>
      </c>
      <c r="E81" s="278">
        <f>'Fugitive Emissions Data'!$B$44</f>
        <v>192514825</v>
      </c>
      <c r="F81" s="280" t="s">
        <v>163</v>
      </c>
      <c r="G81" s="162"/>
      <c r="H81" s="244"/>
    </row>
    <row r="82" spans="1:8" ht="12.75" outlineLevel="2">
      <c r="A82" s="1116" t="s">
        <v>1186</v>
      </c>
      <c r="B82" s="1116"/>
      <c r="C82" s="642">
        <f>SUM(C80:C81)</f>
        <v>89356.58481445862</v>
      </c>
      <c r="D82" s="643"/>
      <c r="E82" s="643"/>
      <c r="F82" s="643"/>
      <c r="G82" s="162"/>
      <c r="H82" s="244"/>
    </row>
    <row r="83" spans="1:8" ht="15" customHeight="1" outlineLevel="2">
      <c r="A83" s="1117" t="s">
        <v>166</v>
      </c>
      <c r="B83" s="1117"/>
      <c r="C83" s="644">
        <f>C78+C82</f>
        <v>5439797.1986313146</v>
      </c>
      <c r="D83" s="645"/>
      <c r="E83" s="645"/>
      <c r="F83" s="645"/>
      <c r="G83" s="162"/>
      <c r="H83" s="244"/>
    </row>
    <row r="84" spans="1:8" ht="15" customHeight="1" outlineLevel="1">
      <c r="A84" s="520" t="s">
        <v>68</v>
      </c>
      <c r="B84" s="521"/>
      <c r="C84" s="521"/>
      <c r="D84" s="521"/>
      <c r="E84" s="521"/>
      <c r="F84" s="522"/>
      <c r="G84" s="244"/>
      <c r="H84" s="244"/>
    </row>
    <row r="85" spans="1:8" ht="55.15" customHeight="1" outlineLevel="2">
      <c r="A85" s="601" t="s">
        <v>23</v>
      </c>
      <c r="B85" s="602" t="s">
        <v>1101</v>
      </c>
      <c r="C85" s="602" t="s">
        <v>60</v>
      </c>
      <c r="D85" s="602" t="s">
        <v>56</v>
      </c>
      <c r="E85" s="604" t="s">
        <v>161</v>
      </c>
      <c r="G85" s="244"/>
      <c r="H85" s="244"/>
    </row>
    <row r="86" spans="1:8" ht="39.75" customHeight="1" outlineLevel="2">
      <c r="A86" s="652" t="s">
        <v>168</v>
      </c>
      <c r="B86" s="340">
        <f>'On-Road Data'!S54</f>
        <v>2665150.1214225525</v>
      </c>
      <c r="C86" s="321">
        <v>1</v>
      </c>
      <c r="D86" s="340">
        <f>'On-Road Data'!B66</f>
        <v>5789090900.0600004</v>
      </c>
      <c r="E86" s="321" t="s">
        <v>202</v>
      </c>
      <c r="G86" s="244"/>
      <c r="H86" s="244"/>
    </row>
    <row r="87" spans="1:8" ht="30" outlineLevel="2">
      <c r="A87" s="652" t="s">
        <v>169</v>
      </c>
      <c r="B87" s="340">
        <f>'On-Road Data'!E88</f>
        <v>4897.9450459217469</v>
      </c>
      <c r="C87" s="321">
        <v>2</v>
      </c>
      <c r="D87" s="340">
        <f>'On-Road Data'!D91</f>
        <v>9460500</v>
      </c>
      <c r="E87" s="321" t="s">
        <v>43</v>
      </c>
      <c r="G87" s="244"/>
      <c r="H87" s="244"/>
    </row>
    <row r="88" spans="1:8" ht="12.75" outlineLevel="2">
      <c r="A88" s="651" t="s">
        <v>1187</v>
      </c>
      <c r="B88" s="646">
        <f>SUM(B86:B87)</f>
        <v>2670048.0664684745</v>
      </c>
      <c r="C88" s="647"/>
      <c r="D88" s="647"/>
      <c r="E88" s="647"/>
      <c r="G88" s="244"/>
      <c r="H88" s="244"/>
    </row>
    <row r="89" spans="1:8" ht="18.75" outlineLevel="2">
      <c r="A89" s="601" t="s">
        <v>24</v>
      </c>
      <c r="B89" s="602" t="s">
        <v>1101</v>
      </c>
      <c r="C89" s="602" t="s">
        <v>60</v>
      </c>
      <c r="D89" s="602" t="s">
        <v>56</v>
      </c>
      <c r="E89" s="604" t="s">
        <v>161</v>
      </c>
      <c r="G89" s="244"/>
      <c r="H89" s="244"/>
    </row>
    <row r="90" spans="1:8" outlineLevel="2">
      <c r="A90" s="648" t="s">
        <v>1188</v>
      </c>
      <c r="B90" s="649">
        <f>'Transit Data'!$B$6</f>
        <v>36266.545636515635</v>
      </c>
      <c r="C90" s="650">
        <v>1</v>
      </c>
      <c r="D90" s="649">
        <f>'Transit Data'!A26</f>
        <v>8892589</v>
      </c>
      <c r="E90" s="650" t="s">
        <v>506</v>
      </c>
      <c r="G90" s="244"/>
      <c r="H90" s="244"/>
    </row>
    <row r="91" spans="1:8" ht="12.75" outlineLevel="2">
      <c r="A91" s="651" t="s">
        <v>1189</v>
      </c>
      <c r="B91" s="646">
        <f>SUM(B89:B90)</f>
        <v>36266.545636515635</v>
      </c>
      <c r="C91" s="647"/>
      <c r="D91" s="647"/>
      <c r="E91" s="647"/>
      <c r="G91" s="244"/>
      <c r="H91" s="244"/>
    </row>
    <row r="92" spans="1:8" ht="18.75" outlineLevel="2">
      <c r="A92" s="314" t="s">
        <v>124</v>
      </c>
      <c r="B92" s="593" t="s">
        <v>1101</v>
      </c>
      <c r="C92" s="593" t="s">
        <v>60</v>
      </c>
      <c r="D92" s="593" t="s">
        <v>56</v>
      </c>
      <c r="E92" s="598" t="s">
        <v>161</v>
      </c>
      <c r="G92" s="244"/>
      <c r="H92" s="244"/>
    </row>
    <row r="93" spans="1:8" ht="30" outlineLevel="2">
      <c r="A93" s="652" t="s">
        <v>1191</v>
      </c>
      <c r="B93" s="340">
        <f>'Railways Data'!E42</f>
        <v>31200.309867461583</v>
      </c>
      <c r="C93" s="321">
        <v>2</v>
      </c>
      <c r="D93" s="340">
        <f>'Railways Data'!B48</f>
        <v>60264157.464749999</v>
      </c>
      <c r="E93" s="321" t="s">
        <v>43</v>
      </c>
      <c r="G93" s="244"/>
      <c r="H93" s="244"/>
    </row>
    <row r="94" spans="1:8" outlineLevel="2">
      <c r="A94" s="652" t="s">
        <v>1190</v>
      </c>
      <c r="B94" s="340">
        <f>'Railways Data'!E29</f>
        <v>42971.560765650996</v>
      </c>
      <c r="C94" s="321">
        <v>1</v>
      </c>
      <c r="D94" s="340">
        <f>'Railways Data'!B37</f>
        <v>4172029</v>
      </c>
      <c r="E94" s="650" t="s">
        <v>506</v>
      </c>
      <c r="G94" s="244"/>
      <c r="H94" s="244"/>
    </row>
    <row r="95" spans="1:8" ht="12.75" outlineLevel="2">
      <c r="A95" s="653" t="s">
        <v>1187</v>
      </c>
      <c r="B95" s="642">
        <f>SUM(B93:B94)</f>
        <v>74171.870633112587</v>
      </c>
      <c r="C95" s="643"/>
      <c r="D95" s="643"/>
      <c r="E95" s="643"/>
      <c r="G95" s="244"/>
      <c r="H95" s="244"/>
    </row>
    <row r="96" spans="1:8" ht="18.75" outlineLevel="2">
      <c r="A96" s="314" t="s">
        <v>25</v>
      </c>
      <c r="B96" s="593" t="s">
        <v>1101</v>
      </c>
      <c r="C96" s="593" t="s">
        <v>60</v>
      </c>
      <c r="D96" s="593" t="s">
        <v>56</v>
      </c>
      <c r="E96" s="598" t="s">
        <v>161</v>
      </c>
      <c r="G96" s="244"/>
      <c r="H96" s="244"/>
    </row>
    <row r="97" spans="1:8" outlineLevel="2">
      <c r="A97" s="652" t="s">
        <v>1230</v>
      </c>
      <c r="B97" s="340">
        <f>'Aviation Data'!$E$33</f>
        <v>644264.09600000002</v>
      </c>
      <c r="C97" s="337">
        <v>3</v>
      </c>
      <c r="D97" s="1111" t="s">
        <v>1341</v>
      </c>
      <c r="E97" s="1112"/>
      <c r="G97" s="244"/>
      <c r="H97" s="244"/>
    </row>
    <row r="98" spans="1:8" ht="30" outlineLevel="2">
      <c r="A98" s="652" t="s">
        <v>599</v>
      </c>
      <c r="B98" s="340">
        <f>'Aviation Data'!$E$34</f>
        <v>82.521669299579969</v>
      </c>
      <c r="C98" s="337">
        <v>1</v>
      </c>
      <c r="D98" s="340">
        <f>'Aviation Data'!B48</f>
        <v>9667.3522592152203</v>
      </c>
      <c r="E98" s="321" t="s">
        <v>391</v>
      </c>
      <c r="G98" s="244"/>
      <c r="H98" s="244"/>
    </row>
    <row r="99" spans="1:8" ht="12.75" outlineLevel="2">
      <c r="A99" s="653" t="s">
        <v>1192</v>
      </c>
      <c r="B99" s="642">
        <f>SUM(B97:B98)</f>
        <v>644346.61766929959</v>
      </c>
      <c r="C99" s="643"/>
      <c r="D99" s="643"/>
      <c r="E99" s="643"/>
      <c r="G99" s="244"/>
      <c r="H99" s="244"/>
    </row>
    <row r="100" spans="1:8" ht="15" customHeight="1" outlineLevel="2">
      <c r="A100" s="314" t="s">
        <v>1195</v>
      </c>
      <c r="B100" s="593" t="s">
        <v>1101</v>
      </c>
      <c r="C100" s="593" t="s">
        <v>60</v>
      </c>
      <c r="D100" s="593" t="s">
        <v>56</v>
      </c>
      <c r="E100" s="598" t="s">
        <v>161</v>
      </c>
      <c r="G100" s="244"/>
      <c r="H100" s="244"/>
    </row>
    <row r="101" spans="1:8" ht="15" customHeight="1" outlineLevel="2">
      <c r="A101" s="652" t="s">
        <v>1196</v>
      </c>
      <c r="B101" s="340">
        <f>'Off-Road'!E27+'Off-Road'!E33</f>
        <v>32966.095631874356</v>
      </c>
      <c r="C101" s="337">
        <v>1</v>
      </c>
      <c r="D101" s="1111" t="s">
        <v>1341</v>
      </c>
      <c r="E101" s="1112"/>
      <c r="G101" s="244"/>
      <c r="H101" s="244"/>
    </row>
    <row r="102" spans="1:8" ht="15" customHeight="1" outlineLevel="2">
      <c r="A102" s="653" t="s">
        <v>1197</v>
      </c>
      <c r="B102" s="642">
        <f>SUM(B101:B101)</f>
        <v>32966.095631874356</v>
      </c>
      <c r="C102" s="643"/>
      <c r="D102" s="643"/>
      <c r="E102" s="643"/>
      <c r="G102" s="244"/>
      <c r="H102" s="244"/>
    </row>
    <row r="103" spans="1:8" ht="15" customHeight="1" outlineLevel="2">
      <c r="A103" s="655" t="s">
        <v>177</v>
      </c>
      <c r="B103" s="644">
        <f>SUM(B88,B91,B95,B99,B102)</f>
        <v>3457799.1960392767</v>
      </c>
      <c r="C103" s="645"/>
      <c r="D103" s="645"/>
      <c r="E103" s="645"/>
      <c r="G103" s="244"/>
      <c r="H103" s="244"/>
    </row>
    <row r="104" spans="1:8" ht="15" customHeight="1" outlineLevel="1">
      <c r="A104" s="520" t="s">
        <v>129</v>
      </c>
      <c r="B104" s="521"/>
      <c r="C104" s="521"/>
      <c r="D104" s="521"/>
      <c r="E104" s="521"/>
      <c r="F104" s="522"/>
      <c r="G104" s="244"/>
      <c r="H104" s="244"/>
    </row>
    <row r="105" spans="1:8" ht="18.75" outlineLevel="2">
      <c r="A105" s="601" t="s">
        <v>178</v>
      </c>
      <c r="B105" s="602" t="s">
        <v>1101</v>
      </c>
      <c r="C105" s="602" t="s">
        <v>60</v>
      </c>
      <c r="D105" s="602" t="s">
        <v>56</v>
      </c>
      <c r="E105" s="604" t="s">
        <v>161</v>
      </c>
      <c r="G105" s="244"/>
      <c r="H105" s="244"/>
    </row>
    <row r="106" spans="1:8" ht="29.65" customHeight="1" outlineLevel="2">
      <c r="A106" s="281" t="s">
        <v>412</v>
      </c>
      <c r="B106" s="278">
        <f>'Waste_Recycling Data'!$G$48+'Waste_Recycling Data'!G49</f>
        <v>167488.42052842202</v>
      </c>
      <c r="C106" s="280">
        <v>3</v>
      </c>
      <c r="D106" s="278">
        <f>'Waste_Recycling Data'!$B$48+'Waste_Recycling Data'!B49</f>
        <v>983259.71000000008</v>
      </c>
      <c r="E106" s="280" t="s">
        <v>601</v>
      </c>
      <c r="F106" s="162"/>
      <c r="G106" s="244"/>
      <c r="H106" s="244"/>
    </row>
    <row r="107" spans="1:8" outlineLevel="2">
      <c r="A107" s="281" t="s">
        <v>600</v>
      </c>
      <c r="B107" s="278">
        <f>'Waste_Recycling Data'!$G$50</f>
        <v>112.2</v>
      </c>
      <c r="C107" s="280">
        <v>1</v>
      </c>
      <c r="D107" s="278">
        <f>'Waste_Recycling Data'!$B$50</f>
        <v>1500</v>
      </c>
      <c r="E107" s="280" t="s">
        <v>602</v>
      </c>
      <c r="F107" s="162"/>
      <c r="G107" s="244"/>
      <c r="H107" s="244"/>
    </row>
    <row r="108" spans="1:8" ht="30" customHeight="1" outlineLevel="2">
      <c r="A108" s="281" t="s">
        <v>413</v>
      </c>
      <c r="B108" s="278">
        <f>'Waste_Recycling Data'!$G$51</f>
        <v>2249.2823760000001</v>
      </c>
      <c r="C108" s="280">
        <v>3</v>
      </c>
      <c r="D108" s="278">
        <f>'Waste_Recycling Data'!$B$51</f>
        <v>30070.620000000003</v>
      </c>
      <c r="E108" s="280" t="s">
        <v>602</v>
      </c>
      <c r="F108" s="162"/>
      <c r="G108" s="244"/>
      <c r="H108" s="244"/>
    </row>
    <row r="109" spans="1:8" ht="12.75" outlineLevel="2">
      <c r="A109" s="653" t="s">
        <v>1193</v>
      </c>
      <c r="B109" s="642">
        <f>SUM(B106:B108)</f>
        <v>169849.90290442202</v>
      </c>
      <c r="C109" s="643"/>
      <c r="D109" s="643"/>
      <c r="E109" s="643"/>
      <c r="F109" s="162"/>
      <c r="G109" s="244"/>
      <c r="H109" s="244"/>
    </row>
    <row r="110" spans="1:8" ht="18.75" outlineLevel="2">
      <c r="A110" s="211" t="s">
        <v>180</v>
      </c>
      <c r="B110" s="211" t="s">
        <v>1101</v>
      </c>
      <c r="C110" s="211" t="s">
        <v>60</v>
      </c>
      <c r="D110" s="211" t="s">
        <v>56</v>
      </c>
      <c r="E110" s="211" t="s">
        <v>161</v>
      </c>
      <c r="F110" s="162"/>
      <c r="G110" s="244"/>
      <c r="H110" s="244"/>
    </row>
    <row r="111" spans="1:8" ht="27.75" customHeight="1" outlineLevel="2">
      <c r="A111" s="683" t="s">
        <v>181</v>
      </c>
      <c r="B111" s="635">
        <f>'Wastewater Data'!B27+'Wastewater Data'!B29</f>
        <v>2060.1887630000001</v>
      </c>
      <c r="C111" s="733">
        <v>1</v>
      </c>
      <c r="D111" s="734">
        <f>'Wastewater Data'!B15</f>
        <v>727211</v>
      </c>
      <c r="E111" s="735" t="s">
        <v>603</v>
      </c>
      <c r="F111" s="162"/>
      <c r="G111" s="244"/>
      <c r="H111" s="244"/>
    </row>
    <row r="112" spans="1:8" ht="27.75" customHeight="1" outlineLevel="2">
      <c r="A112" s="683" t="s">
        <v>1223</v>
      </c>
      <c r="B112" s="635">
        <f>'Wastewater Data'!B28+'Wastewater Data'!B30</f>
        <v>3605.8112369999999</v>
      </c>
      <c r="C112" s="733">
        <v>1</v>
      </c>
      <c r="D112" s="734">
        <f>'Wastewater Data'!B16-'Wastewater Data'!B15</f>
        <v>1272789</v>
      </c>
      <c r="E112" s="735" t="s">
        <v>603</v>
      </c>
      <c r="F112" s="162"/>
      <c r="G112" s="244"/>
      <c r="H112" s="244"/>
    </row>
    <row r="113" spans="1:8" outlineLevel="2">
      <c r="A113" s="654" t="s">
        <v>1194</v>
      </c>
      <c r="B113" s="684">
        <f>SUM(B111:B112)</f>
        <v>5666</v>
      </c>
      <c r="C113" s="685"/>
      <c r="D113" s="685"/>
      <c r="E113" s="685"/>
      <c r="F113" s="162"/>
      <c r="G113" s="244"/>
      <c r="H113" s="244"/>
    </row>
    <row r="114" spans="1:8" ht="15" customHeight="1" outlineLevel="2">
      <c r="A114" s="655" t="s">
        <v>182</v>
      </c>
      <c r="B114" s="644">
        <f>SUM(B109,B113)</f>
        <v>175515.90290442202</v>
      </c>
      <c r="C114" s="645"/>
      <c r="D114" s="645"/>
      <c r="E114" s="645"/>
      <c r="F114" s="162"/>
      <c r="G114" s="244"/>
      <c r="H114" s="244"/>
    </row>
    <row r="115" spans="1:8" ht="16.149999999999999" customHeight="1" outlineLevel="1">
      <c r="A115" s="520" t="s">
        <v>1226</v>
      </c>
      <c r="B115" s="521"/>
      <c r="C115" s="521"/>
      <c r="D115" s="521"/>
      <c r="E115" s="521"/>
      <c r="F115" s="522"/>
      <c r="G115" s="244"/>
      <c r="H115" s="244"/>
    </row>
    <row r="116" spans="1:8" ht="16.899999999999999" customHeight="1" outlineLevel="2">
      <c r="A116" s="211" t="s">
        <v>465</v>
      </c>
      <c r="B116" s="211" t="s">
        <v>1101</v>
      </c>
      <c r="C116" s="211" t="s">
        <v>60</v>
      </c>
      <c r="D116" s="211" t="s">
        <v>56</v>
      </c>
      <c r="E116" s="211" t="s">
        <v>161</v>
      </c>
      <c r="F116" s="162"/>
      <c r="G116" s="244"/>
      <c r="H116" s="244"/>
    </row>
    <row r="117" spans="1:8" ht="30" outlineLevel="2">
      <c r="A117" s="281" t="s">
        <v>1231</v>
      </c>
      <c r="B117" s="278">
        <f>IPPU!$B$6</f>
        <v>23250.329158333334</v>
      </c>
      <c r="C117" s="280">
        <v>1</v>
      </c>
      <c r="D117" s="278">
        <f>IPPU!$B$24</f>
        <v>107309211.5</v>
      </c>
      <c r="E117" s="280" t="s">
        <v>1227</v>
      </c>
      <c r="F117" s="1"/>
      <c r="G117" s="244"/>
      <c r="H117" s="244"/>
    </row>
    <row r="118" spans="1:8" ht="15" customHeight="1" outlineLevel="2">
      <c r="A118" s="655" t="s">
        <v>1225</v>
      </c>
      <c r="B118" s="644">
        <f>SUM(B117:B117)</f>
        <v>23250.329158333334</v>
      </c>
      <c r="C118" s="644"/>
      <c r="D118" s="644"/>
      <c r="E118" s="644"/>
      <c r="F118" s="162"/>
      <c r="G118" s="244"/>
      <c r="H118" s="244"/>
    </row>
    <row r="119" spans="1:8" ht="15" customHeight="1" outlineLevel="1">
      <c r="A119" s="520" t="s">
        <v>563</v>
      </c>
      <c r="B119" s="521"/>
      <c r="C119" s="521"/>
      <c r="D119" s="521"/>
      <c r="E119" s="521"/>
      <c r="F119" s="522"/>
      <c r="G119" s="244"/>
      <c r="H119" s="244"/>
    </row>
    <row r="120" spans="1:8" ht="15" customHeight="1" outlineLevel="2">
      <c r="A120" s="892" t="s">
        <v>563</v>
      </c>
      <c r="B120" s="893" t="s">
        <v>1101</v>
      </c>
      <c r="C120" s="893" t="s">
        <v>60</v>
      </c>
      <c r="D120" s="893" t="s">
        <v>56</v>
      </c>
      <c r="E120" s="894" t="s">
        <v>161</v>
      </c>
      <c r="F120" s="244"/>
      <c r="G120" s="244"/>
      <c r="H120" s="244"/>
    </row>
    <row r="121" spans="1:8" ht="15" customHeight="1" outlineLevel="2">
      <c r="A121" s="674" t="s">
        <v>493</v>
      </c>
      <c r="B121" s="278">
        <f>'Consumption-Based Data'!$E$26</f>
        <v>1425725.4103752396</v>
      </c>
      <c r="C121" s="280">
        <v>3</v>
      </c>
      <c r="D121" s="278">
        <f>'Consumption-Based Data'!B46</f>
        <v>727211</v>
      </c>
      <c r="E121" s="280" t="s">
        <v>603</v>
      </c>
      <c r="F121" s="200" t="s">
        <v>595</v>
      </c>
      <c r="G121" s="244"/>
      <c r="H121" s="244"/>
    </row>
    <row r="122" spans="1:8" ht="15" customHeight="1" outlineLevel="2">
      <c r="A122" s="674" t="s">
        <v>559</v>
      </c>
      <c r="B122" s="278">
        <f>'Consumption-Based Data'!$E$27</f>
        <v>958724.90635305655</v>
      </c>
      <c r="C122" s="280">
        <v>3</v>
      </c>
      <c r="D122" s="278">
        <f>'Consumption-Based Data'!B42</f>
        <v>788665.71009107295</v>
      </c>
      <c r="E122" s="280" t="s">
        <v>606</v>
      </c>
      <c r="F122" s="200" t="s">
        <v>595</v>
      </c>
      <c r="G122" s="244"/>
      <c r="H122" s="244"/>
    </row>
    <row r="123" spans="1:8" ht="15" customHeight="1" outlineLevel="2">
      <c r="A123" s="674" t="s">
        <v>604</v>
      </c>
      <c r="B123" s="278">
        <f>'Consumption-Based Data'!$E$28</f>
        <v>18890.346420000002</v>
      </c>
      <c r="C123" s="280">
        <v>3</v>
      </c>
      <c r="D123" s="278">
        <f>'Consumption-Based Data'!B35</f>
        <v>28621737000</v>
      </c>
      <c r="E123" s="280" t="s">
        <v>607</v>
      </c>
      <c r="F123" s="244"/>
      <c r="G123" s="244"/>
      <c r="H123" s="244"/>
    </row>
    <row r="124" spans="1:8" ht="15" customHeight="1" outlineLevel="2">
      <c r="A124" s="655" t="s">
        <v>605</v>
      </c>
      <c r="B124" s="644">
        <f>SUM(B121:B123)</f>
        <v>2403340.6631482961</v>
      </c>
      <c r="C124" s="644"/>
      <c r="D124" s="644"/>
      <c r="E124" s="644"/>
      <c r="F124" s="244"/>
      <c r="G124" s="244"/>
      <c r="H124" s="244"/>
    </row>
    <row r="125" spans="1:8" ht="15" customHeight="1" outlineLevel="1">
      <c r="A125" s="690"/>
      <c r="B125" s="691"/>
      <c r="C125" s="692"/>
      <c r="D125" s="692"/>
      <c r="E125" s="692"/>
      <c r="F125" s="244"/>
      <c r="G125" s="244"/>
      <c r="H125" s="244"/>
    </row>
    <row r="126" spans="1:8" ht="20.25">
      <c r="A126" s="1106" t="s">
        <v>627</v>
      </c>
      <c r="B126" s="1107"/>
      <c r="C126" s="1107"/>
      <c r="D126" s="1107"/>
      <c r="E126" s="1107"/>
      <c r="F126" s="1108"/>
    </row>
    <row r="127" spans="1:8" ht="18.75" hidden="1" outlineLevel="1">
      <c r="A127" s="561"/>
      <c r="B127" s="561" t="s">
        <v>1102</v>
      </c>
      <c r="C127" s="561" t="s">
        <v>60</v>
      </c>
      <c r="D127" s="561" t="s">
        <v>56</v>
      </c>
      <c r="E127" s="1104" t="s">
        <v>161</v>
      </c>
      <c r="F127" s="1104"/>
    </row>
    <row r="128" spans="1:8" ht="27.75" hidden="1" customHeight="1" outlineLevel="1">
      <c r="A128" s="281" t="s">
        <v>183</v>
      </c>
      <c r="B128" s="278">
        <f>('Waste_Recycling Data'!$G$53)</f>
        <v>-804409.08335039997</v>
      </c>
      <c r="C128" s="280" t="s">
        <v>63</v>
      </c>
      <c r="D128" s="282">
        <f>'Waste_Recycling Data'!$B$53</f>
        <v>344748.72</v>
      </c>
      <c r="E128" s="1105" t="s">
        <v>1373</v>
      </c>
      <c r="F128" s="1105"/>
    </row>
    <row r="129" spans="1:10" ht="15" hidden="1" customHeight="1" outlineLevel="1">
      <c r="A129" s="281" t="s">
        <v>541</v>
      </c>
      <c r="B129" s="278">
        <f>-'Stationary Energy Data'!$F$86</f>
        <v>-73816.230468945869</v>
      </c>
      <c r="C129" s="280" t="s">
        <v>63</v>
      </c>
      <c r="D129" s="282">
        <f>'Stationary Energy Data'!$B$86</f>
        <v>142577844.75</v>
      </c>
      <c r="E129" s="1105" t="s">
        <v>43</v>
      </c>
      <c r="F129" s="1105"/>
    </row>
    <row r="130" spans="1:10" ht="15" hidden="1" customHeight="1" outlineLevel="1">
      <c r="A130" s="283" t="s">
        <v>542</v>
      </c>
      <c r="B130" s="284">
        <f>SUM(B128:B129)</f>
        <v>-878225.31381934579</v>
      </c>
      <c r="C130" s="285"/>
      <c r="D130" s="285"/>
      <c r="E130" s="285"/>
      <c r="F130" s="285"/>
    </row>
    <row r="131" spans="1:10" ht="15" hidden="1" customHeight="1" outlineLevel="1">
      <c r="F131" s="75"/>
    </row>
    <row r="132" spans="1:10" ht="15" customHeight="1" collapsed="1">
      <c r="A132" s="5"/>
      <c r="C132" s="75"/>
      <c r="D132" s="75"/>
      <c r="E132" s="75"/>
      <c r="F132" s="75"/>
      <c r="G132" s="75"/>
    </row>
    <row r="141" spans="1:10" ht="15" customHeight="1">
      <c r="A141" s="5"/>
      <c r="D141" s="75"/>
      <c r="E141" s="75"/>
      <c r="F141" s="75"/>
      <c r="G141" s="75"/>
      <c r="H141" s="75"/>
      <c r="I141" s="75"/>
      <c r="J141" s="75"/>
    </row>
    <row r="142" spans="1:10" ht="15" customHeight="1">
      <c r="A142" s="5"/>
      <c r="D142" s="75"/>
      <c r="E142" s="75"/>
      <c r="F142" s="75"/>
      <c r="G142" s="75"/>
      <c r="H142" s="75"/>
      <c r="I142" s="75"/>
      <c r="J142" s="75"/>
    </row>
    <row r="143" spans="1:10" ht="15" customHeight="1">
      <c r="A143" s="5"/>
      <c r="D143" s="75"/>
      <c r="E143" s="75"/>
      <c r="F143" s="75"/>
      <c r="G143" s="75"/>
      <c r="H143" s="75"/>
      <c r="I143" s="75"/>
      <c r="J143" s="75"/>
    </row>
    <row r="144" spans="1:10" ht="12.75">
      <c r="A144" s="5"/>
      <c r="D144" s="75"/>
      <c r="E144" s="75"/>
      <c r="F144" s="75"/>
      <c r="G144" s="75"/>
      <c r="H144" s="75"/>
      <c r="I144" s="75"/>
      <c r="J144" s="75"/>
    </row>
    <row r="145" spans="1:10" ht="12.75">
      <c r="A145" s="5"/>
      <c r="D145" s="75"/>
      <c r="E145" s="75"/>
      <c r="F145" s="75"/>
      <c r="G145" s="75"/>
      <c r="H145" s="75"/>
      <c r="I145" s="75"/>
      <c r="J145" s="75"/>
    </row>
    <row r="146" spans="1:10" ht="12.75">
      <c r="A146" s="5"/>
      <c r="D146" s="75"/>
      <c r="E146" s="75"/>
      <c r="F146" s="75"/>
      <c r="G146" s="75"/>
      <c r="H146" s="75"/>
      <c r="I146" s="75"/>
      <c r="J146" s="75"/>
    </row>
    <row r="147" spans="1:10" ht="12.75">
      <c r="A147" s="5"/>
      <c r="D147" s="75"/>
      <c r="E147" s="75"/>
      <c r="F147" s="75"/>
      <c r="G147" s="75"/>
      <c r="H147" s="75"/>
      <c r="I147" s="75"/>
      <c r="J147" s="75"/>
    </row>
    <row r="148" spans="1:10" ht="12.75">
      <c r="A148" s="5"/>
      <c r="D148" s="75"/>
      <c r="E148" s="75"/>
      <c r="F148" s="75"/>
      <c r="G148" s="75"/>
      <c r="H148" s="75"/>
      <c r="I148" s="75"/>
      <c r="J148" s="75"/>
    </row>
    <row r="149" spans="1:10" ht="12.75">
      <c r="A149" s="5"/>
      <c r="D149" s="75"/>
      <c r="E149" s="75"/>
      <c r="F149" s="75"/>
      <c r="G149" s="75"/>
      <c r="H149" s="75"/>
      <c r="I149" s="75"/>
      <c r="J149" s="75"/>
    </row>
    <row r="150" spans="1:10" ht="12.75">
      <c r="A150" s="5"/>
      <c r="D150" s="75"/>
      <c r="E150" s="75"/>
      <c r="F150" s="75"/>
      <c r="G150" s="75"/>
      <c r="H150" s="75"/>
      <c r="I150" s="75"/>
      <c r="J150" s="75"/>
    </row>
    <row r="151" spans="1:10" ht="12.75">
      <c r="A151" s="5"/>
      <c r="D151" s="75"/>
      <c r="E151" s="75"/>
      <c r="F151" s="75"/>
      <c r="G151" s="75"/>
      <c r="H151" s="75"/>
      <c r="I151" s="75"/>
      <c r="J151" s="75"/>
    </row>
    <row r="152" spans="1:10" ht="12.75">
      <c r="A152" s="5"/>
      <c r="D152" s="75"/>
      <c r="E152" s="75"/>
      <c r="F152" s="75"/>
      <c r="G152" s="75"/>
      <c r="H152" s="75"/>
      <c r="I152" s="75"/>
      <c r="J152" s="75"/>
    </row>
    <row r="153" spans="1:10" ht="12.75">
      <c r="A153" s="5"/>
      <c r="D153" s="75"/>
      <c r="E153" s="75"/>
      <c r="F153" s="75"/>
      <c r="G153" s="75"/>
      <c r="H153" s="75"/>
      <c r="I153" s="75"/>
      <c r="J153" s="75"/>
    </row>
    <row r="154" spans="1:10" ht="12.75">
      <c r="A154" s="5"/>
      <c r="D154" s="75"/>
      <c r="E154" s="75"/>
      <c r="F154" s="75"/>
      <c r="G154" s="75"/>
      <c r="H154" s="75"/>
      <c r="I154" s="75"/>
      <c r="J154" s="75"/>
    </row>
    <row r="155" spans="1:10" ht="12.75">
      <c r="A155" s="5"/>
      <c r="D155" s="75"/>
      <c r="E155" s="75"/>
      <c r="F155" s="75"/>
      <c r="G155" s="75"/>
      <c r="H155" s="75"/>
      <c r="I155" s="75"/>
      <c r="J155" s="75"/>
    </row>
    <row r="156" spans="1:10" ht="12.75">
      <c r="A156" s="5"/>
      <c r="D156" s="75"/>
      <c r="E156" s="75"/>
      <c r="F156" s="75"/>
      <c r="G156" s="75"/>
      <c r="H156" s="75"/>
      <c r="I156" s="75"/>
      <c r="J156" s="75"/>
    </row>
    <row r="157" spans="1:10" ht="12.75">
      <c r="A157" s="5"/>
      <c r="D157" s="75"/>
      <c r="E157" s="75"/>
      <c r="F157" s="75"/>
      <c r="G157" s="75"/>
      <c r="H157" s="75"/>
      <c r="I157" s="75"/>
      <c r="J157" s="75"/>
    </row>
    <row r="158" spans="1:10" ht="12.75">
      <c r="A158" s="5"/>
      <c r="D158" s="75"/>
      <c r="E158" s="75"/>
      <c r="F158" s="75"/>
      <c r="G158" s="75"/>
      <c r="H158" s="75"/>
      <c r="I158" s="75"/>
      <c r="J158" s="75"/>
    </row>
    <row r="159" spans="1:10" ht="12.75">
      <c r="A159" s="5"/>
      <c r="D159" s="75"/>
      <c r="E159" s="75"/>
      <c r="F159" s="75"/>
      <c r="G159" s="75"/>
      <c r="H159" s="75"/>
      <c r="I159" s="75"/>
      <c r="J159" s="75"/>
    </row>
    <row r="160" spans="1:10" ht="12.75">
      <c r="A160" s="5"/>
      <c r="D160" s="75"/>
      <c r="E160" s="75"/>
      <c r="F160" s="75"/>
      <c r="G160" s="75"/>
      <c r="H160" s="75"/>
      <c r="I160" s="75"/>
      <c r="J160" s="75"/>
    </row>
    <row r="161" spans="1:10" ht="12.75">
      <c r="A161" s="5"/>
      <c r="D161" s="75"/>
      <c r="E161" s="75"/>
      <c r="F161" s="75"/>
      <c r="G161" s="75"/>
      <c r="H161" s="75"/>
      <c r="I161" s="75"/>
      <c r="J161" s="75"/>
    </row>
    <row r="162" spans="1:10" ht="12.75">
      <c r="A162" s="5"/>
      <c r="D162" s="75"/>
      <c r="E162" s="75"/>
      <c r="F162" s="75"/>
      <c r="G162" s="75"/>
      <c r="H162" s="75"/>
      <c r="I162" s="75"/>
      <c r="J162" s="75"/>
    </row>
    <row r="163" spans="1:10" ht="12.75">
      <c r="A163" s="5"/>
      <c r="D163" s="75"/>
      <c r="E163" s="75"/>
      <c r="F163" s="75"/>
      <c r="G163" s="75"/>
      <c r="H163" s="75"/>
      <c r="I163" s="75"/>
      <c r="J163" s="75"/>
    </row>
    <row r="164" spans="1:10" ht="12.75">
      <c r="A164" s="5"/>
      <c r="D164" s="75"/>
      <c r="E164" s="75"/>
      <c r="F164" s="75"/>
      <c r="G164" s="75"/>
      <c r="H164" s="75"/>
      <c r="I164" s="75"/>
      <c r="J164" s="75"/>
    </row>
    <row r="165" spans="1:10" ht="12.75">
      <c r="A165" s="5"/>
      <c r="D165" s="75"/>
      <c r="E165" s="75"/>
      <c r="F165" s="75"/>
      <c r="G165" s="75"/>
      <c r="H165" s="75"/>
      <c r="I165" s="75"/>
      <c r="J165" s="75"/>
    </row>
    <row r="166" spans="1:10" ht="12.75">
      <c r="A166" s="5"/>
      <c r="D166" s="75"/>
      <c r="E166" s="75"/>
      <c r="F166" s="75"/>
      <c r="G166" s="75"/>
      <c r="H166" s="75"/>
      <c r="I166" s="75"/>
      <c r="J166" s="75"/>
    </row>
    <row r="167" spans="1:10" ht="12.75">
      <c r="A167" s="5"/>
      <c r="D167" s="75"/>
      <c r="E167" s="75"/>
      <c r="F167" s="75"/>
      <c r="G167" s="75"/>
      <c r="H167" s="75"/>
      <c r="I167" s="75"/>
      <c r="J167" s="75"/>
    </row>
    <row r="168" spans="1:10" ht="12.75">
      <c r="A168" s="5"/>
      <c r="D168" s="75"/>
      <c r="E168" s="75"/>
      <c r="F168" s="75"/>
      <c r="G168" s="75"/>
      <c r="H168" s="75"/>
      <c r="I168" s="75"/>
      <c r="J168" s="75"/>
    </row>
    <row r="169" spans="1:10" ht="12.75">
      <c r="A169" s="5"/>
      <c r="D169" s="75"/>
      <c r="E169" s="75"/>
      <c r="F169" s="75"/>
      <c r="G169" s="75"/>
      <c r="H169" s="75"/>
      <c r="I169" s="75"/>
      <c r="J169" s="75"/>
    </row>
    <row r="170" spans="1:10" ht="12.75">
      <c r="A170" s="5"/>
      <c r="D170" s="75"/>
      <c r="E170" s="75"/>
      <c r="F170" s="75"/>
      <c r="G170" s="75"/>
      <c r="H170" s="75"/>
      <c r="I170" s="75"/>
      <c r="J170" s="75"/>
    </row>
    <row r="171" spans="1:10" ht="12.75">
      <c r="A171" s="5"/>
      <c r="D171" s="75"/>
      <c r="E171" s="75"/>
      <c r="F171" s="75"/>
      <c r="G171" s="75"/>
      <c r="H171" s="75"/>
      <c r="I171" s="75"/>
      <c r="J171" s="75"/>
    </row>
    <row r="172" spans="1:10" ht="12.75">
      <c r="A172" s="5"/>
      <c r="D172" s="75"/>
      <c r="E172" s="75"/>
      <c r="F172" s="75"/>
      <c r="G172" s="75"/>
      <c r="H172" s="75"/>
      <c r="I172" s="75"/>
      <c r="J172" s="75"/>
    </row>
    <row r="173" spans="1:10" ht="12.75">
      <c r="A173" s="5"/>
      <c r="D173" s="75"/>
      <c r="E173" s="75"/>
      <c r="F173" s="75"/>
      <c r="G173" s="75"/>
      <c r="H173" s="75"/>
      <c r="I173" s="75"/>
      <c r="J173" s="75"/>
    </row>
    <row r="174" spans="1:10" ht="12.75">
      <c r="A174" s="5"/>
      <c r="D174" s="75"/>
      <c r="E174" s="75"/>
      <c r="F174" s="75"/>
      <c r="G174" s="75"/>
      <c r="H174" s="75"/>
      <c r="I174" s="75"/>
      <c r="J174" s="75"/>
    </row>
    <row r="175" spans="1:10" ht="12.75">
      <c r="A175" s="5"/>
      <c r="D175" s="75"/>
      <c r="E175" s="75"/>
      <c r="F175" s="75"/>
      <c r="G175" s="75"/>
      <c r="H175" s="75"/>
      <c r="I175" s="75"/>
      <c r="J175" s="75"/>
    </row>
    <row r="176" spans="1:10" ht="12.75">
      <c r="A176" s="5"/>
      <c r="D176" s="75"/>
      <c r="E176" s="75"/>
      <c r="F176" s="75"/>
      <c r="G176" s="75"/>
      <c r="H176" s="75"/>
      <c r="I176" s="75"/>
      <c r="J176" s="75"/>
    </row>
    <row r="177" spans="1:10" ht="12.75">
      <c r="A177" s="5"/>
      <c r="D177" s="75"/>
      <c r="E177" s="75"/>
      <c r="F177" s="75"/>
      <c r="G177" s="75"/>
      <c r="H177" s="75"/>
      <c r="I177" s="75"/>
      <c r="J177" s="75"/>
    </row>
    <row r="178" spans="1:10" ht="12.75">
      <c r="A178" s="5"/>
      <c r="D178" s="75"/>
      <c r="E178" s="75"/>
      <c r="F178" s="75"/>
      <c r="G178" s="75"/>
      <c r="H178" s="75"/>
      <c r="I178" s="75"/>
      <c r="J178" s="75"/>
    </row>
    <row r="179" spans="1:10" ht="12.75">
      <c r="A179" s="5"/>
      <c r="D179" s="75"/>
      <c r="E179" s="75"/>
      <c r="F179" s="75"/>
      <c r="G179" s="75"/>
      <c r="H179" s="75"/>
      <c r="I179" s="75"/>
      <c r="J179" s="75"/>
    </row>
    <row r="180" spans="1:10" ht="12.75">
      <c r="A180" s="5"/>
      <c r="D180" s="75"/>
      <c r="E180" s="75"/>
      <c r="F180" s="75"/>
      <c r="G180" s="75"/>
      <c r="H180" s="75"/>
      <c r="I180" s="75"/>
      <c r="J180" s="75"/>
    </row>
    <row r="181" spans="1:10" ht="12.75">
      <c r="A181" s="5"/>
      <c r="D181" s="75"/>
      <c r="E181" s="75"/>
      <c r="F181" s="75"/>
      <c r="G181" s="75"/>
      <c r="H181" s="75"/>
      <c r="I181" s="75"/>
      <c r="J181" s="75"/>
    </row>
    <row r="182" spans="1:10" ht="12.75">
      <c r="A182" s="5"/>
      <c r="D182" s="75"/>
      <c r="E182" s="75"/>
      <c r="F182" s="75"/>
      <c r="G182" s="75"/>
      <c r="H182" s="75"/>
      <c r="I182" s="75"/>
      <c r="J182" s="75"/>
    </row>
    <row r="183" spans="1:10" ht="12.75">
      <c r="A183" s="5"/>
      <c r="D183" s="75"/>
      <c r="E183" s="75"/>
      <c r="F183" s="75"/>
      <c r="G183" s="75"/>
      <c r="H183" s="75"/>
      <c r="I183" s="75"/>
      <c r="J183" s="75"/>
    </row>
    <row r="184" spans="1:10" ht="12.75">
      <c r="A184" s="5"/>
      <c r="D184" s="75"/>
      <c r="E184" s="75"/>
      <c r="F184" s="75"/>
      <c r="G184" s="75"/>
      <c r="H184" s="75"/>
      <c r="I184" s="75"/>
      <c r="J184" s="75"/>
    </row>
    <row r="185" spans="1:10" ht="12.75">
      <c r="A185" s="5"/>
      <c r="D185" s="75"/>
      <c r="E185" s="75"/>
      <c r="F185" s="75"/>
      <c r="G185" s="75"/>
      <c r="H185" s="75"/>
      <c r="I185" s="75"/>
      <c r="J185" s="75"/>
    </row>
    <row r="186" spans="1:10" ht="12.75">
      <c r="A186" s="5"/>
      <c r="D186" s="75"/>
      <c r="E186" s="75"/>
      <c r="F186" s="75"/>
      <c r="G186" s="75"/>
      <c r="H186" s="75"/>
      <c r="I186" s="75"/>
      <c r="J186" s="75"/>
    </row>
    <row r="187" spans="1:10" ht="12.75">
      <c r="A187" s="5"/>
      <c r="D187" s="75"/>
      <c r="E187" s="75"/>
      <c r="F187" s="75"/>
      <c r="G187" s="75"/>
      <c r="H187" s="75"/>
      <c r="I187" s="75"/>
      <c r="J187" s="75"/>
    </row>
    <row r="188" spans="1:10" ht="12.75">
      <c r="A188" s="5"/>
      <c r="D188" s="75"/>
      <c r="E188" s="75"/>
      <c r="F188" s="75"/>
      <c r="G188" s="75"/>
      <c r="H188" s="75"/>
      <c r="I188" s="75"/>
      <c r="J188" s="75"/>
    </row>
    <row r="189" spans="1:10" ht="12.75">
      <c r="A189" s="5"/>
      <c r="D189" s="75"/>
      <c r="E189" s="75"/>
      <c r="F189" s="75"/>
      <c r="G189" s="75"/>
      <c r="H189" s="75"/>
      <c r="I189" s="75"/>
      <c r="J189" s="75"/>
    </row>
    <row r="190" spans="1:10" ht="12.75">
      <c r="A190" s="5"/>
      <c r="D190" s="75"/>
      <c r="E190" s="75"/>
      <c r="F190" s="75"/>
      <c r="G190" s="75"/>
      <c r="H190" s="75"/>
      <c r="I190" s="75"/>
      <c r="J190" s="75"/>
    </row>
    <row r="191" spans="1:10" ht="12.75">
      <c r="A191" s="5"/>
      <c r="D191" s="75"/>
      <c r="E191" s="75"/>
      <c r="F191" s="75"/>
      <c r="G191" s="75"/>
      <c r="H191" s="75"/>
      <c r="I191" s="75"/>
      <c r="J191" s="75"/>
    </row>
    <row r="192" spans="1:10" ht="12.75">
      <c r="A192" s="5"/>
      <c r="D192" s="75"/>
      <c r="E192" s="75"/>
      <c r="F192" s="75"/>
      <c r="G192" s="75"/>
      <c r="H192" s="75"/>
      <c r="I192" s="75"/>
      <c r="J192" s="75"/>
    </row>
    <row r="193" spans="1:10" ht="12.75">
      <c r="A193" s="5"/>
      <c r="D193" s="75"/>
      <c r="E193" s="75"/>
      <c r="F193" s="75"/>
      <c r="G193" s="75"/>
      <c r="H193" s="75"/>
      <c r="I193" s="75"/>
      <c r="J193" s="75"/>
    </row>
    <row r="194" spans="1:10" ht="12.75">
      <c r="A194" s="5"/>
      <c r="D194" s="75"/>
      <c r="E194" s="75"/>
      <c r="F194" s="75"/>
      <c r="G194" s="75"/>
      <c r="H194" s="75"/>
      <c r="I194" s="75"/>
      <c r="J194" s="75"/>
    </row>
    <row r="195" spans="1:10" ht="12.75">
      <c r="A195" s="5"/>
      <c r="D195" s="75"/>
      <c r="E195" s="75"/>
      <c r="F195" s="75"/>
      <c r="G195" s="75"/>
      <c r="H195" s="75"/>
      <c r="I195" s="75"/>
      <c r="J195" s="75"/>
    </row>
    <row r="196" spans="1:10" ht="12.75">
      <c r="A196" s="5"/>
      <c r="D196" s="75"/>
      <c r="E196" s="75"/>
      <c r="F196" s="75"/>
      <c r="G196" s="75"/>
      <c r="H196" s="75"/>
      <c r="I196" s="75"/>
      <c r="J196" s="75"/>
    </row>
    <row r="197" spans="1:10" ht="12.75">
      <c r="A197" s="5"/>
      <c r="D197" s="75"/>
      <c r="E197" s="75"/>
      <c r="F197" s="75"/>
      <c r="G197" s="75"/>
      <c r="H197" s="75"/>
      <c r="I197" s="75"/>
      <c r="J197" s="75"/>
    </row>
    <row r="198" spans="1:10" ht="12.75">
      <c r="A198" s="5"/>
      <c r="D198" s="75"/>
      <c r="E198" s="75"/>
      <c r="F198" s="75"/>
      <c r="G198" s="75"/>
      <c r="H198" s="75"/>
      <c r="I198" s="75"/>
      <c r="J198" s="75"/>
    </row>
    <row r="199" spans="1:10" ht="12.75">
      <c r="A199" s="5"/>
      <c r="D199" s="75"/>
      <c r="E199" s="75"/>
      <c r="F199" s="75"/>
      <c r="G199" s="75"/>
      <c r="H199" s="75"/>
      <c r="I199" s="75"/>
      <c r="J199" s="75"/>
    </row>
    <row r="200" spans="1:10" ht="12.75">
      <c r="A200" s="5"/>
      <c r="D200" s="75"/>
      <c r="E200" s="75"/>
      <c r="F200" s="75"/>
      <c r="G200" s="75"/>
      <c r="H200" s="75"/>
      <c r="I200" s="75"/>
      <c r="J200" s="75"/>
    </row>
    <row r="201" spans="1:10" ht="12.75">
      <c r="A201" s="5"/>
      <c r="D201" s="75"/>
      <c r="E201" s="75"/>
      <c r="F201" s="75"/>
      <c r="G201" s="75"/>
      <c r="H201" s="75"/>
      <c r="I201" s="75"/>
      <c r="J201" s="75"/>
    </row>
    <row r="202" spans="1:10" ht="12.75">
      <c r="A202" s="5"/>
      <c r="D202" s="75"/>
      <c r="E202" s="75"/>
      <c r="F202" s="75"/>
      <c r="G202" s="75"/>
      <c r="H202" s="75"/>
      <c r="I202" s="75"/>
      <c r="J202" s="75"/>
    </row>
    <row r="203" spans="1:10" ht="12.75">
      <c r="A203" s="5"/>
      <c r="D203" s="75"/>
      <c r="E203" s="75"/>
      <c r="F203" s="75"/>
      <c r="G203" s="75"/>
      <c r="H203" s="75"/>
      <c r="I203" s="75"/>
      <c r="J203" s="75"/>
    </row>
    <row r="204" spans="1:10" ht="12.75">
      <c r="A204" s="5"/>
      <c r="D204" s="75"/>
      <c r="E204" s="75"/>
      <c r="F204" s="75"/>
      <c r="G204" s="75"/>
      <c r="H204" s="75"/>
      <c r="I204" s="75"/>
      <c r="J204" s="75"/>
    </row>
    <row r="205" spans="1:10" ht="12.75">
      <c r="A205" s="5"/>
      <c r="D205" s="75"/>
      <c r="E205" s="75"/>
      <c r="F205" s="75"/>
      <c r="G205" s="75"/>
      <c r="H205" s="75"/>
      <c r="I205" s="75"/>
      <c r="J205" s="75"/>
    </row>
    <row r="206" spans="1:10" ht="12.75">
      <c r="A206" s="5"/>
      <c r="D206" s="75"/>
      <c r="E206" s="75"/>
      <c r="F206" s="75"/>
      <c r="G206" s="75"/>
      <c r="H206" s="75"/>
      <c r="I206" s="75"/>
      <c r="J206" s="75"/>
    </row>
    <row r="207" spans="1:10" ht="12.75">
      <c r="A207" s="5"/>
      <c r="D207" s="75"/>
      <c r="E207" s="75"/>
      <c r="F207" s="75"/>
      <c r="G207" s="75"/>
      <c r="H207" s="75"/>
      <c r="I207" s="75"/>
      <c r="J207" s="75"/>
    </row>
    <row r="208" spans="1:10" ht="12.75">
      <c r="A208" s="5"/>
      <c r="D208" s="75"/>
      <c r="E208" s="75"/>
      <c r="F208" s="75"/>
      <c r="G208" s="75"/>
      <c r="H208" s="75"/>
      <c r="I208" s="75"/>
      <c r="J208" s="75"/>
    </row>
    <row r="209" spans="1:10" ht="12.75">
      <c r="A209" s="5"/>
      <c r="D209" s="75"/>
      <c r="E209" s="75"/>
      <c r="F209" s="75"/>
      <c r="G209" s="75"/>
      <c r="H209" s="75"/>
      <c r="I209" s="75"/>
      <c r="J209" s="75"/>
    </row>
    <row r="210" spans="1:10" ht="12.75">
      <c r="A210" s="5"/>
      <c r="D210" s="75"/>
      <c r="E210" s="75"/>
      <c r="F210" s="75"/>
      <c r="G210" s="75"/>
      <c r="H210" s="75"/>
      <c r="I210" s="75"/>
      <c r="J210" s="75"/>
    </row>
    <row r="211" spans="1:10" ht="12.75">
      <c r="A211" s="5"/>
      <c r="D211" s="75"/>
      <c r="E211" s="75"/>
      <c r="F211" s="75"/>
      <c r="G211" s="75"/>
      <c r="H211" s="75"/>
      <c r="I211" s="75"/>
      <c r="J211" s="75"/>
    </row>
    <row r="212" spans="1:10" ht="12.75">
      <c r="A212" s="5"/>
      <c r="D212" s="75"/>
      <c r="E212" s="75"/>
      <c r="F212" s="75"/>
      <c r="G212" s="75"/>
      <c r="H212" s="75"/>
      <c r="I212" s="75"/>
      <c r="J212" s="75"/>
    </row>
    <row r="213" spans="1:10" ht="12.75">
      <c r="A213" s="5"/>
      <c r="D213" s="75"/>
      <c r="E213" s="75"/>
      <c r="F213" s="75"/>
      <c r="G213" s="75"/>
      <c r="H213" s="75"/>
      <c r="I213" s="75"/>
      <c r="J213" s="75"/>
    </row>
    <row r="214" spans="1:10" ht="12.75">
      <c r="A214" s="5"/>
      <c r="D214" s="75"/>
      <c r="E214" s="75"/>
      <c r="F214" s="75"/>
      <c r="G214" s="75"/>
      <c r="H214" s="75"/>
      <c r="I214" s="75"/>
      <c r="J214" s="75"/>
    </row>
    <row r="215" spans="1:10" ht="12.75">
      <c r="A215" s="5"/>
      <c r="D215" s="75"/>
      <c r="E215" s="75"/>
      <c r="F215" s="75"/>
      <c r="G215" s="75"/>
      <c r="H215" s="75"/>
      <c r="I215" s="75"/>
      <c r="J215" s="75"/>
    </row>
    <row r="216" spans="1:10" ht="12.75">
      <c r="A216" s="5"/>
      <c r="D216" s="75"/>
      <c r="E216" s="75"/>
      <c r="F216" s="75"/>
      <c r="G216" s="75"/>
      <c r="H216" s="75"/>
      <c r="I216" s="75"/>
      <c r="J216" s="75"/>
    </row>
    <row r="217" spans="1:10" ht="12.75">
      <c r="A217" s="5"/>
      <c r="D217" s="75"/>
      <c r="E217" s="75"/>
      <c r="F217" s="75"/>
      <c r="G217" s="75"/>
      <c r="H217" s="75"/>
      <c r="I217" s="75"/>
      <c r="J217" s="75"/>
    </row>
    <row r="218" spans="1:10" ht="12.75">
      <c r="A218" s="5"/>
      <c r="D218" s="75"/>
      <c r="E218" s="75"/>
      <c r="F218" s="75"/>
      <c r="G218" s="75"/>
      <c r="H218" s="75"/>
      <c r="I218" s="75"/>
      <c r="J218" s="75"/>
    </row>
    <row r="219" spans="1:10" ht="12.75">
      <c r="A219" s="5"/>
      <c r="D219" s="75"/>
      <c r="E219" s="75"/>
      <c r="F219" s="75"/>
      <c r="G219" s="75"/>
      <c r="H219" s="75"/>
      <c r="I219" s="75"/>
      <c r="J219" s="75"/>
    </row>
    <row r="220" spans="1:10" ht="12.75">
      <c r="A220" s="5"/>
      <c r="D220" s="75"/>
      <c r="E220" s="75"/>
      <c r="F220" s="75"/>
      <c r="G220" s="75"/>
      <c r="H220" s="75"/>
      <c r="I220" s="75"/>
      <c r="J220" s="75"/>
    </row>
    <row r="221" spans="1:10" ht="12.75">
      <c r="A221" s="5"/>
      <c r="D221" s="75"/>
      <c r="E221" s="75"/>
      <c r="F221" s="75"/>
      <c r="G221" s="75"/>
      <c r="H221" s="75"/>
      <c r="I221" s="75"/>
      <c r="J221" s="75"/>
    </row>
    <row r="222" spans="1:10" ht="12.75">
      <c r="A222" s="5"/>
      <c r="D222" s="75"/>
      <c r="E222" s="75"/>
      <c r="F222" s="75"/>
      <c r="G222" s="75"/>
      <c r="H222" s="75"/>
      <c r="I222" s="75"/>
      <c r="J222" s="75"/>
    </row>
    <row r="223" spans="1:10" ht="12.75">
      <c r="A223" s="5"/>
      <c r="D223" s="75"/>
      <c r="E223" s="75"/>
      <c r="F223" s="75"/>
      <c r="G223" s="75"/>
      <c r="H223" s="75"/>
      <c r="I223" s="75"/>
      <c r="J223" s="75"/>
    </row>
    <row r="224" spans="1:10" ht="12.75">
      <c r="A224" s="5"/>
      <c r="D224" s="75"/>
      <c r="E224" s="75"/>
      <c r="F224" s="75"/>
      <c r="G224" s="75"/>
      <c r="H224" s="75"/>
      <c r="I224" s="75"/>
      <c r="J224" s="75"/>
    </row>
    <row r="225" spans="1:10" ht="12.75">
      <c r="A225" s="5"/>
      <c r="D225" s="75"/>
      <c r="E225" s="75"/>
      <c r="F225" s="75"/>
      <c r="G225" s="75"/>
      <c r="H225" s="75"/>
      <c r="I225" s="75"/>
      <c r="J225" s="75"/>
    </row>
    <row r="226" spans="1:10" ht="12.75">
      <c r="A226" s="5"/>
      <c r="D226" s="75"/>
      <c r="E226" s="75"/>
      <c r="F226" s="75"/>
      <c r="G226" s="75"/>
      <c r="H226" s="75"/>
      <c r="I226" s="75"/>
      <c r="J226" s="75"/>
    </row>
    <row r="227" spans="1:10" ht="12.75">
      <c r="A227" s="5"/>
      <c r="D227" s="75"/>
      <c r="E227" s="75"/>
      <c r="F227" s="75"/>
      <c r="G227" s="75"/>
      <c r="H227" s="75"/>
      <c r="I227" s="75"/>
      <c r="J227" s="75"/>
    </row>
    <row r="228" spans="1:10" ht="12.75">
      <c r="A228" s="5"/>
      <c r="D228" s="75"/>
      <c r="E228" s="75"/>
      <c r="F228" s="75"/>
      <c r="G228" s="75"/>
      <c r="H228" s="75"/>
      <c r="I228" s="75"/>
      <c r="J228" s="75"/>
    </row>
    <row r="229" spans="1:10" ht="12.75">
      <c r="A229" s="5"/>
      <c r="D229" s="75"/>
      <c r="E229" s="75"/>
      <c r="F229" s="75"/>
      <c r="G229" s="75"/>
      <c r="H229" s="75"/>
      <c r="I229" s="75"/>
      <c r="J229" s="75"/>
    </row>
    <row r="230" spans="1:10" ht="12.75">
      <c r="A230" s="5"/>
      <c r="D230" s="75"/>
      <c r="E230" s="75"/>
      <c r="F230" s="75"/>
      <c r="G230" s="75"/>
      <c r="H230" s="75"/>
      <c r="I230" s="75"/>
      <c r="J230" s="75"/>
    </row>
    <row r="231" spans="1:10" ht="12.75">
      <c r="A231" s="5"/>
      <c r="D231" s="75"/>
      <c r="E231" s="75"/>
      <c r="F231" s="75"/>
      <c r="G231" s="75"/>
      <c r="H231" s="75"/>
      <c r="I231" s="75"/>
      <c r="J231" s="75"/>
    </row>
    <row r="232" spans="1:10" ht="12.75">
      <c r="A232" s="5"/>
      <c r="D232" s="75"/>
      <c r="E232" s="75"/>
      <c r="F232" s="75"/>
      <c r="G232" s="75"/>
      <c r="H232" s="75"/>
      <c r="I232" s="75"/>
      <c r="J232" s="75"/>
    </row>
    <row r="233" spans="1:10" ht="12.75">
      <c r="A233" s="5"/>
      <c r="D233" s="75"/>
      <c r="E233" s="75"/>
      <c r="F233" s="75"/>
      <c r="G233" s="75"/>
      <c r="H233" s="75"/>
      <c r="I233" s="75"/>
      <c r="J233" s="75"/>
    </row>
    <row r="234" spans="1:10" ht="12.75">
      <c r="A234" s="5"/>
      <c r="D234" s="75"/>
      <c r="E234" s="75"/>
      <c r="F234" s="75"/>
      <c r="G234" s="75"/>
      <c r="H234" s="75"/>
      <c r="I234" s="75"/>
      <c r="J234" s="75"/>
    </row>
    <row r="235" spans="1:10" ht="12.75">
      <c r="A235" s="5"/>
      <c r="D235" s="75"/>
      <c r="E235" s="75"/>
      <c r="F235" s="75"/>
      <c r="G235" s="75"/>
      <c r="H235" s="75"/>
      <c r="I235" s="75"/>
      <c r="J235" s="75"/>
    </row>
    <row r="236" spans="1:10" ht="12.75">
      <c r="A236" s="5"/>
      <c r="D236" s="75"/>
      <c r="E236" s="75"/>
      <c r="F236" s="75"/>
      <c r="G236" s="75"/>
      <c r="H236" s="75"/>
      <c r="I236" s="75"/>
      <c r="J236" s="75"/>
    </row>
    <row r="237" spans="1:10" ht="12.75">
      <c r="A237" s="5"/>
      <c r="D237" s="75"/>
      <c r="E237" s="75"/>
      <c r="F237" s="75"/>
      <c r="G237" s="75"/>
      <c r="H237" s="75"/>
      <c r="I237" s="75"/>
      <c r="J237" s="75"/>
    </row>
    <row r="238" spans="1:10" ht="12.75">
      <c r="A238" s="5"/>
      <c r="D238" s="75"/>
      <c r="E238" s="75"/>
      <c r="F238" s="75"/>
      <c r="G238" s="75"/>
      <c r="H238" s="75"/>
      <c r="I238" s="75"/>
      <c r="J238" s="75"/>
    </row>
    <row r="239" spans="1:10" ht="12.75">
      <c r="A239" s="5"/>
      <c r="D239" s="75"/>
      <c r="E239" s="75"/>
      <c r="F239" s="75"/>
      <c r="G239" s="75"/>
      <c r="H239" s="75"/>
      <c r="I239" s="75"/>
      <c r="J239" s="75"/>
    </row>
    <row r="240" spans="1:10" ht="12.75">
      <c r="A240" s="5"/>
      <c r="D240" s="75"/>
      <c r="E240" s="75"/>
      <c r="F240" s="75"/>
      <c r="G240" s="75"/>
      <c r="H240" s="75"/>
      <c r="I240" s="75"/>
      <c r="J240" s="75"/>
    </row>
    <row r="241" spans="1:10" ht="12.75">
      <c r="A241" s="5"/>
      <c r="D241" s="75"/>
      <c r="E241" s="75"/>
      <c r="F241" s="75"/>
      <c r="G241" s="75"/>
      <c r="H241" s="75"/>
      <c r="I241" s="75"/>
      <c r="J241" s="75"/>
    </row>
    <row r="242" spans="1:10" ht="12.75">
      <c r="A242" s="5"/>
      <c r="D242" s="75"/>
      <c r="E242" s="75"/>
      <c r="F242" s="75"/>
      <c r="G242" s="75"/>
      <c r="H242" s="75"/>
      <c r="I242" s="75"/>
      <c r="J242" s="75"/>
    </row>
    <row r="243" spans="1:10" ht="12.75">
      <c r="A243" s="5"/>
      <c r="D243" s="75"/>
      <c r="E243" s="75"/>
      <c r="F243" s="75"/>
      <c r="G243" s="75"/>
      <c r="H243" s="75"/>
      <c r="I243" s="75"/>
      <c r="J243" s="75"/>
    </row>
    <row r="244" spans="1:10" ht="12.75">
      <c r="A244" s="5"/>
      <c r="D244" s="75"/>
      <c r="E244" s="75"/>
      <c r="F244" s="75"/>
      <c r="G244" s="75"/>
      <c r="H244" s="75"/>
      <c r="I244" s="75"/>
      <c r="J244" s="75"/>
    </row>
    <row r="245" spans="1:10" ht="12.75">
      <c r="A245" s="5"/>
      <c r="D245" s="75"/>
      <c r="E245" s="75"/>
      <c r="F245" s="75"/>
      <c r="G245" s="75"/>
      <c r="H245" s="75"/>
      <c r="I245" s="75"/>
      <c r="J245" s="75"/>
    </row>
    <row r="246" spans="1:10" ht="12.75">
      <c r="A246" s="5"/>
      <c r="D246" s="75"/>
      <c r="E246" s="75"/>
      <c r="F246" s="75"/>
      <c r="G246" s="75"/>
      <c r="H246" s="75"/>
      <c r="I246" s="75"/>
      <c r="J246" s="75"/>
    </row>
    <row r="247" spans="1:10" ht="12.75">
      <c r="A247" s="5"/>
      <c r="D247" s="75"/>
      <c r="E247" s="75"/>
      <c r="F247" s="75"/>
      <c r="G247" s="75"/>
      <c r="H247" s="75"/>
      <c r="I247" s="75"/>
      <c r="J247" s="75"/>
    </row>
    <row r="248" spans="1:10" ht="12.75">
      <c r="A248" s="5"/>
      <c r="D248" s="75"/>
      <c r="E248" s="75"/>
      <c r="F248" s="75"/>
      <c r="G248" s="75"/>
      <c r="H248" s="75"/>
      <c r="I248" s="75"/>
      <c r="J248" s="75"/>
    </row>
    <row r="249" spans="1:10" ht="12.75">
      <c r="A249" s="5"/>
      <c r="D249" s="75"/>
      <c r="E249" s="75"/>
      <c r="F249" s="75"/>
      <c r="G249" s="75"/>
      <c r="H249" s="75"/>
      <c r="I249" s="75"/>
      <c r="J249" s="75"/>
    </row>
    <row r="250" spans="1:10" ht="12.75">
      <c r="A250" s="5"/>
      <c r="D250" s="75"/>
      <c r="E250" s="75"/>
      <c r="F250" s="75"/>
      <c r="G250" s="75"/>
      <c r="H250" s="75"/>
      <c r="I250" s="75"/>
      <c r="J250" s="75"/>
    </row>
    <row r="251" spans="1:10" ht="12.75">
      <c r="A251" s="5"/>
      <c r="D251" s="75"/>
      <c r="E251" s="75"/>
      <c r="F251" s="75"/>
      <c r="G251" s="75"/>
      <c r="H251" s="75"/>
      <c r="I251" s="75"/>
      <c r="J251" s="75"/>
    </row>
    <row r="252" spans="1:10" ht="12.75">
      <c r="A252" s="5"/>
      <c r="D252" s="75"/>
      <c r="E252" s="75"/>
      <c r="F252" s="75"/>
      <c r="G252" s="75"/>
      <c r="H252" s="75"/>
      <c r="I252" s="75"/>
      <c r="J252" s="75"/>
    </row>
    <row r="253" spans="1:10" ht="12.75">
      <c r="A253" s="5"/>
      <c r="D253" s="75"/>
      <c r="E253" s="75"/>
      <c r="F253" s="75"/>
      <c r="G253" s="75"/>
      <c r="H253" s="75"/>
      <c r="I253" s="75"/>
      <c r="J253" s="75"/>
    </row>
    <row r="254" spans="1:10" ht="12.75">
      <c r="A254" s="5"/>
      <c r="D254" s="75"/>
      <c r="E254" s="75"/>
      <c r="F254" s="75"/>
      <c r="G254" s="75"/>
      <c r="H254" s="75"/>
      <c r="I254" s="75"/>
      <c r="J254" s="75"/>
    </row>
    <row r="255" spans="1:10" ht="12.75">
      <c r="A255" s="5"/>
      <c r="D255" s="75"/>
      <c r="E255" s="75"/>
      <c r="F255" s="75"/>
      <c r="G255" s="75"/>
      <c r="H255" s="75"/>
      <c r="I255" s="75"/>
      <c r="J255" s="75"/>
    </row>
    <row r="256" spans="1:10" ht="12.75">
      <c r="A256" s="5"/>
      <c r="D256" s="75"/>
      <c r="E256" s="75"/>
      <c r="F256" s="75"/>
      <c r="G256" s="75"/>
      <c r="H256" s="75"/>
      <c r="I256" s="75"/>
      <c r="J256" s="75"/>
    </row>
    <row r="257" spans="1:10" ht="12.75">
      <c r="A257" s="5"/>
      <c r="D257" s="75"/>
      <c r="E257" s="75"/>
      <c r="F257" s="75"/>
      <c r="G257" s="75"/>
      <c r="H257" s="75"/>
      <c r="I257" s="75"/>
      <c r="J257" s="75"/>
    </row>
    <row r="258" spans="1:10" ht="12.75">
      <c r="A258" s="5"/>
      <c r="D258" s="75"/>
      <c r="E258" s="75"/>
      <c r="F258" s="75"/>
      <c r="G258" s="75"/>
      <c r="H258" s="75"/>
      <c r="I258" s="75"/>
      <c r="J258" s="75"/>
    </row>
    <row r="259" spans="1:10" ht="12.75">
      <c r="A259" s="5"/>
      <c r="D259" s="75"/>
      <c r="E259" s="75"/>
      <c r="F259" s="75"/>
      <c r="G259" s="75"/>
      <c r="H259" s="75"/>
      <c r="I259" s="75"/>
      <c r="J259" s="75"/>
    </row>
    <row r="260" spans="1:10" ht="12.75">
      <c r="A260" s="5"/>
      <c r="D260" s="75"/>
      <c r="E260" s="75"/>
      <c r="F260" s="75"/>
      <c r="G260" s="75"/>
      <c r="H260" s="75"/>
      <c r="I260" s="75"/>
      <c r="J260" s="75"/>
    </row>
    <row r="261" spans="1:10" ht="12.75">
      <c r="A261" s="5"/>
      <c r="D261" s="75"/>
      <c r="E261" s="75"/>
      <c r="F261" s="75"/>
      <c r="G261" s="75"/>
      <c r="H261" s="75"/>
      <c r="I261" s="75"/>
      <c r="J261" s="75"/>
    </row>
    <row r="262" spans="1:10" ht="12.75">
      <c r="A262" s="5"/>
      <c r="D262" s="75"/>
      <c r="E262" s="75"/>
      <c r="F262" s="75"/>
      <c r="G262" s="75"/>
      <c r="H262" s="75"/>
      <c r="I262" s="75"/>
      <c r="J262" s="75"/>
    </row>
    <row r="263" spans="1:10" ht="12.75">
      <c r="A263" s="5"/>
      <c r="D263" s="75"/>
      <c r="E263" s="75"/>
      <c r="F263" s="75"/>
      <c r="G263" s="75"/>
      <c r="H263" s="75"/>
      <c r="I263" s="75"/>
      <c r="J263" s="75"/>
    </row>
    <row r="264" spans="1:10" ht="12.75">
      <c r="A264" s="5"/>
      <c r="D264" s="75"/>
      <c r="E264" s="75"/>
      <c r="F264" s="75"/>
      <c r="G264" s="75"/>
      <c r="H264" s="75"/>
      <c r="I264" s="75"/>
      <c r="J264" s="75"/>
    </row>
    <row r="265" spans="1:10" ht="12.75">
      <c r="A265" s="5"/>
      <c r="D265" s="75"/>
      <c r="E265" s="75"/>
      <c r="F265" s="75"/>
      <c r="G265" s="75"/>
      <c r="H265" s="75"/>
      <c r="I265" s="75"/>
      <c r="J265" s="75"/>
    </row>
    <row r="266" spans="1:10" ht="12.75">
      <c r="A266" s="5"/>
      <c r="D266" s="75"/>
      <c r="E266" s="75"/>
      <c r="F266" s="75"/>
      <c r="G266" s="75"/>
      <c r="H266" s="75"/>
      <c r="I266" s="75"/>
      <c r="J266" s="75"/>
    </row>
    <row r="267" spans="1:10" ht="12.75">
      <c r="A267" s="5"/>
      <c r="D267" s="75"/>
      <c r="E267" s="75"/>
      <c r="F267" s="75"/>
      <c r="G267" s="75"/>
      <c r="H267" s="75"/>
      <c r="I267" s="75"/>
      <c r="J267" s="75"/>
    </row>
    <row r="268" spans="1:10" ht="12.75">
      <c r="A268" s="5"/>
      <c r="D268" s="75"/>
      <c r="E268" s="75"/>
      <c r="F268" s="75"/>
      <c r="G268" s="75"/>
      <c r="H268" s="75"/>
      <c r="I268" s="75"/>
      <c r="J268" s="75"/>
    </row>
    <row r="269" spans="1:10" ht="12.75">
      <c r="A269" s="5"/>
      <c r="D269" s="75"/>
      <c r="E269" s="75"/>
      <c r="F269" s="75"/>
      <c r="G269" s="75"/>
      <c r="H269" s="75"/>
      <c r="I269" s="75"/>
      <c r="J269" s="75"/>
    </row>
    <row r="270" spans="1:10" ht="12.75">
      <c r="A270" s="5"/>
      <c r="D270" s="75"/>
      <c r="E270" s="75"/>
      <c r="F270" s="75"/>
      <c r="G270" s="75"/>
      <c r="H270" s="75"/>
      <c r="I270" s="75"/>
      <c r="J270" s="75"/>
    </row>
    <row r="271" spans="1:10" ht="12.75">
      <c r="A271" s="5"/>
      <c r="D271" s="75"/>
      <c r="E271" s="75"/>
      <c r="F271" s="75"/>
      <c r="G271" s="75"/>
      <c r="H271" s="75"/>
      <c r="I271" s="75"/>
      <c r="J271" s="75"/>
    </row>
    <row r="272" spans="1:10" ht="12.75">
      <c r="A272" s="5"/>
      <c r="D272" s="75"/>
      <c r="E272" s="75"/>
      <c r="F272" s="75"/>
      <c r="G272" s="75"/>
      <c r="H272" s="75"/>
      <c r="I272" s="75"/>
      <c r="J272" s="75"/>
    </row>
    <row r="273" spans="1:10" ht="12.75">
      <c r="A273" s="5"/>
      <c r="D273" s="75"/>
      <c r="E273" s="75"/>
      <c r="F273" s="75"/>
      <c r="G273" s="75"/>
      <c r="H273" s="75"/>
      <c r="I273" s="75"/>
      <c r="J273" s="75"/>
    </row>
    <row r="274" spans="1:10" ht="12.75">
      <c r="A274" s="5"/>
      <c r="D274" s="75"/>
      <c r="E274" s="75"/>
      <c r="F274" s="75"/>
      <c r="G274" s="75"/>
      <c r="H274" s="75"/>
      <c r="I274" s="75"/>
      <c r="J274" s="75"/>
    </row>
    <row r="275" spans="1:10" ht="12.75">
      <c r="A275" s="5"/>
      <c r="D275" s="75"/>
      <c r="E275" s="75"/>
      <c r="F275" s="75"/>
      <c r="G275" s="75"/>
      <c r="H275" s="75"/>
      <c r="I275" s="75"/>
      <c r="J275" s="75"/>
    </row>
    <row r="276" spans="1:10" ht="12.75">
      <c r="A276" s="5"/>
      <c r="D276" s="75"/>
      <c r="E276" s="75"/>
      <c r="F276" s="75"/>
      <c r="G276" s="75"/>
      <c r="H276" s="75"/>
      <c r="I276" s="75"/>
      <c r="J276" s="75"/>
    </row>
    <row r="277" spans="1:10" ht="12.75">
      <c r="A277" s="5"/>
      <c r="D277" s="75"/>
      <c r="E277" s="75"/>
      <c r="F277" s="75"/>
      <c r="G277" s="75"/>
      <c r="H277" s="75"/>
      <c r="I277" s="75"/>
      <c r="J277" s="75"/>
    </row>
    <row r="278" spans="1:10" ht="12.75">
      <c r="A278" s="5"/>
      <c r="D278" s="75"/>
      <c r="E278" s="75"/>
      <c r="F278" s="75"/>
      <c r="G278" s="75"/>
      <c r="H278" s="75"/>
      <c r="I278" s="75"/>
      <c r="J278" s="75"/>
    </row>
    <row r="279" spans="1:10" ht="12.75">
      <c r="A279" s="5"/>
      <c r="D279" s="75"/>
      <c r="E279" s="75"/>
      <c r="F279" s="75"/>
      <c r="G279" s="75"/>
      <c r="H279" s="75"/>
      <c r="I279" s="75"/>
      <c r="J279" s="75"/>
    </row>
    <row r="280" spans="1:10" ht="12.75">
      <c r="A280" s="5"/>
      <c r="D280" s="75"/>
      <c r="E280" s="75"/>
      <c r="F280" s="75"/>
      <c r="G280" s="75"/>
      <c r="H280" s="75"/>
      <c r="I280" s="75"/>
      <c r="J280" s="75"/>
    </row>
    <row r="281" spans="1:10" ht="12.75">
      <c r="A281" s="5"/>
      <c r="D281" s="75"/>
      <c r="E281" s="75"/>
      <c r="F281" s="75"/>
      <c r="G281" s="75"/>
      <c r="H281" s="75"/>
      <c r="I281" s="75"/>
      <c r="J281" s="75"/>
    </row>
    <row r="282" spans="1:10" ht="12.75">
      <c r="A282" s="5"/>
      <c r="D282" s="75"/>
      <c r="E282" s="75"/>
      <c r="F282" s="75"/>
      <c r="G282" s="75"/>
      <c r="H282" s="75"/>
      <c r="I282" s="75"/>
      <c r="J282" s="75"/>
    </row>
    <row r="283" spans="1:10" ht="12.75">
      <c r="A283" s="5"/>
      <c r="D283" s="75"/>
      <c r="E283" s="75"/>
      <c r="F283" s="75"/>
      <c r="G283" s="75"/>
      <c r="H283" s="75"/>
      <c r="I283" s="75"/>
      <c r="J283" s="75"/>
    </row>
    <row r="284" spans="1:10" ht="12.75">
      <c r="A284" s="5"/>
      <c r="D284" s="75"/>
      <c r="E284" s="75"/>
      <c r="F284" s="75"/>
      <c r="G284" s="75"/>
      <c r="H284" s="75"/>
      <c r="I284" s="75"/>
      <c r="J284" s="75"/>
    </row>
    <row r="285" spans="1:10" ht="12.75">
      <c r="A285" s="5"/>
      <c r="D285" s="75"/>
      <c r="E285" s="75"/>
      <c r="F285" s="75"/>
      <c r="G285" s="75"/>
      <c r="H285" s="75"/>
      <c r="I285" s="75"/>
      <c r="J285" s="75"/>
    </row>
    <row r="286" spans="1:10" ht="12.75">
      <c r="A286" s="5"/>
      <c r="D286" s="75"/>
      <c r="E286" s="75"/>
      <c r="F286" s="75"/>
      <c r="G286" s="75"/>
      <c r="H286" s="75"/>
      <c r="I286" s="75"/>
      <c r="J286" s="75"/>
    </row>
    <row r="287" spans="1:10" ht="12.75">
      <c r="A287" s="5"/>
      <c r="D287" s="75"/>
      <c r="E287" s="75"/>
      <c r="F287" s="75"/>
      <c r="G287" s="75"/>
      <c r="H287" s="75"/>
      <c r="I287" s="75"/>
      <c r="J287" s="75"/>
    </row>
    <row r="288" spans="1:10" ht="12.75">
      <c r="A288" s="5"/>
      <c r="D288" s="75"/>
      <c r="E288" s="75"/>
      <c r="F288" s="75"/>
      <c r="G288" s="75"/>
      <c r="H288" s="75"/>
      <c r="I288" s="75"/>
      <c r="J288" s="75"/>
    </row>
    <row r="289" spans="1:10" ht="12.75">
      <c r="A289" s="5"/>
      <c r="D289" s="75"/>
      <c r="E289" s="75"/>
      <c r="F289" s="75"/>
      <c r="G289" s="75"/>
      <c r="H289" s="75"/>
      <c r="I289" s="75"/>
      <c r="J289" s="75"/>
    </row>
    <row r="290" spans="1:10" ht="12.75">
      <c r="A290" s="5"/>
      <c r="D290" s="75"/>
      <c r="E290" s="75"/>
      <c r="F290" s="75"/>
      <c r="G290" s="75"/>
      <c r="H290" s="75"/>
      <c r="I290" s="75"/>
      <c r="J290" s="75"/>
    </row>
    <row r="291" spans="1:10" ht="12.75">
      <c r="A291" s="5"/>
      <c r="D291" s="75"/>
      <c r="E291" s="75"/>
      <c r="F291" s="75"/>
      <c r="G291" s="75"/>
      <c r="H291" s="75"/>
      <c r="I291" s="75"/>
      <c r="J291" s="75"/>
    </row>
    <row r="292" spans="1:10" ht="12.75">
      <c r="A292" s="5"/>
      <c r="D292" s="75"/>
      <c r="E292" s="75"/>
      <c r="F292" s="75"/>
      <c r="G292" s="75"/>
      <c r="H292" s="75"/>
      <c r="I292" s="75"/>
      <c r="J292" s="75"/>
    </row>
    <row r="293" spans="1:10" ht="12.75">
      <c r="A293" s="5"/>
      <c r="D293" s="75"/>
      <c r="E293" s="75"/>
      <c r="F293" s="75"/>
      <c r="G293" s="75"/>
      <c r="H293" s="75"/>
      <c r="I293" s="75"/>
      <c r="J293" s="75"/>
    </row>
    <row r="294" spans="1:10" ht="12.75">
      <c r="A294" s="5"/>
      <c r="D294" s="75"/>
      <c r="E294" s="75"/>
      <c r="F294" s="75"/>
      <c r="G294" s="75"/>
      <c r="H294" s="75"/>
      <c r="I294" s="75"/>
      <c r="J294" s="75"/>
    </row>
    <row r="295" spans="1:10" ht="12.75">
      <c r="A295" s="5"/>
      <c r="D295" s="75"/>
      <c r="E295" s="75"/>
      <c r="F295" s="75"/>
      <c r="G295" s="75"/>
      <c r="H295" s="75"/>
      <c r="I295" s="75"/>
      <c r="J295" s="75"/>
    </row>
    <row r="296" spans="1:10" ht="12.75">
      <c r="A296" s="5"/>
      <c r="D296" s="75"/>
      <c r="E296" s="75"/>
      <c r="F296" s="75"/>
      <c r="G296" s="75"/>
      <c r="H296" s="75"/>
      <c r="I296" s="75"/>
      <c r="J296" s="75"/>
    </row>
    <row r="297" spans="1:10" ht="12.75">
      <c r="A297" s="5"/>
      <c r="D297" s="75"/>
      <c r="E297" s="75"/>
      <c r="F297" s="75"/>
      <c r="G297" s="75"/>
      <c r="H297" s="75"/>
      <c r="I297" s="75"/>
      <c r="J297" s="75"/>
    </row>
    <row r="298" spans="1:10" ht="12.75">
      <c r="A298" s="5"/>
      <c r="D298" s="75"/>
      <c r="E298" s="75"/>
      <c r="F298" s="75"/>
      <c r="G298" s="75"/>
      <c r="H298" s="75"/>
      <c r="I298" s="75"/>
      <c r="J298" s="75"/>
    </row>
    <row r="299" spans="1:10" ht="12.75">
      <c r="A299" s="5"/>
      <c r="D299" s="75"/>
      <c r="E299" s="75"/>
      <c r="F299" s="75"/>
      <c r="G299" s="75"/>
      <c r="H299" s="75"/>
      <c r="I299" s="75"/>
      <c r="J299" s="75"/>
    </row>
    <row r="300" spans="1:10" ht="12.75">
      <c r="A300" s="5"/>
      <c r="D300" s="75"/>
      <c r="E300" s="75"/>
      <c r="F300" s="75"/>
      <c r="G300" s="75"/>
      <c r="H300" s="75"/>
      <c r="I300" s="75"/>
      <c r="J300" s="75"/>
    </row>
    <row r="301" spans="1:10" ht="12.75">
      <c r="A301" s="5"/>
      <c r="D301" s="75"/>
      <c r="E301" s="75"/>
      <c r="F301" s="75"/>
      <c r="G301" s="75"/>
      <c r="H301" s="75"/>
      <c r="I301" s="75"/>
      <c r="J301" s="75"/>
    </row>
    <row r="302" spans="1:10" ht="12.75">
      <c r="A302" s="5"/>
      <c r="D302" s="75"/>
      <c r="E302" s="75"/>
      <c r="F302" s="75"/>
      <c r="G302" s="75"/>
      <c r="H302" s="75"/>
      <c r="I302" s="75"/>
      <c r="J302" s="75"/>
    </row>
    <row r="303" spans="1:10" ht="12.75">
      <c r="A303" s="5"/>
      <c r="D303" s="75"/>
      <c r="E303" s="75"/>
      <c r="F303" s="75"/>
      <c r="G303" s="75"/>
      <c r="H303" s="75"/>
      <c r="I303" s="75"/>
      <c r="J303" s="75"/>
    </row>
    <row r="304" spans="1:10" ht="12.75">
      <c r="A304" s="5"/>
      <c r="D304" s="75"/>
      <c r="E304" s="75"/>
      <c r="F304" s="75"/>
      <c r="G304" s="75"/>
      <c r="H304" s="75"/>
      <c r="I304" s="75"/>
      <c r="J304" s="75"/>
    </row>
    <row r="305" spans="1:10" ht="12.75">
      <c r="A305" s="5"/>
      <c r="D305" s="75"/>
      <c r="E305" s="75"/>
      <c r="F305" s="75"/>
      <c r="G305" s="75"/>
      <c r="H305" s="75"/>
      <c r="I305" s="75"/>
      <c r="J305" s="75"/>
    </row>
    <row r="306" spans="1:10" ht="12.75">
      <c r="A306" s="5"/>
      <c r="D306" s="75"/>
      <c r="E306" s="75"/>
      <c r="F306" s="75"/>
      <c r="G306" s="75"/>
      <c r="H306" s="75"/>
      <c r="I306" s="75"/>
      <c r="J306" s="75"/>
    </row>
    <row r="307" spans="1:10" ht="12.75">
      <c r="A307" s="5"/>
      <c r="D307" s="75"/>
      <c r="E307" s="75"/>
      <c r="F307" s="75"/>
      <c r="G307" s="75"/>
      <c r="H307" s="75"/>
      <c r="I307" s="75"/>
      <c r="J307" s="75"/>
    </row>
    <row r="308" spans="1:10" ht="12.75">
      <c r="A308" s="5"/>
      <c r="D308" s="75"/>
      <c r="E308" s="75"/>
      <c r="F308" s="75"/>
      <c r="G308" s="75"/>
      <c r="H308" s="75"/>
      <c r="I308" s="75"/>
      <c r="J308" s="75"/>
    </row>
    <row r="309" spans="1:10" ht="12.75">
      <c r="A309" s="5"/>
      <c r="D309" s="75"/>
      <c r="E309" s="75"/>
      <c r="F309" s="75"/>
      <c r="G309" s="75"/>
      <c r="H309" s="75"/>
      <c r="I309" s="75"/>
      <c r="J309" s="75"/>
    </row>
    <row r="310" spans="1:10" ht="12.75">
      <c r="A310" s="5"/>
      <c r="D310" s="75"/>
      <c r="E310" s="75"/>
      <c r="F310" s="75"/>
      <c r="G310" s="75"/>
      <c r="H310" s="75"/>
      <c r="I310" s="75"/>
      <c r="J310" s="75"/>
    </row>
    <row r="311" spans="1:10" ht="12.75">
      <c r="A311" s="5"/>
      <c r="D311" s="75"/>
      <c r="E311" s="75"/>
      <c r="F311" s="75"/>
      <c r="G311" s="75"/>
      <c r="H311" s="75"/>
      <c r="I311" s="75"/>
      <c r="J311" s="75"/>
    </row>
    <row r="312" spans="1:10" ht="12.75">
      <c r="A312" s="5"/>
      <c r="D312" s="75"/>
      <c r="E312" s="75"/>
      <c r="F312" s="75"/>
      <c r="G312" s="75"/>
      <c r="H312" s="75"/>
      <c r="I312" s="75"/>
      <c r="J312" s="75"/>
    </row>
    <row r="313" spans="1:10" ht="12.75">
      <c r="A313" s="5"/>
      <c r="D313" s="75"/>
      <c r="E313" s="75"/>
      <c r="F313" s="75"/>
      <c r="G313" s="75"/>
      <c r="H313" s="75"/>
      <c r="I313" s="75"/>
      <c r="J313" s="75"/>
    </row>
    <row r="314" spans="1:10" ht="12.75">
      <c r="A314" s="5"/>
      <c r="D314" s="75"/>
      <c r="E314" s="75"/>
      <c r="F314" s="75"/>
      <c r="G314" s="75"/>
      <c r="H314" s="75"/>
      <c r="I314" s="75"/>
      <c r="J314" s="75"/>
    </row>
    <row r="315" spans="1:10" ht="12.75">
      <c r="A315" s="5"/>
      <c r="D315" s="75"/>
      <c r="E315" s="75"/>
      <c r="F315" s="75"/>
      <c r="G315" s="75"/>
      <c r="H315" s="75"/>
      <c r="I315" s="75"/>
      <c r="J315" s="75"/>
    </row>
    <row r="316" spans="1:10" ht="12.75">
      <c r="A316" s="5"/>
      <c r="D316" s="75"/>
      <c r="E316" s="75"/>
      <c r="F316" s="75"/>
      <c r="G316" s="75"/>
      <c r="H316" s="75"/>
      <c r="I316" s="75"/>
      <c r="J316" s="75"/>
    </row>
    <row r="317" spans="1:10" ht="12.75">
      <c r="A317" s="5"/>
      <c r="D317" s="75"/>
      <c r="E317" s="75"/>
      <c r="F317" s="75"/>
      <c r="G317" s="75"/>
      <c r="H317" s="75"/>
      <c r="I317" s="75"/>
      <c r="J317" s="75"/>
    </row>
    <row r="318" spans="1:10" ht="12.75">
      <c r="A318" s="5"/>
      <c r="D318" s="75"/>
      <c r="E318" s="75"/>
      <c r="F318" s="75"/>
      <c r="G318" s="75"/>
      <c r="H318" s="75"/>
      <c r="I318" s="75"/>
      <c r="J318" s="75"/>
    </row>
    <row r="319" spans="1:10" ht="12.75">
      <c r="A319" s="5"/>
      <c r="D319" s="75"/>
      <c r="E319" s="75"/>
      <c r="F319" s="75"/>
      <c r="G319" s="75"/>
      <c r="H319" s="75"/>
      <c r="I319" s="75"/>
      <c r="J319" s="75"/>
    </row>
    <row r="320" spans="1:10" ht="12.75">
      <c r="A320" s="5"/>
      <c r="D320" s="75"/>
      <c r="E320" s="75"/>
      <c r="F320" s="75"/>
      <c r="G320" s="75"/>
      <c r="H320" s="75"/>
      <c r="I320" s="75"/>
      <c r="J320" s="75"/>
    </row>
    <row r="321" spans="1:10" ht="12.75">
      <c r="A321" s="5"/>
      <c r="D321" s="75"/>
      <c r="E321" s="75"/>
      <c r="F321" s="75"/>
      <c r="G321" s="75"/>
      <c r="H321" s="75"/>
      <c r="I321" s="75"/>
      <c r="J321" s="75"/>
    </row>
    <row r="322" spans="1:10" ht="12.75">
      <c r="A322" s="5"/>
      <c r="D322" s="75"/>
      <c r="E322" s="75"/>
      <c r="F322" s="75"/>
      <c r="G322" s="75"/>
      <c r="H322" s="75"/>
      <c r="I322" s="75"/>
      <c r="J322" s="75"/>
    </row>
    <row r="323" spans="1:10" ht="12.75">
      <c r="A323" s="5"/>
      <c r="D323" s="75"/>
      <c r="E323" s="75"/>
      <c r="F323" s="75"/>
      <c r="G323" s="75"/>
      <c r="H323" s="75"/>
      <c r="I323" s="75"/>
      <c r="J323" s="75"/>
    </row>
    <row r="324" spans="1:10" ht="12.75">
      <c r="A324" s="5"/>
      <c r="D324" s="75"/>
      <c r="E324" s="75"/>
      <c r="F324" s="75"/>
      <c r="G324" s="75"/>
      <c r="H324" s="75"/>
      <c r="I324" s="75"/>
      <c r="J324" s="75"/>
    </row>
    <row r="325" spans="1:10" ht="12.75">
      <c r="A325" s="5"/>
      <c r="D325" s="75"/>
      <c r="E325" s="75"/>
      <c r="F325" s="75"/>
      <c r="G325" s="75"/>
      <c r="H325" s="75"/>
      <c r="I325" s="75"/>
      <c r="J325" s="75"/>
    </row>
    <row r="326" spans="1:10" ht="12.75">
      <c r="A326" s="5"/>
      <c r="D326" s="75"/>
      <c r="E326" s="75"/>
      <c r="F326" s="75"/>
      <c r="G326" s="75"/>
      <c r="H326" s="75"/>
      <c r="I326" s="75"/>
      <c r="J326" s="75"/>
    </row>
    <row r="327" spans="1:10" ht="12.75">
      <c r="A327" s="5"/>
      <c r="D327" s="75"/>
      <c r="E327" s="75"/>
      <c r="F327" s="75"/>
      <c r="G327" s="75"/>
      <c r="H327" s="75"/>
      <c r="I327" s="75"/>
      <c r="J327" s="75"/>
    </row>
    <row r="328" spans="1:10" ht="12.75">
      <c r="A328" s="5"/>
      <c r="D328" s="75"/>
      <c r="E328" s="75"/>
      <c r="F328" s="75"/>
      <c r="G328" s="75"/>
      <c r="H328" s="75"/>
      <c r="I328" s="75"/>
      <c r="J328" s="75"/>
    </row>
    <row r="329" spans="1:10" ht="12.75">
      <c r="A329" s="5"/>
      <c r="D329" s="75"/>
      <c r="E329" s="75"/>
      <c r="F329" s="75"/>
      <c r="G329" s="75"/>
      <c r="H329" s="75"/>
      <c r="I329" s="75"/>
      <c r="J329" s="75"/>
    </row>
    <row r="330" spans="1:10" ht="12.75">
      <c r="A330" s="5"/>
      <c r="D330" s="75"/>
      <c r="E330" s="75"/>
      <c r="F330" s="75"/>
      <c r="G330" s="75"/>
      <c r="H330" s="75"/>
      <c r="I330" s="75"/>
      <c r="J330" s="75"/>
    </row>
    <row r="331" spans="1:10" ht="12.75">
      <c r="A331" s="5"/>
      <c r="D331" s="75"/>
      <c r="E331" s="75"/>
      <c r="F331" s="75"/>
      <c r="G331" s="75"/>
      <c r="H331" s="75"/>
      <c r="I331" s="75"/>
      <c r="J331" s="75"/>
    </row>
    <row r="332" spans="1:10" ht="12.75">
      <c r="A332" s="5"/>
      <c r="D332" s="75"/>
      <c r="E332" s="75"/>
      <c r="F332" s="75"/>
      <c r="G332" s="75"/>
      <c r="H332" s="75"/>
      <c r="I332" s="75"/>
      <c r="J332" s="75"/>
    </row>
    <row r="333" spans="1:10" ht="12.75">
      <c r="A333" s="5"/>
      <c r="D333" s="75"/>
      <c r="E333" s="75"/>
      <c r="F333" s="75"/>
      <c r="G333" s="75"/>
      <c r="H333" s="75"/>
      <c r="I333" s="75"/>
      <c r="J333" s="75"/>
    </row>
    <row r="334" spans="1:10" ht="12.75">
      <c r="A334" s="5"/>
      <c r="D334" s="75"/>
      <c r="E334" s="75"/>
      <c r="F334" s="75"/>
      <c r="G334" s="75"/>
      <c r="H334" s="75"/>
      <c r="I334" s="75"/>
      <c r="J334" s="75"/>
    </row>
    <row r="335" spans="1:10" ht="12.75">
      <c r="A335" s="5"/>
      <c r="D335" s="75"/>
      <c r="E335" s="75"/>
      <c r="F335" s="75"/>
      <c r="G335" s="75"/>
      <c r="H335" s="75"/>
      <c r="I335" s="75"/>
      <c r="J335" s="75"/>
    </row>
    <row r="336" spans="1:10" ht="12.75">
      <c r="A336" s="5"/>
      <c r="D336" s="75"/>
      <c r="E336" s="75"/>
      <c r="F336" s="75"/>
      <c r="G336" s="75"/>
      <c r="H336" s="75"/>
      <c r="I336" s="75"/>
      <c r="J336" s="75"/>
    </row>
    <row r="337" spans="1:10" ht="12.75">
      <c r="A337" s="5"/>
      <c r="D337" s="75"/>
      <c r="E337" s="75"/>
      <c r="F337" s="75"/>
      <c r="G337" s="75"/>
      <c r="H337" s="75"/>
      <c r="I337" s="75"/>
      <c r="J337" s="75"/>
    </row>
    <row r="338" spans="1:10" ht="12.75">
      <c r="A338" s="5"/>
      <c r="D338" s="75"/>
      <c r="E338" s="75"/>
      <c r="F338" s="75"/>
      <c r="G338" s="75"/>
      <c r="H338" s="75"/>
      <c r="I338" s="75"/>
      <c r="J338" s="75"/>
    </row>
    <row r="339" spans="1:10" ht="12.75">
      <c r="A339" s="5"/>
      <c r="D339" s="75"/>
      <c r="E339" s="75"/>
      <c r="F339" s="75"/>
      <c r="G339" s="75"/>
      <c r="H339" s="75"/>
      <c r="I339" s="75"/>
      <c r="J339" s="75"/>
    </row>
    <row r="340" spans="1:10" ht="12.75">
      <c r="A340" s="5"/>
      <c r="D340" s="75"/>
      <c r="E340" s="75"/>
      <c r="F340" s="75"/>
      <c r="G340" s="75"/>
      <c r="H340" s="75"/>
      <c r="I340" s="75"/>
      <c r="J340" s="75"/>
    </row>
    <row r="341" spans="1:10" ht="12.75">
      <c r="A341" s="5"/>
      <c r="D341" s="75"/>
      <c r="E341" s="75"/>
      <c r="F341" s="75"/>
      <c r="G341" s="75"/>
      <c r="H341" s="75"/>
      <c r="I341" s="75"/>
      <c r="J341" s="75"/>
    </row>
    <row r="342" spans="1:10" ht="12.75">
      <c r="A342" s="5"/>
      <c r="D342" s="75"/>
      <c r="E342" s="75"/>
      <c r="F342" s="75"/>
      <c r="G342" s="75"/>
      <c r="H342" s="75"/>
      <c r="I342" s="75"/>
      <c r="J342" s="75"/>
    </row>
    <row r="343" spans="1:10" ht="12.75">
      <c r="A343" s="5"/>
      <c r="D343" s="75"/>
      <c r="E343" s="75"/>
      <c r="F343" s="75"/>
      <c r="G343" s="75"/>
      <c r="H343" s="75"/>
      <c r="I343" s="75"/>
      <c r="J343" s="75"/>
    </row>
    <row r="344" spans="1:10" ht="12.75">
      <c r="A344" s="5"/>
      <c r="D344" s="75"/>
      <c r="E344" s="75"/>
      <c r="F344" s="75"/>
      <c r="G344" s="75"/>
      <c r="H344" s="75"/>
      <c r="I344" s="75"/>
      <c r="J344" s="75"/>
    </row>
    <row r="345" spans="1:10" ht="12.75">
      <c r="A345" s="5"/>
      <c r="D345" s="75"/>
      <c r="E345" s="75"/>
      <c r="F345" s="75"/>
      <c r="G345" s="75"/>
      <c r="H345" s="75"/>
      <c r="I345" s="75"/>
      <c r="J345" s="75"/>
    </row>
    <row r="346" spans="1:10" ht="12.75">
      <c r="A346" s="5"/>
      <c r="D346" s="75"/>
      <c r="E346" s="75"/>
      <c r="F346" s="75"/>
      <c r="G346" s="75"/>
      <c r="H346" s="75"/>
      <c r="I346" s="75"/>
      <c r="J346" s="75"/>
    </row>
    <row r="347" spans="1:10" ht="12.75">
      <c r="A347" s="5"/>
      <c r="D347" s="75"/>
      <c r="E347" s="75"/>
      <c r="F347" s="75"/>
      <c r="G347" s="75"/>
      <c r="H347" s="75"/>
      <c r="I347" s="75"/>
      <c r="J347" s="75"/>
    </row>
    <row r="348" spans="1:10" ht="12.75">
      <c r="A348" s="5"/>
      <c r="D348" s="75"/>
      <c r="E348" s="75"/>
      <c r="F348" s="75"/>
      <c r="G348" s="75"/>
      <c r="H348" s="75"/>
      <c r="I348" s="75"/>
      <c r="J348" s="75"/>
    </row>
    <row r="349" spans="1:10" ht="12.75">
      <c r="A349" s="5"/>
      <c r="D349" s="75"/>
      <c r="E349" s="75"/>
      <c r="F349" s="75"/>
      <c r="G349" s="75"/>
      <c r="H349" s="75"/>
      <c r="I349" s="75"/>
      <c r="J349" s="75"/>
    </row>
    <row r="350" spans="1:10" ht="12.75">
      <c r="A350" s="5"/>
      <c r="D350" s="75"/>
      <c r="E350" s="75"/>
      <c r="F350" s="75"/>
      <c r="G350" s="75"/>
      <c r="H350" s="75"/>
      <c r="I350" s="75"/>
      <c r="J350" s="75"/>
    </row>
    <row r="351" spans="1:10" ht="12.75">
      <c r="A351" s="5"/>
      <c r="D351" s="75"/>
      <c r="E351" s="75"/>
      <c r="F351" s="75"/>
      <c r="G351" s="75"/>
      <c r="H351" s="75"/>
      <c r="I351" s="75"/>
      <c r="J351" s="75"/>
    </row>
    <row r="352" spans="1:10" ht="12.75">
      <c r="A352" s="5"/>
      <c r="D352" s="75"/>
      <c r="E352" s="75"/>
      <c r="F352" s="75"/>
      <c r="G352" s="75"/>
      <c r="H352" s="75"/>
      <c r="I352" s="75"/>
      <c r="J352" s="75"/>
    </row>
    <row r="353" spans="1:10" ht="12.75">
      <c r="A353" s="5"/>
      <c r="D353" s="75"/>
      <c r="E353" s="75"/>
      <c r="F353" s="75"/>
      <c r="G353" s="75"/>
      <c r="H353" s="75"/>
      <c r="I353" s="75"/>
      <c r="J353" s="75"/>
    </row>
    <row r="354" spans="1:10" ht="12.75">
      <c r="A354" s="5"/>
      <c r="D354" s="75"/>
      <c r="E354" s="75"/>
      <c r="F354" s="75"/>
      <c r="G354" s="75"/>
      <c r="H354" s="75"/>
      <c r="I354" s="75"/>
      <c r="J354" s="75"/>
    </row>
    <row r="355" spans="1:10" ht="12.75">
      <c r="A355" s="5"/>
      <c r="D355" s="75"/>
      <c r="E355" s="75"/>
      <c r="F355" s="75"/>
      <c r="G355" s="75"/>
      <c r="H355" s="75"/>
      <c r="I355" s="75"/>
      <c r="J355" s="75"/>
    </row>
    <row r="356" spans="1:10" ht="12.75">
      <c r="A356" s="5"/>
      <c r="D356" s="75"/>
      <c r="E356" s="75"/>
      <c r="F356" s="75"/>
      <c r="G356" s="75"/>
      <c r="H356" s="75"/>
      <c r="I356" s="75"/>
      <c r="J356" s="75"/>
    </row>
    <row r="357" spans="1:10" ht="12.75">
      <c r="A357" s="5"/>
      <c r="D357" s="75"/>
      <c r="E357" s="75"/>
      <c r="F357" s="75"/>
      <c r="G357" s="75"/>
      <c r="H357" s="75"/>
      <c r="I357" s="75"/>
      <c r="J357" s="75"/>
    </row>
    <row r="358" spans="1:10" ht="12.75">
      <c r="A358" s="5"/>
      <c r="D358" s="75"/>
      <c r="E358" s="75"/>
      <c r="F358" s="75"/>
      <c r="G358" s="75"/>
      <c r="H358" s="75"/>
      <c r="I358" s="75"/>
      <c r="J358" s="75"/>
    </row>
    <row r="359" spans="1:10" ht="12.75">
      <c r="A359" s="5"/>
      <c r="D359" s="75"/>
      <c r="E359" s="75"/>
      <c r="F359" s="75"/>
      <c r="G359" s="75"/>
      <c r="H359" s="75"/>
      <c r="I359" s="75"/>
      <c r="J359" s="75"/>
    </row>
    <row r="360" spans="1:10" ht="12.75">
      <c r="A360" s="5"/>
      <c r="D360" s="75"/>
      <c r="E360" s="75"/>
      <c r="F360" s="75"/>
      <c r="G360" s="75"/>
      <c r="H360" s="75"/>
      <c r="I360" s="75"/>
      <c r="J360" s="75"/>
    </row>
    <row r="361" spans="1:10" ht="12.75">
      <c r="A361" s="5"/>
      <c r="D361" s="75"/>
      <c r="E361" s="75"/>
      <c r="F361" s="75"/>
      <c r="G361" s="75"/>
      <c r="H361" s="75"/>
      <c r="I361" s="75"/>
      <c r="J361" s="75"/>
    </row>
    <row r="362" spans="1:10" ht="12.75">
      <c r="A362" s="5"/>
      <c r="D362" s="75"/>
      <c r="E362" s="75"/>
      <c r="F362" s="75"/>
      <c r="G362" s="75"/>
      <c r="H362" s="75"/>
      <c r="I362" s="75"/>
      <c r="J362" s="75"/>
    </row>
    <row r="363" spans="1:10" ht="12.75">
      <c r="A363" s="5"/>
      <c r="D363" s="75"/>
      <c r="E363" s="75"/>
      <c r="F363" s="75"/>
      <c r="G363" s="75"/>
      <c r="H363" s="75"/>
      <c r="I363" s="75"/>
      <c r="J363" s="75"/>
    </row>
    <row r="364" spans="1:10" ht="12.75">
      <c r="A364" s="5"/>
      <c r="D364" s="75"/>
      <c r="E364" s="75"/>
      <c r="F364" s="75"/>
      <c r="G364" s="75"/>
      <c r="H364" s="75"/>
      <c r="I364" s="75"/>
      <c r="J364" s="75"/>
    </row>
    <row r="365" spans="1:10" ht="12.75">
      <c r="A365" s="5"/>
      <c r="D365" s="75"/>
      <c r="E365" s="75"/>
      <c r="F365" s="75"/>
      <c r="G365" s="75"/>
      <c r="H365" s="75"/>
      <c r="I365" s="75"/>
      <c r="J365" s="75"/>
    </row>
    <row r="366" spans="1:10" ht="12.75">
      <c r="A366" s="5"/>
      <c r="D366" s="75"/>
      <c r="E366" s="75"/>
      <c r="F366" s="75"/>
      <c r="G366" s="75"/>
      <c r="H366" s="75"/>
      <c r="I366" s="75"/>
      <c r="J366" s="75"/>
    </row>
    <row r="367" spans="1:10" ht="12.75">
      <c r="A367" s="5"/>
      <c r="D367" s="75"/>
      <c r="E367" s="75"/>
      <c r="F367" s="75"/>
      <c r="G367" s="75"/>
      <c r="H367" s="75"/>
      <c r="I367" s="75"/>
      <c r="J367" s="75"/>
    </row>
    <row r="368" spans="1:10" ht="12.75">
      <c r="A368" s="5"/>
      <c r="D368" s="75"/>
      <c r="E368" s="75"/>
      <c r="F368" s="75"/>
      <c r="G368" s="75"/>
      <c r="H368" s="75"/>
      <c r="I368" s="75"/>
      <c r="J368" s="75"/>
    </row>
    <row r="369" spans="1:10" ht="12.75">
      <c r="A369" s="5"/>
      <c r="D369" s="75"/>
      <c r="E369" s="75"/>
      <c r="F369" s="75"/>
      <c r="G369" s="75"/>
      <c r="H369" s="75"/>
      <c r="I369" s="75"/>
      <c r="J369" s="75"/>
    </row>
    <row r="370" spans="1:10" ht="12.75">
      <c r="A370" s="5"/>
      <c r="D370" s="75"/>
      <c r="E370" s="75"/>
      <c r="F370" s="75"/>
      <c r="G370" s="75"/>
      <c r="H370" s="75"/>
      <c r="I370" s="75"/>
      <c r="J370" s="75"/>
    </row>
    <row r="371" spans="1:10" ht="12.75">
      <c r="A371" s="5"/>
      <c r="D371" s="75"/>
      <c r="E371" s="75"/>
      <c r="F371" s="75"/>
      <c r="G371" s="75"/>
      <c r="H371" s="75"/>
      <c r="I371" s="75"/>
      <c r="J371" s="75"/>
    </row>
    <row r="372" spans="1:10" ht="12.75">
      <c r="A372" s="5"/>
      <c r="D372" s="75"/>
      <c r="E372" s="75"/>
      <c r="F372" s="75"/>
      <c r="G372" s="75"/>
      <c r="H372" s="75"/>
      <c r="I372" s="75"/>
      <c r="J372" s="75"/>
    </row>
    <row r="373" spans="1:10" ht="12.75">
      <c r="A373" s="5"/>
      <c r="D373" s="75"/>
      <c r="E373" s="75"/>
      <c r="F373" s="75"/>
      <c r="G373" s="75"/>
      <c r="H373" s="75"/>
      <c r="I373" s="75"/>
      <c r="J373" s="75"/>
    </row>
    <row r="374" spans="1:10" ht="12.75">
      <c r="A374" s="5"/>
      <c r="D374" s="75"/>
      <c r="E374" s="75"/>
      <c r="F374" s="75"/>
      <c r="G374" s="75"/>
      <c r="H374" s="75"/>
      <c r="I374" s="75"/>
      <c r="J374" s="75"/>
    </row>
    <row r="375" spans="1:10" ht="12.75">
      <c r="A375" s="5"/>
      <c r="D375" s="75"/>
      <c r="E375" s="75"/>
      <c r="F375" s="75"/>
      <c r="G375" s="75"/>
      <c r="H375" s="75"/>
      <c r="I375" s="75"/>
      <c r="J375" s="75"/>
    </row>
    <row r="376" spans="1:10" ht="12.75">
      <c r="A376" s="5"/>
      <c r="D376" s="75"/>
      <c r="E376" s="75"/>
      <c r="F376" s="75"/>
      <c r="G376" s="75"/>
      <c r="H376" s="75"/>
      <c r="I376" s="75"/>
      <c r="J376" s="75"/>
    </row>
    <row r="377" spans="1:10" ht="12.75">
      <c r="A377" s="5"/>
      <c r="D377" s="75"/>
      <c r="E377" s="75"/>
      <c r="F377" s="75"/>
      <c r="G377" s="75"/>
      <c r="H377" s="75"/>
      <c r="I377" s="75"/>
      <c r="J377" s="75"/>
    </row>
    <row r="378" spans="1:10" ht="12.75">
      <c r="A378" s="5"/>
      <c r="D378" s="75"/>
      <c r="E378" s="75"/>
      <c r="F378" s="75"/>
      <c r="G378" s="75"/>
      <c r="H378" s="75"/>
      <c r="I378" s="75"/>
      <c r="J378" s="75"/>
    </row>
    <row r="379" spans="1:10" ht="12.75">
      <c r="A379" s="5"/>
      <c r="D379" s="75"/>
      <c r="E379" s="75"/>
      <c r="F379" s="75"/>
      <c r="G379" s="75"/>
      <c r="H379" s="75"/>
      <c r="I379" s="75"/>
      <c r="J379" s="75"/>
    </row>
    <row r="380" spans="1:10" ht="12.75">
      <c r="A380" s="5"/>
      <c r="D380" s="75"/>
      <c r="E380" s="75"/>
      <c r="F380" s="75"/>
      <c r="G380" s="75"/>
      <c r="H380" s="75"/>
      <c r="I380" s="75"/>
      <c r="J380" s="75"/>
    </row>
    <row r="381" spans="1:10" ht="12.75">
      <c r="A381" s="5"/>
      <c r="D381" s="75"/>
      <c r="E381" s="75"/>
      <c r="F381" s="75"/>
      <c r="G381" s="75"/>
      <c r="H381" s="75"/>
      <c r="I381" s="75"/>
      <c r="J381" s="75"/>
    </row>
    <row r="382" spans="1:10" ht="12.75">
      <c r="A382" s="5"/>
      <c r="D382" s="75"/>
      <c r="E382" s="75"/>
      <c r="F382" s="75"/>
      <c r="G382" s="75"/>
      <c r="H382" s="75"/>
      <c r="I382" s="75"/>
      <c r="J382" s="75"/>
    </row>
    <row r="383" spans="1:10" ht="12.75">
      <c r="A383" s="5"/>
      <c r="D383" s="75"/>
      <c r="E383" s="75"/>
      <c r="F383" s="75"/>
      <c r="G383" s="75"/>
      <c r="H383" s="75"/>
      <c r="I383" s="75"/>
      <c r="J383" s="75"/>
    </row>
    <row r="384" spans="1:10" ht="12.75">
      <c r="A384" s="5"/>
      <c r="D384" s="75"/>
      <c r="E384" s="75"/>
      <c r="F384" s="75"/>
      <c r="G384" s="75"/>
      <c r="H384" s="75"/>
      <c r="I384" s="75"/>
      <c r="J384" s="75"/>
    </row>
    <row r="385" spans="1:10" ht="12.75">
      <c r="A385" s="5"/>
      <c r="D385" s="75"/>
      <c r="E385" s="75"/>
      <c r="F385" s="75"/>
      <c r="G385" s="75"/>
      <c r="H385" s="75"/>
      <c r="I385" s="75"/>
      <c r="J385" s="75"/>
    </row>
    <row r="386" spans="1:10" ht="12.75">
      <c r="A386" s="5"/>
      <c r="D386" s="75"/>
      <c r="E386" s="75"/>
      <c r="F386" s="75"/>
      <c r="G386" s="75"/>
      <c r="H386" s="75"/>
      <c r="I386" s="75"/>
      <c r="J386" s="75"/>
    </row>
    <row r="387" spans="1:10" ht="12.75">
      <c r="A387" s="5"/>
      <c r="D387" s="75"/>
      <c r="E387" s="75"/>
      <c r="F387" s="75"/>
      <c r="G387" s="75"/>
      <c r="H387" s="75"/>
      <c r="I387" s="75"/>
      <c r="J387" s="75"/>
    </row>
    <row r="388" spans="1:10" ht="12.75">
      <c r="A388" s="5"/>
      <c r="D388" s="75"/>
      <c r="E388" s="75"/>
      <c r="F388" s="75"/>
      <c r="G388" s="75"/>
      <c r="H388" s="75"/>
      <c r="I388" s="75"/>
      <c r="J388" s="75"/>
    </row>
    <row r="389" spans="1:10" ht="12.75">
      <c r="A389" s="5"/>
      <c r="D389" s="75"/>
      <c r="E389" s="75"/>
      <c r="F389" s="75"/>
      <c r="G389" s="75"/>
      <c r="H389" s="75"/>
      <c r="I389" s="75"/>
      <c r="J389" s="75"/>
    </row>
    <row r="390" spans="1:10" ht="12.75">
      <c r="A390" s="5"/>
      <c r="D390" s="75"/>
      <c r="E390" s="75"/>
      <c r="F390" s="75"/>
      <c r="G390" s="75"/>
      <c r="H390" s="75"/>
      <c r="I390" s="75"/>
      <c r="J390" s="75"/>
    </row>
    <row r="391" spans="1:10" ht="12.75">
      <c r="A391" s="5"/>
      <c r="D391" s="75"/>
      <c r="E391" s="75"/>
      <c r="F391" s="75"/>
      <c r="G391" s="75"/>
      <c r="H391" s="75"/>
      <c r="I391" s="75"/>
      <c r="J391" s="75"/>
    </row>
    <row r="392" spans="1:10" ht="12.75">
      <c r="A392" s="5"/>
      <c r="D392" s="75"/>
      <c r="E392" s="75"/>
      <c r="F392" s="75"/>
      <c r="G392" s="75"/>
      <c r="H392" s="75"/>
      <c r="I392" s="75"/>
      <c r="J392" s="75"/>
    </row>
    <row r="393" spans="1:10" ht="12.75">
      <c r="A393" s="5"/>
      <c r="D393" s="75"/>
      <c r="E393" s="75"/>
      <c r="F393" s="75"/>
      <c r="G393" s="75"/>
      <c r="H393" s="75"/>
      <c r="I393" s="75"/>
      <c r="J393" s="75"/>
    </row>
    <row r="394" spans="1:10" ht="12.75">
      <c r="A394" s="5"/>
      <c r="D394" s="75"/>
      <c r="E394" s="75"/>
      <c r="F394" s="75"/>
      <c r="G394" s="75"/>
      <c r="H394" s="75"/>
      <c r="I394" s="75"/>
      <c r="J394" s="75"/>
    </row>
    <row r="395" spans="1:10" ht="12.75">
      <c r="A395" s="5"/>
      <c r="D395" s="75"/>
      <c r="E395" s="75"/>
      <c r="F395" s="75"/>
      <c r="G395" s="75"/>
      <c r="H395" s="75"/>
      <c r="I395" s="75"/>
      <c r="J395" s="75"/>
    </row>
    <row r="396" spans="1:10" ht="12.75">
      <c r="A396" s="5"/>
      <c r="D396" s="75"/>
      <c r="E396" s="75"/>
      <c r="F396" s="75"/>
      <c r="G396" s="75"/>
      <c r="H396" s="75"/>
      <c r="I396" s="75"/>
      <c r="J396" s="75"/>
    </row>
    <row r="397" spans="1:10" ht="12.75">
      <c r="A397" s="5"/>
      <c r="D397" s="75"/>
      <c r="E397" s="75"/>
      <c r="F397" s="75"/>
      <c r="G397" s="75"/>
      <c r="H397" s="75"/>
      <c r="I397" s="75"/>
      <c r="J397" s="75"/>
    </row>
    <row r="398" spans="1:10" ht="12.75">
      <c r="A398" s="5"/>
      <c r="D398" s="75"/>
      <c r="E398" s="75"/>
      <c r="F398" s="75"/>
      <c r="G398" s="75"/>
      <c r="H398" s="75"/>
      <c r="I398" s="75"/>
      <c r="J398" s="75"/>
    </row>
    <row r="399" spans="1:10" ht="12.75">
      <c r="A399" s="5"/>
      <c r="D399" s="75"/>
      <c r="E399" s="75"/>
      <c r="F399" s="75"/>
      <c r="G399" s="75"/>
      <c r="H399" s="75"/>
      <c r="I399" s="75"/>
      <c r="J399" s="75"/>
    </row>
    <row r="400" spans="1:10" ht="12.75">
      <c r="A400" s="5"/>
      <c r="D400" s="75"/>
      <c r="E400" s="75"/>
      <c r="F400" s="75"/>
      <c r="G400" s="75"/>
      <c r="H400" s="75"/>
      <c r="I400" s="75"/>
      <c r="J400" s="75"/>
    </row>
    <row r="401" spans="1:10" ht="12.75">
      <c r="A401" s="5"/>
      <c r="D401" s="75"/>
      <c r="E401" s="75"/>
      <c r="F401" s="75"/>
      <c r="G401" s="75"/>
      <c r="H401" s="75"/>
      <c r="I401" s="75"/>
      <c r="J401" s="75"/>
    </row>
    <row r="402" spans="1:10" ht="12.75">
      <c r="A402" s="5"/>
      <c r="D402" s="75"/>
      <c r="E402" s="75"/>
      <c r="F402" s="75"/>
      <c r="G402" s="75"/>
      <c r="H402" s="75"/>
      <c r="I402" s="75"/>
      <c r="J402" s="75"/>
    </row>
    <row r="403" spans="1:10" ht="12.75">
      <c r="A403" s="5"/>
      <c r="D403" s="75"/>
      <c r="E403" s="75"/>
      <c r="F403" s="75"/>
      <c r="G403" s="75"/>
      <c r="H403" s="75"/>
      <c r="I403" s="75"/>
      <c r="J403" s="75"/>
    </row>
    <row r="404" spans="1:10" ht="12.75">
      <c r="A404" s="5"/>
      <c r="D404" s="75"/>
      <c r="E404" s="75"/>
      <c r="F404" s="75"/>
      <c r="G404" s="75"/>
      <c r="H404" s="75"/>
      <c r="I404" s="75"/>
      <c r="J404" s="75"/>
    </row>
    <row r="405" spans="1:10" ht="12.75">
      <c r="A405" s="5"/>
      <c r="D405" s="75"/>
      <c r="E405" s="75"/>
      <c r="F405" s="75"/>
      <c r="G405" s="75"/>
      <c r="H405" s="75"/>
      <c r="I405" s="75"/>
      <c r="J405" s="75"/>
    </row>
    <row r="406" spans="1:10" ht="12.75">
      <c r="A406" s="5"/>
      <c r="D406" s="75"/>
      <c r="E406" s="75"/>
      <c r="F406" s="75"/>
      <c r="G406" s="75"/>
      <c r="H406" s="75"/>
      <c r="I406" s="75"/>
      <c r="J406" s="75"/>
    </row>
    <row r="407" spans="1:10" ht="12.75">
      <c r="A407" s="5"/>
      <c r="D407" s="75"/>
      <c r="E407" s="75"/>
      <c r="F407" s="75"/>
      <c r="G407" s="75"/>
      <c r="H407" s="75"/>
      <c r="I407" s="75"/>
      <c r="J407" s="75"/>
    </row>
    <row r="408" spans="1:10" ht="12.75">
      <c r="A408" s="5"/>
      <c r="D408" s="75"/>
      <c r="E408" s="75"/>
      <c r="F408" s="75"/>
      <c r="G408" s="75"/>
      <c r="H408" s="75"/>
      <c r="I408" s="75"/>
      <c r="J408" s="75"/>
    </row>
    <row r="409" spans="1:10" ht="12.75">
      <c r="A409" s="5"/>
      <c r="D409" s="75"/>
      <c r="E409" s="75"/>
      <c r="F409" s="75"/>
      <c r="G409" s="75"/>
      <c r="H409" s="75"/>
      <c r="I409" s="75"/>
      <c r="J409" s="75"/>
    </row>
    <row r="410" spans="1:10" ht="12.75">
      <c r="A410" s="5"/>
      <c r="D410" s="75"/>
      <c r="E410" s="75"/>
      <c r="F410" s="75"/>
      <c r="G410" s="75"/>
      <c r="H410" s="75"/>
      <c r="I410" s="75"/>
      <c r="J410" s="75"/>
    </row>
    <row r="411" spans="1:10" ht="12.75">
      <c r="A411" s="5"/>
      <c r="D411" s="75"/>
      <c r="E411" s="75"/>
      <c r="F411" s="75"/>
      <c r="G411" s="75"/>
      <c r="H411" s="75"/>
      <c r="I411" s="75"/>
      <c r="J411" s="75"/>
    </row>
    <row r="412" spans="1:10" ht="12.75">
      <c r="A412" s="5"/>
      <c r="D412" s="75"/>
      <c r="E412" s="75"/>
      <c r="F412" s="75"/>
      <c r="G412" s="75"/>
      <c r="H412" s="75"/>
      <c r="I412" s="75"/>
      <c r="J412" s="75"/>
    </row>
    <row r="413" spans="1:10" ht="12.75">
      <c r="A413" s="5"/>
      <c r="D413" s="75"/>
      <c r="E413" s="75"/>
      <c r="F413" s="75"/>
      <c r="G413" s="75"/>
      <c r="H413" s="75"/>
      <c r="I413" s="75"/>
      <c r="J413" s="75"/>
    </row>
    <row r="414" spans="1:10" ht="12.75">
      <c r="A414" s="5"/>
      <c r="D414" s="75"/>
      <c r="E414" s="75"/>
      <c r="F414" s="75"/>
      <c r="G414" s="75"/>
      <c r="H414" s="75"/>
      <c r="I414" s="75"/>
      <c r="J414" s="75"/>
    </row>
    <row r="415" spans="1:10" ht="12.75">
      <c r="A415" s="5"/>
      <c r="D415" s="75"/>
      <c r="E415" s="75"/>
      <c r="F415" s="75"/>
      <c r="G415" s="75"/>
      <c r="H415" s="75"/>
      <c r="I415" s="75"/>
      <c r="J415" s="75"/>
    </row>
    <row r="416" spans="1:10" ht="12.75">
      <c r="A416" s="5"/>
      <c r="D416" s="75"/>
      <c r="E416" s="75"/>
      <c r="F416" s="75"/>
      <c r="G416" s="75"/>
      <c r="H416" s="75"/>
      <c r="I416" s="75"/>
      <c r="J416" s="75"/>
    </row>
    <row r="417" spans="1:10" ht="12.75">
      <c r="A417" s="5"/>
      <c r="D417" s="75"/>
      <c r="E417" s="75"/>
      <c r="F417" s="75"/>
      <c r="G417" s="75"/>
      <c r="H417" s="75"/>
      <c r="I417" s="75"/>
      <c r="J417" s="75"/>
    </row>
    <row r="418" spans="1:10" ht="12.75">
      <c r="A418" s="5"/>
      <c r="D418" s="75"/>
      <c r="E418" s="75"/>
      <c r="F418" s="75"/>
      <c r="G418" s="75"/>
      <c r="H418" s="75"/>
      <c r="I418" s="75"/>
      <c r="J418" s="75"/>
    </row>
    <row r="419" spans="1:10" ht="12.75">
      <c r="A419" s="5"/>
      <c r="D419" s="75"/>
      <c r="E419" s="75"/>
      <c r="F419" s="75"/>
      <c r="G419" s="75"/>
      <c r="H419" s="75"/>
      <c r="I419" s="75"/>
      <c r="J419" s="75"/>
    </row>
    <row r="420" spans="1:10" ht="12.75">
      <c r="A420" s="5"/>
      <c r="D420" s="75"/>
      <c r="E420" s="75"/>
      <c r="F420" s="75"/>
      <c r="G420" s="75"/>
      <c r="H420" s="75"/>
      <c r="I420" s="75"/>
      <c r="J420" s="75"/>
    </row>
    <row r="421" spans="1:10" ht="12.75">
      <c r="A421" s="5"/>
      <c r="D421" s="75"/>
      <c r="E421" s="75"/>
      <c r="F421" s="75"/>
      <c r="G421" s="75"/>
      <c r="H421" s="75"/>
      <c r="I421" s="75"/>
      <c r="J421" s="75"/>
    </row>
    <row r="422" spans="1:10" ht="12.75">
      <c r="A422" s="5"/>
      <c r="D422" s="75"/>
      <c r="E422" s="75"/>
      <c r="F422" s="75"/>
      <c r="G422" s="75"/>
      <c r="H422" s="75"/>
      <c r="I422" s="75"/>
      <c r="J422" s="75"/>
    </row>
    <row r="423" spans="1:10" ht="12.75">
      <c r="A423" s="5"/>
      <c r="D423" s="75"/>
      <c r="E423" s="75"/>
      <c r="F423" s="75"/>
      <c r="G423" s="75"/>
      <c r="H423" s="75"/>
      <c r="I423" s="75"/>
      <c r="J423" s="75"/>
    </row>
    <row r="424" spans="1:10" ht="12.75">
      <c r="A424" s="5"/>
      <c r="D424" s="75"/>
      <c r="E424" s="75"/>
      <c r="F424" s="75"/>
      <c r="G424" s="75"/>
      <c r="H424" s="75"/>
      <c r="I424" s="75"/>
      <c r="J424" s="75"/>
    </row>
    <row r="425" spans="1:10" ht="12.75">
      <c r="A425" s="5"/>
      <c r="D425" s="75"/>
      <c r="E425" s="75"/>
      <c r="F425" s="75"/>
      <c r="G425" s="75"/>
      <c r="H425" s="75"/>
      <c r="I425" s="75"/>
      <c r="J425" s="75"/>
    </row>
    <row r="426" spans="1:10" ht="12.75">
      <c r="A426" s="5"/>
      <c r="D426" s="75"/>
      <c r="E426" s="75"/>
      <c r="F426" s="75"/>
      <c r="G426" s="75"/>
      <c r="H426" s="75"/>
      <c r="I426" s="75"/>
      <c r="J426" s="75"/>
    </row>
    <row r="427" spans="1:10" ht="12.75">
      <c r="A427" s="5"/>
      <c r="D427" s="75"/>
      <c r="E427" s="75"/>
      <c r="F427" s="75"/>
      <c r="G427" s="75"/>
      <c r="H427" s="75"/>
      <c r="I427" s="75"/>
      <c r="J427" s="75"/>
    </row>
    <row r="428" spans="1:10" ht="12.75">
      <c r="A428" s="5"/>
      <c r="D428" s="75"/>
      <c r="E428" s="75"/>
      <c r="F428" s="75"/>
      <c r="G428" s="75"/>
      <c r="H428" s="75"/>
      <c r="I428" s="75"/>
      <c r="J428" s="75"/>
    </row>
    <row r="429" spans="1:10" ht="12.75">
      <c r="A429" s="5"/>
      <c r="D429" s="75"/>
      <c r="E429" s="75"/>
      <c r="F429" s="75"/>
      <c r="G429" s="75"/>
      <c r="H429" s="75"/>
      <c r="I429" s="75"/>
      <c r="J429" s="75"/>
    </row>
    <row r="430" spans="1:10" ht="12.75">
      <c r="A430" s="5"/>
      <c r="D430" s="75"/>
      <c r="E430" s="75"/>
      <c r="F430" s="75"/>
      <c r="G430" s="75"/>
      <c r="H430" s="75"/>
      <c r="I430" s="75"/>
      <c r="J430" s="75"/>
    </row>
    <row r="431" spans="1:10" ht="12.75">
      <c r="A431" s="5"/>
      <c r="D431" s="75"/>
      <c r="E431" s="75"/>
      <c r="F431" s="75"/>
      <c r="G431" s="75"/>
      <c r="H431" s="75"/>
      <c r="I431" s="75"/>
      <c r="J431" s="75"/>
    </row>
    <row r="432" spans="1:10" ht="12.75">
      <c r="A432" s="5"/>
      <c r="D432" s="75"/>
      <c r="E432" s="75"/>
      <c r="F432" s="75"/>
      <c r="G432" s="75"/>
      <c r="H432" s="75"/>
      <c r="I432" s="75"/>
      <c r="J432" s="75"/>
    </row>
    <row r="433" spans="1:10" ht="12.75">
      <c r="A433" s="5"/>
      <c r="D433" s="75"/>
      <c r="E433" s="75"/>
      <c r="F433" s="75"/>
      <c r="G433" s="75"/>
      <c r="H433" s="75"/>
      <c r="I433" s="75"/>
      <c r="J433" s="75"/>
    </row>
    <row r="434" spans="1:10" ht="12.75">
      <c r="A434" s="5"/>
      <c r="D434" s="75"/>
      <c r="E434" s="75"/>
      <c r="F434" s="75"/>
      <c r="G434" s="75"/>
      <c r="H434" s="75"/>
      <c r="I434" s="75"/>
      <c r="J434" s="75"/>
    </row>
    <row r="435" spans="1:10" ht="12.75">
      <c r="A435" s="5"/>
      <c r="D435" s="75"/>
      <c r="E435" s="75"/>
      <c r="F435" s="75"/>
      <c r="G435" s="75"/>
      <c r="H435" s="75"/>
      <c r="I435" s="75"/>
      <c r="J435" s="75"/>
    </row>
    <row r="436" spans="1:10" ht="12.75">
      <c r="A436" s="5"/>
      <c r="D436" s="75"/>
      <c r="E436" s="75"/>
      <c r="F436" s="75"/>
      <c r="G436" s="75"/>
      <c r="H436" s="75"/>
      <c r="I436" s="75"/>
      <c r="J436" s="75"/>
    </row>
    <row r="437" spans="1:10" ht="12.75">
      <c r="A437" s="5"/>
      <c r="D437" s="75"/>
      <c r="E437" s="75"/>
      <c r="F437" s="75"/>
      <c r="G437" s="75"/>
      <c r="H437" s="75"/>
      <c r="I437" s="75"/>
      <c r="J437" s="75"/>
    </row>
    <row r="438" spans="1:10" ht="12.75">
      <c r="A438" s="5"/>
      <c r="D438" s="75"/>
      <c r="E438" s="75"/>
      <c r="F438" s="75"/>
      <c r="G438" s="75"/>
      <c r="H438" s="75"/>
      <c r="I438" s="75"/>
      <c r="J438" s="75"/>
    </row>
    <row r="439" spans="1:10" ht="12.75">
      <c r="A439" s="5"/>
      <c r="D439" s="75"/>
      <c r="E439" s="75"/>
      <c r="F439" s="75"/>
      <c r="G439" s="75"/>
      <c r="H439" s="75"/>
      <c r="I439" s="75"/>
      <c r="J439" s="75"/>
    </row>
    <row r="440" spans="1:10" ht="12.75">
      <c r="A440" s="5"/>
      <c r="D440" s="75"/>
      <c r="E440" s="75"/>
      <c r="F440" s="75"/>
      <c r="G440" s="75"/>
      <c r="H440" s="75"/>
      <c r="I440" s="75"/>
      <c r="J440" s="75"/>
    </row>
    <row r="441" spans="1:10" ht="12.75">
      <c r="A441" s="5"/>
      <c r="D441" s="75"/>
      <c r="E441" s="75"/>
      <c r="F441" s="75"/>
      <c r="G441" s="75"/>
      <c r="H441" s="75"/>
      <c r="I441" s="75"/>
      <c r="J441" s="75"/>
    </row>
    <row r="442" spans="1:10" ht="12.75">
      <c r="A442" s="5"/>
      <c r="D442" s="75"/>
      <c r="E442" s="75"/>
      <c r="F442" s="75"/>
      <c r="G442" s="75"/>
      <c r="H442" s="75"/>
      <c r="I442" s="75"/>
      <c r="J442" s="75"/>
    </row>
    <row r="443" spans="1:10" ht="12.75">
      <c r="A443" s="5"/>
      <c r="D443" s="75"/>
      <c r="E443" s="75"/>
      <c r="F443" s="75"/>
      <c r="G443" s="75"/>
      <c r="H443" s="75"/>
      <c r="I443" s="75"/>
      <c r="J443" s="75"/>
    </row>
    <row r="444" spans="1:10" ht="12.75">
      <c r="A444" s="5"/>
      <c r="D444" s="75"/>
      <c r="E444" s="75"/>
      <c r="F444" s="75"/>
      <c r="G444" s="75"/>
      <c r="H444" s="75"/>
      <c r="I444" s="75"/>
      <c r="J444" s="75"/>
    </row>
    <row r="445" spans="1:10" ht="12.75">
      <c r="A445" s="5"/>
      <c r="D445" s="75"/>
      <c r="E445" s="75"/>
      <c r="F445" s="75"/>
      <c r="G445" s="75"/>
      <c r="H445" s="75"/>
      <c r="I445" s="75"/>
      <c r="J445" s="75"/>
    </row>
    <row r="446" spans="1:10" ht="12.75">
      <c r="A446" s="5"/>
      <c r="D446" s="75"/>
      <c r="E446" s="75"/>
      <c r="F446" s="75"/>
      <c r="G446" s="75"/>
      <c r="H446" s="75"/>
      <c r="I446" s="75"/>
      <c r="J446" s="75"/>
    </row>
    <row r="447" spans="1:10" ht="12.75">
      <c r="A447" s="5"/>
      <c r="D447" s="75"/>
      <c r="E447" s="75"/>
      <c r="F447" s="75"/>
      <c r="G447" s="75"/>
      <c r="H447" s="75"/>
      <c r="I447" s="75"/>
      <c r="J447" s="75"/>
    </row>
    <row r="448" spans="1:10" ht="12.75">
      <c r="A448" s="5"/>
      <c r="D448" s="75"/>
      <c r="E448" s="75"/>
      <c r="F448" s="75"/>
      <c r="G448" s="75"/>
      <c r="H448" s="75"/>
      <c r="I448" s="75"/>
      <c r="J448" s="75"/>
    </row>
    <row r="449" spans="1:10" ht="12.75">
      <c r="A449" s="5"/>
      <c r="D449" s="75"/>
      <c r="E449" s="75"/>
      <c r="F449" s="75"/>
      <c r="G449" s="75"/>
      <c r="H449" s="75"/>
      <c r="I449" s="75"/>
      <c r="J449" s="75"/>
    </row>
    <row r="450" spans="1:10" ht="12.75">
      <c r="A450" s="5"/>
      <c r="D450" s="75"/>
      <c r="E450" s="75"/>
      <c r="F450" s="75"/>
      <c r="G450" s="75"/>
      <c r="H450" s="75"/>
      <c r="I450" s="75"/>
      <c r="J450" s="75"/>
    </row>
    <row r="451" spans="1:10" ht="12.75">
      <c r="A451" s="5"/>
      <c r="D451" s="75"/>
      <c r="E451" s="75"/>
      <c r="F451" s="75"/>
      <c r="G451" s="75"/>
      <c r="H451" s="75"/>
      <c r="I451" s="75"/>
      <c r="J451" s="75"/>
    </row>
    <row r="452" spans="1:10" ht="12.75">
      <c r="A452" s="5"/>
      <c r="D452" s="75"/>
      <c r="E452" s="75"/>
      <c r="F452" s="75"/>
      <c r="G452" s="75"/>
      <c r="H452" s="75"/>
      <c r="I452" s="75"/>
      <c r="J452" s="75"/>
    </row>
    <row r="453" spans="1:10" ht="12.75">
      <c r="A453" s="5"/>
      <c r="D453" s="75"/>
      <c r="E453" s="75"/>
      <c r="F453" s="75"/>
      <c r="G453" s="75"/>
      <c r="H453" s="75"/>
      <c r="I453" s="75"/>
      <c r="J453" s="75"/>
    </row>
    <row r="454" spans="1:10" ht="12.75">
      <c r="A454" s="5"/>
      <c r="D454" s="75"/>
      <c r="E454" s="75"/>
      <c r="F454" s="75"/>
      <c r="G454" s="75"/>
      <c r="H454" s="75"/>
      <c r="I454" s="75"/>
      <c r="J454" s="75"/>
    </row>
    <row r="455" spans="1:10" ht="12.75">
      <c r="A455" s="5"/>
      <c r="D455" s="75"/>
      <c r="E455" s="75"/>
      <c r="F455" s="75"/>
      <c r="G455" s="75"/>
      <c r="H455" s="75"/>
      <c r="I455" s="75"/>
      <c r="J455" s="75"/>
    </row>
    <row r="456" spans="1:10" ht="12.75">
      <c r="A456" s="5"/>
      <c r="D456" s="75"/>
      <c r="E456" s="75"/>
      <c r="F456" s="75"/>
      <c r="G456" s="75"/>
      <c r="H456" s="75"/>
      <c r="I456" s="75"/>
      <c r="J456" s="75"/>
    </row>
    <row r="457" spans="1:10" ht="12.75">
      <c r="A457" s="5"/>
      <c r="D457" s="75"/>
      <c r="E457" s="75"/>
      <c r="F457" s="75"/>
      <c r="G457" s="75"/>
      <c r="H457" s="75"/>
      <c r="I457" s="75"/>
      <c r="J457" s="75"/>
    </row>
    <row r="458" spans="1:10" ht="12.75">
      <c r="A458" s="5"/>
      <c r="D458" s="75"/>
      <c r="E458" s="75"/>
      <c r="F458" s="75"/>
      <c r="G458" s="75"/>
      <c r="H458" s="75"/>
      <c r="I458" s="75"/>
      <c r="J458" s="75"/>
    </row>
    <row r="459" spans="1:10" ht="12.75">
      <c r="A459" s="5"/>
      <c r="D459" s="75"/>
      <c r="E459" s="75"/>
      <c r="F459" s="75"/>
      <c r="G459" s="75"/>
      <c r="H459" s="75"/>
      <c r="I459" s="75"/>
      <c r="J459" s="75"/>
    </row>
    <row r="460" spans="1:10" ht="12.75">
      <c r="A460" s="5"/>
      <c r="D460" s="75"/>
      <c r="E460" s="75"/>
      <c r="F460" s="75"/>
      <c r="G460" s="75"/>
      <c r="H460" s="75"/>
      <c r="I460" s="75"/>
      <c r="J460" s="75"/>
    </row>
    <row r="461" spans="1:10" ht="12.75">
      <c r="A461" s="5"/>
      <c r="D461" s="75"/>
      <c r="E461" s="75"/>
      <c r="F461" s="75"/>
      <c r="G461" s="75"/>
      <c r="H461" s="75"/>
      <c r="I461" s="75"/>
      <c r="J461" s="75"/>
    </row>
    <row r="462" spans="1:10" ht="12.75">
      <c r="A462" s="5"/>
      <c r="D462" s="75"/>
      <c r="E462" s="75"/>
      <c r="F462" s="75"/>
      <c r="G462" s="75"/>
      <c r="H462" s="75"/>
      <c r="I462" s="75"/>
      <c r="J462" s="75"/>
    </row>
    <row r="463" spans="1:10" ht="12.75">
      <c r="A463" s="5"/>
      <c r="D463" s="75"/>
      <c r="E463" s="75"/>
      <c r="F463" s="75"/>
      <c r="G463" s="75"/>
      <c r="H463" s="75"/>
      <c r="I463" s="75"/>
      <c r="J463" s="75"/>
    </row>
    <row r="464" spans="1:10" ht="12.75">
      <c r="A464" s="5"/>
      <c r="D464" s="75"/>
      <c r="E464" s="75"/>
      <c r="F464" s="75"/>
      <c r="G464" s="75"/>
      <c r="H464" s="75"/>
      <c r="I464" s="75"/>
      <c r="J464" s="75"/>
    </row>
    <row r="465" spans="1:10" ht="12.75">
      <c r="A465" s="5"/>
      <c r="D465" s="75"/>
      <c r="E465" s="75"/>
      <c r="F465" s="75"/>
      <c r="G465" s="75"/>
      <c r="H465" s="75"/>
      <c r="I465" s="75"/>
      <c r="J465" s="75"/>
    </row>
    <row r="466" spans="1:10" ht="12.75">
      <c r="A466" s="5"/>
      <c r="D466" s="75"/>
      <c r="E466" s="75"/>
      <c r="F466" s="75"/>
      <c r="G466" s="75"/>
      <c r="H466" s="75"/>
      <c r="I466" s="75"/>
      <c r="J466" s="75"/>
    </row>
    <row r="467" spans="1:10" ht="12.75">
      <c r="A467" s="5"/>
      <c r="D467" s="75"/>
      <c r="E467" s="75"/>
      <c r="F467" s="75"/>
      <c r="G467" s="75"/>
      <c r="H467" s="75"/>
      <c r="I467" s="75"/>
      <c r="J467" s="75"/>
    </row>
    <row r="468" spans="1:10" ht="12.75">
      <c r="A468" s="5"/>
      <c r="D468" s="75"/>
      <c r="E468" s="75"/>
      <c r="F468" s="75"/>
      <c r="G468" s="75"/>
      <c r="H468" s="75"/>
      <c r="I468" s="75"/>
      <c r="J468" s="75"/>
    </row>
    <row r="469" spans="1:10" ht="12.75">
      <c r="A469" s="5"/>
      <c r="D469" s="75"/>
      <c r="E469" s="75"/>
      <c r="F469" s="75"/>
      <c r="G469" s="75"/>
      <c r="H469" s="75"/>
      <c r="I469" s="75"/>
      <c r="J469" s="75"/>
    </row>
    <row r="470" spans="1:10" ht="12.75">
      <c r="A470" s="5"/>
      <c r="D470" s="75"/>
      <c r="E470" s="75"/>
      <c r="F470" s="75"/>
      <c r="G470" s="75"/>
      <c r="H470" s="75"/>
      <c r="I470" s="75"/>
      <c r="J470" s="75"/>
    </row>
    <row r="471" spans="1:10" ht="12.75">
      <c r="A471" s="5"/>
      <c r="D471" s="75"/>
      <c r="E471" s="75"/>
      <c r="F471" s="75"/>
      <c r="G471" s="75"/>
      <c r="H471" s="75"/>
      <c r="I471" s="75"/>
      <c r="J471" s="75"/>
    </row>
    <row r="472" spans="1:10" ht="12.75">
      <c r="A472" s="5"/>
      <c r="D472" s="75"/>
      <c r="E472" s="75"/>
      <c r="F472" s="75"/>
      <c r="G472" s="75"/>
      <c r="H472" s="75"/>
      <c r="I472" s="75"/>
      <c r="J472" s="75"/>
    </row>
    <row r="473" spans="1:10" ht="12.75">
      <c r="A473" s="5"/>
      <c r="D473" s="75"/>
      <c r="E473" s="75"/>
      <c r="F473" s="75"/>
      <c r="G473" s="75"/>
      <c r="H473" s="75"/>
      <c r="I473" s="75"/>
      <c r="J473" s="75"/>
    </row>
    <row r="474" spans="1:10" ht="12.75">
      <c r="A474" s="5"/>
      <c r="D474" s="75"/>
      <c r="E474" s="75"/>
      <c r="F474" s="75"/>
      <c r="G474" s="75"/>
      <c r="H474" s="75"/>
      <c r="I474" s="75"/>
      <c r="J474" s="75"/>
    </row>
    <row r="475" spans="1:10" ht="12.75">
      <c r="A475" s="5"/>
      <c r="D475" s="75"/>
      <c r="E475" s="75"/>
      <c r="F475" s="75"/>
      <c r="G475" s="75"/>
      <c r="H475" s="75"/>
      <c r="I475" s="75"/>
      <c r="J475" s="75"/>
    </row>
    <row r="476" spans="1:10" ht="12.75">
      <c r="A476" s="5"/>
      <c r="D476" s="75"/>
      <c r="E476" s="75"/>
      <c r="F476" s="75"/>
      <c r="G476" s="75"/>
      <c r="H476" s="75"/>
      <c r="I476" s="75"/>
      <c r="J476" s="75"/>
    </row>
    <row r="477" spans="1:10" ht="12.75">
      <c r="A477" s="5"/>
      <c r="D477" s="75"/>
      <c r="E477" s="75"/>
      <c r="F477" s="75"/>
      <c r="G477" s="75"/>
      <c r="H477" s="75"/>
      <c r="I477" s="75"/>
      <c r="J477" s="75"/>
    </row>
    <row r="478" spans="1:10" ht="12.75">
      <c r="A478" s="5"/>
      <c r="D478" s="75"/>
      <c r="E478" s="75"/>
      <c r="F478" s="75"/>
      <c r="G478" s="75"/>
      <c r="H478" s="75"/>
      <c r="I478" s="75"/>
      <c r="J478" s="75"/>
    </row>
    <row r="479" spans="1:10" ht="12.75">
      <c r="A479" s="5"/>
      <c r="D479" s="75"/>
      <c r="E479" s="75"/>
      <c r="F479" s="75"/>
      <c r="G479" s="75"/>
      <c r="H479" s="75"/>
      <c r="I479" s="75"/>
      <c r="J479" s="75"/>
    </row>
    <row r="480" spans="1:10" ht="12.75">
      <c r="A480" s="5"/>
      <c r="D480" s="75"/>
      <c r="E480" s="75"/>
      <c r="F480" s="75"/>
      <c r="G480" s="75"/>
      <c r="H480" s="75"/>
      <c r="I480" s="75"/>
      <c r="J480" s="75"/>
    </row>
    <row r="481" spans="1:10" ht="12.75">
      <c r="A481" s="5"/>
      <c r="D481" s="75"/>
      <c r="E481" s="75"/>
      <c r="F481" s="75"/>
      <c r="G481" s="75"/>
      <c r="H481" s="75"/>
      <c r="I481" s="75"/>
      <c r="J481" s="75"/>
    </row>
    <row r="482" spans="1:10" ht="12.75">
      <c r="A482" s="5"/>
      <c r="D482" s="75"/>
      <c r="E482" s="75"/>
      <c r="F482" s="75"/>
      <c r="G482" s="75"/>
      <c r="H482" s="75"/>
      <c r="I482" s="75"/>
      <c r="J482" s="75"/>
    </row>
    <row r="483" spans="1:10" ht="12.75">
      <c r="A483" s="5"/>
      <c r="D483" s="75"/>
      <c r="E483" s="75"/>
      <c r="F483" s="75"/>
      <c r="G483" s="75"/>
      <c r="H483" s="75"/>
      <c r="I483" s="75"/>
      <c r="J483" s="75"/>
    </row>
    <row r="484" spans="1:10" ht="12.75">
      <c r="A484" s="5"/>
      <c r="D484" s="75"/>
      <c r="E484" s="75"/>
      <c r="F484" s="75"/>
      <c r="G484" s="75"/>
      <c r="H484" s="75"/>
      <c r="I484" s="75"/>
      <c r="J484" s="75"/>
    </row>
    <row r="485" spans="1:10" ht="12.75">
      <c r="A485" s="5"/>
      <c r="D485" s="75"/>
      <c r="E485" s="75"/>
      <c r="F485" s="75"/>
      <c r="G485" s="75"/>
      <c r="H485" s="75"/>
      <c r="I485" s="75"/>
      <c r="J485" s="75"/>
    </row>
    <row r="486" spans="1:10" ht="12.75">
      <c r="A486" s="5"/>
      <c r="D486" s="75"/>
      <c r="E486" s="75"/>
      <c r="F486" s="75"/>
      <c r="G486" s="75"/>
      <c r="H486" s="75"/>
      <c r="I486" s="75"/>
      <c r="J486" s="75"/>
    </row>
    <row r="487" spans="1:10" ht="12.75">
      <c r="A487" s="5"/>
      <c r="D487" s="75"/>
      <c r="E487" s="75"/>
      <c r="F487" s="75"/>
      <c r="G487" s="75"/>
      <c r="H487" s="75"/>
      <c r="I487" s="75"/>
      <c r="J487" s="75"/>
    </row>
    <row r="488" spans="1:10" ht="12.75">
      <c r="A488" s="5"/>
      <c r="D488" s="75"/>
      <c r="E488" s="75"/>
      <c r="F488" s="75"/>
      <c r="G488" s="75"/>
      <c r="H488" s="75"/>
      <c r="I488" s="75"/>
      <c r="J488" s="75"/>
    </row>
    <row r="489" spans="1:10" ht="12.75">
      <c r="A489" s="5"/>
      <c r="D489" s="75"/>
      <c r="E489" s="75"/>
      <c r="F489" s="75"/>
      <c r="G489" s="75"/>
      <c r="H489" s="75"/>
      <c r="I489" s="75"/>
      <c r="J489" s="75"/>
    </row>
    <row r="490" spans="1:10" ht="12.75">
      <c r="A490" s="5"/>
      <c r="D490" s="75"/>
      <c r="E490" s="75"/>
      <c r="F490" s="75"/>
      <c r="G490" s="75"/>
      <c r="H490" s="75"/>
      <c r="I490" s="75"/>
      <c r="J490" s="75"/>
    </row>
    <row r="491" spans="1:10" ht="12.75">
      <c r="A491" s="5"/>
      <c r="D491" s="75"/>
      <c r="E491" s="75"/>
      <c r="F491" s="75"/>
      <c r="G491" s="75"/>
      <c r="H491" s="75"/>
      <c r="I491" s="75"/>
      <c r="J491" s="75"/>
    </row>
    <row r="492" spans="1:10" ht="12.75">
      <c r="A492" s="5"/>
      <c r="D492" s="75"/>
      <c r="E492" s="75"/>
      <c r="F492" s="75"/>
      <c r="G492" s="75"/>
      <c r="H492" s="75"/>
      <c r="I492" s="75"/>
      <c r="J492" s="75"/>
    </row>
    <row r="493" spans="1:10" ht="12.75">
      <c r="A493" s="5"/>
      <c r="D493" s="75"/>
      <c r="E493" s="75"/>
      <c r="F493" s="75"/>
      <c r="G493" s="75"/>
      <c r="H493" s="75"/>
      <c r="I493" s="75"/>
      <c r="J493" s="75"/>
    </row>
    <row r="494" spans="1:10" ht="12.75">
      <c r="A494" s="5"/>
      <c r="D494" s="75"/>
      <c r="E494" s="75"/>
      <c r="F494" s="75"/>
      <c r="G494" s="75"/>
      <c r="H494" s="75"/>
      <c r="I494" s="75"/>
      <c r="J494" s="75"/>
    </row>
    <row r="495" spans="1:10" ht="12.75">
      <c r="A495" s="5"/>
      <c r="D495" s="75"/>
      <c r="E495" s="75"/>
      <c r="F495" s="75"/>
      <c r="G495" s="75"/>
      <c r="H495" s="75"/>
      <c r="I495" s="75"/>
      <c r="J495" s="75"/>
    </row>
    <row r="496" spans="1:10" ht="12.75">
      <c r="A496" s="5"/>
      <c r="D496" s="75"/>
      <c r="E496" s="75"/>
      <c r="F496" s="75"/>
      <c r="G496" s="75"/>
      <c r="H496" s="75"/>
      <c r="I496" s="75"/>
      <c r="J496" s="75"/>
    </row>
    <row r="497" spans="1:10" ht="12.75">
      <c r="A497" s="5"/>
      <c r="D497" s="75"/>
      <c r="E497" s="75"/>
      <c r="F497" s="75"/>
      <c r="G497" s="75"/>
      <c r="H497" s="75"/>
      <c r="I497" s="75"/>
      <c r="J497" s="75"/>
    </row>
    <row r="498" spans="1:10" ht="12.75">
      <c r="A498" s="5"/>
      <c r="D498" s="75"/>
      <c r="E498" s="75"/>
      <c r="F498" s="75"/>
      <c r="G498" s="75"/>
      <c r="H498" s="75"/>
      <c r="I498" s="75"/>
      <c r="J498" s="75"/>
    </row>
    <row r="499" spans="1:10" ht="12.75">
      <c r="A499" s="5"/>
      <c r="D499" s="75"/>
      <c r="E499" s="75"/>
      <c r="F499" s="75"/>
      <c r="G499" s="75"/>
      <c r="H499" s="75"/>
      <c r="I499" s="75"/>
      <c r="J499" s="75"/>
    </row>
    <row r="500" spans="1:10" ht="12.75">
      <c r="A500" s="5"/>
      <c r="D500" s="75"/>
      <c r="E500" s="75"/>
      <c r="F500" s="75"/>
      <c r="G500" s="75"/>
      <c r="H500" s="75"/>
      <c r="I500" s="75"/>
      <c r="J500" s="75"/>
    </row>
    <row r="501" spans="1:10" ht="12.75">
      <c r="A501" s="5"/>
      <c r="D501" s="75"/>
      <c r="E501" s="75"/>
      <c r="F501" s="75"/>
      <c r="G501" s="75"/>
      <c r="H501" s="75"/>
      <c r="I501" s="75"/>
      <c r="J501" s="75"/>
    </row>
    <row r="502" spans="1:10" ht="12.75">
      <c r="A502" s="5"/>
      <c r="D502" s="75"/>
      <c r="E502" s="75"/>
      <c r="F502" s="75"/>
      <c r="G502" s="75"/>
      <c r="H502" s="75"/>
      <c r="I502" s="75"/>
      <c r="J502" s="75"/>
    </row>
    <row r="503" spans="1:10" ht="12.75">
      <c r="A503" s="5"/>
      <c r="D503" s="75"/>
      <c r="E503" s="75"/>
      <c r="F503" s="75"/>
      <c r="G503" s="75"/>
      <c r="H503" s="75"/>
      <c r="I503" s="75"/>
      <c r="J503" s="75"/>
    </row>
    <row r="504" spans="1:10" ht="12.75">
      <c r="A504" s="5"/>
      <c r="D504" s="75"/>
      <c r="E504" s="75"/>
      <c r="F504" s="75"/>
      <c r="G504" s="75"/>
      <c r="H504" s="75"/>
      <c r="I504" s="75"/>
      <c r="J504" s="75"/>
    </row>
    <row r="505" spans="1:10" ht="12.75">
      <c r="A505" s="5"/>
      <c r="D505" s="75"/>
      <c r="E505" s="75"/>
      <c r="F505" s="75"/>
      <c r="G505" s="75"/>
      <c r="H505" s="75"/>
      <c r="I505" s="75"/>
      <c r="J505" s="75"/>
    </row>
    <row r="506" spans="1:10" ht="12.75">
      <c r="A506" s="5"/>
      <c r="D506" s="75"/>
      <c r="E506" s="75"/>
      <c r="F506" s="75"/>
      <c r="G506" s="75"/>
      <c r="H506" s="75"/>
      <c r="I506" s="75"/>
      <c r="J506" s="75"/>
    </row>
    <row r="507" spans="1:10" ht="12.75">
      <c r="A507" s="5"/>
      <c r="D507" s="75"/>
      <c r="E507" s="75"/>
      <c r="F507" s="75"/>
      <c r="G507" s="75"/>
      <c r="H507" s="75"/>
      <c r="I507" s="75"/>
      <c r="J507" s="75"/>
    </row>
    <row r="508" spans="1:10" ht="12.75">
      <c r="A508" s="5"/>
      <c r="D508" s="75"/>
      <c r="E508" s="75"/>
      <c r="F508" s="75"/>
      <c r="G508" s="75"/>
      <c r="H508" s="75"/>
      <c r="I508" s="75"/>
      <c r="J508" s="75"/>
    </row>
    <row r="509" spans="1:10" ht="12.75">
      <c r="A509" s="5"/>
      <c r="D509" s="75"/>
      <c r="E509" s="75"/>
      <c r="F509" s="75"/>
      <c r="G509" s="75"/>
      <c r="H509" s="75"/>
      <c r="I509" s="75"/>
      <c r="J509" s="75"/>
    </row>
    <row r="510" spans="1:10" ht="12.75">
      <c r="A510" s="5"/>
      <c r="D510" s="75"/>
      <c r="E510" s="75"/>
      <c r="F510" s="75"/>
      <c r="G510" s="75"/>
      <c r="H510" s="75"/>
      <c r="I510" s="75"/>
      <c r="J510" s="75"/>
    </row>
    <row r="511" spans="1:10" ht="12.75">
      <c r="A511" s="5"/>
      <c r="D511" s="75"/>
      <c r="E511" s="75"/>
      <c r="F511" s="75"/>
      <c r="G511" s="75"/>
      <c r="H511" s="75"/>
      <c r="I511" s="75"/>
      <c r="J511" s="75"/>
    </row>
    <row r="512" spans="1:10" ht="12.75">
      <c r="A512" s="5"/>
      <c r="D512" s="75"/>
      <c r="E512" s="75"/>
      <c r="F512" s="75"/>
      <c r="G512" s="75"/>
      <c r="H512" s="75"/>
      <c r="I512" s="75"/>
      <c r="J512" s="75"/>
    </row>
    <row r="513" spans="1:10" ht="12.75">
      <c r="A513" s="5"/>
      <c r="D513" s="75"/>
      <c r="E513" s="75"/>
      <c r="F513" s="75"/>
      <c r="G513" s="75"/>
      <c r="H513" s="75"/>
      <c r="I513" s="75"/>
      <c r="J513" s="75"/>
    </row>
    <row r="514" spans="1:10" ht="12.75">
      <c r="A514" s="5"/>
      <c r="D514" s="75"/>
      <c r="E514" s="75"/>
      <c r="F514" s="75"/>
      <c r="G514" s="75"/>
      <c r="H514" s="75"/>
      <c r="I514" s="75"/>
      <c r="J514" s="75"/>
    </row>
    <row r="515" spans="1:10" ht="12.75">
      <c r="A515" s="5"/>
      <c r="D515" s="75"/>
      <c r="E515" s="75"/>
      <c r="F515" s="75"/>
      <c r="G515" s="75"/>
      <c r="H515" s="75"/>
      <c r="I515" s="75"/>
      <c r="J515" s="75"/>
    </row>
    <row r="516" spans="1:10" ht="12.75">
      <c r="A516" s="5"/>
      <c r="D516" s="75"/>
      <c r="E516" s="75"/>
      <c r="F516" s="75"/>
      <c r="G516" s="75"/>
      <c r="H516" s="75"/>
      <c r="I516" s="75"/>
      <c r="J516" s="75"/>
    </row>
    <row r="517" spans="1:10" ht="12.75">
      <c r="A517" s="5"/>
      <c r="D517" s="75"/>
      <c r="E517" s="75"/>
      <c r="F517" s="75"/>
      <c r="G517" s="75"/>
      <c r="H517" s="75"/>
      <c r="I517" s="75"/>
      <c r="J517" s="75"/>
    </row>
    <row r="518" spans="1:10" ht="12.75">
      <c r="A518" s="5"/>
      <c r="D518" s="75"/>
      <c r="E518" s="75"/>
      <c r="F518" s="75"/>
      <c r="G518" s="75"/>
      <c r="H518" s="75"/>
      <c r="I518" s="75"/>
      <c r="J518" s="75"/>
    </row>
    <row r="519" spans="1:10" ht="12.75">
      <c r="A519" s="5"/>
      <c r="D519" s="75"/>
      <c r="E519" s="75"/>
      <c r="F519" s="75"/>
      <c r="G519" s="75"/>
      <c r="H519" s="75"/>
      <c r="I519" s="75"/>
      <c r="J519" s="75"/>
    </row>
    <row r="520" spans="1:10" ht="12.75">
      <c r="A520" s="5"/>
      <c r="D520" s="75"/>
      <c r="E520" s="75"/>
      <c r="F520" s="75"/>
      <c r="G520" s="75"/>
      <c r="H520" s="75"/>
      <c r="I520" s="75"/>
      <c r="J520" s="75"/>
    </row>
    <row r="521" spans="1:10" ht="12.75">
      <c r="A521" s="5"/>
      <c r="D521" s="75"/>
      <c r="E521" s="75"/>
      <c r="F521" s="75"/>
      <c r="G521" s="75"/>
      <c r="H521" s="75"/>
      <c r="I521" s="75"/>
      <c r="J521" s="75"/>
    </row>
    <row r="522" spans="1:10" ht="12.75">
      <c r="A522" s="5"/>
      <c r="D522" s="75"/>
      <c r="E522" s="75"/>
      <c r="F522" s="75"/>
      <c r="G522" s="75"/>
      <c r="H522" s="75"/>
      <c r="I522" s="75"/>
      <c r="J522" s="75"/>
    </row>
    <row r="523" spans="1:10" ht="12.75">
      <c r="A523" s="5"/>
      <c r="D523" s="75"/>
      <c r="E523" s="75"/>
      <c r="F523" s="75"/>
      <c r="G523" s="75"/>
      <c r="H523" s="75"/>
      <c r="I523" s="75"/>
      <c r="J523" s="75"/>
    </row>
    <row r="524" spans="1:10" ht="12.75">
      <c r="A524" s="5"/>
      <c r="D524" s="75"/>
      <c r="E524" s="75"/>
      <c r="F524" s="75"/>
      <c r="G524" s="75"/>
      <c r="H524" s="75"/>
      <c r="I524" s="75"/>
      <c r="J524" s="75"/>
    </row>
    <row r="525" spans="1:10" ht="12.75">
      <c r="A525" s="5"/>
      <c r="D525" s="75"/>
      <c r="E525" s="75"/>
      <c r="F525" s="75"/>
      <c r="G525" s="75"/>
      <c r="H525" s="75"/>
      <c r="I525" s="75"/>
      <c r="J525" s="75"/>
    </row>
    <row r="526" spans="1:10" ht="12.75">
      <c r="A526" s="5"/>
      <c r="D526" s="75"/>
      <c r="E526" s="75"/>
      <c r="F526" s="75"/>
      <c r="G526" s="75"/>
      <c r="H526" s="75"/>
      <c r="I526" s="75"/>
      <c r="J526" s="75"/>
    </row>
    <row r="527" spans="1:10" ht="12.75">
      <c r="A527" s="5"/>
      <c r="D527" s="75"/>
      <c r="E527" s="75"/>
      <c r="F527" s="75"/>
      <c r="G527" s="75"/>
      <c r="H527" s="75"/>
      <c r="I527" s="75"/>
      <c r="J527" s="75"/>
    </row>
    <row r="528" spans="1:10" ht="12.75">
      <c r="A528" s="5"/>
      <c r="D528" s="75"/>
      <c r="E528" s="75"/>
      <c r="F528" s="75"/>
      <c r="G528" s="75"/>
      <c r="H528" s="75"/>
      <c r="I528" s="75"/>
      <c r="J528" s="75"/>
    </row>
    <row r="529" spans="1:10" ht="12.75">
      <c r="A529" s="5"/>
      <c r="D529" s="75"/>
      <c r="E529" s="75"/>
      <c r="F529" s="75"/>
      <c r="G529" s="75"/>
      <c r="H529" s="75"/>
      <c r="I529" s="75"/>
      <c r="J529" s="75"/>
    </row>
    <row r="530" spans="1:10" ht="12.75">
      <c r="A530" s="5"/>
      <c r="D530" s="75"/>
      <c r="E530" s="75"/>
      <c r="F530" s="75"/>
      <c r="G530" s="75"/>
      <c r="H530" s="75"/>
      <c r="I530" s="75"/>
      <c r="J530" s="75"/>
    </row>
    <row r="531" spans="1:10" ht="12.75">
      <c r="A531" s="5"/>
      <c r="D531" s="75"/>
      <c r="E531" s="75"/>
      <c r="F531" s="75"/>
      <c r="G531" s="75"/>
      <c r="H531" s="75"/>
      <c r="I531" s="75"/>
      <c r="J531" s="75"/>
    </row>
    <row r="532" spans="1:10" ht="12.75">
      <c r="A532" s="5"/>
      <c r="D532" s="75"/>
      <c r="E532" s="75"/>
      <c r="F532" s="75"/>
      <c r="G532" s="75"/>
      <c r="H532" s="75"/>
      <c r="I532" s="75"/>
      <c r="J532" s="75"/>
    </row>
    <row r="533" spans="1:10" ht="12.75">
      <c r="A533" s="5"/>
      <c r="D533" s="75"/>
      <c r="E533" s="75"/>
      <c r="F533" s="75"/>
      <c r="G533" s="75"/>
      <c r="H533" s="75"/>
      <c r="I533" s="75"/>
      <c r="J533" s="75"/>
    </row>
    <row r="534" spans="1:10" ht="12.75">
      <c r="A534" s="5"/>
      <c r="D534" s="75"/>
      <c r="E534" s="75"/>
      <c r="F534" s="75"/>
      <c r="G534" s="75"/>
      <c r="H534" s="75"/>
      <c r="I534" s="75"/>
      <c r="J534" s="75"/>
    </row>
    <row r="535" spans="1:10" ht="12.75">
      <c r="A535" s="5"/>
      <c r="D535" s="75"/>
      <c r="E535" s="75"/>
      <c r="F535" s="75"/>
      <c r="G535" s="75"/>
      <c r="H535" s="75"/>
      <c r="I535" s="75"/>
      <c r="J535" s="75"/>
    </row>
    <row r="536" spans="1:10" ht="12.75">
      <c r="A536" s="5"/>
      <c r="D536" s="75"/>
      <c r="E536" s="75"/>
      <c r="F536" s="75"/>
      <c r="G536" s="75"/>
      <c r="H536" s="75"/>
      <c r="I536" s="75"/>
      <c r="J536" s="75"/>
    </row>
    <row r="537" spans="1:10" ht="12.75">
      <c r="A537" s="5"/>
      <c r="D537" s="75"/>
      <c r="E537" s="75"/>
      <c r="F537" s="75"/>
      <c r="G537" s="75"/>
      <c r="H537" s="75"/>
      <c r="I537" s="75"/>
      <c r="J537" s="75"/>
    </row>
    <row r="538" spans="1:10" ht="12.75">
      <c r="A538" s="5"/>
      <c r="D538" s="75"/>
      <c r="E538" s="75"/>
      <c r="F538" s="75"/>
      <c r="G538" s="75"/>
      <c r="H538" s="75"/>
      <c r="I538" s="75"/>
      <c r="J538" s="75"/>
    </row>
    <row r="539" spans="1:10" ht="12.75">
      <c r="A539" s="5"/>
      <c r="D539" s="75"/>
      <c r="E539" s="75"/>
      <c r="F539" s="75"/>
      <c r="G539" s="75"/>
      <c r="H539" s="75"/>
      <c r="I539" s="75"/>
      <c r="J539" s="75"/>
    </row>
    <row r="540" spans="1:10" ht="12.75">
      <c r="A540" s="5"/>
      <c r="D540" s="75"/>
      <c r="E540" s="75"/>
      <c r="F540" s="75"/>
      <c r="G540" s="75"/>
      <c r="H540" s="75"/>
      <c r="I540" s="75"/>
      <c r="J540" s="75"/>
    </row>
    <row r="541" spans="1:10" ht="12.75">
      <c r="A541" s="5"/>
      <c r="D541" s="75"/>
      <c r="E541" s="75"/>
      <c r="F541" s="75"/>
      <c r="G541" s="75"/>
      <c r="H541" s="75"/>
      <c r="I541" s="75"/>
      <c r="J541" s="75"/>
    </row>
    <row r="542" spans="1:10" ht="12.75">
      <c r="A542" s="5"/>
      <c r="D542" s="75"/>
      <c r="E542" s="75"/>
      <c r="F542" s="75"/>
      <c r="G542" s="75"/>
      <c r="H542" s="75"/>
      <c r="I542" s="75"/>
      <c r="J542" s="75"/>
    </row>
    <row r="543" spans="1:10" ht="12.75">
      <c r="A543" s="5"/>
      <c r="D543" s="75"/>
      <c r="E543" s="75"/>
      <c r="F543" s="75"/>
      <c r="G543" s="75"/>
      <c r="H543" s="75"/>
      <c r="I543" s="75"/>
      <c r="J543" s="75"/>
    </row>
    <row r="544" spans="1:10" ht="12.75">
      <c r="A544" s="5"/>
      <c r="D544" s="75"/>
      <c r="E544" s="75"/>
      <c r="F544" s="75"/>
      <c r="G544" s="75"/>
      <c r="H544" s="75"/>
      <c r="I544" s="75"/>
      <c r="J544" s="75"/>
    </row>
    <row r="545" spans="1:10" ht="12.75">
      <c r="A545" s="5"/>
      <c r="D545" s="75"/>
      <c r="E545" s="75"/>
      <c r="F545" s="75"/>
      <c r="G545" s="75"/>
      <c r="H545" s="75"/>
      <c r="I545" s="75"/>
      <c r="J545" s="75"/>
    </row>
    <row r="546" spans="1:10" ht="12.75">
      <c r="A546" s="5"/>
      <c r="D546" s="75"/>
      <c r="E546" s="75"/>
      <c r="F546" s="75"/>
      <c r="G546" s="75"/>
      <c r="H546" s="75"/>
      <c r="I546" s="75"/>
      <c r="J546" s="75"/>
    </row>
    <row r="547" spans="1:10" ht="12.75">
      <c r="A547" s="5"/>
      <c r="D547" s="75"/>
      <c r="E547" s="75"/>
      <c r="F547" s="75"/>
      <c r="G547" s="75"/>
      <c r="H547" s="75"/>
      <c r="I547" s="75"/>
      <c r="J547" s="75"/>
    </row>
    <row r="548" spans="1:10" ht="12.75">
      <c r="A548" s="5"/>
      <c r="D548" s="75"/>
      <c r="E548" s="75"/>
      <c r="F548" s="75"/>
      <c r="G548" s="75"/>
      <c r="H548" s="75"/>
      <c r="I548" s="75"/>
      <c r="J548" s="75"/>
    </row>
    <row r="549" spans="1:10" ht="12.75">
      <c r="A549" s="5"/>
      <c r="D549" s="75"/>
      <c r="E549" s="75"/>
      <c r="F549" s="75"/>
      <c r="G549" s="75"/>
      <c r="H549" s="75"/>
      <c r="I549" s="75"/>
      <c r="J549" s="75"/>
    </row>
    <row r="550" spans="1:10" ht="12.75">
      <c r="A550" s="5"/>
      <c r="D550" s="75"/>
      <c r="E550" s="75"/>
      <c r="F550" s="75"/>
      <c r="G550" s="75"/>
      <c r="H550" s="75"/>
      <c r="I550" s="75"/>
      <c r="J550" s="75"/>
    </row>
    <row r="551" spans="1:10" ht="12.75">
      <c r="A551" s="5"/>
      <c r="D551" s="75"/>
      <c r="E551" s="75"/>
      <c r="F551" s="75"/>
      <c r="G551" s="75"/>
      <c r="H551" s="75"/>
      <c r="I551" s="75"/>
      <c r="J551" s="75"/>
    </row>
    <row r="552" spans="1:10" ht="12.75">
      <c r="A552" s="5"/>
      <c r="D552" s="75"/>
      <c r="E552" s="75"/>
      <c r="F552" s="75"/>
      <c r="G552" s="75"/>
      <c r="H552" s="75"/>
      <c r="I552" s="75"/>
      <c r="J552" s="75"/>
    </row>
    <row r="553" spans="1:10" ht="12.75">
      <c r="A553" s="5"/>
      <c r="D553" s="75"/>
      <c r="E553" s="75"/>
      <c r="F553" s="75"/>
      <c r="G553" s="75"/>
      <c r="H553" s="75"/>
      <c r="I553" s="75"/>
      <c r="J553" s="75"/>
    </row>
    <row r="554" spans="1:10" ht="12.75">
      <c r="A554" s="5"/>
      <c r="D554" s="75"/>
      <c r="E554" s="75"/>
      <c r="F554" s="75"/>
      <c r="G554" s="75"/>
      <c r="H554" s="75"/>
      <c r="I554" s="75"/>
      <c r="J554" s="75"/>
    </row>
    <row r="555" spans="1:10" ht="12.75">
      <c r="A555" s="5"/>
      <c r="D555" s="75"/>
      <c r="E555" s="75"/>
      <c r="F555" s="75"/>
      <c r="G555" s="75"/>
      <c r="H555" s="75"/>
      <c r="I555" s="75"/>
      <c r="J555" s="75"/>
    </row>
    <row r="556" spans="1:10" ht="12.75">
      <c r="A556" s="5"/>
      <c r="D556" s="75"/>
      <c r="E556" s="75"/>
      <c r="F556" s="75"/>
      <c r="G556" s="75"/>
      <c r="H556" s="75"/>
      <c r="I556" s="75"/>
      <c r="J556" s="75"/>
    </row>
    <row r="557" spans="1:10" ht="12.75">
      <c r="A557" s="5"/>
      <c r="D557" s="75"/>
      <c r="E557" s="75"/>
      <c r="F557" s="75"/>
      <c r="G557" s="75"/>
      <c r="H557" s="75"/>
      <c r="I557" s="75"/>
      <c r="J557" s="75"/>
    </row>
    <row r="558" spans="1:10" ht="12.75">
      <c r="A558" s="5"/>
      <c r="D558" s="75"/>
      <c r="E558" s="75"/>
      <c r="F558" s="75"/>
      <c r="G558" s="75"/>
      <c r="H558" s="75"/>
      <c r="I558" s="75"/>
      <c r="J558" s="75"/>
    </row>
    <row r="559" spans="1:10" ht="12.75">
      <c r="A559" s="5"/>
      <c r="D559" s="75"/>
      <c r="E559" s="75"/>
      <c r="F559" s="75"/>
      <c r="G559" s="75"/>
      <c r="H559" s="75"/>
      <c r="I559" s="75"/>
      <c r="J559" s="75"/>
    </row>
    <row r="560" spans="1:10" ht="12.75">
      <c r="A560" s="5"/>
      <c r="D560" s="75"/>
      <c r="E560" s="75"/>
      <c r="F560" s="75"/>
      <c r="G560" s="75"/>
      <c r="H560" s="75"/>
      <c r="I560" s="75"/>
      <c r="J560" s="75"/>
    </row>
    <row r="561" spans="1:10" ht="12.75">
      <c r="A561" s="5"/>
      <c r="D561" s="75"/>
      <c r="E561" s="75"/>
      <c r="F561" s="75"/>
      <c r="G561" s="75"/>
      <c r="H561" s="75"/>
      <c r="I561" s="75"/>
      <c r="J561" s="75"/>
    </row>
    <row r="562" spans="1:10" ht="12.75">
      <c r="A562" s="5"/>
      <c r="D562" s="75"/>
      <c r="E562" s="75"/>
      <c r="F562" s="75"/>
      <c r="G562" s="75"/>
      <c r="H562" s="75"/>
      <c r="I562" s="75"/>
      <c r="J562" s="75"/>
    </row>
    <row r="563" spans="1:10" ht="12.75">
      <c r="A563" s="5"/>
      <c r="D563" s="75"/>
      <c r="E563" s="75"/>
      <c r="F563" s="75"/>
      <c r="G563" s="75"/>
      <c r="H563" s="75"/>
      <c r="I563" s="75"/>
      <c r="J563" s="75"/>
    </row>
    <row r="564" spans="1:10" ht="12.75">
      <c r="A564" s="5"/>
      <c r="D564" s="75"/>
      <c r="E564" s="75"/>
      <c r="F564" s="75"/>
      <c r="G564" s="75"/>
      <c r="H564" s="75"/>
      <c r="I564" s="75"/>
      <c r="J564" s="75"/>
    </row>
    <row r="565" spans="1:10" ht="12.75">
      <c r="A565" s="5"/>
      <c r="D565" s="75"/>
      <c r="E565" s="75"/>
      <c r="F565" s="75"/>
      <c r="G565" s="75"/>
      <c r="H565" s="75"/>
      <c r="I565" s="75"/>
      <c r="J565" s="75"/>
    </row>
    <row r="566" spans="1:10" ht="12.75">
      <c r="A566" s="5"/>
      <c r="D566" s="75"/>
      <c r="E566" s="75"/>
      <c r="F566" s="75"/>
      <c r="G566" s="75"/>
      <c r="H566" s="75"/>
      <c r="I566" s="75"/>
      <c r="J566" s="75"/>
    </row>
    <row r="567" spans="1:10" ht="12.75">
      <c r="A567" s="5"/>
      <c r="D567" s="75"/>
      <c r="E567" s="75"/>
      <c r="F567" s="75"/>
      <c r="G567" s="75"/>
      <c r="H567" s="75"/>
      <c r="I567" s="75"/>
      <c r="J567" s="75"/>
    </row>
    <row r="568" spans="1:10" ht="12.75">
      <c r="A568" s="5"/>
      <c r="D568" s="75"/>
      <c r="E568" s="75"/>
      <c r="F568" s="75"/>
      <c r="G568" s="75"/>
      <c r="H568" s="75"/>
      <c r="I568" s="75"/>
      <c r="J568" s="75"/>
    </row>
    <row r="569" spans="1:10" ht="12.75">
      <c r="A569" s="5"/>
      <c r="D569" s="75"/>
      <c r="E569" s="75"/>
      <c r="F569" s="75"/>
      <c r="G569" s="75"/>
      <c r="H569" s="75"/>
      <c r="I569" s="75"/>
      <c r="J569" s="75"/>
    </row>
    <row r="570" spans="1:10" ht="12.75">
      <c r="A570" s="5"/>
      <c r="D570" s="75"/>
      <c r="E570" s="75"/>
      <c r="F570" s="75"/>
      <c r="G570" s="75"/>
      <c r="H570" s="75"/>
      <c r="I570" s="75"/>
      <c r="J570" s="75"/>
    </row>
    <row r="571" spans="1:10" ht="12.75">
      <c r="A571" s="5"/>
      <c r="D571" s="75"/>
      <c r="E571" s="75"/>
      <c r="F571" s="75"/>
      <c r="G571" s="75"/>
      <c r="H571" s="75"/>
      <c r="I571" s="75"/>
      <c r="J571" s="75"/>
    </row>
    <row r="572" spans="1:10" ht="12.75">
      <c r="A572" s="5"/>
      <c r="D572" s="75"/>
      <c r="E572" s="75"/>
      <c r="F572" s="75"/>
      <c r="G572" s="75"/>
      <c r="H572" s="75"/>
      <c r="I572" s="75"/>
      <c r="J572" s="75"/>
    </row>
    <row r="573" spans="1:10" ht="12.75">
      <c r="A573" s="5"/>
      <c r="D573" s="75"/>
      <c r="E573" s="75"/>
      <c r="F573" s="75"/>
      <c r="G573" s="75"/>
      <c r="H573" s="75"/>
      <c r="I573" s="75"/>
      <c r="J573" s="75"/>
    </row>
    <row r="574" spans="1:10" ht="12.75">
      <c r="A574" s="5"/>
      <c r="D574" s="75"/>
      <c r="E574" s="75"/>
      <c r="F574" s="75"/>
      <c r="G574" s="75"/>
      <c r="H574" s="75"/>
      <c r="I574" s="75"/>
      <c r="J574" s="75"/>
    </row>
    <row r="575" spans="1:10" ht="12.75">
      <c r="A575" s="5"/>
      <c r="D575" s="75"/>
      <c r="E575" s="75"/>
      <c r="F575" s="75"/>
      <c r="G575" s="75"/>
      <c r="H575" s="75"/>
      <c r="I575" s="75"/>
      <c r="J575" s="75"/>
    </row>
    <row r="576" spans="1:10" ht="12.75">
      <c r="A576" s="5"/>
      <c r="D576" s="75"/>
      <c r="E576" s="75"/>
      <c r="F576" s="75"/>
      <c r="G576" s="75"/>
      <c r="H576" s="75"/>
      <c r="I576" s="75"/>
      <c r="J576" s="75"/>
    </row>
    <row r="577" spans="1:10" ht="12.75">
      <c r="A577" s="5"/>
      <c r="D577" s="75"/>
      <c r="E577" s="75"/>
      <c r="F577" s="75"/>
      <c r="G577" s="75"/>
      <c r="H577" s="75"/>
      <c r="I577" s="75"/>
      <c r="J577" s="75"/>
    </row>
    <row r="578" spans="1:10" ht="12.75">
      <c r="A578" s="5"/>
      <c r="D578" s="75"/>
      <c r="E578" s="75"/>
      <c r="F578" s="75"/>
      <c r="G578" s="75"/>
      <c r="H578" s="75"/>
      <c r="I578" s="75"/>
      <c r="J578" s="75"/>
    </row>
    <row r="579" spans="1:10" ht="12.75">
      <c r="A579" s="5"/>
      <c r="D579" s="75"/>
      <c r="E579" s="75"/>
      <c r="F579" s="75"/>
      <c r="G579" s="75"/>
      <c r="H579" s="75"/>
      <c r="I579" s="75"/>
      <c r="J579" s="75"/>
    </row>
    <row r="580" spans="1:10" ht="12.75">
      <c r="A580" s="5"/>
      <c r="D580" s="75"/>
      <c r="E580" s="75"/>
      <c r="F580" s="75"/>
      <c r="G580" s="75"/>
      <c r="H580" s="75"/>
      <c r="I580" s="75"/>
      <c r="J580" s="75"/>
    </row>
    <row r="581" spans="1:10" ht="12.75">
      <c r="A581" s="5"/>
      <c r="D581" s="75"/>
      <c r="E581" s="75"/>
      <c r="F581" s="75"/>
      <c r="G581" s="75"/>
      <c r="H581" s="75"/>
      <c r="I581" s="75"/>
      <c r="J581" s="75"/>
    </row>
    <row r="582" spans="1:10" ht="12.75">
      <c r="A582" s="5"/>
      <c r="D582" s="75"/>
      <c r="E582" s="75"/>
      <c r="F582" s="75"/>
      <c r="G582" s="75"/>
      <c r="H582" s="75"/>
      <c r="I582" s="75"/>
      <c r="J582" s="75"/>
    </row>
    <row r="583" spans="1:10" ht="12.75">
      <c r="A583" s="5"/>
      <c r="D583" s="75"/>
      <c r="E583" s="75"/>
      <c r="F583" s="75"/>
      <c r="G583" s="75"/>
      <c r="H583" s="75"/>
      <c r="I583" s="75"/>
      <c r="J583" s="75"/>
    </row>
    <row r="584" spans="1:10" ht="12.75">
      <c r="A584" s="5"/>
      <c r="D584" s="75"/>
      <c r="E584" s="75"/>
      <c r="F584" s="75"/>
      <c r="G584" s="75"/>
      <c r="H584" s="75"/>
      <c r="I584" s="75"/>
      <c r="J584" s="75"/>
    </row>
    <row r="585" spans="1:10" ht="12.75">
      <c r="A585" s="5"/>
      <c r="D585" s="75"/>
      <c r="E585" s="75"/>
      <c r="F585" s="75"/>
      <c r="G585" s="75"/>
      <c r="H585" s="75"/>
      <c r="I585" s="75"/>
      <c r="J585" s="75"/>
    </row>
    <row r="586" spans="1:10" ht="12.75">
      <c r="A586" s="5"/>
      <c r="D586" s="75"/>
      <c r="E586" s="75"/>
      <c r="F586" s="75"/>
      <c r="G586" s="75"/>
      <c r="H586" s="75"/>
      <c r="I586" s="75"/>
      <c r="J586" s="75"/>
    </row>
    <row r="587" spans="1:10" ht="12.75">
      <c r="A587" s="5"/>
      <c r="D587" s="75"/>
      <c r="E587" s="75"/>
      <c r="F587" s="75"/>
      <c r="G587" s="75"/>
      <c r="H587" s="75"/>
      <c r="I587" s="75"/>
      <c r="J587" s="75"/>
    </row>
    <row r="588" spans="1:10" ht="12.75">
      <c r="A588" s="5"/>
      <c r="D588" s="75"/>
      <c r="E588" s="75"/>
      <c r="F588" s="75"/>
      <c r="G588" s="75"/>
      <c r="H588" s="75"/>
      <c r="I588" s="75"/>
      <c r="J588" s="75"/>
    </row>
    <row r="589" spans="1:10" ht="12.75">
      <c r="A589" s="5"/>
      <c r="D589" s="75"/>
      <c r="E589" s="75"/>
      <c r="F589" s="75"/>
      <c r="G589" s="75"/>
      <c r="H589" s="75"/>
      <c r="I589" s="75"/>
      <c r="J589" s="75"/>
    </row>
    <row r="590" spans="1:10" ht="12.75">
      <c r="A590" s="5"/>
      <c r="D590" s="75"/>
      <c r="E590" s="75"/>
      <c r="F590" s="75"/>
      <c r="G590" s="75"/>
      <c r="H590" s="75"/>
      <c r="I590" s="75"/>
      <c r="J590" s="75"/>
    </row>
    <row r="591" spans="1:10" ht="12.75">
      <c r="A591" s="5"/>
      <c r="D591" s="75"/>
      <c r="E591" s="75"/>
      <c r="F591" s="75"/>
      <c r="G591" s="75"/>
      <c r="H591" s="75"/>
      <c r="I591" s="75"/>
      <c r="J591" s="75"/>
    </row>
    <row r="592" spans="1:10" ht="12.75">
      <c r="A592" s="5"/>
      <c r="D592" s="75"/>
      <c r="E592" s="75"/>
      <c r="F592" s="75"/>
      <c r="G592" s="75"/>
      <c r="H592" s="75"/>
      <c r="I592" s="75"/>
      <c r="J592" s="75"/>
    </row>
    <row r="593" spans="1:10" ht="12.75">
      <c r="A593" s="5"/>
      <c r="D593" s="75"/>
      <c r="E593" s="75"/>
      <c r="F593" s="75"/>
      <c r="G593" s="75"/>
      <c r="H593" s="75"/>
      <c r="I593" s="75"/>
      <c r="J593" s="75"/>
    </row>
    <row r="594" spans="1:10" ht="12.75">
      <c r="A594" s="5"/>
      <c r="D594" s="75"/>
      <c r="E594" s="75"/>
      <c r="F594" s="75"/>
      <c r="G594" s="75"/>
      <c r="H594" s="75"/>
      <c r="I594" s="75"/>
      <c r="J594" s="75"/>
    </row>
    <row r="595" spans="1:10" ht="12.75">
      <c r="A595" s="5"/>
      <c r="D595" s="75"/>
      <c r="E595" s="75"/>
      <c r="F595" s="75"/>
      <c r="G595" s="75"/>
      <c r="H595" s="75"/>
      <c r="I595" s="75"/>
      <c r="J595" s="75"/>
    </row>
    <row r="596" spans="1:10" ht="12.75">
      <c r="A596" s="5"/>
      <c r="D596" s="75"/>
      <c r="E596" s="75"/>
      <c r="F596" s="75"/>
      <c r="G596" s="75"/>
      <c r="H596" s="75"/>
      <c r="I596" s="75"/>
      <c r="J596" s="75"/>
    </row>
    <row r="597" spans="1:10" ht="12.75">
      <c r="A597" s="5"/>
      <c r="D597" s="75"/>
      <c r="E597" s="75"/>
      <c r="F597" s="75"/>
      <c r="G597" s="75"/>
      <c r="H597" s="75"/>
      <c r="I597" s="75"/>
      <c r="J597" s="75"/>
    </row>
    <row r="598" spans="1:10" ht="12.75">
      <c r="A598" s="5"/>
      <c r="D598" s="75"/>
      <c r="E598" s="75"/>
      <c r="F598" s="75"/>
      <c r="G598" s="75"/>
      <c r="H598" s="75"/>
      <c r="I598" s="75"/>
      <c r="J598" s="75"/>
    </row>
    <row r="599" spans="1:10" ht="12.75">
      <c r="A599" s="5"/>
      <c r="D599" s="75"/>
      <c r="E599" s="75"/>
      <c r="F599" s="75"/>
      <c r="G599" s="75"/>
      <c r="H599" s="75"/>
      <c r="I599" s="75"/>
      <c r="J599" s="75"/>
    </row>
    <row r="600" spans="1:10" ht="12.75">
      <c r="A600" s="5"/>
      <c r="D600" s="75"/>
      <c r="E600" s="75"/>
      <c r="F600" s="75"/>
      <c r="G600" s="75"/>
      <c r="H600" s="75"/>
      <c r="I600" s="75"/>
      <c r="J600" s="75"/>
    </row>
    <row r="601" spans="1:10" ht="12.75">
      <c r="A601" s="5"/>
      <c r="D601" s="75"/>
      <c r="E601" s="75"/>
      <c r="F601" s="75"/>
      <c r="G601" s="75"/>
      <c r="H601" s="75"/>
      <c r="I601" s="75"/>
      <c r="J601" s="75"/>
    </row>
    <row r="602" spans="1:10" ht="12.75">
      <c r="A602" s="5"/>
      <c r="D602" s="75"/>
      <c r="E602" s="75"/>
      <c r="F602" s="75"/>
      <c r="G602" s="75"/>
      <c r="H602" s="75"/>
      <c r="I602" s="75"/>
      <c r="J602" s="75"/>
    </row>
    <row r="603" spans="1:10" ht="12.75">
      <c r="A603" s="5"/>
      <c r="D603" s="75"/>
      <c r="E603" s="75"/>
      <c r="F603" s="75"/>
      <c r="G603" s="75"/>
      <c r="H603" s="75"/>
      <c r="I603" s="75"/>
      <c r="J603" s="75"/>
    </row>
    <row r="604" spans="1:10" ht="12.75">
      <c r="A604" s="5"/>
      <c r="D604" s="75"/>
      <c r="E604" s="75"/>
      <c r="F604" s="75"/>
      <c r="G604" s="75"/>
      <c r="H604" s="75"/>
      <c r="I604" s="75"/>
      <c r="J604" s="75"/>
    </row>
    <row r="605" spans="1:10" ht="12.75">
      <c r="A605" s="5"/>
      <c r="D605" s="75"/>
      <c r="E605" s="75"/>
      <c r="F605" s="75"/>
      <c r="G605" s="75"/>
      <c r="H605" s="75"/>
      <c r="I605" s="75"/>
      <c r="J605" s="75"/>
    </row>
    <row r="606" spans="1:10" ht="12.75">
      <c r="A606" s="5"/>
      <c r="D606" s="75"/>
      <c r="E606" s="75"/>
      <c r="F606" s="75"/>
      <c r="G606" s="75"/>
      <c r="H606" s="75"/>
      <c r="I606" s="75"/>
      <c r="J606" s="75"/>
    </row>
    <row r="607" spans="1:10" ht="12.75">
      <c r="A607" s="5"/>
      <c r="D607" s="75"/>
      <c r="E607" s="75"/>
      <c r="F607" s="75"/>
      <c r="G607" s="75"/>
      <c r="H607" s="75"/>
      <c r="I607" s="75"/>
      <c r="J607" s="75"/>
    </row>
    <row r="608" spans="1:10" ht="12.75">
      <c r="A608" s="5"/>
      <c r="D608" s="75"/>
      <c r="E608" s="75"/>
      <c r="F608" s="75"/>
      <c r="G608" s="75"/>
      <c r="H608" s="75"/>
      <c r="I608" s="75"/>
      <c r="J608" s="75"/>
    </row>
    <row r="609" spans="1:10" ht="12.75">
      <c r="A609" s="5"/>
      <c r="D609" s="75"/>
      <c r="E609" s="75"/>
      <c r="F609" s="75"/>
      <c r="G609" s="75"/>
      <c r="H609" s="75"/>
      <c r="I609" s="75"/>
      <c r="J609" s="75"/>
    </row>
    <row r="610" spans="1:10" ht="12.75">
      <c r="A610" s="5"/>
      <c r="D610" s="75"/>
      <c r="E610" s="75"/>
      <c r="F610" s="75"/>
      <c r="G610" s="75"/>
      <c r="H610" s="75"/>
      <c r="I610" s="75"/>
      <c r="J610" s="75"/>
    </row>
    <row r="611" spans="1:10" ht="12.75">
      <c r="A611" s="5"/>
      <c r="D611" s="75"/>
      <c r="E611" s="75"/>
      <c r="F611" s="75"/>
      <c r="G611" s="75"/>
      <c r="H611" s="75"/>
      <c r="I611" s="75"/>
      <c r="J611" s="75"/>
    </row>
    <row r="612" spans="1:10" ht="12.75">
      <c r="A612" s="5"/>
      <c r="D612" s="75"/>
      <c r="E612" s="75"/>
      <c r="F612" s="75"/>
      <c r="G612" s="75"/>
      <c r="H612" s="75"/>
      <c r="I612" s="75"/>
      <c r="J612" s="75"/>
    </row>
    <row r="613" spans="1:10" ht="12.75">
      <c r="A613" s="5"/>
      <c r="D613" s="75"/>
      <c r="E613" s="75"/>
      <c r="F613" s="75"/>
      <c r="G613" s="75"/>
      <c r="H613" s="75"/>
      <c r="I613" s="75"/>
      <c r="J613" s="75"/>
    </row>
    <row r="614" spans="1:10" ht="12.75">
      <c r="A614" s="5"/>
      <c r="D614" s="75"/>
      <c r="E614" s="75"/>
      <c r="F614" s="75"/>
      <c r="G614" s="75"/>
      <c r="H614" s="75"/>
      <c r="I614" s="75"/>
      <c r="J614" s="75"/>
    </row>
    <row r="615" spans="1:10" ht="12.75">
      <c r="A615" s="5"/>
      <c r="D615" s="75"/>
      <c r="E615" s="75"/>
      <c r="F615" s="75"/>
      <c r="G615" s="75"/>
      <c r="H615" s="75"/>
      <c r="I615" s="75"/>
      <c r="J615" s="75"/>
    </row>
    <row r="616" spans="1:10" ht="12.75">
      <c r="A616" s="5"/>
      <c r="D616" s="75"/>
      <c r="E616" s="75"/>
      <c r="F616" s="75"/>
      <c r="G616" s="75"/>
      <c r="H616" s="75"/>
      <c r="I616" s="75"/>
      <c r="J616" s="75"/>
    </row>
    <row r="617" spans="1:10" ht="12.75">
      <c r="A617" s="5"/>
      <c r="D617" s="75"/>
      <c r="E617" s="75"/>
      <c r="F617" s="75"/>
      <c r="G617" s="75"/>
      <c r="H617" s="75"/>
      <c r="I617" s="75"/>
      <c r="J617" s="75"/>
    </row>
    <row r="618" spans="1:10" ht="12.75">
      <c r="A618" s="5"/>
      <c r="D618" s="75"/>
      <c r="E618" s="75"/>
      <c r="F618" s="75"/>
      <c r="G618" s="75"/>
      <c r="H618" s="75"/>
      <c r="I618" s="75"/>
      <c r="J618" s="75"/>
    </row>
    <row r="619" spans="1:10" ht="12.75">
      <c r="A619" s="5"/>
      <c r="D619" s="75"/>
      <c r="E619" s="75"/>
      <c r="F619" s="75"/>
      <c r="G619" s="75"/>
      <c r="H619" s="75"/>
      <c r="I619" s="75"/>
      <c r="J619" s="75"/>
    </row>
    <row r="620" spans="1:10" ht="12.75">
      <c r="A620" s="5"/>
      <c r="D620" s="75"/>
      <c r="E620" s="75"/>
      <c r="F620" s="75"/>
      <c r="G620" s="75"/>
      <c r="H620" s="75"/>
      <c r="I620" s="75"/>
      <c r="J620" s="75"/>
    </row>
    <row r="621" spans="1:10" ht="12.75">
      <c r="A621" s="5"/>
      <c r="D621" s="75"/>
      <c r="E621" s="75"/>
      <c r="F621" s="75"/>
      <c r="G621" s="75"/>
      <c r="H621" s="75"/>
      <c r="I621" s="75"/>
      <c r="J621" s="75"/>
    </row>
    <row r="622" spans="1:10" ht="12.75">
      <c r="A622" s="5"/>
      <c r="D622" s="75"/>
      <c r="E622" s="75"/>
      <c r="F622" s="75"/>
      <c r="G622" s="75"/>
      <c r="H622" s="75"/>
      <c r="I622" s="75"/>
      <c r="J622" s="75"/>
    </row>
    <row r="623" spans="1:10" ht="12.75">
      <c r="A623" s="5"/>
      <c r="D623" s="75"/>
      <c r="E623" s="75"/>
      <c r="F623" s="75"/>
      <c r="G623" s="75"/>
      <c r="H623" s="75"/>
      <c r="I623" s="75"/>
      <c r="J623" s="75"/>
    </row>
    <row r="624" spans="1:10" ht="12.75">
      <c r="A624" s="5"/>
      <c r="D624" s="75"/>
      <c r="E624" s="75"/>
      <c r="F624" s="75"/>
      <c r="G624" s="75"/>
      <c r="H624" s="75"/>
      <c r="I624" s="75"/>
      <c r="J624" s="75"/>
    </row>
    <row r="625" spans="1:10" ht="12.75">
      <c r="A625" s="5"/>
      <c r="D625" s="75"/>
      <c r="E625" s="75"/>
      <c r="F625" s="75"/>
      <c r="G625" s="75"/>
      <c r="H625" s="75"/>
      <c r="I625" s="75"/>
      <c r="J625" s="75"/>
    </row>
    <row r="626" spans="1:10" ht="12.75">
      <c r="A626" s="5"/>
      <c r="D626" s="75"/>
      <c r="E626" s="75"/>
      <c r="F626" s="75"/>
      <c r="G626" s="75"/>
      <c r="H626" s="75"/>
      <c r="I626" s="75"/>
      <c r="J626" s="75"/>
    </row>
    <row r="627" spans="1:10" ht="12.75">
      <c r="A627" s="5"/>
      <c r="D627" s="75"/>
      <c r="E627" s="75"/>
      <c r="F627" s="75"/>
      <c r="G627" s="75"/>
      <c r="H627" s="75"/>
      <c r="I627" s="75"/>
      <c r="J627" s="75"/>
    </row>
    <row r="628" spans="1:10" ht="12.75">
      <c r="A628" s="5"/>
      <c r="D628" s="75"/>
      <c r="E628" s="75"/>
      <c r="F628" s="75"/>
      <c r="G628" s="75"/>
      <c r="H628" s="75"/>
      <c r="I628" s="75"/>
      <c r="J628" s="75"/>
    </row>
    <row r="629" spans="1:10" ht="12.75">
      <c r="A629" s="5"/>
      <c r="D629" s="75"/>
      <c r="E629" s="75"/>
      <c r="F629" s="75"/>
      <c r="G629" s="75"/>
      <c r="H629" s="75"/>
      <c r="I629" s="75"/>
      <c r="J629" s="75"/>
    </row>
    <row r="630" spans="1:10" ht="12.75">
      <c r="A630" s="5"/>
      <c r="D630" s="75"/>
      <c r="E630" s="75"/>
      <c r="F630" s="75"/>
      <c r="G630" s="75"/>
      <c r="H630" s="75"/>
      <c r="I630" s="75"/>
      <c r="J630" s="75"/>
    </row>
    <row r="631" spans="1:10" ht="12.75">
      <c r="A631" s="5"/>
      <c r="D631" s="75"/>
      <c r="E631" s="75"/>
      <c r="F631" s="75"/>
      <c r="G631" s="75"/>
      <c r="H631" s="75"/>
      <c r="I631" s="75"/>
      <c r="J631" s="75"/>
    </row>
    <row r="632" spans="1:10" ht="12.75">
      <c r="A632" s="5"/>
      <c r="D632" s="75"/>
      <c r="E632" s="75"/>
      <c r="F632" s="75"/>
      <c r="G632" s="75"/>
      <c r="H632" s="75"/>
      <c r="I632" s="75"/>
      <c r="J632" s="75"/>
    </row>
    <row r="633" spans="1:10" ht="12.75">
      <c r="A633" s="5"/>
      <c r="D633" s="75"/>
      <c r="E633" s="75"/>
      <c r="F633" s="75"/>
      <c r="G633" s="75"/>
      <c r="H633" s="75"/>
      <c r="I633" s="75"/>
      <c r="J633" s="75"/>
    </row>
    <row r="634" spans="1:10" ht="12.75">
      <c r="A634" s="5"/>
      <c r="D634" s="75"/>
      <c r="E634" s="75"/>
      <c r="F634" s="75"/>
      <c r="G634" s="75"/>
      <c r="H634" s="75"/>
      <c r="I634" s="75"/>
      <c r="J634" s="75"/>
    </row>
    <row r="635" spans="1:10" ht="12.75">
      <c r="A635" s="5"/>
      <c r="D635" s="75"/>
      <c r="E635" s="75"/>
      <c r="F635" s="75"/>
      <c r="G635" s="75"/>
      <c r="H635" s="75"/>
      <c r="I635" s="75"/>
      <c r="J635" s="75"/>
    </row>
    <row r="636" spans="1:10" ht="12.75">
      <c r="A636" s="5"/>
      <c r="D636" s="75"/>
      <c r="E636" s="75"/>
      <c r="F636" s="75"/>
      <c r="G636" s="75"/>
      <c r="H636" s="75"/>
      <c r="I636" s="75"/>
      <c r="J636" s="75"/>
    </row>
    <row r="637" spans="1:10" ht="12.75">
      <c r="A637" s="5"/>
      <c r="D637" s="75"/>
      <c r="E637" s="75"/>
      <c r="F637" s="75"/>
      <c r="G637" s="75"/>
      <c r="H637" s="75"/>
      <c r="I637" s="75"/>
      <c r="J637" s="75"/>
    </row>
    <row r="638" spans="1:10" ht="12.75">
      <c r="A638" s="5"/>
      <c r="D638" s="75"/>
      <c r="E638" s="75"/>
      <c r="F638" s="75"/>
      <c r="G638" s="75"/>
      <c r="H638" s="75"/>
      <c r="I638" s="75"/>
      <c r="J638" s="75"/>
    </row>
    <row r="639" spans="1:10" ht="12.75">
      <c r="A639" s="5"/>
      <c r="D639" s="75"/>
      <c r="E639" s="75"/>
      <c r="F639" s="75"/>
      <c r="G639" s="75"/>
      <c r="H639" s="75"/>
      <c r="I639" s="75"/>
      <c r="J639" s="75"/>
    </row>
    <row r="640" spans="1:10" ht="12.75">
      <c r="A640" s="5"/>
      <c r="D640" s="75"/>
      <c r="E640" s="75"/>
      <c r="F640" s="75"/>
      <c r="G640" s="75"/>
      <c r="H640" s="75"/>
      <c r="I640" s="75"/>
      <c r="J640" s="75"/>
    </row>
    <row r="641" spans="1:10" ht="12.75">
      <c r="A641" s="5"/>
      <c r="D641" s="75"/>
      <c r="E641" s="75"/>
      <c r="F641" s="75"/>
      <c r="G641" s="75"/>
      <c r="H641" s="75"/>
      <c r="I641" s="75"/>
      <c r="J641" s="75"/>
    </row>
    <row r="642" spans="1:10" ht="12.75">
      <c r="A642" s="5"/>
      <c r="D642" s="75"/>
      <c r="E642" s="75"/>
      <c r="F642" s="75"/>
      <c r="G642" s="75"/>
      <c r="H642" s="75"/>
      <c r="I642" s="75"/>
      <c r="J642" s="75"/>
    </row>
    <row r="643" spans="1:10" ht="12.75">
      <c r="A643" s="5"/>
      <c r="D643" s="75"/>
      <c r="E643" s="75"/>
      <c r="F643" s="75"/>
      <c r="G643" s="75"/>
      <c r="H643" s="75"/>
      <c r="I643" s="75"/>
      <c r="J643" s="75"/>
    </row>
    <row r="644" spans="1:10" ht="12.75">
      <c r="A644" s="5"/>
      <c r="D644" s="75"/>
      <c r="E644" s="75"/>
      <c r="F644" s="75"/>
      <c r="G644" s="75"/>
      <c r="H644" s="75"/>
      <c r="I644" s="75"/>
      <c r="J644" s="75"/>
    </row>
    <row r="645" spans="1:10" ht="12.75">
      <c r="A645" s="5"/>
      <c r="D645" s="75"/>
      <c r="E645" s="75"/>
      <c r="F645" s="75"/>
      <c r="G645" s="75"/>
      <c r="H645" s="75"/>
      <c r="I645" s="75"/>
      <c r="J645" s="75"/>
    </row>
    <row r="646" spans="1:10" ht="12.75">
      <c r="A646" s="5"/>
      <c r="D646" s="75"/>
      <c r="E646" s="75"/>
      <c r="F646" s="75"/>
      <c r="G646" s="75"/>
      <c r="H646" s="75"/>
      <c r="I646" s="75"/>
      <c r="J646" s="75"/>
    </row>
    <row r="647" spans="1:10" ht="12.75">
      <c r="A647" s="5"/>
      <c r="D647" s="75"/>
      <c r="E647" s="75"/>
      <c r="F647" s="75"/>
      <c r="G647" s="75"/>
      <c r="H647" s="75"/>
      <c r="I647" s="75"/>
      <c r="J647" s="75"/>
    </row>
    <row r="648" spans="1:10" ht="12.75">
      <c r="A648" s="5"/>
      <c r="D648" s="75"/>
      <c r="E648" s="75"/>
      <c r="F648" s="75"/>
      <c r="G648" s="75"/>
      <c r="H648" s="75"/>
      <c r="I648" s="75"/>
      <c r="J648" s="75"/>
    </row>
    <row r="649" spans="1:10" ht="12.75">
      <c r="A649" s="5"/>
      <c r="D649" s="75"/>
      <c r="E649" s="75"/>
      <c r="F649" s="75"/>
      <c r="G649" s="75"/>
      <c r="H649" s="75"/>
      <c r="I649" s="75"/>
      <c r="J649" s="75"/>
    </row>
    <row r="650" spans="1:10" ht="12.75">
      <c r="A650" s="5"/>
      <c r="D650" s="75"/>
      <c r="E650" s="75"/>
      <c r="F650" s="75"/>
      <c r="G650" s="75"/>
      <c r="H650" s="75"/>
      <c r="I650" s="75"/>
      <c r="J650" s="75"/>
    </row>
    <row r="651" spans="1:10" ht="12.75">
      <c r="A651" s="5"/>
      <c r="D651" s="75"/>
      <c r="E651" s="75"/>
      <c r="F651" s="75"/>
      <c r="G651" s="75"/>
      <c r="H651" s="75"/>
      <c r="I651" s="75"/>
      <c r="J651" s="75"/>
    </row>
    <row r="652" spans="1:10" ht="12.75">
      <c r="A652" s="5"/>
      <c r="D652" s="75"/>
      <c r="E652" s="75"/>
      <c r="F652" s="75"/>
      <c r="G652" s="75"/>
      <c r="H652" s="75"/>
      <c r="I652" s="75"/>
      <c r="J652" s="75"/>
    </row>
    <row r="653" spans="1:10" ht="12.75">
      <c r="A653" s="5"/>
      <c r="D653" s="75"/>
      <c r="E653" s="75"/>
      <c r="F653" s="75"/>
      <c r="G653" s="75"/>
      <c r="H653" s="75"/>
      <c r="I653" s="75"/>
      <c r="J653" s="75"/>
    </row>
    <row r="654" spans="1:10" ht="12.75">
      <c r="A654" s="5"/>
      <c r="D654" s="75"/>
      <c r="E654" s="75"/>
      <c r="F654" s="75"/>
      <c r="G654" s="75"/>
      <c r="H654" s="75"/>
      <c r="I654" s="75"/>
      <c r="J654" s="75"/>
    </row>
    <row r="655" spans="1:10" ht="12.75">
      <c r="A655" s="5"/>
      <c r="D655" s="75"/>
      <c r="E655" s="75"/>
      <c r="F655" s="75"/>
      <c r="G655" s="75"/>
      <c r="H655" s="75"/>
      <c r="I655" s="75"/>
      <c r="J655" s="75"/>
    </row>
    <row r="656" spans="1:10" ht="12.75">
      <c r="A656" s="5"/>
      <c r="D656" s="75"/>
      <c r="E656" s="75"/>
      <c r="F656" s="75"/>
      <c r="G656" s="75"/>
      <c r="H656" s="75"/>
      <c r="I656" s="75"/>
      <c r="J656" s="75"/>
    </row>
    <row r="657" spans="1:10" ht="12.75">
      <c r="A657" s="5"/>
      <c r="D657" s="75"/>
      <c r="E657" s="75"/>
      <c r="F657" s="75"/>
      <c r="G657" s="75"/>
      <c r="H657" s="75"/>
      <c r="I657" s="75"/>
      <c r="J657" s="75"/>
    </row>
    <row r="658" spans="1:10" ht="12.75">
      <c r="A658" s="5"/>
      <c r="D658" s="75"/>
      <c r="E658" s="75"/>
      <c r="F658" s="75"/>
      <c r="G658" s="75"/>
      <c r="H658" s="75"/>
      <c r="I658" s="75"/>
      <c r="J658" s="75"/>
    </row>
    <row r="659" spans="1:10" ht="12.75">
      <c r="A659" s="5"/>
      <c r="D659" s="75"/>
      <c r="E659" s="75"/>
      <c r="F659" s="75"/>
      <c r="G659" s="75"/>
      <c r="H659" s="75"/>
      <c r="I659" s="75"/>
      <c r="J659" s="75"/>
    </row>
    <row r="660" spans="1:10" ht="12.75">
      <c r="A660" s="5"/>
      <c r="D660" s="75"/>
      <c r="E660" s="75"/>
      <c r="F660" s="75"/>
      <c r="G660" s="75"/>
      <c r="H660" s="75"/>
      <c r="I660" s="75"/>
      <c r="J660" s="75"/>
    </row>
    <row r="661" spans="1:10" ht="12.75">
      <c r="A661" s="5"/>
      <c r="D661" s="75"/>
      <c r="E661" s="75"/>
      <c r="F661" s="75"/>
      <c r="G661" s="75"/>
      <c r="H661" s="75"/>
      <c r="I661" s="75"/>
      <c r="J661" s="75"/>
    </row>
    <row r="662" spans="1:10" ht="12.75">
      <c r="A662" s="5"/>
      <c r="D662" s="75"/>
      <c r="E662" s="75"/>
      <c r="F662" s="75"/>
      <c r="G662" s="75"/>
      <c r="H662" s="75"/>
      <c r="I662" s="75"/>
      <c r="J662" s="75"/>
    </row>
    <row r="663" spans="1:10" ht="12.75">
      <c r="A663" s="5"/>
      <c r="D663" s="75"/>
      <c r="E663" s="75"/>
      <c r="F663" s="75"/>
      <c r="G663" s="75"/>
      <c r="H663" s="75"/>
      <c r="I663" s="75"/>
      <c r="J663" s="75"/>
    </row>
    <row r="664" spans="1:10" ht="12.75">
      <c r="A664" s="5"/>
      <c r="D664" s="75"/>
      <c r="E664" s="75"/>
      <c r="F664" s="75"/>
      <c r="G664" s="75"/>
      <c r="H664" s="75"/>
      <c r="I664" s="75"/>
      <c r="J664" s="75"/>
    </row>
    <row r="665" spans="1:10" ht="12.75">
      <c r="A665" s="5"/>
      <c r="D665" s="75"/>
      <c r="E665" s="75"/>
      <c r="F665" s="75"/>
      <c r="G665" s="75"/>
      <c r="H665" s="75"/>
      <c r="I665" s="75"/>
      <c r="J665" s="75"/>
    </row>
    <row r="666" spans="1:10" ht="12.75">
      <c r="A666" s="5"/>
      <c r="D666" s="75"/>
      <c r="E666" s="75"/>
      <c r="F666" s="75"/>
      <c r="G666" s="75"/>
      <c r="H666" s="75"/>
      <c r="I666" s="75"/>
      <c r="J666" s="75"/>
    </row>
    <row r="667" spans="1:10" ht="12.75">
      <c r="A667" s="5"/>
      <c r="D667" s="75"/>
      <c r="E667" s="75"/>
      <c r="F667" s="75"/>
      <c r="G667" s="75"/>
      <c r="H667" s="75"/>
      <c r="I667" s="75"/>
      <c r="J667" s="75"/>
    </row>
    <row r="668" spans="1:10" ht="12.75">
      <c r="A668" s="5"/>
      <c r="D668" s="75"/>
      <c r="E668" s="75"/>
      <c r="F668" s="75"/>
      <c r="G668" s="75"/>
      <c r="H668" s="75"/>
      <c r="I668" s="75"/>
      <c r="J668" s="75"/>
    </row>
    <row r="669" spans="1:10" ht="12.75">
      <c r="A669" s="5"/>
      <c r="D669" s="75"/>
      <c r="E669" s="75"/>
      <c r="F669" s="75"/>
      <c r="G669" s="75"/>
      <c r="H669" s="75"/>
      <c r="I669" s="75"/>
      <c r="J669" s="75"/>
    </row>
    <row r="670" spans="1:10" ht="12.75">
      <c r="A670" s="5"/>
      <c r="D670" s="75"/>
      <c r="E670" s="75"/>
      <c r="F670" s="75"/>
      <c r="G670" s="75"/>
      <c r="H670" s="75"/>
      <c r="I670" s="75"/>
      <c r="J670" s="75"/>
    </row>
    <row r="671" spans="1:10" ht="12.75">
      <c r="A671" s="5"/>
      <c r="D671" s="75"/>
      <c r="E671" s="75"/>
      <c r="F671" s="75"/>
      <c r="G671" s="75"/>
      <c r="H671" s="75"/>
      <c r="I671" s="75"/>
      <c r="J671" s="75"/>
    </row>
    <row r="672" spans="1:10" ht="12.75">
      <c r="A672" s="5"/>
      <c r="D672" s="75"/>
      <c r="E672" s="75"/>
      <c r="F672" s="75"/>
      <c r="G672" s="75"/>
      <c r="H672" s="75"/>
      <c r="I672" s="75"/>
      <c r="J672" s="75"/>
    </row>
    <row r="673" spans="1:10" ht="12.75">
      <c r="A673" s="5"/>
      <c r="D673" s="75"/>
      <c r="E673" s="75"/>
      <c r="F673" s="75"/>
      <c r="G673" s="75"/>
      <c r="H673" s="75"/>
      <c r="I673" s="75"/>
      <c r="J673" s="75"/>
    </row>
    <row r="674" spans="1:10" ht="12.75">
      <c r="A674" s="5"/>
      <c r="D674" s="75"/>
      <c r="E674" s="75"/>
      <c r="F674" s="75"/>
      <c r="G674" s="75"/>
      <c r="H674" s="75"/>
      <c r="I674" s="75"/>
      <c r="J674" s="75"/>
    </row>
    <row r="675" spans="1:10" ht="12.75">
      <c r="A675" s="5"/>
      <c r="D675" s="75"/>
      <c r="E675" s="75"/>
      <c r="F675" s="75"/>
      <c r="G675" s="75"/>
      <c r="H675" s="75"/>
      <c r="I675" s="75"/>
      <c r="J675" s="75"/>
    </row>
    <row r="676" spans="1:10" ht="12.75">
      <c r="A676" s="5"/>
      <c r="D676" s="75"/>
      <c r="E676" s="75"/>
      <c r="F676" s="75"/>
      <c r="G676" s="75"/>
      <c r="H676" s="75"/>
      <c r="I676" s="75"/>
      <c r="J676" s="75"/>
    </row>
    <row r="677" spans="1:10" ht="12.75">
      <c r="A677" s="5"/>
      <c r="D677" s="75"/>
      <c r="E677" s="75"/>
      <c r="F677" s="75"/>
      <c r="G677" s="75"/>
      <c r="H677" s="75"/>
      <c r="I677" s="75"/>
      <c r="J677" s="75"/>
    </row>
    <row r="678" spans="1:10" ht="12.75">
      <c r="A678" s="5"/>
      <c r="D678" s="75"/>
      <c r="E678" s="75"/>
      <c r="F678" s="75"/>
      <c r="G678" s="75"/>
      <c r="H678" s="75"/>
      <c r="I678" s="75"/>
      <c r="J678" s="75"/>
    </row>
    <row r="679" spans="1:10" ht="12.75">
      <c r="A679" s="5"/>
      <c r="D679" s="75"/>
      <c r="E679" s="75"/>
      <c r="F679" s="75"/>
      <c r="G679" s="75"/>
      <c r="H679" s="75"/>
      <c r="I679" s="75"/>
      <c r="J679" s="75"/>
    </row>
    <row r="680" spans="1:10" ht="12.75">
      <c r="A680" s="5"/>
      <c r="D680" s="75"/>
      <c r="E680" s="75"/>
      <c r="F680" s="75"/>
      <c r="G680" s="75"/>
      <c r="H680" s="75"/>
      <c r="I680" s="75"/>
      <c r="J680" s="75"/>
    </row>
    <row r="681" spans="1:10" ht="12.75">
      <c r="A681" s="5"/>
      <c r="D681" s="75"/>
      <c r="E681" s="75"/>
      <c r="F681" s="75"/>
      <c r="G681" s="75"/>
      <c r="H681" s="75"/>
      <c r="I681" s="75"/>
      <c r="J681" s="75"/>
    </row>
    <row r="682" spans="1:10" ht="12.75">
      <c r="A682" s="5"/>
      <c r="D682" s="75"/>
      <c r="E682" s="75"/>
      <c r="F682" s="75"/>
      <c r="G682" s="75"/>
      <c r="H682" s="75"/>
      <c r="I682" s="75"/>
      <c r="J682" s="75"/>
    </row>
    <row r="683" spans="1:10" ht="12.75">
      <c r="A683" s="5"/>
      <c r="D683" s="75"/>
      <c r="E683" s="75"/>
      <c r="F683" s="75"/>
      <c r="G683" s="75"/>
      <c r="H683" s="75"/>
      <c r="I683" s="75"/>
      <c r="J683" s="75"/>
    </row>
    <row r="684" spans="1:10" ht="12.75">
      <c r="A684" s="5"/>
      <c r="D684" s="75"/>
      <c r="E684" s="75"/>
      <c r="F684" s="75"/>
      <c r="G684" s="75"/>
      <c r="H684" s="75"/>
      <c r="I684" s="75"/>
      <c r="J684" s="75"/>
    </row>
    <row r="685" spans="1:10" ht="12.75">
      <c r="A685" s="5"/>
      <c r="D685" s="75"/>
      <c r="E685" s="75"/>
      <c r="F685" s="75"/>
      <c r="G685" s="75"/>
      <c r="H685" s="75"/>
      <c r="I685" s="75"/>
      <c r="J685" s="75"/>
    </row>
    <row r="686" spans="1:10" ht="12.75">
      <c r="A686" s="5"/>
      <c r="D686" s="75"/>
      <c r="E686" s="75"/>
      <c r="F686" s="75"/>
      <c r="G686" s="75"/>
      <c r="H686" s="75"/>
      <c r="I686" s="75"/>
      <c r="J686" s="75"/>
    </row>
    <row r="687" spans="1:10" ht="12.75">
      <c r="A687" s="5"/>
      <c r="D687" s="75"/>
      <c r="E687" s="75"/>
      <c r="F687" s="75"/>
      <c r="G687" s="75"/>
      <c r="H687" s="75"/>
      <c r="I687" s="75"/>
      <c r="J687" s="75"/>
    </row>
    <row r="688" spans="1:10" ht="12.75">
      <c r="A688" s="5"/>
      <c r="D688" s="75"/>
      <c r="E688" s="75"/>
      <c r="F688" s="75"/>
      <c r="G688" s="75"/>
      <c r="H688" s="75"/>
      <c r="I688" s="75"/>
      <c r="J688" s="75"/>
    </row>
    <row r="689" spans="1:10" ht="12.75">
      <c r="A689" s="5"/>
      <c r="D689" s="75"/>
      <c r="E689" s="75"/>
      <c r="F689" s="75"/>
      <c r="G689" s="75"/>
      <c r="H689" s="75"/>
      <c r="I689" s="75"/>
      <c r="J689" s="75"/>
    </row>
    <row r="690" spans="1:10" ht="12.75">
      <c r="A690" s="5"/>
      <c r="D690" s="75"/>
      <c r="E690" s="75"/>
      <c r="F690" s="75"/>
      <c r="G690" s="75"/>
      <c r="H690" s="75"/>
      <c r="I690" s="75"/>
      <c r="J690" s="75"/>
    </row>
    <row r="691" spans="1:10" ht="12.75">
      <c r="A691" s="5"/>
      <c r="D691" s="75"/>
      <c r="E691" s="75"/>
      <c r="F691" s="75"/>
      <c r="G691" s="75"/>
      <c r="H691" s="75"/>
      <c r="I691" s="75"/>
      <c r="J691" s="75"/>
    </row>
    <row r="692" spans="1:10" ht="12.75">
      <c r="A692" s="5"/>
      <c r="D692" s="75"/>
      <c r="E692" s="75"/>
      <c r="F692" s="75"/>
      <c r="G692" s="75"/>
      <c r="H692" s="75"/>
      <c r="I692" s="75"/>
      <c r="J692" s="75"/>
    </row>
    <row r="693" spans="1:10" ht="12.75">
      <c r="A693" s="5"/>
      <c r="D693" s="75"/>
      <c r="E693" s="75"/>
      <c r="F693" s="75"/>
      <c r="G693" s="75"/>
      <c r="H693" s="75"/>
      <c r="I693" s="75"/>
      <c r="J693" s="75"/>
    </row>
    <row r="694" spans="1:10" ht="12.75">
      <c r="A694" s="5"/>
      <c r="D694" s="75"/>
      <c r="E694" s="75"/>
      <c r="F694" s="75"/>
      <c r="G694" s="75"/>
      <c r="H694" s="75"/>
      <c r="I694" s="75"/>
      <c r="J694" s="75"/>
    </row>
    <row r="695" spans="1:10" ht="12.75">
      <c r="A695" s="5"/>
      <c r="D695" s="75"/>
      <c r="E695" s="75"/>
      <c r="F695" s="75"/>
      <c r="G695" s="75"/>
      <c r="H695" s="75"/>
      <c r="I695" s="75"/>
      <c r="J695" s="75"/>
    </row>
    <row r="696" spans="1:10" ht="12.75">
      <c r="A696" s="5"/>
      <c r="D696" s="75"/>
      <c r="E696" s="75"/>
      <c r="F696" s="75"/>
      <c r="G696" s="75"/>
      <c r="H696" s="75"/>
      <c r="I696" s="75"/>
      <c r="J696" s="75"/>
    </row>
    <row r="697" spans="1:10" ht="12.75">
      <c r="A697" s="5"/>
      <c r="D697" s="75"/>
      <c r="E697" s="75"/>
      <c r="F697" s="75"/>
      <c r="G697" s="75"/>
      <c r="H697" s="75"/>
      <c r="I697" s="75"/>
      <c r="J697" s="75"/>
    </row>
    <row r="698" spans="1:10" ht="12.75">
      <c r="A698" s="5"/>
      <c r="D698" s="75"/>
      <c r="E698" s="75"/>
      <c r="F698" s="75"/>
      <c r="G698" s="75"/>
      <c r="H698" s="75"/>
      <c r="I698" s="75"/>
      <c r="J698" s="75"/>
    </row>
    <row r="699" spans="1:10" ht="12.75">
      <c r="A699" s="5"/>
      <c r="D699" s="75"/>
      <c r="E699" s="75"/>
      <c r="F699" s="75"/>
      <c r="G699" s="75"/>
      <c r="H699" s="75"/>
      <c r="I699" s="75"/>
      <c r="J699" s="75"/>
    </row>
    <row r="700" spans="1:10" ht="12.75">
      <c r="A700" s="5"/>
      <c r="D700" s="75"/>
      <c r="E700" s="75"/>
      <c r="F700" s="75"/>
      <c r="G700" s="75"/>
      <c r="H700" s="75"/>
      <c r="I700" s="75"/>
      <c r="J700" s="75"/>
    </row>
    <row r="701" spans="1:10" ht="12.75">
      <c r="A701" s="5"/>
      <c r="D701" s="75"/>
      <c r="E701" s="75"/>
      <c r="F701" s="75"/>
      <c r="G701" s="75"/>
      <c r="H701" s="75"/>
      <c r="I701" s="75"/>
      <c r="J701" s="75"/>
    </row>
    <row r="702" spans="1:10" ht="12.75">
      <c r="A702" s="5"/>
      <c r="D702" s="75"/>
      <c r="E702" s="75"/>
      <c r="F702" s="75"/>
      <c r="G702" s="75"/>
      <c r="H702" s="75"/>
      <c r="I702" s="75"/>
      <c r="J702" s="75"/>
    </row>
    <row r="703" spans="1:10" ht="12.75">
      <c r="A703" s="5"/>
      <c r="D703" s="75"/>
      <c r="E703" s="75"/>
      <c r="F703" s="75"/>
      <c r="G703" s="75"/>
      <c r="H703" s="75"/>
      <c r="I703" s="75"/>
      <c r="J703" s="75"/>
    </row>
    <row r="704" spans="1:10" ht="12.75">
      <c r="A704" s="5"/>
      <c r="D704" s="75"/>
      <c r="E704" s="75"/>
      <c r="F704" s="75"/>
      <c r="G704" s="75"/>
      <c r="H704" s="75"/>
      <c r="I704" s="75"/>
      <c r="J704" s="75"/>
    </row>
    <row r="705" spans="1:10" ht="12.75">
      <c r="A705" s="5"/>
      <c r="D705" s="75"/>
      <c r="E705" s="75"/>
      <c r="F705" s="75"/>
      <c r="G705" s="75"/>
      <c r="H705" s="75"/>
      <c r="I705" s="75"/>
      <c r="J705" s="75"/>
    </row>
    <row r="706" spans="1:10" ht="12.75">
      <c r="A706" s="5"/>
      <c r="D706" s="75"/>
      <c r="E706" s="75"/>
      <c r="F706" s="75"/>
      <c r="G706" s="75"/>
      <c r="H706" s="75"/>
      <c r="I706" s="75"/>
      <c r="J706" s="75"/>
    </row>
    <row r="707" spans="1:10" ht="12.75">
      <c r="A707" s="5"/>
      <c r="D707" s="75"/>
      <c r="E707" s="75"/>
      <c r="F707" s="75"/>
      <c r="G707" s="75"/>
      <c r="H707" s="75"/>
      <c r="I707" s="75"/>
      <c r="J707" s="75"/>
    </row>
    <row r="708" spans="1:10" ht="12.75">
      <c r="A708" s="5"/>
      <c r="D708" s="75"/>
      <c r="E708" s="75"/>
      <c r="F708" s="75"/>
      <c r="G708" s="75"/>
      <c r="H708" s="75"/>
      <c r="I708" s="75"/>
      <c r="J708" s="75"/>
    </row>
    <row r="709" spans="1:10" ht="12.75">
      <c r="A709" s="5"/>
      <c r="D709" s="75"/>
      <c r="E709" s="75"/>
      <c r="F709" s="75"/>
      <c r="G709" s="75"/>
      <c r="H709" s="75"/>
      <c r="I709" s="75"/>
      <c r="J709" s="75"/>
    </row>
    <row r="710" spans="1:10" ht="12.75">
      <c r="A710" s="5"/>
      <c r="D710" s="75"/>
      <c r="E710" s="75"/>
      <c r="F710" s="75"/>
      <c r="G710" s="75"/>
      <c r="H710" s="75"/>
      <c r="I710" s="75"/>
      <c r="J710" s="75"/>
    </row>
    <row r="711" spans="1:10" ht="12.75">
      <c r="A711" s="5"/>
      <c r="D711" s="75"/>
      <c r="E711" s="75"/>
      <c r="F711" s="75"/>
      <c r="G711" s="75"/>
      <c r="H711" s="75"/>
      <c r="I711" s="75"/>
      <c r="J711" s="75"/>
    </row>
    <row r="712" spans="1:10" ht="12.75">
      <c r="A712" s="5"/>
      <c r="D712" s="75"/>
      <c r="E712" s="75"/>
      <c r="F712" s="75"/>
      <c r="G712" s="75"/>
      <c r="H712" s="75"/>
      <c r="I712" s="75"/>
      <c r="J712" s="75"/>
    </row>
    <row r="713" spans="1:10" ht="12.75">
      <c r="A713" s="5"/>
      <c r="D713" s="75"/>
      <c r="E713" s="75"/>
      <c r="F713" s="75"/>
      <c r="G713" s="75"/>
      <c r="H713" s="75"/>
      <c r="I713" s="75"/>
      <c r="J713" s="75"/>
    </row>
    <row r="714" spans="1:10" ht="12.75">
      <c r="A714" s="5"/>
      <c r="D714" s="75"/>
      <c r="E714" s="75"/>
      <c r="F714" s="75"/>
      <c r="G714" s="75"/>
      <c r="H714" s="75"/>
      <c r="I714" s="75"/>
      <c r="J714" s="75"/>
    </row>
    <row r="715" spans="1:10" ht="12.75">
      <c r="A715" s="5"/>
      <c r="D715" s="75"/>
      <c r="E715" s="75"/>
      <c r="F715" s="75"/>
      <c r="G715" s="75"/>
      <c r="H715" s="75"/>
      <c r="I715" s="75"/>
      <c r="J715" s="75"/>
    </row>
    <row r="716" spans="1:10" ht="12.75">
      <c r="A716" s="5"/>
      <c r="D716" s="75"/>
      <c r="E716" s="75"/>
      <c r="F716" s="75"/>
      <c r="G716" s="75"/>
      <c r="H716" s="75"/>
      <c r="I716" s="75"/>
      <c r="J716" s="75"/>
    </row>
    <row r="717" spans="1:10" ht="12.75">
      <c r="A717" s="5"/>
      <c r="D717" s="75"/>
      <c r="E717" s="75"/>
      <c r="F717" s="75"/>
      <c r="G717" s="75"/>
      <c r="H717" s="75"/>
      <c r="I717" s="75"/>
      <c r="J717" s="75"/>
    </row>
    <row r="718" spans="1:10" ht="12.75">
      <c r="A718" s="5"/>
      <c r="D718" s="75"/>
      <c r="E718" s="75"/>
      <c r="F718" s="75"/>
      <c r="G718" s="75"/>
      <c r="H718" s="75"/>
      <c r="I718" s="75"/>
      <c r="J718" s="75"/>
    </row>
    <row r="719" spans="1:10" ht="12.75">
      <c r="A719" s="5"/>
      <c r="D719" s="75"/>
      <c r="E719" s="75"/>
      <c r="F719" s="75"/>
      <c r="G719" s="75"/>
      <c r="H719" s="75"/>
      <c r="I719" s="75"/>
      <c r="J719" s="75"/>
    </row>
    <row r="720" spans="1:10" ht="12.75">
      <c r="A720" s="5"/>
      <c r="D720" s="75"/>
      <c r="E720" s="75"/>
      <c r="F720" s="75"/>
      <c r="G720" s="75"/>
      <c r="H720" s="75"/>
      <c r="I720" s="75"/>
      <c r="J720" s="75"/>
    </row>
    <row r="721" spans="1:10" ht="12.75">
      <c r="A721" s="5"/>
      <c r="D721" s="75"/>
      <c r="E721" s="75"/>
      <c r="F721" s="75"/>
      <c r="G721" s="75"/>
      <c r="H721" s="75"/>
      <c r="I721" s="75"/>
      <c r="J721" s="75"/>
    </row>
    <row r="722" spans="1:10" ht="12.75">
      <c r="A722" s="5"/>
      <c r="D722" s="75"/>
      <c r="E722" s="75"/>
      <c r="F722" s="75"/>
      <c r="G722" s="75"/>
      <c r="H722" s="75"/>
      <c r="I722" s="75"/>
      <c r="J722" s="75"/>
    </row>
    <row r="723" spans="1:10" ht="12.75">
      <c r="A723" s="5"/>
      <c r="D723" s="75"/>
      <c r="E723" s="75"/>
      <c r="F723" s="75"/>
      <c r="G723" s="75"/>
      <c r="H723" s="75"/>
      <c r="I723" s="75"/>
      <c r="J723" s="75"/>
    </row>
    <row r="724" spans="1:10" ht="12.75">
      <c r="A724" s="5"/>
      <c r="D724" s="75"/>
      <c r="E724" s="75"/>
      <c r="F724" s="75"/>
      <c r="G724" s="75"/>
      <c r="H724" s="75"/>
      <c r="I724" s="75"/>
      <c r="J724" s="75"/>
    </row>
    <row r="725" spans="1:10" ht="12.75">
      <c r="A725" s="5"/>
      <c r="D725" s="75"/>
      <c r="E725" s="75"/>
      <c r="F725" s="75"/>
      <c r="G725" s="75"/>
      <c r="H725" s="75"/>
      <c r="I725" s="75"/>
      <c r="J725" s="75"/>
    </row>
    <row r="726" spans="1:10" ht="12.75">
      <c r="A726" s="5"/>
      <c r="D726" s="75"/>
      <c r="E726" s="75"/>
      <c r="F726" s="75"/>
      <c r="G726" s="75"/>
      <c r="H726" s="75"/>
      <c r="I726" s="75"/>
      <c r="J726" s="75"/>
    </row>
    <row r="727" spans="1:10" ht="12.75">
      <c r="A727" s="5"/>
      <c r="D727" s="75"/>
      <c r="E727" s="75"/>
      <c r="F727" s="75"/>
      <c r="G727" s="75"/>
      <c r="H727" s="75"/>
      <c r="I727" s="75"/>
      <c r="J727" s="75"/>
    </row>
    <row r="728" spans="1:10" ht="12.75">
      <c r="A728" s="5"/>
      <c r="D728" s="75"/>
      <c r="E728" s="75"/>
      <c r="F728" s="75"/>
      <c r="G728" s="75"/>
      <c r="H728" s="75"/>
      <c r="I728" s="75"/>
      <c r="J728" s="75"/>
    </row>
    <row r="729" spans="1:10" ht="12.75">
      <c r="A729" s="5"/>
      <c r="D729" s="75"/>
      <c r="E729" s="75"/>
      <c r="F729" s="75"/>
      <c r="G729" s="75"/>
      <c r="H729" s="75"/>
      <c r="I729" s="75"/>
      <c r="J729" s="75"/>
    </row>
    <row r="730" spans="1:10" ht="12.75">
      <c r="A730" s="5"/>
      <c r="D730" s="75"/>
      <c r="E730" s="75"/>
      <c r="F730" s="75"/>
      <c r="G730" s="75"/>
      <c r="H730" s="75"/>
      <c r="I730" s="75"/>
      <c r="J730" s="75"/>
    </row>
    <row r="731" spans="1:10" ht="12.75">
      <c r="A731" s="5"/>
      <c r="D731" s="75"/>
      <c r="E731" s="75"/>
      <c r="F731" s="75"/>
      <c r="G731" s="75"/>
      <c r="H731" s="75"/>
      <c r="I731" s="75"/>
      <c r="J731" s="75"/>
    </row>
    <row r="732" spans="1:10" ht="12.75">
      <c r="A732" s="5"/>
      <c r="D732" s="75"/>
      <c r="E732" s="75"/>
      <c r="F732" s="75"/>
      <c r="G732" s="75"/>
      <c r="H732" s="75"/>
      <c r="I732" s="75"/>
      <c r="J732" s="75"/>
    </row>
    <row r="733" spans="1:10" ht="12.75">
      <c r="A733" s="5"/>
      <c r="D733" s="75"/>
      <c r="E733" s="75"/>
      <c r="F733" s="75"/>
      <c r="G733" s="75"/>
      <c r="H733" s="75"/>
      <c r="I733" s="75"/>
      <c r="J733" s="75"/>
    </row>
    <row r="734" spans="1:10" ht="12.75">
      <c r="A734" s="5"/>
      <c r="D734" s="75"/>
      <c r="E734" s="75"/>
      <c r="F734" s="75"/>
      <c r="G734" s="75"/>
      <c r="H734" s="75"/>
      <c r="I734" s="75"/>
      <c r="J734" s="75"/>
    </row>
    <row r="735" spans="1:10" ht="12.75">
      <c r="A735" s="5"/>
      <c r="D735" s="75"/>
      <c r="E735" s="75"/>
      <c r="F735" s="75"/>
      <c r="G735" s="75"/>
      <c r="H735" s="75"/>
      <c r="I735" s="75"/>
      <c r="J735" s="75"/>
    </row>
    <row r="736" spans="1:10" ht="12.75">
      <c r="A736" s="5"/>
      <c r="D736" s="75"/>
      <c r="E736" s="75"/>
      <c r="F736" s="75"/>
      <c r="G736" s="75"/>
      <c r="H736" s="75"/>
      <c r="I736" s="75"/>
      <c r="J736" s="75"/>
    </row>
    <row r="737" spans="1:10" ht="12.75">
      <c r="A737" s="5"/>
      <c r="D737" s="75"/>
      <c r="E737" s="75"/>
      <c r="F737" s="75"/>
      <c r="G737" s="75"/>
      <c r="H737" s="75"/>
      <c r="I737" s="75"/>
      <c r="J737" s="75"/>
    </row>
    <row r="738" spans="1:10" ht="12.75">
      <c r="A738" s="5"/>
      <c r="D738" s="75"/>
      <c r="E738" s="75"/>
      <c r="F738" s="75"/>
      <c r="G738" s="75"/>
      <c r="H738" s="75"/>
      <c r="I738" s="75"/>
      <c r="J738" s="75"/>
    </row>
    <row r="739" spans="1:10" ht="12.75">
      <c r="A739" s="5"/>
      <c r="D739" s="75"/>
      <c r="E739" s="75"/>
      <c r="F739" s="75"/>
      <c r="G739" s="75"/>
      <c r="H739" s="75"/>
      <c r="I739" s="75"/>
      <c r="J739" s="75"/>
    </row>
    <row r="740" spans="1:10" ht="12.75">
      <c r="A740" s="5"/>
      <c r="D740" s="75"/>
      <c r="E740" s="75"/>
      <c r="F740" s="75"/>
      <c r="G740" s="75"/>
      <c r="H740" s="75"/>
      <c r="I740" s="75"/>
      <c r="J740" s="75"/>
    </row>
    <row r="741" spans="1:10" ht="12.75">
      <c r="A741" s="5"/>
      <c r="D741" s="75"/>
      <c r="E741" s="75"/>
      <c r="F741" s="75"/>
      <c r="G741" s="75"/>
      <c r="H741" s="75"/>
      <c r="I741" s="75"/>
      <c r="J741" s="75"/>
    </row>
    <row r="742" spans="1:10" ht="12.75">
      <c r="A742" s="5"/>
      <c r="D742" s="75"/>
      <c r="E742" s="75"/>
      <c r="F742" s="75"/>
      <c r="G742" s="75"/>
      <c r="H742" s="75"/>
      <c r="I742" s="75"/>
      <c r="J742" s="75"/>
    </row>
    <row r="743" spans="1:10" ht="12.75">
      <c r="A743" s="5"/>
      <c r="D743" s="75"/>
      <c r="E743" s="75"/>
      <c r="F743" s="75"/>
      <c r="G743" s="75"/>
      <c r="H743" s="75"/>
      <c r="I743" s="75"/>
      <c r="J743" s="75"/>
    </row>
    <row r="744" spans="1:10" ht="12.75">
      <c r="A744" s="5"/>
      <c r="D744" s="75"/>
      <c r="E744" s="75"/>
      <c r="F744" s="75"/>
      <c r="G744" s="75"/>
      <c r="H744" s="75"/>
      <c r="I744" s="75"/>
      <c r="J744" s="75"/>
    </row>
    <row r="745" spans="1:10" ht="12.75">
      <c r="A745" s="5"/>
      <c r="D745" s="75"/>
      <c r="E745" s="75"/>
      <c r="F745" s="75"/>
      <c r="G745" s="75"/>
      <c r="H745" s="75"/>
      <c r="I745" s="75"/>
      <c r="J745" s="75"/>
    </row>
    <row r="746" spans="1:10" ht="12.75">
      <c r="A746" s="5"/>
      <c r="D746" s="75"/>
      <c r="E746" s="75"/>
      <c r="F746" s="75"/>
      <c r="G746" s="75"/>
      <c r="H746" s="75"/>
      <c r="I746" s="75"/>
      <c r="J746" s="75"/>
    </row>
    <row r="747" spans="1:10" ht="12.75">
      <c r="A747" s="5"/>
      <c r="D747" s="75"/>
      <c r="E747" s="75"/>
      <c r="F747" s="75"/>
      <c r="G747" s="75"/>
      <c r="H747" s="75"/>
      <c r="I747" s="75"/>
      <c r="J747" s="75"/>
    </row>
    <row r="748" spans="1:10" ht="12.75">
      <c r="A748" s="5"/>
      <c r="D748" s="75"/>
      <c r="E748" s="75"/>
      <c r="F748" s="75"/>
      <c r="G748" s="75"/>
      <c r="H748" s="75"/>
      <c r="I748" s="75"/>
      <c r="J748" s="75"/>
    </row>
    <row r="749" spans="1:10" ht="12.75">
      <c r="A749" s="5"/>
      <c r="D749" s="75"/>
      <c r="E749" s="75"/>
      <c r="F749" s="75"/>
      <c r="G749" s="75"/>
      <c r="H749" s="75"/>
      <c r="I749" s="75"/>
      <c r="J749" s="75"/>
    </row>
    <row r="750" spans="1:10" ht="12.75">
      <c r="A750" s="5"/>
      <c r="D750" s="75"/>
      <c r="E750" s="75"/>
      <c r="F750" s="75"/>
      <c r="G750" s="75"/>
      <c r="H750" s="75"/>
      <c r="I750" s="75"/>
      <c r="J750" s="75"/>
    </row>
    <row r="751" spans="1:10" ht="12.75">
      <c r="A751" s="5"/>
      <c r="D751" s="75"/>
      <c r="E751" s="75"/>
      <c r="F751" s="75"/>
      <c r="G751" s="75"/>
      <c r="H751" s="75"/>
      <c r="I751" s="75"/>
      <c r="J751" s="75"/>
    </row>
    <row r="752" spans="1:10" ht="12.75">
      <c r="A752" s="5"/>
      <c r="D752" s="75"/>
      <c r="E752" s="75"/>
      <c r="F752" s="75"/>
      <c r="G752" s="75"/>
      <c r="H752" s="75"/>
      <c r="I752" s="75"/>
      <c r="J752" s="75"/>
    </row>
    <row r="753" spans="1:10" ht="12.75">
      <c r="A753" s="5"/>
      <c r="D753" s="75"/>
      <c r="E753" s="75"/>
      <c r="F753" s="75"/>
      <c r="G753" s="75"/>
      <c r="H753" s="75"/>
      <c r="I753" s="75"/>
      <c r="J753" s="75"/>
    </row>
    <row r="754" spans="1:10" ht="12.75">
      <c r="A754" s="5"/>
      <c r="D754" s="75"/>
      <c r="E754" s="75"/>
      <c r="F754" s="75"/>
      <c r="G754" s="75"/>
      <c r="H754" s="75"/>
      <c r="I754" s="75"/>
      <c r="J754" s="75"/>
    </row>
    <row r="755" spans="1:10" ht="12.75">
      <c r="A755" s="5"/>
      <c r="D755" s="75"/>
      <c r="E755" s="75"/>
      <c r="F755" s="75"/>
      <c r="G755" s="75"/>
      <c r="H755" s="75"/>
      <c r="I755" s="75"/>
      <c r="J755" s="75"/>
    </row>
    <row r="756" spans="1:10" ht="12.75">
      <c r="A756" s="5"/>
      <c r="D756" s="75"/>
      <c r="E756" s="75"/>
      <c r="F756" s="75"/>
      <c r="G756" s="75"/>
      <c r="H756" s="75"/>
      <c r="I756" s="75"/>
      <c r="J756" s="75"/>
    </row>
    <row r="757" spans="1:10" ht="12.75">
      <c r="A757" s="5"/>
      <c r="D757" s="75"/>
      <c r="E757" s="75"/>
      <c r="F757" s="75"/>
      <c r="G757" s="75"/>
      <c r="H757" s="75"/>
      <c r="I757" s="75"/>
      <c r="J757" s="75"/>
    </row>
    <row r="758" spans="1:10" ht="12.75">
      <c r="A758" s="5"/>
      <c r="D758" s="75"/>
      <c r="E758" s="75"/>
      <c r="F758" s="75"/>
      <c r="G758" s="75"/>
      <c r="H758" s="75"/>
      <c r="I758" s="75"/>
      <c r="J758" s="75"/>
    </row>
    <row r="759" spans="1:10" ht="12.75">
      <c r="A759" s="5"/>
      <c r="D759" s="75"/>
      <c r="E759" s="75"/>
      <c r="F759" s="75"/>
      <c r="G759" s="75"/>
      <c r="H759" s="75"/>
      <c r="I759" s="75"/>
      <c r="J759" s="75"/>
    </row>
    <row r="760" spans="1:10" ht="12.75">
      <c r="A760" s="5"/>
      <c r="D760" s="75"/>
      <c r="E760" s="75"/>
      <c r="F760" s="75"/>
      <c r="G760" s="75"/>
      <c r="H760" s="75"/>
      <c r="I760" s="75"/>
      <c r="J760" s="75"/>
    </row>
    <row r="761" spans="1:10" ht="12.75">
      <c r="A761" s="5"/>
      <c r="D761" s="75"/>
      <c r="E761" s="75"/>
      <c r="F761" s="75"/>
      <c r="G761" s="75"/>
      <c r="H761" s="75"/>
      <c r="I761" s="75"/>
      <c r="J761" s="75"/>
    </row>
    <row r="762" spans="1:10" ht="12.75">
      <c r="A762" s="5"/>
      <c r="D762" s="75"/>
      <c r="E762" s="75"/>
      <c r="F762" s="75"/>
      <c r="G762" s="75"/>
      <c r="H762" s="75"/>
      <c r="I762" s="75"/>
      <c r="J762" s="75"/>
    </row>
    <row r="763" spans="1:10" ht="12.75">
      <c r="A763" s="5"/>
      <c r="D763" s="75"/>
      <c r="E763" s="75"/>
      <c r="F763" s="75"/>
      <c r="G763" s="75"/>
      <c r="H763" s="75"/>
      <c r="I763" s="75"/>
      <c r="J763" s="75"/>
    </row>
    <row r="764" spans="1:10" ht="12.75">
      <c r="A764" s="5"/>
      <c r="D764" s="75"/>
      <c r="E764" s="75"/>
      <c r="F764" s="75"/>
      <c r="G764" s="75"/>
      <c r="H764" s="75"/>
      <c r="I764" s="75"/>
      <c r="J764" s="75"/>
    </row>
    <row r="765" spans="1:10" ht="12.75">
      <c r="A765" s="5"/>
      <c r="D765" s="75"/>
      <c r="E765" s="75"/>
      <c r="F765" s="75"/>
      <c r="G765" s="75"/>
      <c r="H765" s="75"/>
      <c r="I765" s="75"/>
      <c r="J765" s="75"/>
    </row>
    <row r="766" spans="1:10" ht="12.75">
      <c r="A766" s="5"/>
      <c r="D766" s="75"/>
      <c r="E766" s="75"/>
      <c r="F766" s="75"/>
      <c r="G766" s="75"/>
      <c r="H766" s="75"/>
      <c r="I766" s="75"/>
      <c r="J766" s="75"/>
    </row>
    <row r="767" spans="1:10" ht="12.75">
      <c r="A767" s="5"/>
      <c r="D767" s="75"/>
      <c r="E767" s="75"/>
      <c r="F767" s="75"/>
      <c r="G767" s="75"/>
      <c r="H767" s="75"/>
      <c r="I767" s="75"/>
      <c r="J767" s="75"/>
    </row>
    <row r="768" spans="1:10" ht="12.75">
      <c r="A768" s="5"/>
      <c r="D768" s="75"/>
      <c r="E768" s="75"/>
      <c r="F768" s="75"/>
      <c r="G768" s="75"/>
      <c r="H768" s="75"/>
      <c r="I768" s="75"/>
      <c r="J768" s="75"/>
    </row>
    <row r="769" spans="1:10" ht="12.75">
      <c r="A769" s="5"/>
      <c r="D769" s="75"/>
      <c r="E769" s="75"/>
      <c r="F769" s="75"/>
      <c r="G769" s="75"/>
      <c r="H769" s="75"/>
      <c r="I769" s="75"/>
      <c r="J769" s="75"/>
    </row>
    <row r="770" spans="1:10" ht="12.75">
      <c r="A770" s="5"/>
      <c r="D770" s="75"/>
      <c r="E770" s="75"/>
      <c r="F770" s="75"/>
      <c r="G770" s="75"/>
      <c r="H770" s="75"/>
      <c r="I770" s="75"/>
      <c r="J770" s="75"/>
    </row>
    <row r="771" spans="1:10" ht="12.75">
      <c r="A771" s="5"/>
      <c r="D771" s="75"/>
      <c r="E771" s="75"/>
      <c r="F771" s="75"/>
      <c r="G771" s="75"/>
      <c r="H771" s="75"/>
      <c r="I771" s="75"/>
      <c r="J771" s="75"/>
    </row>
    <row r="772" spans="1:10" ht="12.75">
      <c r="A772" s="5"/>
      <c r="D772" s="75"/>
      <c r="E772" s="75"/>
      <c r="F772" s="75"/>
      <c r="G772" s="75"/>
      <c r="H772" s="75"/>
      <c r="I772" s="75"/>
      <c r="J772" s="75"/>
    </row>
    <row r="773" spans="1:10" ht="12.75">
      <c r="A773" s="5"/>
      <c r="D773" s="75"/>
      <c r="E773" s="75"/>
      <c r="F773" s="75"/>
      <c r="G773" s="75"/>
      <c r="H773" s="75"/>
      <c r="I773" s="75"/>
      <c r="J773" s="75"/>
    </row>
    <row r="774" spans="1:10" ht="12.75">
      <c r="A774" s="5"/>
      <c r="D774" s="75"/>
      <c r="E774" s="75"/>
      <c r="F774" s="75"/>
      <c r="G774" s="75"/>
      <c r="H774" s="75"/>
      <c r="I774" s="75"/>
      <c r="J774" s="75"/>
    </row>
    <row r="775" spans="1:10" ht="12.75">
      <c r="A775" s="5"/>
      <c r="D775" s="75"/>
      <c r="E775" s="75"/>
      <c r="F775" s="75"/>
      <c r="G775" s="75"/>
      <c r="H775" s="75"/>
      <c r="I775" s="75"/>
      <c r="J775" s="75"/>
    </row>
    <row r="776" spans="1:10" ht="12.75">
      <c r="A776" s="5"/>
      <c r="D776" s="75"/>
      <c r="E776" s="75"/>
      <c r="F776" s="75"/>
      <c r="G776" s="75"/>
      <c r="H776" s="75"/>
      <c r="I776" s="75"/>
      <c r="J776" s="75"/>
    </row>
    <row r="777" spans="1:10" ht="12.75">
      <c r="A777" s="5"/>
      <c r="D777" s="75"/>
      <c r="E777" s="75"/>
      <c r="F777" s="75"/>
      <c r="G777" s="75"/>
      <c r="H777" s="75"/>
      <c r="I777" s="75"/>
      <c r="J777" s="75"/>
    </row>
    <row r="778" spans="1:10" ht="12.75">
      <c r="A778" s="5"/>
      <c r="D778" s="75"/>
      <c r="E778" s="75"/>
      <c r="F778" s="75"/>
      <c r="G778" s="75"/>
      <c r="H778" s="75"/>
      <c r="I778" s="75"/>
      <c r="J778" s="75"/>
    </row>
    <row r="779" spans="1:10" ht="12.75">
      <c r="A779" s="5"/>
      <c r="D779" s="75"/>
      <c r="E779" s="75"/>
      <c r="F779" s="75"/>
      <c r="G779" s="75"/>
      <c r="H779" s="75"/>
      <c r="I779" s="75"/>
      <c r="J779" s="75"/>
    </row>
    <row r="780" spans="1:10" ht="12.75">
      <c r="A780" s="5"/>
      <c r="D780" s="75"/>
      <c r="E780" s="75"/>
      <c r="F780" s="75"/>
      <c r="G780" s="75"/>
      <c r="H780" s="75"/>
      <c r="I780" s="75"/>
      <c r="J780" s="75"/>
    </row>
    <row r="781" spans="1:10" ht="12.75">
      <c r="A781" s="5"/>
      <c r="D781" s="75"/>
      <c r="E781" s="75"/>
      <c r="F781" s="75"/>
      <c r="G781" s="75"/>
      <c r="H781" s="75"/>
      <c r="I781" s="75"/>
      <c r="J781" s="75"/>
    </row>
    <row r="782" spans="1:10" ht="12.75">
      <c r="A782" s="5"/>
      <c r="D782" s="75"/>
      <c r="E782" s="75"/>
      <c r="F782" s="75"/>
      <c r="G782" s="75"/>
      <c r="H782" s="75"/>
      <c r="I782" s="75"/>
      <c r="J782" s="75"/>
    </row>
    <row r="783" spans="1:10" ht="12.75">
      <c r="A783" s="5"/>
      <c r="D783" s="75"/>
      <c r="E783" s="75"/>
      <c r="F783" s="75"/>
      <c r="G783" s="75"/>
      <c r="H783" s="75"/>
      <c r="I783" s="75"/>
      <c r="J783" s="75"/>
    </row>
    <row r="784" spans="1:10" ht="12.75">
      <c r="A784" s="5"/>
      <c r="D784" s="75"/>
      <c r="E784" s="75"/>
      <c r="F784" s="75"/>
      <c r="G784" s="75"/>
      <c r="H784" s="75"/>
      <c r="I784" s="75"/>
      <c r="J784" s="75"/>
    </row>
    <row r="785" spans="1:10" ht="12.75">
      <c r="A785" s="5"/>
      <c r="D785" s="75"/>
      <c r="E785" s="75"/>
      <c r="F785" s="75"/>
      <c r="G785" s="75"/>
      <c r="H785" s="75"/>
      <c r="I785" s="75"/>
      <c r="J785" s="75"/>
    </row>
    <row r="786" spans="1:10" ht="12.75">
      <c r="A786" s="5"/>
      <c r="D786" s="75"/>
      <c r="E786" s="75"/>
      <c r="F786" s="75"/>
      <c r="G786" s="75"/>
      <c r="H786" s="75"/>
      <c r="I786" s="75"/>
      <c r="J786" s="75"/>
    </row>
    <row r="787" spans="1:10" ht="12.75">
      <c r="A787" s="5"/>
      <c r="D787" s="75"/>
      <c r="E787" s="75"/>
      <c r="F787" s="75"/>
      <c r="G787" s="75"/>
      <c r="H787" s="75"/>
      <c r="I787" s="75"/>
      <c r="J787" s="75"/>
    </row>
    <row r="788" spans="1:10" ht="12.75">
      <c r="A788" s="5"/>
      <c r="D788" s="75"/>
      <c r="E788" s="75"/>
      <c r="F788" s="75"/>
      <c r="G788" s="75"/>
      <c r="H788" s="75"/>
      <c r="I788" s="75"/>
      <c r="J788" s="75"/>
    </row>
    <row r="789" spans="1:10" ht="12.75">
      <c r="A789" s="5"/>
      <c r="D789" s="75"/>
      <c r="E789" s="75"/>
      <c r="F789" s="75"/>
      <c r="G789" s="75"/>
      <c r="H789" s="75"/>
      <c r="I789" s="75"/>
      <c r="J789" s="75"/>
    </row>
    <row r="790" spans="1:10" ht="12.75">
      <c r="A790" s="5"/>
      <c r="D790" s="75"/>
      <c r="E790" s="75"/>
      <c r="F790" s="75"/>
      <c r="G790" s="75"/>
      <c r="H790" s="75"/>
      <c r="I790" s="75"/>
      <c r="J790" s="75"/>
    </row>
    <row r="791" spans="1:10" ht="12.75">
      <c r="A791" s="5"/>
      <c r="D791" s="75"/>
      <c r="E791" s="75"/>
      <c r="F791" s="75"/>
      <c r="G791" s="75"/>
      <c r="H791" s="75"/>
      <c r="I791" s="75"/>
      <c r="J791" s="75"/>
    </row>
    <row r="792" spans="1:10" ht="12.75">
      <c r="A792" s="5"/>
      <c r="D792" s="75"/>
      <c r="E792" s="75"/>
      <c r="F792" s="75"/>
      <c r="G792" s="75"/>
      <c r="H792" s="75"/>
      <c r="I792" s="75"/>
      <c r="J792" s="75"/>
    </row>
    <row r="793" spans="1:10" ht="12.75">
      <c r="A793" s="5"/>
      <c r="D793" s="75"/>
      <c r="E793" s="75"/>
      <c r="F793" s="75"/>
      <c r="G793" s="75"/>
      <c r="H793" s="75"/>
      <c r="I793" s="75"/>
      <c r="J793" s="75"/>
    </row>
    <row r="794" spans="1:10" ht="12.75">
      <c r="A794" s="5"/>
      <c r="D794" s="75"/>
      <c r="E794" s="75"/>
      <c r="F794" s="75"/>
      <c r="G794" s="75"/>
      <c r="H794" s="75"/>
      <c r="I794" s="75"/>
      <c r="J794" s="75"/>
    </row>
    <row r="795" spans="1:10" ht="12.75">
      <c r="A795" s="5"/>
      <c r="D795" s="75"/>
      <c r="E795" s="75"/>
      <c r="F795" s="75"/>
      <c r="G795" s="75"/>
      <c r="H795" s="75"/>
      <c r="I795" s="75"/>
      <c r="J795" s="75"/>
    </row>
    <row r="796" spans="1:10" ht="12.75">
      <c r="A796" s="5"/>
      <c r="D796" s="75"/>
      <c r="E796" s="75"/>
      <c r="F796" s="75"/>
      <c r="G796" s="75"/>
      <c r="H796" s="75"/>
      <c r="I796" s="75"/>
      <c r="J796" s="75"/>
    </row>
    <row r="797" spans="1:10" ht="12.75">
      <c r="A797" s="5"/>
      <c r="D797" s="75"/>
      <c r="E797" s="75"/>
      <c r="F797" s="75"/>
      <c r="G797" s="75"/>
      <c r="H797" s="75"/>
      <c r="I797" s="75"/>
      <c r="J797" s="75"/>
    </row>
    <row r="798" spans="1:10" ht="12.75">
      <c r="A798" s="5"/>
      <c r="D798" s="75"/>
      <c r="E798" s="75"/>
      <c r="F798" s="75"/>
      <c r="G798" s="75"/>
      <c r="H798" s="75"/>
      <c r="I798" s="75"/>
      <c r="J798" s="75"/>
    </row>
    <row r="799" spans="1:10" ht="12.75">
      <c r="A799" s="5"/>
      <c r="D799" s="75"/>
      <c r="E799" s="75"/>
      <c r="F799" s="75"/>
      <c r="G799" s="75"/>
      <c r="H799" s="75"/>
      <c r="I799" s="75"/>
      <c r="J799" s="75"/>
    </row>
    <row r="800" spans="1:10" ht="12.75">
      <c r="A800" s="5"/>
      <c r="D800" s="75"/>
      <c r="E800" s="75"/>
      <c r="F800" s="75"/>
      <c r="G800" s="75"/>
      <c r="H800" s="75"/>
      <c r="I800" s="75"/>
      <c r="J800" s="75"/>
    </row>
    <row r="801" spans="1:10" ht="12.75">
      <c r="A801" s="5"/>
      <c r="D801" s="75"/>
      <c r="E801" s="75"/>
      <c r="F801" s="75"/>
      <c r="G801" s="75"/>
      <c r="H801" s="75"/>
      <c r="I801" s="75"/>
      <c r="J801" s="75"/>
    </row>
    <row r="802" spans="1:10" ht="12.75">
      <c r="A802" s="5"/>
      <c r="D802" s="75"/>
      <c r="E802" s="75"/>
      <c r="F802" s="75"/>
      <c r="G802" s="75"/>
      <c r="H802" s="75"/>
      <c r="I802" s="75"/>
      <c r="J802" s="75"/>
    </row>
    <row r="803" spans="1:10" ht="12.75">
      <c r="A803" s="5"/>
      <c r="D803" s="75"/>
      <c r="E803" s="75"/>
      <c r="F803" s="75"/>
      <c r="G803" s="75"/>
      <c r="H803" s="75"/>
      <c r="I803" s="75"/>
      <c r="J803" s="75"/>
    </row>
    <row r="804" spans="1:10" ht="12.75">
      <c r="A804" s="5"/>
      <c r="D804" s="75"/>
      <c r="E804" s="75"/>
      <c r="F804" s="75"/>
      <c r="G804" s="75"/>
      <c r="H804" s="75"/>
      <c r="I804" s="75"/>
      <c r="J804" s="75"/>
    </row>
    <row r="805" spans="1:10" ht="12.75">
      <c r="A805" s="5"/>
      <c r="D805" s="75"/>
      <c r="E805" s="75"/>
      <c r="F805" s="75"/>
      <c r="G805" s="75"/>
      <c r="H805" s="75"/>
      <c r="I805" s="75"/>
      <c r="J805" s="75"/>
    </row>
    <row r="806" spans="1:10" ht="12.75">
      <c r="A806" s="5"/>
      <c r="D806" s="75"/>
      <c r="E806" s="75"/>
      <c r="F806" s="75"/>
      <c r="G806" s="75"/>
      <c r="H806" s="75"/>
      <c r="I806" s="75"/>
      <c r="J806" s="75"/>
    </row>
    <row r="807" spans="1:10" ht="12.75">
      <c r="A807" s="5"/>
      <c r="D807" s="75"/>
      <c r="E807" s="75"/>
      <c r="F807" s="75"/>
      <c r="G807" s="75"/>
      <c r="H807" s="75"/>
      <c r="I807" s="75"/>
      <c r="J807" s="75"/>
    </row>
    <row r="808" spans="1:10" ht="12.75">
      <c r="A808" s="5"/>
      <c r="D808" s="75"/>
      <c r="E808" s="75"/>
      <c r="F808" s="75"/>
      <c r="G808" s="75"/>
      <c r="H808" s="75"/>
      <c r="I808" s="75"/>
      <c r="J808" s="75"/>
    </row>
    <row r="809" spans="1:10" ht="12.75">
      <c r="A809" s="5"/>
      <c r="D809" s="75"/>
      <c r="E809" s="75"/>
      <c r="F809" s="75"/>
      <c r="G809" s="75"/>
      <c r="H809" s="75"/>
      <c r="I809" s="75"/>
      <c r="J809" s="75"/>
    </row>
    <row r="810" spans="1:10" ht="12.75">
      <c r="A810" s="5"/>
      <c r="D810" s="75"/>
      <c r="E810" s="75"/>
      <c r="F810" s="75"/>
      <c r="G810" s="75"/>
      <c r="H810" s="75"/>
      <c r="I810" s="75"/>
      <c r="J810" s="75"/>
    </row>
    <row r="811" spans="1:10" ht="12.75">
      <c r="A811" s="5"/>
      <c r="D811" s="75"/>
      <c r="E811" s="75"/>
      <c r="F811" s="75"/>
      <c r="G811" s="75"/>
      <c r="H811" s="75"/>
      <c r="I811" s="75"/>
      <c r="J811" s="75"/>
    </row>
    <row r="812" spans="1:10" ht="12.75">
      <c r="A812" s="5"/>
      <c r="D812" s="75"/>
      <c r="E812" s="75"/>
      <c r="F812" s="75"/>
      <c r="G812" s="75"/>
      <c r="H812" s="75"/>
      <c r="I812" s="75"/>
      <c r="J812" s="75"/>
    </row>
    <row r="813" spans="1:10" ht="12.75">
      <c r="A813" s="5"/>
      <c r="D813" s="75"/>
      <c r="E813" s="75"/>
      <c r="F813" s="75"/>
      <c r="G813" s="75"/>
      <c r="H813" s="75"/>
      <c r="I813" s="75"/>
      <c r="J813" s="75"/>
    </row>
    <row r="814" spans="1:10" ht="12.75">
      <c r="A814" s="5"/>
      <c r="D814" s="75"/>
      <c r="E814" s="75"/>
      <c r="F814" s="75"/>
      <c r="G814" s="75"/>
      <c r="H814" s="75"/>
      <c r="I814" s="75"/>
      <c r="J814" s="75"/>
    </row>
    <row r="815" spans="1:10" ht="12.75">
      <c r="A815" s="5"/>
      <c r="D815" s="75"/>
      <c r="E815" s="75"/>
      <c r="F815" s="75"/>
      <c r="G815" s="75"/>
      <c r="H815" s="75"/>
      <c r="I815" s="75"/>
      <c r="J815" s="75"/>
    </row>
    <row r="816" spans="1:10" ht="12.75">
      <c r="A816" s="5"/>
      <c r="D816" s="75"/>
      <c r="E816" s="75"/>
      <c r="F816" s="75"/>
      <c r="G816" s="75"/>
      <c r="H816" s="75"/>
      <c r="I816" s="75"/>
      <c r="J816" s="75"/>
    </row>
    <row r="817" spans="1:10" ht="12.75">
      <c r="A817" s="5"/>
      <c r="D817" s="75"/>
      <c r="E817" s="75"/>
      <c r="F817" s="75"/>
      <c r="G817" s="75"/>
      <c r="H817" s="75"/>
      <c r="I817" s="75"/>
      <c r="J817" s="75"/>
    </row>
    <row r="818" spans="1:10" ht="12.75">
      <c r="A818" s="5"/>
      <c r="D818" s="75"/>
      <c r="E818" s="75"/>
      <c r="F818" s="75"/>
      <c r="G818" s="75"/>
      <c r="H818" s="75"/>
      <c r="I818" s="75"/>
      <c r="J818" s="75"/>
    </row>
    <row r="819" spans="1:10" ht="12.75">
      <c r="A819" s="5"/>
      <c r="D819" s="75"/>
      <c r="E819" s="75"/>
      <c r="F819" s="75"/>
      <c r="G819" s="75"/>
      <c r="H819" s="75"/>
      <c r="I819" s="75"/>
      <c r="J819" s="75"/>
    </row>
    <row r="820" spans="1:10" ht="12.75">
      <c r="A820" s="5"/>
      <c r="D820" s="75"/>
      <c r="E820" s="75"/>
      <c r="F820" s="75"/>
      <c r="G820" s="75"/>
      <c r="H820" s="75"/>
      <c r="I820" s="75"/>
      <c r="J820" s="75"/>
    </row>
    <row r="821" spans="1:10" ht="12.75">
      <c r="A821" s="5"/>
      <c r="D821" s="75"/>
      <c r="E821" s="75"/>
      <c r="F821" s="75"/>
      <c r="G821" s="75"/>
      <c r="H821" s="75"/>
      <c r="I821" s="75"/>
      <c r="J821" s="75"/>
    </row>
    <row r="822" spans="1:10" ht="12.75">
      <c r="A822" s="5"/>
      <c r="D822" s="75"/>
      <c r="E822" s="75"/>
      <c r="F822" s="75"/>
      <c r="G822" s="75"/>
      <c r="H822" s="75"/>
      <c r="I822" s="75"/>
      <c r="J822" s="75"/>
    </row>
    <row r="823" spans="1:10" ht="12.75">
      <c r="A823" s="5"/>
      <c r="D823" s="75"/>
      <c r="E823" s="75"/>
      <c r="F823" s="75"/>
      <c r="G823" s="75"/>
      <c r="H823" s="75"/>
      <c r="I823" s="75"/>
      <c r="J823" s="75"/>
    </row>
    <row r="824" spans="1:10" ht="12.75">
      <c r="A824" s="5"/>
      <c r="D824" s="75"/>
      <c r="E824" s="75"/>
      <c r="F824" s="75"/>
      <c r="G824" s="75"/>
      <c r="H824" s="75"/>
      <c r="I824" s="75"/>
      <c r="J824" s="75"/>
    </row>
    <row r="825" spans="1:10" ht="12.75">
      <c r="A825" s="5"/>
      <c r="D825" s="75"/>
      <c r="E825" s="75"/>
      <c r="F825" s="75"/>
      <c r="G825" s="75"/>
      <c r="H825" s="75"/>
      <c r="I825" s="75"/>
      <c r="J825" s="75"/>
    </row>
    <row r="826" spans="1:10" ht="12.75">
      <c r="A826" s="5"/>
      <c r="D826" s="75"/>
      <c r="E826" s="75"/>
      <c r="F826" s="75"/>
      <c r="G826" s="75"/>
      <c r="H826" s="75"/>
      <c r="I826" s="75"/>
      <c r="J826" s="75"/>
    </row>
    <row r="827" spans="1:10" ht="12.75">
      <c r="A827" s="5"/>
      <c r="D827" s="75"/>
      <c r="E827" s="75"/>
      <c r="F827" s="75"/>
      <c r="G827" s="75"/>
      <c r="H827" s="75"/>
      <c r="I827" s="75"/>
      <c r="J827" s="75"/>
    </row>
    <row r="828" spans="1:10" ht="12.75">
      <c r="A828" s="5"/>
      <c r="D828" s="75"/>
      <c r="E828" s="75"/>
      <c r="F828" s="75"/>
      <c r="G828" s="75"/>
      <c r="H828" s="75"/>
      <c r="I828" s="75"/>
      <c r="J828" s="75"/>
    </row>
    <row r="829" spans="1:10" ht="12.75">
      <c r="A829" s="5"/>
      <c r="D829" s="75"/>
      <c r="E829" s="75"/>
      <c r="F829" s="75"/>
      <c r="G829" s="75"/>
      <c r="H829" s="75"/>
      <c r="I829" s="75"/>
      <c r="J829" s="75"/>
    </row>
    <row r="830" spans="1:10" ht="12.75">
      <c r="A830" s="5"/>
      <c r="D830" s="75"/>
      <c r="E830" s="75"/>
      <c r="F830" s="75"/>
      <c r="G830" s="75"/>
      <c r="H830" s="75"/>
      <c r="I830" s="75"/>
      <c r="J830" s="75"/>
    </row>
    <row r="831" spans="1:10" ht="12.75">
      <c r="A831" s="5"/>
      <c r="D831" s="75"/>
      <c r="E831" s="75"/>
      <c r="F831" s="75"/>
      <c r="G831" s="75"/>
      <c r="H831" s="75"/>
      <c r="I831" s="75"/>
      <c r="J831" s="75"/>
    </row>
    <row r="832" spans="1:10" ht="12.75">
      <c r="A832" s="5"/>
      <c r="D832" s="75"/>
      <c r="E832" s="75"/>
      <c r="F832" s="75"/>
      <c r="G832" s="75"/>
      <c r="H832" s="75"/>
      <c r="I832" s="75"/>
      <c r="J832" s="75"/>
    </row>
    <row r="833" spans="1:10" ht="12.75">
      <c r="A833" s="5"/>
      <c r="D833" s="75"/>
      <c r="E833" s="75"/>
      <c r="F833" s="75"/>
      <c r="G833" s="75"/>
      <c r="H833" s="75"/>
      <c r="I833" s="75"/>
      <c r="J833" s="75"/>
    </row>
    <row r="834" spans="1:10" ht="12.75">
      <c r="A834" s="5"/>
      <c r="D834" s="75"/>
      <c r="E834" s="75"/>
      <c r="F834" s="75"/>
      <c r="G834" s="75"/>
      <c r="H834" s="75"/>
      <c r="I834" s="75"/>
      <c r="J834" s="75"/>
    </row>
    <row r="835" spans="1:10" ht="12.75">
      <c r="A835" s="5"/>
      <c r="D835" s="75"/>
      <c r="E835" s="75"/>
      <c r="F835" s="75"/>
      <c r="G835" s="75"/>
      <c r="H835" s="75"/>
      <c r="I835" s="75"/>
      <c r="J835" s="75"/>
    </row>
    <row r="836" spans="1:10" ht="12.75">
      <c r="A836" s="5"/>
      <c r="D836" s="75"/>
      <c r="E836" s="75"/>
      <c r="F836" s="75"/>
      <c r="G836" s="75"/>
      <c r="H836" s="75"/>
      <c r="I836" s="75"/>
      <c r="J836" s="75"/>
    </row>
    <row r="837" spans="1:10" ht="12.75">
      <c r="A837" s="5"/>
      <c r="D837" s="75"/>
      <c r="E837" s="75"/>
      <c r="F837" s="75"/>
      <c r="G837" s="75"/>
      <c r="H837" s="75"/>
      <c r="I837" s="75"/>
      <c r="J837" s="75"/>
    </row>
    <row r="838" spans="1:10" ht="12.75">
      <c r="A838" s="5"/>
      <c r="D838" s="75"/>
      <c r="E838" s="75"/>
      <c r="F838" s="75"/>
      <c r="G838" s="75"/>
      <c r="H838" s="75"/>
      <c r="I838" s="75"/>
      <c r="J838" s="75"/>
    </row>
    <row r="839" spans="1:10" ht="12.75">
      <c r="A839" s="5"/>
      <c r="D839" s="75"/>
      <c r="E839" s="75"/>
      <c r="F839" s="75"/>
      <c r="G839" s="75"/>
      <c r="H839" s="75"/>
      <c r="I839" s="75"/>
      <c r="J839" s="75"/>
    </row>
    <row r="840" spans="1:10" ht="12.75">
      <c r="A840" s="5"/>
      <c r="D840" s="75"/>
      <c r="E840" s="75"/>
      <c r="F840" s="75"/>
      <c r="G840" s="75"/>
      <c r="H840" s="75"/>
      <c r="I840" s="75"/>
      <c r="J840" s="75"/>
    </row>
    <row r="841" spans="1:10" ht="12.75">
      <c r="A841" s="5"/>
      <c r="D841" s="75"/>
      <c r="E841" s="75"/>
      <c r="F841" s="75"/>
      <c r="G841" s="75"/>
      <c r="H841" s="75"/>
      <c r="I841" s="75"/>
      <c r="J841" s="75"/>
    </row>
    <row r="842" spans="1:10" ht="12.75">
      <c r="A842" s="5"/>
      <c r="D842" s="75"/>
      <c r="E842" s="75"/>
      <c r="F842" s="75"/>
      <c r="G842" s="75"/>
      <c r="H842" s="75"/>
      <c r="I842" s="75"/>
      <c r="J842" s="75"/>
    </row>
    <row r="843" spans="1:10" ht="12.75">
      <c r="A843" s="5"/>
      <c r="D843" s="75"/>
      <c r="E843" s="75"/>
      <c r="F843" s="75"/>
      <c r="G843" s="75"/>
      <c r="H843" s="75"/>
      <c r="I843" s="75"/>
      <c r="J843" s="75"/>
    </row>
    <row r="844" spans="1:10" ht="12.75">
      <c r="A844" s="5"/>
      <c r="D844" s="75"/>
      <c r="E844" s="75"/>
      <c r="F844" s="75"/>
      <c r="G844" s="75"/>
      <c r="H844" s="75"/>
      <c r="I844" s="75"/>
      <c r="J844" s="75"/>
    </row>
    <row r="845" spans="1:10" ht="12.75">
      <c r="A845" s="5"/>
      <c r="D845" s="75"/>
      <c r="E845" s="75"/>
      <c r="F845" s="75"/>
      <c r="G845" s="75"/>
      <c r="H845" s="75"/>
      <c r="I845" s="75"/>
      <c r="J845" s="75"/>
    </row>
    <row r="846" spans="1:10" ht="12.75">
      <c r="A846" s="5"/>
      <c r="D846" s="75"/>
      <c r="E846" s="75"/>
      <c r="F846" s="75"/>
      <c r="G846" s="75"/>
      <c r="H846" s="75"/>
      <c r="I846" s="75"/>
      <c r="J846" s="75"/>
    </row>
    <row r="847" spans="1:10" ht="12.75">
      <c r="A847" s="5"/>
      <c r="D847" s="75"/>
      <c r="E847" s="75"/>
      <c r="F847" s="75"/>
      <c r="G847" s="75"/>
      <c r="H847" s="75"/>
      <c r="I847" s="75"/>
      <c r="J847" s="75"/>
    </row>
    <row r="848" spans="1:10" ht="12.75">
      <c r="A848" s="5"/>
      <c r="D848" s="75"/>
      <c r="E848" s="75"/>
      <c r="F848" s="75"/>
      <c r="G848" s="75"/>
      <c r="H848" s="75"/>
      <c r="I848" s="75"/>
      <c r="J848" s="75"/>
    </row>
    <row r="849" spans="1:10" ht="12.75">
      <c r="A849" s="5"/>
      <c r="D849" s="75"/>
      <c r="E849" s="75"/>
      <c r="F849" s="75"/>
      <c r="G849" s="75"/>
      <c r="H849" s="75"/>
      <c r="I849" s="75"/>
      <c r="J849" s="75"/>
    </row>
    <row r="850" spans="1:10" ht="12.75">
      <c r="A850" s="5"/>
      <c r="D850" s="75"/>
      <c r="E850" s="75"/>
      <c r="F850" s="75"/>
      <c r="G850" s="75"/>
      <c r="H850" s="75"/>
      <c r="I850" s="75"/>
      <c r="J850" s="75"/>
    </row>
    <row r="851" spans="1:10" ht="12.75">
      <c r="A851" s="5"/>
      <c r="D851" s="75"/>
      <c r="E851" s="75"/>
      <c r="F851" s="75"/>
      <c r="G851" s="75"/>
      <c r="H851" s="75"/>
      <c r="I851" s="75"/>
      <c r="J851" s="75"/>
    </row>
    <row r="852" spans="1:10" ht="12.75">
      <c r="A852" s="5"/>
      <c r="D852" s="75"/>
      <c r="E852" s="75"/>
      <c r="F852" s="75"/>
      <c r="G852" s="75"/>
      <c r="H852" s="75"/>
      <c r="I852" s="75"/>
      <c r="J852" s="75"/>
    </row>
    <row r="853" spans="1:10" ht="12.75">
      <c r="A853" s="5"/>
      <c r="D853" s="75"/>
      <c r="E853" s="75"/>
      <c r="F853" s="75"/>
      <c r="G853" s="75"/>
      <c r="H853" s="75"/>
      <c r="I853" s="75"/>
      <c r="J853" s="75"/>
    </row>
    <row r="854" spans="1:10" ht="12.75">
      <c r="A854" s="5"/>
      <c r="D854" s="75"/>
      <c r="E854" s="75"/>
      <c r="F854" s="75"/>
      <c r="G854" s="75"/>
      <c r="H854" s="75"/>
      <c r="I854" s="75"/>
      <c r="J854" s="75"/>
    </row>
    <row r="855" spans="1:10" ht="12.75">
      <c r="A855" s="5"/>
      <c r="D855" s="75"/>
      <c r="E855" s="75"/>
      <c r="F855" s="75"/>
      <c r="G855" s="75"/>
      <c r="H855" s="75"/>
      <c r="I855" s="75"/>
      <c r="J855" s="75"/>
    </row>
    <row r="856" spans="1:10" ht="12.75">
      <c r="A856" s="5"/>
      <c r="D856" s="75"/>
      <c r="E856" s="75"/>
      <c r="F856" s="75"/>
      <c r="G856" s="75"/>
      <c r="H856" s="75"/>
      <c r="I856" s="75"/>
      <c r="J856" s="75"/>
    </row>
    <row r="857" spans="1:10" ht="12.75">
      <c r="A857" s="5"/>
      <c r="D857" s="75"/>
      <c r="E857" s="75"/>
      <c r="F857" s="75"/>
      <c r="G857" s="75"/>
      <c r="H857" s="75"/>
      <c r="I857" s="75"/>
      <c r="J857" s="75"/>
    </row>
    <row r="858" spans="1:10" ht="12.75">
      <c r="A858" s="5"/>
      <c r="D858" s="75"/>
      <c r="E858" s="75"/>
      <c r="F858" s="75"/>
      <c r="G858" s="75"/>
      <c r="H858" s="75"/>
      <c r="I858" s="75"/>
      <c r="J858" s="75"/>
    </row>
    <row r="859" spans="1:10" ht="12.75">
      <c r="A859" s="5"/>
      <c r="D859" s="75"/>
      <c r="E859" s="75"/>
      <c r="F859" s="75"/>
      <c r="G859" s="75"/>
      <c r="H859" s="75"/>
      <c r="I859" s="75"/>
      <c r="J859" s="75"/>
    </row>
    <row r="860" spans="1:10" ht="12.75">
      <c r="A860" s="5"/>
      <c r="D860" s="75"/>
      <c r="E860" s="75"/>
      <c r="F860" s="75"/>
      <c r="G860" s="75"/>
      <c r="H860" s="75"/>
      <c r="I860" s="75"/>
      <c r="J860" s="75"/>
    </row>
    <row r="861" spans="1:10" ht="12.75">
      <c r="A861" s="5"/>
      <c r="D861" s="75"/>
      <c r="E861" s="75"/>
      <c r="F861" s="75"/>
      <c r="G861" s="75"/>
      <c r="H861" s="75"/>
      <c r="I861" s="75"/>
      <c r="J861" s="75"/>
    </row>
    <row r="862" spans="1:10" ht="12.75">
      <c r="A862" s="5"/>
      <c r="D862" s="75"/>
      <c r="E862" s="75"/>
      <c r="F862" s="75"/>
      <c r="G862" s="75"/>
      <c r="H862" s="75"/>
      <c r="I862" s="75"/>
      <c r="J862" s="75"/>
    </row>
    <row r="863" spans="1:10" ht="12.75">
      <c r="A863" s="5"/>
      <c r="D863" s="75"/>
      <c r="E863" s="75"/>
      <c r="F863" s="75"/>
      <c r="G863" s="75"/>
      <c r="H863" s="75"/>
      <c r="I863" s="75"/>
      <c r="J863" s="75"/>
    </row>
    <row r="864" spans="1:10" ht="12.75">
      <c r="A864" s="5"/>
      <c r="D864" s="75"/>
      <c r="E864" s="75"/>
      <c r="F864" s="75"/>
      <c r="G864" s="75"/>
      <c r="H864" s="75"/>
      <c r="I864" s="75"/>
      <c r="J864" s="75"/>
    </row>
    <row r="865" spans="1:10" ht="12.75">
      <c r="A865" s="5"/>
      <c r="D865" s="75"/>
      <c r="E865" s="75"/>
      <c r="F865" s="75"/>
      <c r="G865" s="75"/>
      <c r="H865" s="75"/>
      <c r="I865" s="75"/>
      <c r="J865" s="75"/>
    </row>
    <row r="866" spans="1:10" ht="12.75">
      <c r="A866" s="5"/>
      <c r="D866" s="75"/>
      <c r="E866" s="75"/>
      <c r="F866" s="75"/>
      <c r="G866" s="75"/>
      <c r="H866" s="75"/>
      <c r="I866" s="75"/>
      <c r="J866" s="75"/>
    </row>
    <row r="867" spans="1:10" ht="12.75">
      <c r="A867" s="5"/>
      <c r="D867" s="75"/>
      <c r="E867" s="75"/>
      <c r="F867" s="75"/>
      <c r="G867" s="75"/>
      <c r="H867" s="75"/>
      <c r="I867" s="75"/>
      <c r="J867" s="75"/>
    </row>
    <row r="868" spans="1:10" ht="12.75">
      <c r="A868" s="5"/>
      <c r="D868" s="75"/>
      <c r="E868" s="75"/>
      <c r="F868" s="75"/>
      <c r="G868" s="75"/>
      <c r="H868" s="75"/>
      <c r="I868" s="75"/>
      <c r="J868" s="75"/>
    </row>
    <row r="869" spans="1:10" ht="12.75">
      <c r="A869" s="5"/>
      <c r="D869" s="75"/>
      <c r="E869" s="75"/>
      <c r="F869" s="75"/>
      <c r="G869" s="75"/>
      <c r="H869" s="75"/>
      <c r="I869" s="75"/>
      <c r="J869" s="75"/>
    </row>
    <row r="870" spans="1:10" ht="12.75">
      <c r="A870" s="5"/>
      <c r="D870" s="75"/>
      <c r="E870" s="75"/>
      <c r="F870" s="75"/>
      <c r="G870" s="75"/>
      <c r="H870" s="75"/>
      <c r="I870" s="75"/>
      <c r="J870" s="75"/>
    </row>
    <row r="871" spans="1:10" ht="12.75">
      <c r="A871" s="5"/>
      <c r="D871" s="75"/>
      <c r="E871" s="75"/>
      <c r="F871" s="75"/>
      <c r="G871" s="75"/>
      <c r="H871" s="75"/>
      <c r="I871" s="75"/>
      <c r="J871" s="75"/>
    </row>
    <row r="872" spans="1:10" ht="12.75">
      <c r="A872" s="5"/>
      <c r="D872" s="75"/>
      <c r="E872" s="75"/>
      <c r="F872" s="75"/>
      <c r="G872" s="75"/>
      <c r="H872" s="75"/>
      <c r="I872" s="75"/>
      <c r="J872" s="75"/>
    </row>
    <row r="873" spans="1:10" ht="12.75">
      <c r="A873" s="5"/>
      <c r="D873" s="75"/>
      <c r="E873" s="75"/>
      <c r="F873" s="75"/>
      <c r="G873" s="75"/>
      <c r="H873" s="75"/>
      <c r="I873" s="75"/>
      <c r="J873" s="75"/>
    </row>
    <row r="874" spans="1:10" ht="12.75">
      <c r="A874" s="5"/>
      <c r="D874" s="75"/>
      <c r="E874" s="75"/>
      <c r="F874" s="75"/>
      <c r="G874" s="75"/>
      <c r="H874" s="75"/>
      <c r="I874" s="75"/>
      <c r="J874" s="75"/>
    </row>
    <row r="875" spans="1:10" ht="12.75">
      <c r="A875" s="5"/>
      <c r="D875" s="75"/>
      <c r="E875" s="75"/>
      <c r="F875" s="75"/>
      <c r="G875" s="75"/>
      <c r="H875" s="75"/>
      <c r="I875" s="75"/>
      <c r="J875" s="75"/>
    </row>
    <row r="876" spans="1:10" ht="12.75">
      <c r="A876" s="5"/>
      <c r="D876" s="75"/>
      <c r="E876" s="75"/>
      <c r="F876" s="75"/>
      <c r="G876" s="75"/>
      <c r="H876" s="75"/>
      <c r="I876" s="75"/>
      <c r="J876" s="75"/>
    </row>
    <row r="877" spans="1:10" ht="12.75">
      <c r="A877" s="5"/>
      <c r="D877" s="75"/>
      <c r="E877" s="75"/>
      <c r="F877" s="75"/>
      <c r="G877" s="75"/>
      <c r="H877" s="75"/>
      <c r="I877" s="75"/>
      <c r="J877" s="75"/>
    </row>
    <row r="878" spans="1:10" ht="12.75">
      <c r="A878" s="5"/>
      <c r="D878" s="75"/>
      <c r="E878" s="75"/>
      <c r="F878" s="75"/>
      <c r="G878" s="75"/>
      <c r="H878" s="75"/>
      <c r="I878" s="75"/>
      <c r="J878" s="75"/>
    </row>
    <row r="879" spans="1:10" ht="12.75">
      <c r="A879" s="5"/>
      <c r="D879" s="75"/>
      <c r="E879" s="75"/>
      <c r="F879" s="75"/>
      <c r="G879" s="75"/>
      <c r="H879" s="75"/>
      <c r="I879" s="75"/>
      <c r="J879" s="75"/>
    </row>
    <row r="880" spans="1:10" ht="12.75">
      <c r="A880" s="5"/>
      <c r="D880" s="75"/>
      <c r="E880" s="75"/>
      <c r="F880" s="75"/>
      <c r="G880" s="75"/>
      <c r="H880" s="75"/>
      <c r="I880" s="75"/>
      <c r="J880" s="75"/>
    </row>
    <row r="881" spans="1:10" ht="12.75">
      <c r="A881" s="5"/>
      <c r="D881" s="75"/>
      <c r="E881" s="75"/>
      <c r="F881" s="75"/>
      <c r="G881" s="75"/>
      <c r="H881" s="75"/>
      <c r="I881" s="75"/>
      <c r="J881" s="75"/>
    </row>
    <row r="882" spans="1:10" ht="12.75">
      <c r="A882" s="5"/>
      <c r="D882" s="75"/>
      <c r="E882" s="75"/>
      <c r="F882" s="75"/>
      <c r="G882" s="75"/>
      <c r="H882" s="75"/>
      <c r="I882" s="75"/>
      <c r="J882" s="75"/>
    </row>
    <row r="883" spans="1:10" ht="12.75">
      <c r="A883" s="5"/>
      <c r="D883" s="75"/>
      <c r="E883" s="75"/>
      <c r="F883" s="75"/>
      <c r="G883" s="75"/>
      <c r="H883" s="75"/>
      <c r="I883" s="75"/>
      <c r="J883" s="75"/>
    </row>
    <row r="884" spans="1:10" ht="12.75">
      <c r="A884" s="5"/>
      <c r="D884" s="75"/>
      <c r="E884" s="75"/>
      <c r="F884" s="75"/>
      <c r="G884" s="75"/>
      <c r="H884" s="75"/>
      <c r="I884" s="75"/>
      <c r="J884" s="75"/>
    </row>
    <row r="885" spans="1:10" ht="12.75">
      <c r="A885" s="5"/>
      <c r="D885" s="75"/>
      <c r="E885" s="75"/>
      <c r="F885" s="75"/>
      <c r="G885" s="75"/>
      <c r="H885" s="75"/>
      <c r="I885" s="75"/>
      <c r="J885" s="75"/>
    </row>
    <row r="886" spans="1:10" ht="12.75">
      <c r="A886" s="5"/>
      <c r="D886" s="75"/>
      <c r="E886" s="75"/>
      <c r="F886" s="75"/>
      <c r="G886" s="75"/>
      <c r="H886" s="75"/>
      <c r="I886" s="75"/>
      <c r="J886" s="75"/>
    </row>
    <row r="887" spans="1:10" ht="12.75">
      <c r="A887" s="5"/>
      <c r="D887" s="75"/>
      <c r="E887" s="75"/>
      <c r="F887" s="75"/>
      <c r="G887" s="75"/>
      <c r="H887" s="75"/>
      <c r="I887" s="75"/>
      <c r="J887" s="75"/>
    </row>
    <row r="888" spans="1:10" ht="12.75">
      <c r="A888" s="5"/>
      <c r="D888" s="75"/>
      <c r="E888" s="75"/>
      <c r="F888" s="75"/>
      <c r="G888" s="75"/>
      <c r="H888" s="75"/>
      <c r="I888" s="75"/>
      <c r="J888" s="75"/>
    </row>
    <row r="889" spans="1:10" ht="12.75">
      <c r="A889" s="5"/>
      <c r="D889" s="75"/>
      <c r="E889" s="75"/>
      <c r="F889" s="75"/>
      <c r="G889" s="75"/>
      <c r="H889" s="75"/>
      <c r="I889" s="75"/>
      <c r="J889" s="75"/>
    </row>
    <row r="890" spans="1:10" ht="12.75">
      <c r="A890" s="5"/>
      <c r="D890" s="75"/>
      <c r="E890" s="75"/>
      <c r="F890" s="75"/>
      <c r="G890" s="75"/>
      <c r="H890" s="75"/>
      <c r="I890" s="75"/>
      <c r="J890" s="75"/>
    </row>
    <row r="891" spans="1:10" ht="12.75">
      <c r="A891" s="5"/>
      <c r="D891" s="75"/>
      <c r="E891" s="75"/>
      <c r="F891" s="75"/>
      <c r="G891" s="75"/>
      <c r="H891" s="75"/>
      <c r="I891" s="75"/>
      <c r="J891" s="75"/>
    </row>
    <row r="892" spans="1:10" ht="12.75">
      <c r="A892" s="5"/>
      <c r="D892" s="75"/>
      <c r="E892" s="75"/>
      <c r="F892" s="75"/>
      <c r="G892" s="75"/>
      <c r="H892" s="75"/>
      <c r="I892" s="75"/>
      <c r="J892" s="75"/>
    </row>
    <row r="893" spans="1:10" ht="12.75">
      <c r="A893" s="5"/>
      <c r="D893" s="75"/>
      <c r="E893" s="75"/>
      <c r="F893" s="75"/>
      <c r="G893" s="75"/>
      <c r="H893" s="75"/>
      <c r="I893" s="75"/>
      <c r="J893" s="75"/>
    </row>
    <row r="894" spans="1:10" ht="12.75">
      <c r="A894" s="5"/>
      <c r="D894" s="75"/>
      <c r="E894" s="75"/>
      <c r="F894" s="75"/>
      <c r="G894" s="75"/>
      <c r="H894" s="75"/>
      <c r="I894" s="75"/>
      <c r="J894" s="75"/>
    </row>
    <row r="895" spans="1:10" ht="12.75">
      <c r="A895" s="5"/>
      <c r="D895" s="75"/>
      <c r="E895" s="75"/>
      <c r="F895" s="75"/>
      <c r="G895" s="75"/>
      <c r="H895" s="75"/>
      <c r="I895" s="75"/>
      <c r="J895" s="75"/>
    </row>
    <row r="896" spans="1:10" ht="12.75">
      <c r="A896" s="5"/>
      <c r="D896" s="75"/>
      <c r="E896" s="75"/>
      <c r="F896" s="75"/>
      <c r="G896" s="75"/>
      <c r="H896" s="75"/>
      <c r="I896" s="75"/>
      <c r="J896" s="75"/>
    </row>
    <row r="897" spans="1:10" ht="12.75">
      <c r="A897" s="5"/>
      <c r="D897" s="75"/>
      <c r="E897" s="75"/>
      <c r="F897" s="75"/>
      <c r="G897" s="75"/>
      <c r="H897" s="75"/>
      <c r="I897" s="75"/>
      <c r="J897" s="75"/>
    </row>
    <row r="898" spans="1:10" ht="12.75">
      <c r="A898" s="5"/>
      <c r="D898" s="75"/>
      <c r="E898" s="75"/>
      <c r="F898" s="75"/>
      <c r="G898" s="75"/>
      <c r="H898" s="75"/>
      <c r="I898" s="75"/>
      <c r="J898" s="75"/>
    </row>
    <row r="899" spans="1:10" ht="12.75">
      <c r="A899" s="5"/>
      <c r="D899" s="75"/>
      <c r="E899" s="75"/>
      <c r="F899" s="75"/>
      <c r="G899" s="75"/>
      <c r="H899" s="75"/>
      <c r="I899" s="75"/>
      <c r="J899" s="75"/>
    </row>
    <row r="900" spans="1:10" ht="12.75">
      <c r="A900" s="5"/>
      <c r="D900" s="75"/>
      <c r="E900" s="75"/>
      <c r="F900" s="75"/>
      <c r="G900" s="75"/>
      <c r="H900" s="75"/>
      <c r="I900" s="75"/>
      <c r="J900" s="75"/>
    </row>
    <row r="901" spans="1:10" ht="12.75">
      <c r="A901" s="5"/>
      <c r="D901" s="75"/>
      <c r="E901" s="75"/>
      <c r="F901" s="75"/>
      <c r="G901" s="75"/>
      <c r="H901" s="75"/>
      <c r="I901" s="75"/>
      <c r="J901" s="75"/>
    </row>
    <row r="902" spans="1:10" ht="12.75">
      <c r="A902" s="5"/>
      <c r="D902" s="75"/>
      <c r="E902" s="75"/>
      <c r="F902" s="75"/>
      <c r="G902" s="75"/>
      <c r="H902" s="75"/>
      <c r="I902" s="75"/>
      <c r="J902" s="75"/>
    </row>
    <row r="903" spans="1:10" ht="12.75">
      <c r="A903" s="5"/>
      <c r="D903" s="75"/>
      <c r="E903" s="75"/>
      <c r="F903" s="75"/>
      <c r="G903" s="75"/>
      <c r="H903" s="75"/>
      <c r="I903" s="75"/>
      <c r="J903" s="75"/>
    </row>
    <row r="904" spans="1:10" ht="12.75">
      <c r="A904" s="5"/>
      <c r="D904" s="75"/>
      <c r="E904" s="75"/>
      <c r="F904" s="75"/>
      <c r="G904" s="75"/>
      <c r="H904" s="75"/>
      <c r="I904" s="75"/>
      <c r="J904" s="75"/>
    </row>
    <row r="905" spans="1:10" ht="12.75">
      <c r="A905" s="5"/>
      <c r="D905" s="75"/>
      <c r="E905" s="75"/>
      <c r="F905" s="75"/>
      <c r="G905" s="75"/>
      <c r="H905" s="75"/>
      <c r="I905" s="75"/>
      <c r="J905" s="75"/>
    </row>
    <row r="906" spans="1:10" ht="12.75">
      <c r="A906" s="5"/>
      <c r="D906" s="75"/>
      <c r="E906" s="75"/>
      <c r="F906" s="75"/>
      <c r="G906" s="75"/>
      <c r="H906" s="75"/>
      <c r="I906" s="75"/>
      <c r="J906" s="75"/>
    </row>
    <row r="907" spans="1:10" ht="12.75">
      <c r="A907" s="5"/>
      <c r="D907" s="75"/>
      <c r="E907" s="75"/>
      <c r="F907" s="75"/>
      <c r="G907" s="75"/>
      <c r="H907" s="75"/>
      <c r="I907" s="75"/>
      <c r="J907" s="75"/>
    </row>
    <row r="908" spans="1:10" ht="12.75">
      <c r="A908" s="5"/>
      <c r="D908" s="75"/>
      <c r="E908" s="75"/>
      <c r="F908" s="75"/>
      <c r="G908" s="75"/>
      <c r="H908" s="75"/>
      <c r="I908" s="75"/>
      <c r="J908" s="75"/>
    </row>
    <row r="909" spans="1:10" ht="12.75">
      <c r="A909" s="5"/>
      <c r="D909" s="75"/>
      <c r="E909" s="75"/>
      <c r="F909" s="75"/>
      <c r="G909" s="75"/>
      <c r="H909" s="75"/>
      <c r="I909" s="75"/>
      <c r="J909" s="75"/>
    </row>
    <row r="910" spans="1:10" ht="12.75">
      <c r="A910" s="5"/>
      <c r="D910" s="75"/>
      <c r="E910" s="75"/>
      <c r="F910" s="75"/>
      <c r="G910" s="75"/>
      <c r="H910" s="75"/>
      <c r="I910" s="75"/>
      <c r="J910" s="75"/>
    </row>
    <row r="911" spans="1:10" ht="12.75">
      <c r="A911" s="5"/>
      <c r="D911" s="75"/>
      <c r="E911" s="75"/>
      <c r="F911" s="75"/>
      <c r="G911" s="75"/>
      <c r="H911" s="75"/>
      <c r="I911" s="75"/>
      <c r="J911" s="75"/>
    </row>
    <row r="912" spans="1:10" ht="12.75">
      <c r="A912" s="5"/>
      <c r="D912" s="75"/>
      <c r="E912" s="75"/>
      <c r="F912" s="75"/>
      <c r="G912" s="75"/>
      <c r="H912" s="75"/>
      <c r="I912" s="75"/>
      <c r="J912" s="75"/>
    </row>
    <row r="913" spans="1:10" ht="12.75">
      <c r="A913" s="5"/>
      <c r="D913" s="75"/>
      <c r="E913" s="75"/>
      <c r="F913" s="75"/>
      <c r="G913" s="75"/>
      <c r="H913" s="75"/>
      <c r="I913" s="75"/>
      <c r="J913" s="75"/>
    </row>
    <row r="914" spans="1:10" ht="12.75">
      <c r="A914" s="5"/>
      <c r="D914" s="75"/>
      <c r="E914" s="75"/>
      <c r="F914" s="75"/>
      <c r="G914" s="75"/>
      <c r="H914" s="75"/>
      <c r="I914" s="75"/>
      <c r="J914" s="75"/>
    </row>
    <row r="915" spans="1:10" ht="12.75">
      <c r="A915" s="5"/>
      <c r="D915" s="75"/>
      <c r="E915" s="75"/>
      <c r="F915" s="75"/>
      <c r="G915" s="75"/>
      <c r="H915" s="75"/>
      <c r="I915" s="75"/>
      <c r="J915" s="75"/>
    </row>
    <row r="916" spans="1:10" ht="12.75">
      <c r="A916" s="5"/>
      <c r="D916" s="75"/>
      <c r="E916" s="75"/>
      <c r="F916" s="75"/>
      <c r="G916" s="75"/>
      <c r="H916" s="75"/>
      <c r="I916" s="75"/>
      <c r="J916" s="75"/>
    </row>
    <row r="917" spans="1:10" ht="12.75">
      <c r="A917" s="5"/>
      <c r="D917" s="75"/>
      <c r="E917" s="75"/>
      <c r="F917" s="75"/>
      <c r="G917" s="75"/>
      <c r="H917" s="75"/>
      <c r="I917" s="75"/>
      <c r="J917" s="75"/>
    </row>
    <row r="918" spans="1:10" ht="12.75">
      <c r="A918" s="5"/>
      <c r="D918" s="75"/>
      <c r="E918" s="75"/>
      <c r="F918" s="75"/>
      <c r="G918" s="75"/>
      <c r="H918" s="75"/>
      <c r="I918" s="75"/>
      <c r="J918" s="75"/>
    </row>
    <row r="919" spans="1:10" ht="12.75">
      <c r="A919" s="5"/>
      <c r="D919" s="75"/>
      <c r="E919" s="75"/>
      <c r="F919" s="75"/>
      <c r="G919" s="75"/>
      <c r="H919" s="75"/>
      <c r="I919" s="75"/>
      <c r="J919" s="75"/>
    </row>
    <row r="920" spans="1:10" ht="12.75">
      <c r="A920" s="5"/>
      <c r="D920" s="75"/>
      <c r="E920" s="75"/>
      <c r="F920" s="75"/>
      <c r="G920" s="75"/>
      <c r="H920" s="75"/>
      <c r="I920" s="75"/>
      <c r="J920" s="75"/>
    </row>
    <row r="921" spans="1:10" ht="12.75">
      <c r="A921" s="5"/>
      <c r="D921" s="75"/>
      <c r="E921" s="75"/>
      <c r="F921" s="75"/>
      <c r="G921" s="75"/>
      <c r="H921" s="75"/>
      <c r="I921" s="75"/>
      <c r="J921" s="75"/>
    </row>
    <row r="922" spans="1:10" ht="12.75">
      <c r="A922" s="5"/>
      <c r="D922" s="75"/>
      <c r="E922" s="75"/>
      <c r="F922" s="75"/>
      <c r="G922" s="75"/>
      <c r="H922" s="75"/>
      <c r="I922" s="75"/>
      <c r="J922" s="75"/>
    </row>
    <row r="923" spans="1:10" ht="12.75">
      <c r="A923" s="5"/>
      <c r="D923" s="75"/>
      <c r="E923" s="75"/>
      <c r="F923" s="75"/>
      <c r="G923" s="75"/>
      <c r="H923" s="75"/>
      <c r="I923" s="75"/>
      <c r="J923" s="75"/>
    </row>
    <row r="924" spans="1:10" ht="12.75">
      <c r="A924" s="5"/>
      <c r="D924" s="75"/>
      <c r="E924" s="75"/>
      <c r="F924" s="75"/>
      <c r="G924" s="75"/>
      <c r="H924" s="75"/>
      <c r="I924" s="75"/>
      <c r="J924" s="75"/>
    </row>
    <row r="925" spans="1:10" ht="12.75">
      <c r="A925" s="5"/>
      <c r="D925" s="75"/>
      <c r="E925" s="75"/>
      <c r="F925" s="75"/>
      <c r="G925" s="75"/>
      <c r="H925" s="75"/>
      <c r="I925" s="75"/>
      <c r="J925" s="75"/>
    </row>
    <row r="926" spans="1:10" ht="12.75">
      <c r="A926" s="5"/>
      <c r="D926" s="75"/>
      <c r="E926" s="75"/>
      <c r="F926" s="75"/>
      <c r="G926" s="75"/>
      <c r="H926" s="75"/>
      <c r="I926" s="75"/>
      <c r="J926" s="75"/>
    </row>
    <row r="927" spans="1:10" ht="12.75">
      <c r="A927" s="5"/>
      <c r="D927" s="75"/>
      <c r="E927" s="75"/>
      <c r="F927" s="75"/>
      <c r="G927" s="75"/>
      <c r="H927" s="75"/>
      <c r="I927" s="75"/>
      <c r="J927" s="75"/>
    </row>
    <row r="928" spans="1:10" ht="12.75">
      <c r="A928" s="5"/>
      <c r="D928" s="75"/>
      <c r="E928" s="75"/>
      <c r="F928" s="75"/>
      <c r="G928" s="75"/>
      <c r="H928" s="75"/>
      <c r="I928" s="75"/>
      <c r="J928" s="75"/>
    </row>
    <row r="929" spans="1:10" ht="12.75">
      <c r="A929" s="5"/>
      <c r="D929" s="75"/>
      <c r="E929" s="75"/>
      <c r="F929" s="75"/>
      <c r="G929" s="75"/>
      <c r="H929" s="75"/>
      <c r="I929" s="75"/>
      <c r="J929" s="75"/>
    </row>
    <row r="930" spans="1:10" ht="12.75">
      <c r="A930" s="5"/>
      <c r="D930" s="75"/>
      <c r="E930" s="75"/>
      <c r="F930" s="75"/>
      <c r="G930" s="75"/>
      <c r="H930" s="75"/>
      <c r="I930" s="75"/>
      <c r="J930" s="75"/>
    </row>
    <row r="931" spans="1:10" ht="12.75">
      <c r="A931" s="5"/>
      <c r="D931" s="75"/>
      <c r="E931" s="75"/>
      <c r="F931" s="75"/>
      <c r="G931" s="75"/>
      <c r="H931" s="75"/>
      <c r="I931" s="75"/>
      <c r="J931" s="75"/>
    </row>
    <row r="932" spans="1:10" ht="12.75">
      <c r="A932" s="5"/>
      <c r="D932" s="75"/>
      <c r="E932" s="75"/>
      <c r="F932" s="75"/>
      <c r="G932" s="75"/>
      <c r="H932" s="75"/>
      <c r="I932" s="75"/>
      <c r="J932" s="75"/>
    </row>
    <row r="933" spans="1:10" ht="12.75">
      <c r="A933" s="5"/>
      <c r="D933" s="75"/>
      <c r="E933" s="75"/>
      <c r="F933" s="75"/>
      <c r="G933" s="75"/>
      <c r="H933" s="75"/>
      <c r="I933" s="75"/>
      <c r="J933" s="75"/>
    </row>
    <row r="934" spans="1:10" ht="12.75">
      <c r="A934" s="5"/>
      <c r="D934" s="75"/>
      <c r="E934" s="75"/>
      <c r="F934" s="75"/>
      <c r="G934" s="75"/>
      <c r="H934" s="75"/>
      <c r="I934" s="75"/>
      <c r="J934" s="75"/>
    </row>
    <row r="935" spans="1:10" ht="12.75">
      <c r="A935" s="5"/>
      <c r="D935" s="75"/>
      <c r="E935" s="75"/>
      <c r="F935" s="75"/>
      <c r="G935" s="75"/>
      <c r="H935" s="75"/>
      <c r="I935" s="75"/>
      <c r="J935" s="75"/>
    </row>
    <row r="936" spans="1:10" ht="12.75">
      <c r="A936" s="5"/>
      <c r="D936" s="75"/>
      <c r="E936" s="75"/>
      <c r="F936" s="75"/>
      <c r="G936" s="75"/>
      <c r="H936" s="75"/>
      <c r="I936" s="75"/>
      <c r="J936" s="75"/>
    </row>
    <row r="937" spans="1:10" ht="12.75">
      <c r="A937" s="5"/>
      <c r="D937" s="75"/>
      <c r="E937" s="75"/>
      <c r="F937" s="75"/>
      <c r="G937" s="75"/>
      <c r="H937" s="75"/>
      <c r="I937" s="75"/>
      <c r="J937" s="75"/>
    </row>
    <row r="938" spans="1:10" ht="12.75">
      <c r="A938" s="5"/>
      <c r="D938" s="75"/>
      <c r="E938" s="75"/>
      <c r="F938" s="75"/>
      <c r="G938" s="75"/>
      <c r="H938" s="75"/>
      <c r="I938" s="75"/>
      <c r="J938" s="75"/>
    </row>
    <row r="939" spans="1:10" ht="12.75">
      <c r="A939" s="5"/>
      <c r="D939" s="75"/>
      <c r="E939" s="75"/>
      <c r="F939" s="75"/>
      <c r="G939" s="75"/>
      <c r="H939" s="75"/>
      <c r="I939" s="75"/>
      <c r="J939" s="75"/>
    </row>
    <row r="940" spans="1:10" ht="12.75">
      <c r="A940" s="5"/>
      <c r="D940" s="75"/>
      <c r="E940" s="75"/>
      <c r="F940" s="75"/>
      <c r="G940" s="75"/>
      <c r="H940" s="75"/>
      <c r="I940" s="75"/>
      <c r="J940" s="75"/>
    </row>
    <row r="941" spans="1:10" ht="12.75">
      <c r="A941" s="5"/>
      <c r="D941" s="75"/>
      <c r="E941" s="75"/>
      <c r="F941" s="75"/>
      <c r="G941" s="75"/>
      <c r="H941" s="75"/>
      <c r="I941" s="75"/>
      <c r="J941" s="75"/>
    </row>
    <row r="942" spans="1:10" ht="12.75">
      <c r="A942" s="5"/>
      <c r="D942" s="75"/>
      <c r="E942" s="75"/>
      <c r="F942" s="75"/>
      <c r="G942" s="75"/>
      <c r="H942" s="75"/>
      <c r="I942" s="75"/>
      <c r="J942" s="75"/>
    </row>
    <row r="943" spans="1:10" ht="12.75">
      <c r="A943" s="5"/>
      <c r="D943" s="75"/>
      <c r="E943" s="75"/>
      <c r="F943" s="75"/>
      <c r="G943" s="75"/>
      <c r="H943" s="75"/>
      <c r="I943" s="75"/>
      <c r="J943" s="75"/>
    </row>
    <row r="944" spans="1:10" ht="12.75">
      <c r="A944" s="5"/>
      <c r="D944" s="75"/>
      <c r="E944" s="75"/>
      <c r="F944" s="75"/>
      <c r="G944" s="75"/>
      <c r="H944" s="75"/>
      <c r="I944" s="75"/>
      <c r="J944" s="75"/>
    </row>
    <row r="945" spans="1:10" ht="12.75">
      <c r="A945" s="5"/>
      <c r="D945" s="75"/>
      <c r="E945" s="75"/>
      <c r="F945" s="75"/>
      <c r="G945" s="75"/>
      <c r="H945" s="75"/>
      <c r="I945" s="75"/>
      <c r="J945" s="75"/>
    </row>
    <row r="946" spans="1:10" ht="12.75">
      <c r="A946" s="5"/>
      <c r="D946" s="75"/>
      <c r="E946" s="75"/>
      <c r="F946" s="75"/>
      <c r="G946" s="75"/>
      <c r="H946" s="75"/>
      <c r="I946" s="75"/>
      <c r="J946" s="75"/>
    </row>
    <row r="947" spans="1:10" ht="12.75">
      <c r="A947" s="5"/>
      <c r="D947" s="75"/>
      <c r="E947" s="75"/>
      <c r="F947" s="75"/>
      <c r="G947" s="75"/>
      <c r="H947" s="75"/>
      <c r="I947" s="75"/>
      <c r="J947" s="75"/>
    </row>
    <row r="948" spans="1:10" ht="12.75">
      <c r="A948" s="5"/>
      <c r="D948" s="75"/>
      <c r="E948" s="75"/>
      <c r="F948" s="75"/>
      <c r="G948" s="75"/>
      <c r="H948" s="75"/>
      <c r="I948" s="75"/>
      <c r="J948" s="75"/>
    </row>
    <row r="949" spans="1:10" ht="12.75">
      <c r="A949" s="5"/>
      <c r="D949" s="75"/>
      <c r="E949" s="75"/>
      <c r="F949" s="75"/>
      <c r="G949" s="75"/>
      <c r="H949" s="75"/>
      <c r="I949" s="75"/>
      <c r="J949" s="75"/>
    </row>
    <row r="950" spans="1:10" ht="12.75">
      <c r="A950" s="5"/>
      <c r="D950" s="75"/>
      <c r="E950" s="75"/>
      <c r="F950" s="75"/>
      <c r="G950" s="75"/>
      <c r="H950" s="75"/>
      <c r="I950" s="75"/>
      <c r="J950" s="75"/>
    </row>
    <row r="951" spans="1:10" ht="12.75">
      <c r="A951" s="5"/>
      <c r="D951" s="75"/>
      <c r="E951" s="75"/>
      <c r="F951" s="75"/>
      <c r="G951" s="75"/>
      <c r="H951" s="75"/>
      <c r="I951" s="75"/>
      <c r="J951" s="75"/>
    </row>
    <row r="952" spans="1:10" ht="12.75">
      <c r="A952" s="5"/>
      <c r="D952" s="75"/>
      <c r="E952" s="75"/>
      <c r="F952" s="75"/>
      <c r="G952" s="75"/>
      <c r="H952" s="75"/>
      <c r="I952" s="75"/>
      <c r="J952" s="75"/>
    </row>
    <row r="953" spans="1:10" ht="12.75">
      <c r="A953" s="5"/>
      <c r="D953" s="75"/>
      <c r="E953" s="75"/>
      <c r="F953" s="75"/>
      <c r="G953" s="75"/>
      <c r="H953" s="75"/>
      <c r="I953" s="75"/>
      <c r="J953" s="75"/>
    </row>
    <row r="954" spans="1:10" ht="12.75">
      <c r="A954" s="5"/>
      <c r="D954" s="75"/>
      <c r="E954" s="75"/>
      <c r="F954" s="75"/>
      <c r="G954" s="75"/>
      <c r="H954" s="75"/>
      <c r="I954" s="75"/>
      <c r="J954" s="75"/>
    </row>
    <row r="955" spans="1:10" ht="12.75">
      <c r="A955" s="5"/>
      <c r="D955" s="75"/>
      <c r="E955" s="75"/>
      <c r="F955" s="75"/>
      <c r="G955" s="75"/>
      <c r="H955" s="75"/>
      <c r="I955" s="75"/>
      <c r="J955" s="75"/>
    </row>
    <row r="956" spans="1:10" ht="12.75">
      <c r="A956" s="5"/>
      <c r="D956" s="75"/>
      <c r="E956" s="75"/>
      <c r="F956" s="75"/>
      <c r="G956" s="75"/>
      <c r="H956" s="75"/>
      <c r="I956" s="75"/>
      <c r="J956" s="75"/>
    </row>
    <row r="957" spans="1:10" ht="12.75">
      <c r="A957" s="5"/>
      <c r="D957" s="75"/>
      <c r="E957" s="75"/>
      <c r="F957" s="75"/>
      <c r="G957" s="75"/>
      <c r="H957" s="75"/>
      <c r="I957" s="75"/>
      <c r="J957" s="75"/>
    </row>
    <row r="958" spans="1:10" ht="12.75">
      <c r="A958" s="5"/>
      <c r="D958" s="75"/>
      <c r="E958" s="75"/>
      <c r="F958" s="75"/>
      <c r="G958" s="75"/>
      <c r="H958" s="75"/>
      <c r="I958" s="75"/>
      <c r="J958" s="75"/>
    </row>
    <row r="959" spans="1:10" ht="12.75">
      <c r="A959" s="5"/>
      <c r="D959" s="75"/>
      <c r="E959" s="75"/>
      <c r="F959" s="75"/>
      <c r="G959" s="75"/>
      <c r="H959" s="75"/>
      <c r="I959" s="75"/>
      <c r="J959" s="75"/>
    </row>
    <row r="960" spans="1:10" ht="12.75">
      <c r="A960" s="5"/>
      <c r="D960" s="75"/>
      <c r="E960" s="75"/>
      <c r="F960" s="75"/>
      <c r="G960" s="75"/>
      <c r="H960" s="75"/>
      <c r="I960" s="75"/>
      <c r="J960" s="75"/>
    </row>
    <row r="961" spans="1:10" ht="12.75">
      <c r="A961" s="5"/>
      <c r="D961" s="75"/>
      <c r="E961" s="75"/>
      <c r="F961" s="75"/>
      <c r="G961" s="75"/>
      <c r="H961" s="75"/>
      <c r="I961" s="75"/>
      <c r="J961" s="75"/>
    </row>
    <row r="962" spans="1:10" ht="12.75">
      <c r="A962" s="5"/>
      <c r="D962" s="75"/>
      <c r="E962" s="75"/>
      <c r="F962" s="75"/>
      <c r="G962" s="75"/>
      <c r="H962" s="75"/>
      <c r="I962" s="75"/>
      <c r="J962" s="75"/>
    </row>
    <row r="963" spans="1:10" ht="12.75">
      <c r="A963" s="5"/>
      <c r="D963" s="75"/>
      <c r="E963" s="75"/>
      <c r="F963" s="75"/>
      <c r="G963" s="75"/>
      <c r="H963" s="75"/>
      <c r="I963" s="75"/>
      <c r="J963" s="75"/>
    </row>
    <row r="964" spans="1:10" ht="12.75">
      <c r="A964" s="5"/>
      <c r="D964" s="75"/>
      <c r="E964" s="75"/>
      <c r="F964" s="75"/>
      <c r="G964" s="75"/>
      <c r="H964" s="75"/>
      <c r="I964" s="75"/>
      <c r="J964" s="75"/>
    </row>
    <row r="965" spans="1:10" ht="12.75">
      <c r="A965" s="5"/>
      <c r="D965" s="75"/>
      <c r="E965" s="75"/>
      <c r="F965" s="75"/>
      <c r="G965" s="75"/>
      <c r="H965" s="75"/>
      <c r="I965" s="75"/>
      <c r="J965" s="75"/>
    </row>
    <row r="966" spans="1:10" ht="12.75">
      <c r="A966" s="5"/>
      <c r="D966" s="75"/>
      <c r="E966" s="75"/>
      <c r="F966" s="75"/>
      <c r="G966" s="75"/>
      <c r="H966" s="75"/>
      <c r="I966" s="75"/>
      <c r="J966" s="75"/>
    </row>
    <row r="967" spans="1:10" ht="12.75">
      <c r="A967" s="5"/>
      <c r="D967" s="75"/>
      <c r="E967" s="75"/>
      <c r="F967" s="75"/>
      <c r="G967" s="75"/>
      <c r="H967" s="75"/>
      <c r="I967" s="75"/>
      <c r="J967" s="75"/>
    </row>
    <row r="968" spans="1:10" ht="12.75">
      <c r="A968" s="5"/>
      <c r="D968" s="75"/>
      <c r="E968" s="75"/>
      <c r="F968" s="75"/>
      <c r="G968" s="75"/>
      <c r="H968" s="75"/>
      <c r="I968" s="75"/>
      <c r="J968" s="75"/>
    </row>
    <row r="969" spans="1:10" ht="12.75">
      <c r="A969" s="5"/>
      <c r="D969" s="75"/>
      <c r="E969" s="75"/>
      <c r="F969" s="75"/>
      <c r="G969" s="75"/>
      <c r="H969" s="75"/>
      <c r="I969" s="75"/>
      <c r="J969" s="75"/>
    </row>
    <row r="970" spans="1:10" ht="12.75">
      <c r="A970" s="5"/>
      <c r="D970" s="75"/>
      <c r="E970" s="75"/>
      <c r="F970" s="75"/>
      <c r="G970" s="75"/>
      <c r="H970" s="75"/>
      <c r="I970" s="75"/>
      <c r="J970" s="75"/>
    </row>
    <row r="971" spans="1:10" ht="12.75">
      <c r="A971" s="5"/>
      <c r="D971" s="75"/>
      <c r="E971" s="75"/>
      <c r="F971" s="75"/>
      <c r="G971" s="75"/>
      <c r="H971" s="75"/>
      <c r="I971" s="75"/>
      <c r="J971" s="75"/>
    </row>
    <row r="972" spans="1:10" ht="12.75">
      <c r="A972" s="5"/>
      <c r="D972" s="75"/>
      <c r="E972" s="75"/>
      <c r="F972" s="75"/>
      <c r="G972" s="75"/>
      <c r="H972" s="75"/>
      <c r="I972" s="75"/>
      <c r="J972" s="75"/>
    </row>
    <row r="973" spans="1:10" ht="12.75">
      <c r="A973" s="5"/>
      <c r="D973" s="75"/>
      <c r="E973" s="75"/>
      <c r="F973" s="75"/>
      <c r="G973" s="75"/>
      <c r="H973" s="75"/>
      <c r="I973" s="75"/>
      <c r="J973" s="75"/>
    </row>
    <row r="974" spans="1:10" ht="12.75">
      <c r="A974" s="5"/>
      <c r="D974" s="75"/>
      <c r="E974" s="75"/>
      <c r="F974" s="75"/>
      <c r="G974" s="75"/>
      <c r="H974" s="75"/>
      <c r="I974" s="75"/>
      <c r="J974" s="75"/>
    </row>
    <row r="975" spans="1:10" ht="12.75">
      <c r="A975" s="5"/>
      <c r="D975" s="75"/>
      <c r="E975" s="75"/>
      <c r="F975" s="75"/>
      <c r="G975" s="75"/>
      <c r="H975" s="75"/>
      <c r="I975" s="75"/>
      <c r="J975" s="75"/>
    </row>
    <row r="976" spans="1:10" ht="12.75">
      <c r="A976" s="5"/>
      <c r="D976" s="75"/>
      <c r="E976" s="75"/>
      <c r="F976" s="75"/>
      <c r="G976" s="75"/>
      <c r="H976" s="75"/>
      <c r="I976" s="75"/>
      <c r="J976" s="75"/>
    </row>
    <row r="977" spans="1:10" ht="12.75">
      <c r="A977" s="5"/>
      <c r="D977" s="75"/>
      <c r="E977" s="75"/>
      <c r="F977" s="75"/>
      <c r="G977" s="75"/>
      <c r="H977" s="75"/>
      <c r="I977" s="75"/>
      <c r="J977" s="75"/>
    </row>
    <row r="978" spans="1:10" ht="12.75">
      <c r="A978" s="5"/>
      <c r="D978" s="75"/>
      <c r="E978" s="75"/>
      <c r="F978" s="75"/>
      <c r="G978" s="75"/>
      <c r="H978" s="75"/>
      <c r="I978" s="75"/>
      <c r="J978" s="75"/>
    </row>
    <row r="979" spans="1:10" ht="12.75">
      <c r="A979" s="5"/>
      <c r="D979" s="75"/>
      <c r="E979" s="75"/>
      <c r="F979" s="75"/>
      <c r="G979" s="75"/>
      <c r="H979" s="75"/>
      <c r="I979" s="75"/>
      <c r="J979" s="75"/>
    </row>
    <row r="980" spans="1:10" ht="12.75">
      <c r="A980" s="5"/>
      <c r="D980" s="75"/>
      <c r="E980" s="75"/>
      <c r="F980" s="75"/>
      <c r="G980" s="75"/>
      <c r="H980" s="75"/>
      <c r="I980" s="75"/>
      <c r="J980" s="75"/>
    </row>
    <row r="981" spans="1:10" ht="12.75">
      <c r="A981" s="5"/>
      <c r="D981" s="75"/>
      <c r="E981" s="75"/>
      <c r="F981" s="75"/>
      <c r="G981" s="75"/>
      <c r="H981" s="75"/>
      <c r="I981" s="75"/>
      <c r="J981" s="75"/>
    </row>
    <row r="982" spans="1:10" ht="12.75">
      <c r="A982" s="5"/>
      <c r="D982" s="75"/>
      <c r="E982" s="75"/>
      <c r="F982" s="75"/>
      <c r="G982" s="75"/>
      <c r="H982" s="75"/>
      <c r="I982" s="75"/>
      <c r="J982" s="75"/>
    </row>
    <row r="983" spans="1:10" ht="12.75">
      <c r="A983" s="5"/>
      <c r="D983" s="75"/>
      <c r="E983" s="75"/>
      <c r="F983" s="75"/>
      <c r="G983" s="75"/>
      <c r="H983" s="75"/>
      <c r="I983" s="75"/>
      <c r="J983" s="75"/>
    </row>
    <row r="984" spans="1:10" ht="12.75">
      <c r="A984" s="5"/>
      <c r="D984" s="75"/>
      <c r="E984" s="75"/>
      <c r="F984" s="75"/>
      <c r="G984" s="75"/>
      <c r="H984" s="75"/>
      <c r="I984" s="75"/>
      <c r="J984" s="75"/>
    </row>
    <row r="985" spans="1:10" ht="12.75">
      <c r="A985" s="5"/>
      <c r="D985" s="75"/>
      <c r="E985" s="75"/>
      <c r="F985" s="75"/>
      <c r="G985" s="75"/>
      <c r="H985" s="75"/>
      <c r="I985" s="75"/>
      <c r="J985" s="75"/>
    </row>
    <row r="986" spans="1:10" ht="12.75">
      <c r="A986" s="5"/>
      <c r="D986" s="75"/>
      <c r="E986" s="75"/>
      <c r="F986" s="75"/>
      <c r="G986" s="75"/>
      <c r="H986" s="75"/>
      <c r="I986" s="75"/>
      <c r="J986" s="75"/>
    </row>
    <row r="987" spans="1:10" ht="12.75">
      <c r="A987" s="5"/>
      <c r="D987" s="75"/>
      <c r="E987" s="75"/>
      <c r="F987" s="75"/>
      <c r="G987" s="75"/>
      <c r="H987" s="75"/>
      <c r="I987" s="75"/>
      <c r="J987" s="75"/>
    </row>
    <row r="988" spans="1:10" ht="12.75">
      <c r="A988" s="5"/>
      <c r="D988" s="75"/>
      <c r="E988" s="75"/>
      <c r="F988" s="75"/>
      <c r="G988" s="75"/>
      <c r="H988" s="75"/>
      <c r="I988" s="75"/>
      <c r="J988" s="75"/>
    </row>
    <row r="989" spans="1:10" ht="12.75">
      <c r="A989" s="5"/>
      <c r="D989" s="75"/>
      <c r="E989" s="75"/>
      <c r="F989" s="75"/>
      <c r="G989" s="75"/>
      <c r="H989" s="75"/>
      <c r="I989" s="75"/>
      <c r="J989" s="75"/>
    </row>
    <row r="990" spans="1:10" ht="12.75">
      <c r="A990" s="5"/>
      <c r="D990" s="75"/>
      <c r="E990" s="75"/>
      <c r="F990" s="75"/>
      <c r="G990" s="75"/>
      <c r="H990" s="75"/>
      <c r="I990" s="75"/>
      <c r="J990" s="75"/>
    </row>
    <row r="991" spans="1:10" ht="12.75">
      <c r="A991" s="5"/>
      <c r="D991" s="75"/>
      <c r="E991" s="75"/>
      <c r="F991" s="75"/>
      <c r="G991" s="75"/>
      <c r="H991" s="75"/>
      <c r="I991" s="75"/>
      <c r="J991" s="75"/>
    </row>
    <row r="992" spans="1:10" ht="12.75">
      <c r="A992" s="5"/>
      <c r="D992" s="75"/>
      <c r="E992" s="75"/>
      <c r="F992" s="75"/>
      <c r="G992" s="75"/>
      <c r="H992" s="75"/>
      <c r="I992" s="75"/>
      <c r="J992" s="75"/>
    </row>
    <row r="993" spans="1:10" ht="12.75">
      <c r="A993" s="5"/>
      <c r="D993" s="75"/>
      <c r="E993" s="75"/>
      <c r="F993" s="75"/>
      <c r="G993" s="75"/>
      <c r="H993" s="75"/>
      <c r="I993" s="75"/>
      <c r="J993" s="75"/>
    </row>
    <row r="994" spans="1:10" ht="12.75">
      <c r="A994" s="5"/>
      <c r="D994" s="75"/>
      <c r="E994" s="75"/>
      <c r="F994" s="75"/>
      <c r="G994" s="75"/>
      <c r="H994" s="75"/>
      <c r="I994" s="75"/>
      <c r="J994" s="75"/>
    </row>
    <row r="995" spans="1:10" ht="12.75">
      <c r="A995" s="5"/>
      <c r="D995" s="75"/>
      <c r="E995" s="75"/>
      <c r="F995" s="75"/>
      <c r="G995" s="75"/>
      <c r="H995" s="75"/>
      <c r="I995" s="75"/>
      <c r="J995" s="75"/>
    </row>
    <row r="996" spans="1:10" ht="12.75">
      <c r="A996" s="5"/>
      <c r="D996" s="75"/>
      <c r="E996" s="75"/>
      <c r="F996" s="75"/>
      <c r="G996" s="75"/>
      <c r="H996" s="75"/>
      <c r="I996" s="75"/>
      <c r="J996" s="75"/>
    </row>
    <row r="997" spans="1:10" ht="12.75">
      <c r="A997" s="5"/>
      <c r="D997" s="75"/>
      <c r="E997" s="75"/>
      <c r="F997" s="75"/>
      <c r="G997" s="75"/>
      <c r="H997" s="75"/>
      <c r="I997" s="75"/>
      <c r="J997" s="75"/>
    </row>
    <row r="998" spans="1:10" ht="12.75">
      <c r="A998" s="5"/>
      <c r="D998" s="75"/>
      <c r="E998" s="75"/>
      <c r="F998" s="75"/>
      <c r="G998" s="75"/>
      <c r="H998" s="75"/>
      <c r="I998" s="75"/>
      <c r="J998" s="75"/>
    </row>
    <row r="999" spans="1:10" ht="12.75">
      <c r="A999" s="5"/>
      <c r="D999" s="75"/>
      <c r="E999" s="75"/>
      <c r="F999" s="75"/>
      <c r="G999" s="75"/>
      <c r="H999" s="75"/>
      <c r="I999" s="75"/>
      <c r="J999" s="75"/>
    </row>
    <row r="1000" spans="1:10" ht="12.75">
      <c r="A1000" s="5"/>
      <c r="D1000" s="75"/>
      <c r="E1000" s="75"/>
      <c r="F1000" s="75"/>
      <c r="G1000" s="75"/>
      <c r="H1000" s="75"/>
      <c r="I1000" s="75"/>
      <c r="J1000" s="75"/>
    </row>
    <row r="1001" spans="1:10" ht="12.75">
      <c r="A1001" s="5"/>
      <c r="D1001" s="75"/>
      <c r="E1001" s="75"/>
      <c r="F1001" s="75"/>
      <c r="G1001" s="75"/>
      <c r="H1001" s="75"/>
      <c r="I1001" s="75"/>
      <c r="J1001" s="75"/>
    </row>
    <row r="1002" spans="1:10" ht="12.75">
      <c r="A1002" s="5"/>
      <c r="D1002" s="75"/>
      <c r="E1002" s="75"/>
      <c r="F1002" s="75"/>
      <c r="G1002" s="75"/>
      <c r="H1002" s="75"/>
      <c r="I1002" s="75"/>
      <c r="J1002" s="75"/>
    </row>
    <row r="1003" spans="1:10" ht="12.75">
      <c r="A1003" s="5"/>
      <c r="D1003" s="75"/>
      <c r="E1003" s="75"/>
      <c r="F1003" s="75"/>
      <c r="G1003" s="75"/>
      <c r="H1003" s="75"/>
      <c r="I1003" s="75"/>
      <c r="J1003" s="75"/>
    </row>
    <row r="1004" spans="1:10" ht="12.75">
      <c r="A1004" s="5"/>
      <c r="D1004" s="75"/>
      <c r="E1004" s="75"/>
      <c r="F1004" s="75"/>
      <c r="G1004" s="75"/>
      <c r="H1004" s="75"/>
      <c r="I1004" s="75"/>
      <c r="J1004" s="75"/>
    </row>
    <row r="1005" spans="1:10" ht="12.75">
      <c r="A1005" s="5"/>
      <c r="D1005" s="75"/>
      <c r="E1005" s="75"/>
      <c r="F1005" s="75"/>
      <c r="G1005" s="75"/>
      <c r="H1005" s="75"/>
      <c r="I1005" s="75"/>
      <c r="J1005" s="75"/>
    </row>
    <row r="1006" spans="1:10" ht="12.75">
      <c r="A1006" s="5"/>
      <c r="D1006" s="75"/>
      <c r="E1006" s="75"/>
      <c r="F1006" s="75"/>
      <c r="G1006" s="75"/>
      <c r="H1006" s="75"/>
      <c r="I1006" s="75"/>
      <c r="J1006" s="75"/>
    </row>
    <row r="1007" spans="1:10" ht="12.75">
      <c r="A1007" s="5"/>
      <c r="D1007" s="75"/>
      <c r="E1007" s="75"/>
      <c r="F1007" s="75"/>
      <c r="G1007" s="75"/>
      <c r="H1007" s="75"/>
      <c r="I1007" s="75"/>
      <c r="J1007" s="75"/>
    </row>
    <row r="1008" spans="1:10" ht="12.75">
      <c r="A1008" s="5"/>
      <c r="D1008" s="75"/>
      <c r="E1008" s="75"/>
      <c r="F1008" s="75"/>
      <c r="G1008" s="75"/>
      <c r="H1008" s="75"/>
      <c r="I1008" s="75"/>
      <c r="J1008" s="75"/>
    </row>
    <row r="1009" spans="1:10" ht="12.75">
      <c r="A1009" s="5"/>
      <c r="D1009" s="75"/>
      <c r="E1009" s="75"/>
      <c r="F1009" s="75"/>
      <c r="G1009" s="75"/>
      <c r="H1009" s="75"/>
      <c r="I1009" s="75"/>
      <c r="J1009" s="75"/>
    </row>
    <row r="1010" spans="1:10" ht="12.75">
      <c r="A1010" s="5"/>
      <c r="D1010" s="75"/>
      <c r="E1010" s="75"/>
      <c r="F1010" s="75"/>
      <c r="G1010" s="75"/>
      <c r="H1010" s="75"/>
      <c r="I1010" s="75"/>
      <c r="J1010" s="75"/>
    </row>
    <row r="1011" spans="1:10" ht="12.75">
      <c r="A1011" s="5"/>
      <c r="D1011" s="75"/>
      <c r="E1011" s="75"/>
      <c r="F1011" s="75"/>
      <c r="G1011" s="75"/>
      <c r="H1011" s="75"/>
      <c r="I1011" s="75"/>
      <c r="J1011" s="75"/>
    </row>
    <row r="1012" spans="1:10" ht="12.75">
      <c r="A1012" s="5"/>
      <c r="D1012" s="75"/>
      <c r="E1012" s="75"/>
      <c r="F1012" s="75"/>
      <c r="G1012" s="75"/>
      <c r="H1012" s="75"/>
      <c r="I1012" s="75"/>
      <c r="J1012" s="75"/>
    </row>
    <row r="1013" spans="1:10" ht="12.75">
      <c r="A1013" s="5"/>
      <c r="D1013" s="75"/>
      <c r="E1013" s="75"/>
      <c r="F1013" s="75"/>
      <c r="G1013" s="75"/>
      <c r="H1013" s="75"/>
      <c r="I1013" s="75"/>
      <c r="J1013" s="75"/>
    </row>
    <row r="1014" spans="1:10" ht="12.75">
      <c r="A1014" s="5"/>
      <c r="D1014" s="75"/>
      <c r="E1014" s="75"/>
      <c r="F1014" s="75"/>
      <c r="G1014" s="75"/>
      <c r="H1014" s="75"/>
      <c r="I1014" s="75"/>
      <c r="J1014" s="75"/>
    </row>
    <row r="1015" spans="1:10" ht="12.75">
      <c r="A1015" s="5"/>
      <c r="D1015" s="75"/>
      <c r="E1015" s="75"/>
      <c r="F1015" s="75"/>
      <c r="G1015" s="75"/>
      <c r="H1015" s="75"/>
      <c r="I1015" s="75"/>
      <c r="J1015" s="75"/>
    </row>
    <row r="1016" spans="1:10" ht="12.75">
      <c r="A1016" s="5"/>
      <c r="D1016" s="75"/>
      <c r="E1016" s="75"/>
      <c r="F1016" s="75"/>
      <c r="G1016" s="75"/>
      <c r="H1016" s="75"/>
      <c r="I1016" s="75"/>
      <c r="J1016" s="75"/>
    </row>
    <row r="1017" spans="1:10" ht="12.75">
      <c r="A1017" s="5"/>
      <c r="D1017" s="75"/>
      <c r="E1017" s="75"/>
      <c r="F1017" s="75"/>
      <c r="G1017" s="75"/>
      <c r="H1017" s="75"/>
      <c r="I1017" s="75"/>
      <c r="J1017" s="75"/>
    </row>
    <row r="1018" spans="1:10" ht="12.75">
      <c r="A1018" s="5"/>
      <c r="D1018" s="75"/>
      <c r="E1018" s="75"/>
      <c r="F1018" s="75"/>
      <c r="G1018" s="75"/>
      <c r="H1018" s="75"/>
      <c r="I1018" s="75"/>
      <c r="J1018" s="75"/>
    </row>
    <row r="1019" spans="1:10" ht="12.75">
      <c r="A1019" s="5"/>
      <c r="D1019" s="75"/>
      <c r="E1019" s="75"/>
      <c r="F1019" s="75"/>
      <c r="G1019" s="75"/>
      <c r="H1019" s="75"/>
      <c r="I1019" s="75"/>
      <c r="J1019" s="75"/>
    </row>
    <row r="1020" spans="1:10" ht="12.75">
      <c r="A1020" s="5"/>
      <c r="D1020" s="75"/>
      <c r="E1020" s="75"/>
      <c r="F1020" s="75"/>
      <c r="G1020" s="75"/>
      <c r="H1020" s="75"/>
      <c r="I1020" s="75"/>
      <c r="J1020" s="75"/>
    </row>
    <row r="1021" spans="1:10" ht="12.75">
      <c r="A1021" s="5"/>
      <c r="D1021" s="75"/>
      <c r="E1021" s="75"/>
      <c r="F1021" s="75"/>
      <c r="G1021" s="75"/>
      <c r="H1021" s="75"/>
      <c r="I1021" s="75"/>
      <c r="J1021" s="75"/>
    </row>
    <row r="1022" spans="1:10" ht="12.75">
      <c r="A1022" s="5"/>
      <c r="D1022" s="75"/>
      <c r="E1022" s="75"/>
      <c r="F1022" s="75"/>
      <c r="G1022" s="75"/>
      <c r="H1022" s="75"/>
      <c r="I1022" s="75"/>
      <c r="J1022" s="75"/>
    </row>
    <row r="1023" spans="1:10" ht="12.75">
      <c r="A1023" s="5"/>
      <c r="D1023" s="75"/>
      <c r="E1023" s="75"/>
      <c r="F1023" s="75"/>
      <c r="G1023" s="75"/>
      <c r="H1023" s="75"/>
      <c r="I1023" s="75"/>
      <c r="J1023" s="75"/>
    </row>
    <row r="1024" spans="1:10" ht="12.75">
      <c r="A1024" s="5"/>
      <c r="D1024" s="75"/>
      <c r="E1024" s="75"/>
      <c r="F1024" s="75"/>
      <c r="G1024" s="75"/>
      <c r="H1024" s="75"/>
      <c r="I1024" s="75"/>
      <c r="J1024" s="75"/>
    </row>
    <row r="1025" spans="1:10" ht="12.75">
      <c r="A1025" s="5"/>
      <c r="D1025" s="75"/>
      <c r="E1025" s="75"/>
      <c r="F1025" s="75"/>
      <c r="G1025" s="75"/>
      <c r="H1025" s="75"/>
      <c r="I1025" s="75"/>
      <c r="J1025" s="75"/>
    </row>
    <row r="1026" spans="1:10" ht="12.75">
      <c r="A1026" s="5"/>
      <c r="D1026" s="75"/>
      <c r="E1026" s="75"/>
      <c r="F1026" s="75"/>
      <c r="G1026" s="75"/>
      <c r="H1026" s="75"/>
      <c r="I1026" s="75"/>
      <c r="J1026" s="75"/>
    </row>
    <row r="1027" spans="1:10" ht="12.75">
      <c r="A1027" s="5"/>
      <c r="D1027" s="75"/>
      <c r="E1027" s="75"/>
      <c r="F1027" s="75"/>
      <c r="G1027" s="75"/>
      <c r="H1027" s="75"/>
      <c r="I1027" s="75"/>
      <c r="J1027" s="75"/>
    </row>
    <row r="1028" spans="1:10" ht="12.75">
      <c r="A1028" s="5"/>
      <c r="D1028" s="75"/>
      <c r="E1028" s="75"/>
      <c r="F1028" s="75"/>
      <c r="G1028" s="75"/>
      <c r="H1028" s="75"/>
      <c r="I1028" s="75"/>
      <c r="J1028" s="75"/>
    </row>
    <row r="1029" spans="1:10" ht="12.75">
      <c r="A1029" s="5"/>
      <c r="D1029" s="75"/>
      <c r="E1029" s="75"/>
      <c r="F1029" s="75"/>
      <c r="G1029" s="75"/>
      <c r="H1029" s="75"/>
      <c r="I1029" s="75"/>
      <c r="J1029" s="75"/>
    </row>
    <row r="1030" spans="1:10" ht="12.75">
      <c r="A1030" s="5"/>
      <c r="D1030" s="75"/>
      <c r="E1030" s="75"/>
      <c r="F1030" s="75"/>
      <c r="G1030" s="75"/>
      <c r="H1030" s="75"/>
      <c r="I1030" s="75"/>
      <c r="J1030" s="75"/>
    </row>
    <row r="1031" spans="1:10" ht="12.75">
      <c r="A1031" s="5"/>
      <c r="D1031" s="75"/>
      <c r="E1031" s="75"/>
      <c r="F1031" s="75"/>
      <c r="G1031" s="75"/>
      <c r="H1031" s="75"/>
      <c r="I1031" s="75"/>
      <c r="J1031" s="75"/>
    </row>
    <row r="1032" spans="1:10" ht="12.75">
      <c r="A1032" s="5"/>
      <c r="D1032" s="75"/>
      <c r="E1032" s="75"/>
      <c r="F1032" s="75"/>
      <c r="G1032" s="75"/>
      <c r="H1032" s="75"/>
      <c r="I1032" s="75"/>
      <c r="J1032" s="75"/>
    </row>
    <row r="1033" spans="1:10" ht="12.75">
      <c r="A1033" s="5"/>
      <c r="D1033" s="75"/>
      <c r="E1033" s="75"/>
      <c r="F1033" s="75"/>
      <c r="G1033" s="75"/>
      <c r="H1033" s="75"/>
      <c r="I1033" s="75"/>
      <c r="J1033" s="75"/>
    </row>
    <row r="1034" spans="1:10" ht="12.75">
      <c r="A1034" s="5"/>
      <c r="D1034" s="75"/>
      <c r="E1034" s="75"/>
      <c r="F1034" s="75"/>
      <c r="G1034" s="75"/>
      <c r="H1034" s="75"/>
      <c r="I1034" s="75"/>
      <c r="J1034" s="75"/>
    </row>
    <row r="1035" spans="1:10" ht="12.75">
      <c r="A1035" s="5"/>
      <c r="D1035" s="75"/>
      <c r="E1035" s="75"/>
      <c r="F1035" s="75"/>
      <c r="G1035" s="75"/>
      <c r="H1035" s="75"/>
      <c r="I1035" s="75"/>
      <c r="J1035" s="75"/>
    </row>
    <row r="1036" spans="1:10" ht="12.75">
      <c r="A1036" s="5"/>
      <c r="D1036" s="75"/>
      <c r="E1036" s="75"/>
      <c r="F1036" s="75"/>
      <c r="G1036" s="75"/>
      <c r="H1036" s="75"/>
      <c r="I1036" s="75"/>
      <c r="J1036" s="75"/>
    </row>
    <row r="1037" spans="1:10" ht="12.75">
      <c r="A1037" s="5"/>
      <c r="D1037" s="75"/>
      <c r="E1037" s="75"/>
      <c r="F1037" s="75"/>
      <c r="G1037" s="75"/>
      <c r="H1037" s="75"/>
      <c r="I1037" s="75"/>
      <c r="J1037" s="75"/>
    </row>
    <row r="1038" spans="1:10" ht="12.75">
      <c r="A1038" s="5"/>
      <c r="D1038" s="75"/>
      <c r="E1038" s="75"/>
      <c r="F1038" s="75"/>
      <c r="G1038" s="75"/>
      <c r="H1038" s="75"/>
      <c r="I1038" s="75"/>
      <c r="J1038" s="75"/>
    </row>
    <row r="1039" spans="1:10" ht="12.75">
      <c r="A1039" s="5"/>
      <c r="D1039" s="75"/>
      <c r="E1039" s="75"/>
      <c r="F1039" s="75"/>
      <c r="G1039" s="75"/>
      <c r="H1039" s="75"/>
      <c r="I1039" s="75"/>
      <c r="J1039" s="75"/>
    </row>
  </sheetData>
  <mergeCells count="21">
    <mergeCell ref="A20:F20"/>
    <mergeCell ref="A10:F10"/>
    <mergeCell ref="D101:E101"/>
    <mergeCell ref="A49:F49"/>
    <mergeCell ref="A55:F55"/>
    <mergeCell ref="E127:F127"/>
    <mergeCell ref="E128:F128"/>
    <mergeCell ref="E129:F129"/>
    <mergeCell ref="A2:F2"/>
    <mergeCell ref="A75:A77"/>
    <mergeCell ref="A80:A81"/>
    <mergeCell ref="D97:E97"/>
    <mergeCell ref="A69:A74"/>
    <mergeCell ref="A19:C19"/>
    <mergeCell ref="D43:F43"/>
    <mergeCell ref="A78:B78"/>
    <mergeCell ref="A82:B82"/>
    <mergeCell ref="A83:B83"/>
    <mergeCell ref="A126:F126"/>
    <mergeCell ref="A66:F66"/>
    <mergeCell ref="A29:F2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30757-E0B9-46B2-B2E6-2A948A5C0AED}">
  <sheetPr>
    <tabColor theme="1" tint="0.499984740745262"/>
  </sheetPr>
  <dimension ref="A1:K20"/>
  <sheetViews>
    <sheetView workbookViewId="0">
      <selection activeCell="G4" sqref="G4"/>
    </sheetView>
  </sheetViews>
  <sheetFormatPr defaultColWidth="8.75" defaultRowHeight="15.75" outlineLevelRow="1"/>
  <cols>
    <col min="1" max="1" width="14.75" style="205" customWidth="1"/>
    <col min="2" max="2" width="9.125" style="205" customWidth="1"/>
    <col min="3" max="3" width="13.5" style="205" bestFit="1" customWidth="1"/>
    <col min="4" max="4" width="11.125" style="205" customWidth="1"/>
    <col min="5" max="5" width="11" style="205" customWidth="1"/>
    <col min="6" max="7" width="11.625" style="205" customWidth="1"/>
    <col min="8" max="8" width="12.25" style="205" customWidth="1"/>
    <col min="9" max="10" width="12.5" style="205" customWidth="1"/>
    <col min="11" max="11" width="97.25" style="205" customWidth="1"/>
    <col min="12" max="16384" width="8.75" style="205"/>
  </cols>
  <sheetData>
    <row r="1" spans="1:11" ht="25.5">
      <c r="A1" s="875" t="s">
        <v>954</v>
      </c>
      <c r="B1" s="875"/>
      <c r="C1" s="875"/>
      <c r="D1" s="875"/>
      <c r="E1" s="875"/>
      <c r="F1" s="875"/>
      <c r="G1" s="875"/>
      <c r="H1" s="875"/>
      <c r="I1" s="875"/>
      <c r="J1" s="875"/>
      <c r="K1" s="875"/>
    </row>
    <row r="2" spans="1:11" hidden="1" outlineLevel="1">
      <c r="A2" s="985" t="s">
        <v>955</v>
      </c>
    </row>
    <row r="3" spans="1:11" hidden="1" outlineLevel="1"/>
    <row r="4" spans="1:11" ht="43.5" hidden="1" outlineLevel="1">
      <c r="A4" s="917" t="s">
        <v>956</v>
      </c>
      <c r="B4" s="915" t="s">
        <v>957</v>
      </c>
      <c r="C4" s="915" t="s">
        <v>958</v>
      </c>
      <c r="D4" s="915" t="s">
        <v>639</v>
      </c>
      <c r="E4" s="915" t="s">
        <v>638</v>
      </c>
      <c r="F4" s="915" t="s">
        <v>959</v>
      </c>
      <c r="G4" s="915" t="s">
        <v>1204</v>
      </c>
      <c r="H4" s="915" t="s">
        <v>960</v>
      </c>
      <c r="I4" s="915" t="s">
        <v>961</v>
      </c>
      <c r="J4" s="915" t="s">
        <v>962</v>
      </c>
      <c r="K4" s="916" t="s">
        <v>98</v>
      </c>
    </row>
    <row r="5" spans="1:11" s="958" customFormat="1" ht="12.75" hidden="1" outlineLevel="1">
      <c r="A5" s="986" t="s">
        <v>963</v>
      </c>
      <c r="B5" s="987" t="s">
        <v>1333</v>
      </c>
      <c r="C5" s="988" t="s">
        <v>964</v>
      </c>
      <c r="D5" s="988">
        <f>'Community Indicators'!B17</f>
        <v>727211</v>
      </c>
      <c r="E5" s="988">
        <f>'Community Indicators'!B23</f>
        <v>294358</v>
      </c>
      <c r="F5" s="988">
        <f>'Community Indicators'!B32</f>
        <v>628274</v>
      </c>
      <c r="G5" s="989">
        <f>'Emission Summary'!$B$16</f>
        <v>8428848.2015750147</v>
      </c>
      <c r="H5" s="990">
        <f t="shared" ref="H5:H18" si="0">G5/D5</f>
        <v>11.590650033587245</v>
      </c>
      <c r="I5" s="990">
        <f t="shared" ref="I5:I18" si="1">G5/E5</f>
        <v>28.634683621899235</v>
      </c>
      <c r="J5" s="990">
        <f>G5/F5</f>
        <v>13.415879379975957</v>
      </c>
      <c r="K5" s="991" t="s">
        <v>1332</v>
      </c>
    </row>
    <row r="6" spans="1:11" s="958" customFormat="1" ht="25.5" hidden="1" outlineLevel="1">
      <c r="A6" s="992" t="s">
        <v>965</v>
      </c>
      <c r="B6" s="994">
        <v>2018</v>
      </c>
      <c r="C6" s="989" t="s">
        <v>964</v>
      </c>
      <c r="D6" s="989">
        <v>106271</v>
      </c>
      <c r="E6" s="989">
        <v>45424</v>
      </c>
      <c r="F6" s="989">
        <v>62670</v>
      </c>
      <c r="G6" s="989">
        <v>1513520</v>
      </c>
      <c r="H6" s="990">
        <f t="shared" si="0"/>
        <v>14.24207921257916</v>
      </c>
      <c r="I6" s="990">
        <f t="shared" si="1"/>
        <v>33.319830926382529</v>
      </c>
      <c r="J6" s="990">
        <f>G6/F6</f>
        <v>24.150630285623105</v>
      </c>
      <c r="K6" s="991" t="s">
        <v>1212</v>
      </c>
    </row>
    <row r="7" spans="1:11" s="958" customFormat="1" ht="12.75" hidden="1" outlineLevel="1">
      <c r="A7" s="992" t="s">
        <v>967</v>
      </c>
      <c r="B7" s="994">
        <v>2018</v>
      </c>
      <c r="C7" s="989" t="s">
        <v>964</v>
      </c>
      <c r="D7" s="989">
        <v>151411</v>
      </c>
      <c r="E7" s="989">
        <v>67238</v>
      </c>
      <c r="F7" s="989">
        <v>86352</v>
      </c>
      <c r="G7" s="989">
        <v>1480119</v>
      </c>
      <c r="H7" s="990">
        <f t="shared" si="0"/>
        <v>9.775505082193499</v>
      </c>
      <c r="I7" s="990">
        <f t="shared" si="1"/>
        <v>22.013132454861832</v>
      </c>
      <c r="J7" s="990">
        <f>G7/F7</f>
        <v>17.14052946081156</v>
      </c>
      <c r="K7" s="991" t="s">
        <v>1214</v>
      </c>
    </row>
    <row r="8" spans="1:11" s="958" customFormat="1" ht="12.75" hidden="1" outlineLevel="1">
      <c r="A8" s="992" t="s">
        <v>979</v>
      </c>
      <c r="B8" s="994">
        <v>2018</v>
      </c>
      <c r="C8" s="989" t="s">
        <v>964</v>
      </c>
      <c r="D8" s="989">
        <v>8560072</v>
      </c>
      <c r="E8" s="989">
        <v>3455117</v>
      </c>
      <c r="F8" s="989">
        <v>4417362</v>
      </c>
      <c r="G8" s="989">
        <v>50680000</v>
      </c>
      <c r="H8" s="990">
        <f t="shared" si="0"/>
        <v>5.9205109489733267</v>
      </c>
      <c r="I8" s="990">
        <f t="shared" si="1"/>
        <v>14.668099517324594</v>
      </c>
      <c r="J8" s="990">
        <f>G8/F8</f>
        <v>11.47291075533316</v>
      </c>
      <c r="K8" s="991" t="s">
        <v>1208</v>
      </c>
    </row>
    <row r="9" spans="1:11" s="958" customFormat="1" ht="12.75" hidden="1" outlineLevel="1">
      <c r="A9" s="992" t="s">
        <v>981</v>
      </c>
      <c r="B9" s="994">
        <v>2018</v>
      </c>
      <c r="C9" s="989" t="s">
        <v>63</v>
      </c>
      <c r="D9" s="989">
        <v>631486</v>
      </c>
      <c r="E9" s="989">
        <v>283915</v>
      </c>
      <c r="F9" s="989">
        <v>401075</v>
      </c>
      <c r="G9" s="989">
        <v>2440000</v>
      </c>
      <c r="H9" s="990">
        <f t="shared" si="0"/>
        <v>3.8639019709067184</v>
      </c>
      <c r="I9" s="990">
        <f t="shared" si="1"/>
        <v>8.5941214800204282</v>
      </c>
      <c r="J9" s="989">
        <f>G9/D9</f>
        <v>3.8639019709067184</v>
      </c>
      <c r="K9" s="991" t="s">
        <v>1209</v>
      </c>
    </row>
    <row r="10" spans="1:11" s="958" customFormat="1" ht="12.75" hidden="1" outlineLevel="1">
      <c r="A10" s="992" t="s">
        <v>966</v>
      </c>
      <c r="B10" s="993">
        <v>2017</v>
      </c>
      <c r="C10" s="989" t="s">
        <v>964</v>
      </c>
      <c r="D10" s="989">
        <v>7097</v>
      </c>
      <c r="E10" s="989">
        <v>6219</v>
      </c>
      <c r="F10" s="989">
        <v>4788</v>
      </c>
      <c r="G10" s="989">
        <v>305319</v>
      </c>
      <c r="H10" s="990">
        <f t="shared" si="0"/>
        <v>43.020853881921937</v>
      </c>
      <c r="I10" s="990">
        <f t="shared" si="1"/>
        <v>49.094548962855768</v>
      </c>
      <c r="J10" s="990">
        <f t="shared" ref="J10:J18" si="2">G10/F10</f>
        <v>63.767543859649123</v>
      </c>
      <c r="K10" s="991" t="s">
        <v>1213</v>
      </c>
    </row>
    <row r="11" spans="1:11" s="958" customFormat="1" ht="12.75" hidden="1" outlineLevel="1">
      <c r="A11" s="992" t="s">
        <v>977</v>
      </c>
      <c r="B11" s="994">
        <v>2017</v>
      </c>
      <c r="C11" s="989" t="s">
        <v>964</v>
      </c>
      <c r="D11" s="989">
        <v>669158</v>
      </c>
      <c r="E11" s="989">
        <v>285660</v>
      </c>
      <c r="F11" s="989">
        <v>394112</v>
      </c>
      <c r="G11" s="989">
        <v>6100000</v>
      </c>
      <c r="H11" s="990">
        <f t="shared" si="0"/>
        <v>9.1159337555554885</v>
      </c>
      <c r="I11" s="990">
        <f t="shared" si="1"/>
        <v>21.354057270881466</v>
      </c>
      <c r="J11" s="990">
        <f t="shared" si="2"/>
        <v>15.477833712244236</v>
      </c>
      <c r="K11" s="991" t="s">
        <v>1207</v>
      </c>
    </row>
    <row r="12" spans="1:11" s="958" customFormat="1" ht="12.75" hidden="1" outlineLevel="1">
      <c r="A12" s="992" t="s">
        <v>982</v>
      </c>
      <c r="B12" s="993">
        <v>2017</v>
      </c>
      <c r="C12" s="989" t="s">
        <v>63</v>
      </c>
      <c r="D12" s="989">
        <v>159150</v>
      </c>
      <c r="E12" s="989">
        <v>64038</v>
      </c>
      <c r="F12" s="989">
        <v>92575</v>
      </c>
      <c r="G12" s="989">
        <v>1909800</v>
      </c>
      <c r="H12" s="990">
        <f t="shared" si="0"/>
        <v>12</v>
      </c>
      <c r="I12" s="990">
        <f t="shared" si="1"/>
        <v>29.822917642649678</v>
      </c>
      <c r="J12" s="990">
        <f t="shared" si="2"/>
        <v>20.629759654334322</v>
      </c>
      <c r="K12" s="991" t="s">
        <v>983</v>
      </c>
    </row>
    <row r="13" spans="1:11" s="958" customFormat="1" ht="12.75" hidden="1" outlineLevel="1">
      <c r="A13" s="992" t="s">
        <v>978</v>
      </c>
      <c r="B13" s="994">
        <v>2017</v>
      </c>
      <c r="C13" s="989" t="s">
        <v>975</v>
      </c>
      <c r="D13" s="989">
        <v>411452</v>
      </c>
      <c r="E13" s="989">
        <v>183344</v>
      </c>
      <c r="F13" s="989">
        <v>249888</v>
      </c>
      <c r="G13" s="989">
        <v>4300000</v>
      </c>
      <c r="H13" s="990">
        <f t="shared" si="0"/>
        <v>10.450793774243412</v>
      </c>
      <c r="I13" s="990">
        <f t="shared" si="1"/>
        <v>23.453180905838206</v>
      </c>
      <c r="J13" s="990">
        <f t="shared" si="2"/>
        <v>17.207709053656039</v>
      </c>
      <c r="K13" s="991" t="s">
        <v>1206</v>
      </c>
    </row>
    <row r="14" spans="1:11" s="958" customFormat="1" ht="12.75" hidden="1" outlineLevel="1">
      <c r="A14" s="992" t="s">
        <v>974</v>
      </c>
      <c r="B14" s="993">
        <v>2016</v>
      </c>
      <c r="C14" s="989" t="s">
        <v>975</v>
      </c>
      <c r="D14" s="989">
        <v>916906</v>
      </c>
      <c r="E14" s="989">
        <v>393616</v>
      </c>
      <c r="F14" s="989">
        <v>542907</v>
      </c>
      <c r="G14" s="989">
        <v>13500000</v>
      </c>
      <c r="H14" s="990">
        <f t="shared" si="0"/>
        <v>14.723428573921428</v>
      </c>
      <c r="I14" s="990">
        <f t="shared" si="1"/>
        <v>34.297386285110363</v>
      </c>
      <c r="J14" s="990">
        <f t="shared" si="2"/>
        <v>24.866137294232715</v>
      </c>
      <c r="K14" s="991" t="s">
        <v>976</v>
      </c>
    </row>
    <row r="15" spans="1:11" s="958" customFormat="1" ht="12.75" hidden="1" outlineLevel="1">
      <c r="A15" s="992" t="s">
        <v>968</v>
      </c>
      <c r="B15" s="993">
        <v>2016</v>
      </c>
      <c r="C15" s="989" t="s">
        <v>969</v>
      </c>
      <c r="D15" s="989">
        <v>688245</v>
      </c>
      <c r="E15" s="989">
        <v>334739</v>
      </c>
      <c r="F15" s="989">
        <v>431793</v>
      </c>
      <c r="G15" s="989">
        <v>3182000</v>
      </c>
      <c r="H15" s="990">
        <f t="shared" si="0"/>
        <v>4.6233536022782582</v>
      </c>
      <c r="I15" s="990">
        <f t="shared" si="1"/>
        <v>9.5059135625069082</v>
      </c>
      <c r="J15" s="990">
        <f t="shared" si="2"/>
        <v>7.3692718501689463</v>
      </c>
      <c r="K15" s="991" t="s">
        <v>970</v>
      </c>
    </row>
    <row r="16" spans="1:11" s="958" customFormat="1" ht="12.75" hidden="1" outlineLevel="1">
      <c r="A16" s="992" t="s">
        <v>973</v>
      </c>
      <c r="B16" s="994">
        <v>2015</v>
      </c>
      <c r="C16" s="989" t="s">
        <v>586</v>
      </c>
      <c r="D16" s="989">
        <v>465230</v>
      </c>
      <c r="E16" s="989">
        <v>235900</v>
      </c>
      <c r="F16" s="989">
        <v>251426</v>
      </c>
      <c r="G16" s="989">
        <v>8500000</v>
      </c>
      <c r="H16" s="990">
        <f t="shared" si="0"/>
        <v>18.270532854717022</v>
      </c>
      <c r="I16" s="990">
        <f t="shared" si="1"/>
        <v>36.032217041119118</v>
      </c>
      <c r="J16" s="990">
        <f t="shared" si="2"/>
        <v>33.807163936903898</v>
      </c>
      <c r="K16" s="991" t="s">
        <v>1210</v>
      </c>
    </row>
    <row r="17" spans="1:11" s="958" customFormat="1" ht="12.75" hidden="1" outlineLevel="1">
      <c r="A17" s="992" t="s">
        <v>971</v>
      </c>
      <c r="B17" s="993">
        <v>2015</v>
      </c>
      <c r="C17" s="989" t="s">
        <v>964</v>
      </c>
      <c r="D17" s="989">
        <v>2722586</v>
      </c>
      <c r="E17" s="989">
        <v>1200305</v>
      </c>
      <c r="F17" s="989">
        <v>1458473</v>
      </c>
      <c r="G17" s="989">
        <v>32650000</v>
      </c>
      <c r="H17" s="990">
        <f t="shared" si="0"/>
        <v>11.992274991497055</v>
      </c>
      <c r="I17" s="990">
        <f t="shared" si="1"/>
        <v>27.201419639175043</v>
      </c>
      <c r="J17" s="990">
        <f t="shared" si="2"/>
        <v>22.38642744843408</v>
      </c>
      <c r="K17" s="991" t="s">
        <v>972</v>
      </c>
    </row>
    <row r="18" spans="1:11" s="958" customFormat="1" ht="12.75" hidden="1" outlineLevel="1">
      <c r="A18" s="992" t="s">
        <v>980</v>
      </c>
      <c r="B18" s="994">
        <v>2015</v>
      </c>
      <c r="C18" s="989" t="s">
        <v>1211</v>
      </c>
      <c r="D18" s="989">
        <v>194188</v>
      </c>
      <c r="E18" s="989">
        <v>83676</v>
      </c>
      <c r="F18" s="989">
        <v>111706</v>
      </c>
      <c r="G18" s="989">
        <v>4769171</v>
      </c>
      <c r="H18" s="990">
        <f t="shared" si="0"/>
        <v>24.559555688302058</v>
      </c>
      <c r="I18" s="990">
        <f t="shared" si="1"/>
        <v>56.995685740236148</v>
      </c>
      <c r="J18" s="990">
        <f t="shared" si="2"/>
        <v>42.69395556192147</v>
      </c>
      <c r="K18" s="991" t="s">
        <v>1246</v>
      </c>
    </row>
    <row r="19" spans="1:11" hidden="1" outlineLevel="1"/>
    <row r="20" spans="1:11" collapsed="1"/>
  </sheetData>
  <sortState xmlns:xlrd2="http://schemas.microsoft.com/office/spreadsheetml/2017/richdata2" ref="A6:K18">
    <sortCondition descending="1" ref="B6:B18"/>
  </sortState>
  <hyperlinks>
    <hyperlink ref="K14" r:id="rId1" xr:uid="{8232090B-F06B-40B5-8E1E-700807272F78}"/>
    <hyperlink ref="K11" r:id="rId2" xr:uid="{9ACC3BFA-9BD2-4527-AD5B-C336AE08DCD9}"/>
    <hyperlink ref="K9" r:id="rId3" xr:uid="{CDD54E14-B907-4441-9FE3-D3B1F9CC1AFA}"/>
    <hyperlink ref="K12" r:id="rId4" xr:uid="{BC8588CC-ED09-4793-A726-5A26811D4D8D}"/>
    <hyperlink ref="K6" r:id="rId5" xr:uid="{9B97B6FD-ABDE-4B97-84D1-3AD24A3A3985}"/>
    <hyperlink ref="K10" r:id="rId6" xr:uid="{027E44D2-1FB0-485C-9BBC-DF210CB1EB59}"/>
    <hyperlink ref="K8" r:id="rId7" xr:uid="{B4D843DD-E8E1-41E5-9D73-9E0E261E9111}"/>
    <hyperlink ref="K18" r:id="rId8" display="http://www.slcdocs.com/slcgreen/SLC%20Community%20Carbon%20Footprint%20Report%20(2).pdf" xr:uid="{964735A9-FCAB-416B-A583-21097F96A1A4}"/>
    <hyperlink ref="K15" r:id="rId9" xr:uid="{8B714295-B91C-4589-9BE1-38F751F7F35C}"/>
    <hyperlink ref="K17" r:id="rId10" xr:uid="{145858AE-45AE-4046-8EFC-2BAFF4D178DB}"/>
    <hyperlink ref="K7" r:id="rId11" xr:uid="{DD64D316-A563-46CD-8C3B-A82F1D7F7736}"/>
    <hyperlink ref="K13" r:id="rId12" xr:uid="{A650F520-6B0E-408F-84CC-0283EC471B98}"/>
    <hyperlink ref="K16" r:id="rId13" xr:uid="{6D38C444-E78E-447D-AD09-BDCAA173C129}"/>
  </hyperlinks>
  <pageMargins left="0.7" right="0.7" top="0.75" bottom="0.75" header="0.3" footer="0.3"/>
  <pageSetup orientation="portrait"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0E0B-A785-438D-8069-4B01BEFA069F}">
  <sheetPr>
    <tabColor theme="1" tint="0.499984740745262"/>
  </sheetPr>
  <dimension ref="A1:AU88"/>
  <sheetViews>
    <sheetView workbookViewId="0">
      <selection activeCell="I22" sqref="I22"/>
    </sheetView>
  </sheetViews>
  <sheetFormatPr defaultColWidth="8.75" defaultRowHeight="15.75" outlineLevelRow="1"/>
  <cols>
    <col min="1" max="1" width="42.75" style="175" customWidth="1"/>
    <col min="2" max="5" width="12.5" style="175" customWidth="1"/>
    <col min="6" max="41" width="12.125" style="175" customWidth="1"/>
    <col min="42" max="42" width="13.25" style="175" customWidth="1"/>
    <col min="43" max="46" width="12.125" style="175" customWidth="1"/>
    <col min="47" max="16384" width="8.75" style="175"/>
  </cols>
  <sheetData>
    <row r="1" spans="1:46" ht="25.5">
      <c r="A1" s="492" t="s">
        <v>984</v>
      </c>
      <c r="B1" s="492"/>
      <c r="C1" s="492"/>
      <c r="D1" s="492"/>
      <c r="E1" s="492"/>
      <c r="F1" s="492"/>
      <c r="G1" s="492"/>
      <c r="H1" s="492"/>
      <c r="I1" s="492"/>
      <c r="J1" s="492"/>
      <c r="K1" s="492"/>
      <c r="L1" s="492"/>
      <c r="M1" s="492"/>
      <c r="N1" s="492"/>
      <c r="O1" s="492"/>
      <c r="P1" s="492"/>
      <c r="Q1" s="492"/>
      <c r="R1" s="492"/>
      <c r="S1" s="492"/>
      <c r="T1" s="492"/>
      <c r="U1" s="492"/>
      <c r="V1" s="492"/>
      <c r="W1" s="492"/>
      <c r="X1" s="492"/>
      <c r="Y1" s="492"/>
      <c r="Z1" s="492"/>
      <c r="AA1" s="492"/>
      <c r="AB1" s="492"/>
      <c r="AC1" s="492"/>
      <c r="AD1" s="492"/>
      <c r="AE1" s="492"/>
      <c r="AF1" s="492"/>
      <c r="AG1" s="492"/>
      <c r="AH1" s="492"/>
      <c r="AI1" s="492"/>
      <c r="AJ1" s="492"/>
      <c r="AK1" s="492"/>
      <c r="AL1" s="492"/>
      <c r="AM1" s="492"/>
      <c r="AN1" s="492"/>
      <c r="AO1" s="492"/>
      <c r="AP1" s="492"/>
      <c r="AQ1" s="492"/>
      <c r="AR1" s="492"/>
      <c r="AS1" s="492"/>
      <c r="AT1" s="492"/>
    </row>
    <row r="2" spans="1:46" ht="20.25">
      <c r="A2" s="501" t="s">
        <v>517</v>
      </c>
      <c r="B2" s="502"/>
      <c r="C2" s="502"/>
      <c r="D2" s="502"/>
      <c r="E2" s="502"/>
      <c r="F2" s="502"/>
      <c r="G2" s="502"/>
      <c r="H2" s="502"/>
      <c r="I2" s="502"/>
      <c r="J2" s="502"/>
      <c r="K2" s="502"/>
      <c r="L2" s="502"/>
      <c r="M2" s="502"/>
      <c r="N2" s="502"/>
      <c r="O2" s="502"/>
      <c r="P2" s="502"/>
      <c r="Q2" s="502"/>
      <c r="R2" s="502"/>
      <c r="S2" s="502"/>
      <c r="T2" s="502"/>
      <c r="U2" s="502"/>
      <c r="V2" s="502"/>
      <c r="W2" s="502"/>
      <c r="X2" s="502"/>
      <c r="Y2" s="502"/>
      <c r="Z2" s="502"/>
      <c r="AA2" s="502"/>
      <c r="AB2" s="502"/>
      <c r="AC2" s="502"/>
      <c r="AD2" s="502"/>
      <c r="AE2" s="1014"/>
      <c r="AF2" s="1014"/>
      <c r="AG2" s="502"/>
      <c r="AH2" s="502"/>
      <c r="AI2" s="502"/>
      <c r="AJ2" s="502"/>
      <c r="AK2" s="502"/>
      <c r="AL2" s="502"/>
      <c r="AM2" s="502"/>
      <c r="AN2" s="502"/>
      <c r="AO2" s="502"/>
      <c r="AP2" s="502"/>
      <c r="AQ2" s="502"/>
      <c r="AR2" s="502"/>
      <c r="AS2" s="502"/>
      <c r="AT2" s="503"/>
    </row>
    <row r="3" spans="1:46" outlineLevel="1">
      <c r="A3" s="670" t="s">
        <v>985</v>
      </c>
    </row>
    <row r="4" spans="1:46" outlineLevel="1">
      <c r="A4" s="670" t="s">
        <v>986</v>
      </c>
    </row>
    <row r="5" spans="1:46" outlineLevel="1">
      <c r="A5" s="670" t="s">
        <v>987</v>
      </c>
    </row>
    <row r="6" spans="1:46" outlineLevel="1">
      <c r="A6" s="670" t="s">
        <v>988</v>
      </c>
    </row>
    <row r="7" spans="1:46" ht="16.5" outlineLevel="1" thickBot="1"/>
    <row r="8" spans="1:46" ht="25.5" outlineLevel="1">
      <c r="A8" s="1136" t="s">
        <v>989</v>
      </c>
      <c r="B8" s="1138" t="s">
        <v>61</v>
      </c>
      <c r="C8" s="1140" t="s">
        <v>639</v>
      </c>
      <c r="D8" s="1142" t="s">
        <v>52</v>
      </c>
      <c r="E8" s="1143"/>
      <c r="F8" s="1143"/>
      <c r="G8" s="1143"/>
      <c r="H8" s="1143"/>
      <c r="I8" s="1144"/>
      <c r="J8" s="1145" t="s">
        <v>79</v>
      </c>
      <c r="K8" s="1146"/>
      <c r="L8" s="1127" t="s">
        <v>990</v>
      </c>
      <c r="M8" s="1147"/>
      <c r="N8" s="1147"/>
      <c r="O8" s="1147"/>
      <c r="P8" s="1147"/>
      <c r="Q8" s="1147"/>
      <c r="R8" s="1147"/>
      <c r="S8" s="1147"/>
      <c r="T8" s="1147"/>
      <c r="U8" s="1147"/>
      <c r="V8" s="1147"/>
      <c r="W8" s="1147"/>
      <c r="X8" s="1147"/>
      <c r="Y8" s="1147"/>
      <c r="Z8" s="1147"/>
      <c r="AA8" s="1128"/>
      <c r="AB8" s="592"/>
      <c r="AC8" s="1124" t="s">
        <v>129</v>
      </c>
      <c r="AD8" s="1125"/>
      <c r="AE8" s="1125"/>
      <c r="AF8" s="1125"/>
      <c r="AG8" s="1126"/>
      <c r="AH8" s="905" t="s">
        <v>92</v>
      </c>
      <c r="AI8" s="1127" t="s">
        <v>991</v>
      </c>
      <c r="AJ8" s="1128"/>
      <c r="AK8" s="469" t="s">
        <v>992</v>
      </c>
      <c r="AL8" s="1129" t="s">
        <v>557</v>
      </c>
      <c r="AM8" s="1130"/>
      <c r="AN8" s="1130"/>
      <c r="AO8" s="1130"/>
      <c r="AP8" s="1130"/>
      <c r="AQ8" s="1130"/>
      <c r="AR8" s="1130"/>
      <c r="AS8" s="1131" t="s">
        <v>1103</v>
      </c>
      <c r="AT8" s="1133" t="s">
        <v>1104</v>
      </c>
    </row>
    <row r="9" spans="1:46" ht="65.25" outlineLevel="1">
      <c r="A9" s="1137"/>
      <c r="B9" s="1139"/>
      <c r="C9" s="1141"/>
      <c r="D9" s="465" t="s">
        <v>993</v>
      </c>
      <c r="E9" s="465" t="s">
        <v>994</v>
      </c>
      <c r="F9" s="465" t="s">
        <v>808</v>
      </c>
      <c r="G9" s="465" t="s">
        <v>995</v>
      </c>
      <c r="H9" s="465" t="s">
        <v>996</v>
      </c>
      <c r="I9" s="465" t="s">
        <v>997</v>
      </c>
      <c r="J9" s="466" t="s">
        <v>998</v>
      </c>
      <c r="K9" s="466" t="s">
        <v>999</v>
      </c>
      <c r="L9" s="467" t="s">
        <v>1000</v>
      </c>
      <c r="M9" s="467" t="s">
        <v>1001</v>
      </c>
      <c r="N9" s="467" t="s">
        <v>1002</v>
      </c>
      <c r="O9" s="467" t="s">
        <v>1003</v>
      </c>
      <c r="P9" s="467" t="s">
        <v>1004</v>
      </c>
      <c r="Q9" s="467" t="s">
        <v>1005</v>
      </c>
      <c r="R9" s="467" t="s">
        <v>1006</v>
      </c>
      <c r="S9" s="467" t="s">
        <v>1205</v>
      </c>
      <c r="T9" s="467" t="s">
        <v>1007</v>
      </c>
      <c r="U9" s="467" t="s">
        <v>1008</v>
      </c>
      <c r="V9" s="467" t="s">
        <v>1009</v>
      </c>
      <c r="W9" s="467" t="s">
        <v>1010</v>
      </c>
      <c r="X9" s="467" t="s">
        <v>1011</v>
      </c>
      <c r="Y9" s="467" t="s">
        <v>1012</v>
      </c>
      <c r="Z9" s="467" t="s">
        <v>1013</v>
      </c>
      <c r="AA9" s="467" t="s">
        <v>1014</v>
      </c>
      <c r="AB9" s="467" t="s">
        <v>996</v>
      </c>
      <c r="AC9" s="470" t="s">
        <v>1015</v>
      </c>
      <c r="AD9" s="470" t="s">
        <v>1016</v>
      </c>
      <c r="AE9" s="470" t="s">
        <v>1372</v>
      </c>
      <c r="AF9" s="470" t="s">
        <v>182</v>
      </c>
      <c r="AG9" s="470" t="s">
        <v>1017</v>
      </c>
      <c r="AH9" s="471" t="s">
        <v>1017</v>
      </c>
      <c r="AI9" s="467" t="s">
        <v>1018</v>
      </c>
      <c r="AJ9" s="467" t="s">
        <v>1017</v>
      </c>
      <c r="AK9" s="472" t="s">
        <v>1017</v>
      </c>
      <c r="AL9" s="473" t="s">
        <v>1019</v>
      </c>
      <c r="AM9" s="473" t="s">
        <v>1020</v>
      </c>
      <c r="AN9" s="473" t="s">
        <v>1021</v>
      </c>
      <c r="AO9" s="473" t="s">
        <v>1022</v>
      </c>
      <c r="AP9" s="473" t="s">
        <v>1023</v>
      </c>
      <c r="AQ9" s="473" t="s">
        <v>1024</v>
      </c>
      <c r="AR9" s="473" t="s">
        <v>1017</v>
      </c>
      <c r="AS9" s="1132"/>
      <c r="AT9" s="1134"/>
    </row>
    <row r="10" spans="1:46" s="177" customFormat="1" ht="12.75" outlineLevel="1">
      <c r="A10" s="1135" t="s">
        <v>1025</v>
      </c>
      <c r="B10" s="474">
        <v>2005</v>
      </c>
      <c r="C10" s="468">
        <v>561323</v>
      </c>
      <c r="D10" s="468">
        <v>6412000000</v>
      </c>
      <c r="E10" s="468">
        <v>372000000</v>
      </c>
      <c r="F10" s="468" t="s">
        <v>63</v>
      </c>
      <c r="G10" s="468" t="s">
        <v>63</v>
      </c>
      <c r="H10" s="468">
        <v>7043000</v>
      </c>
      <c r="I10" s="475">
        <f>0.794*1000/1000</f>
        <v>0.79400000000000004</v>
      </c>
      <c r="J10" s="468" t="s">
        <v>63</v>
      </c>
      <c r="K10" s="468" t="s">
        <v>63</v>
      </c>
      <c r="L10" s="468" t="s">
        <v>63</v>
      </c>
      <c r="M10" s="468">
        <v>219494592</v>
      </c>
      <c r="N10" s="468">
        <v>52499175</v>
      </c>
      <c r="O10" s="468" t="s">
        <v>63</v>
      </c>
      <c r="P10" s="468" t="s">
        <v>63</v>
      </c>
      <c r="Q10" s="468" t="s">
        <v>63</v>
      </c>
      <c r="R10" s="468" t="s">
        <v>63</v>
      </c>
      <c r="S10" s="468" t="s">
        <v>63</v>
      </c>
      <c r="T10" s="468">
        <v>86625000</v>
      </c>
      <c r="U10" s="468" t="s">
        <v>63</v>
      </c>
      <c r="V10" s="468" t="s">
        <v>63</v>
      </c>
      <c r="W10" s="468" t="s">
        <v>63</v>
      </c>
      <c r="X10" s="468" t="s">
        <v>63</v>
      </c>
      <c r="Y10" s="468" t="s">
        <v>63</v>
      </c>
      <c r="Z10" s="468">
        <v>3354000</v>
      </c>
      <c r="AA10" s="468" t="s">
        <v>63</v>
      </c>
      <c r="AB10" s="468" t="s">
        <v>63</v>
      </c>
      <c r="AC10" s="1016">
        <v>621135</v>
      </c>
      <c r="AD10" s="1016" t="s">
        <v>63</v>
      </c>
      <c r="AE10" s="1015" t="s">
        <v>63</v>
      </c>
      <c r="AF10" s="859">
        <f>SUM(AC10:AE10)</f>
        <v>621135</v>
      </c>
      <c r="AG10" s="468">
        <v>169000</v>
      </c>
      <c r="AH10" s="468" t="s">
        <v>63</v>
      </c>
      <c r="AI10" s="468" t="s">
        <v>63</v>
      </c>
      <c r="AJ10" s="468" t="s">
        <v>63</v>
      </c>
      <c r="AK10" s="468" t="s">
        <v>63</v>
      </c>
      <c r="AL10" s="476">
        <v>752000000</v>
      </c>
      <c r="AM10" s="468" t="s">
        <v>63</v>
      </c>
      <c r="AN10" s="468" t="s">
        <v>63</v>
      </c>
      <c r="AO10" s="468">
        <v>352160</v>
      </c>
      <c r="AP10" s="468" t="s">
        <v>63</v>
      </c>
      <c r="AQ10" s="468" t="s">
        <v>63</v>
      </c>
      <c r="AR10" s="468">
        <v>2683000</v>
      </c>
      <c r="AS10" s="468">
        <v>13081000</v>
      </c>
      <c r="AT10" s="477" t="s">
        <v>63</v>
      </c>
    </row>
    <row r="11" spans="1:46" s="177" customFormat="1" ht="12.75" outlineLevel="1">
      <c r="A11" s="1135"/>
      <c r="B11" s="474">
        <v>2007</v>
      </c>
      <c r="C11" s="468">
        <v>578789</v>
      </c>
      <c r="D11" s="468">
        <v>6739000000</v>
      </c>
      <c r="E11" s="468">
        <v>388000000</v>
      </c>
      <c r="F11" s="468" t="s">
        <v>63</v>
      </c>
      <c r="G11" s="468" t="s">
        <v>63</v>
      </c>
      <c r="H11" s="468">
        <v>7129000</v>
      </c>
      <c r="I11" s="475">
        <v>0.753</v>
      </c>
      <c r="J11" s="468" t="s">
        <v>63</v>
      </c>
      <c r="K11" s="468" t="s">
        <v>63</v>
      </c>
      <c r="L11" s="468" t="s">
        <v>63</v>
      </c>
      <c r="M11" s="468">
        <v>221836388</v>
      </c>
      <c r="N11" s="468">
        <v>57776184</v>
      </c>
      <c r="O11" s="468" t="s">
        <v>63</v>
      </c>
      <c r="P11" s="468" t="s">
        <v>63</v>
      </c>
      <c r="Q11" s="468" t="s">
        <v>63</v>
      </c>
      <c r="R11" s="468" t="s">
        <v>63</v>
      </c>
      <c r="S11" s="468" t="s">
        <v>63</v>
      </c>
      <c r="T11" s="468">
        <v>93539000</v>
      </c>
      <c r="U11" s="468" t="s">
        <v>63</v>
      </c>
      <c r="V11" s="468" t="s">
        <v>63</v>
      </c>
      <c r="W11" s="468" t="s">
        <v>63</v>
      </c>
      <c r="X11" s="468" t="s">
        <v>63</v>
      </c>
      <c r="Y11" s="468" t="s">
        <v>63</v>
      </c>
      <c r="Z11" s="468">
        <v>3534000</v>
      </c>
      <c r="AA11" s="468" t="s">
        <v>63</v>
      </c>
      <c r="AB11" s="468" t="s">
        <v>63</v>
      </c>
      <c r="AC11" s="1016">
        <v>598361</v>
      </c>
      <c r="AD11" s="1016" t="s">
        <v>63</v>
      </c>
      <c r="AE11" s="1015" t="s">
        <v>63</v>
      </c>
      <c r="AF11" s="859">
        <f t="shared" ref="AF11:AF22" si="0">SUM(AC11:AE11)</f>
        <v>598361</v>
      </c>
      <c r="AG11" s="468">
        <v>185000</v>
      </c>
      <c r="AH11" s="468" t="s">
        <v>63</v>
      </c>
      <c r="AI11" s="468" t="s">
        <v>63</v>
      </c>
      <c r="AJ11" s="468" t="s">
        <v>63</v>
      </c>
      <c r="AK11" s="468" t="s">
        <v>63</v>
      </c>
      <c r="AL11" s="476">
        <v>791000000</v>
      </c>
      <c r="AM11" s="468" t="s">
        <v>63</v>
      </c>
      <c r="AN11" s="468" t="s">
        <v>63</v>
      </c>
      <c r="AO11" s="468">
        <v>292880</v>
      </c>
      <c r="AP11" s="468" t="s">
        <v>63</v>
      </c>
      <c r="AQ11" s="468" t="s">
        <v>63</v>
      </c>
      <c r="AR11" s="468">
        <v>2732000</v>
      </c>
      <c r="AS11" s="468">
        <v>13580000</v>
      </c>
      <c r="AT11" s="477" t="s">
        <v>63</v>
      </c>
    </row>
    <row r="12" spans="1:46" s="177" customFormat="1" ht="12.75" outlineLevel="1">
      <c r="A12" s="1135"/>
      <c r="B12" s="474">
        <v>2009</v>
      </c>
      <c r="C12" s="468">
        <v>593106</v>
      </c>
      <c r="D12" s="468">
        <v>6372000000</v>
      </c>
      <c r="E12" s="468">
        <v>377000000</v>
      </c>
      <c r="F12" s="468" t="s">
        <v>63</v>
      </c>
      <c r="G12" s="468" t="s">
        <v>63</v>
      </c>
      <c r="H12" s="468">
        <v>6629000</v>
      </c>
      <c r="I12" s="475">
        <v>0.72599999999999998</v>
      </c>
      <c r="J12" s="468" t="s">
        <v>63</v>
      </c>
      <c r="K12" s="468" t="s">
        <v>63</v>
      </c>
      <c r="L12" s="468" t="s">
        <v>63</v>
      </c>
      <c r="M12" s="468">
        <v>207426534</v>
      </c>
      <c r="N12" s="468">
        <v>45784773</v>
      </c>
      <c r="O12" s="468" t="s">
        <v>63</v>
      </c>
      <c r="P12" s="468" t="s">
        <v>63</v>
      </c>
      <c r="Q12" s="468" t="s">
        <v>63</v>
      </c>
      <c r="R12" s="468" t="s">
        <v>63</v>
      </c>
      <c r="S12" s="468" t="s">
        <v>63</v>
      </c>
      <c r="T12" s="468">
        <v>82684000</v>
      </c>
      <c r="U12" s="468" t="s">
        <v>63</v>
      </c>
      <c r="V12" s="468" t="s">
        <v>63</v>
      </c>
      <c r="W12" s="468" t="s">
        <v>63</v>
      </c>
      <c r="X12" s="468" t="s">
        <v>63</v>
      </c>
      <c r="Y12" s="468" t="s">
        <v>63</v>
      </c>
      <c r="Z12" s="468">
        <v>3173000</v>
      </c>
      <c r="AA12" s="468" t="s">
        <v>63</v>
      </c>
      <c r="AB12" s="468" t="s">
        <v>63</v>
      </c>
      <c r="AC12" s="1016">
        <v>501740</v>
      </c>
      <c r="AD12" s="1016" t="s">
        <v>63</v>
      </c>
      <c r="AE12" s="1015" t="s">
        <v>63</v>
      </c>
      <c r="AF12" s="859">
        <f t="shared" si="0"/>
        <v>501740</v>
      </c>
      <c r="AG12" s="468">
        <v>136000</v>
      </c>
      <c r="AH12" s="468" t="s">
        <v>63</v>
      </c>
      <c r="AI12" s="468" t="s">
        <v>63</v>
      </c>
      <c r="AJ12" s="468" t="s">
        <v>63</v>
      </c>
      <c r="AK12" s="468" t="s">
        <v>63</v>
      </c>
      <c r="AL12" s="476">
        <v>831000000</v>
      </c>
      <c r="AM12" s="468" t="s">
        <v>63</v>
      </c>
      <c r="AN12" s="468" t="s">
        <v>63</v>
      </c>
      <c r="AO12" s="468">
        <v>148660</v>
      </c>
      <c r="AP12" s="468" t="s">
        <v>63</v>
      </c>
      <c r="AQ12" s="468" t="s">
        <v>63</v>
      </c>
      <c r="AR12" s="468">
        <v>2550000</v>
      </c>
      <c r="AS12" s="468">
        <v>12488000</v>
      </c>
      <c r="AT12" s="477" t="s">
        <v>63</v>
      </c>
    </row>
    <row r="13" spans="1:46" s="177" customFormat="1" ht="12.75" outlineLevel="1">
      <c r="A13" s="1135"/>
      <c r="B13" s="474">
        <v>2010</v>
      </c>
      <c r="C13" s="468">
        <v>600158</v>
      </c>
      <c r="D13" s="468">
        <v>6507000000</v>
      </c>
      <c r="E13" s="468">
        <v>371000000</v>
      </c>
      <c r="F13" s="468" t="s">
        <v>63</v>
      </c>
      <c r="G13" s="468" t="s">
        <v>63</v>
      </c>
      <c r="H13" s="468">
        <v>6912000</v>
      </c>
      <c r="I13" s="475">
        <v>0.76100000000000001</v>
      </c>
      <c r="J13" s="468" t="s">
        <v>63</v>
      </c>
      <c r="K13" s="468" t="s">
        <v>63</v>
      </c>
      <c r="L13" s="468" t="s">
        <v>63</v>
      </c>
      <c r="M13" s="468">
        <v>207790951</v>
      </c>
      <c r="N13" s="468">
        <v>49930497</v>
      </c>
      <c r="O13" s="468" t="s">
        <v>63</v>
      </c>
      <c r="P13" s="468" t="s">
        <v>63</v>
      </c>
      <c r="Q13" s="468" t="s">
        <v>63</v>
      </c>
      <c r="R13" s="468" t="s">
        <v>63</v>
      </c>
      <c r="S13" s="468" t="s">
        <v>63</v>
      </c>
      <c r="T13" s="468">
        <v>90659000</v>
      </c>
      <c r="U13" s="468" t="s">
        <v>63</v>
      </c>
      <c r="V13" s="468" t="s">
        <v>63</v>
      </c>
      <c r="W13" s="468" t="s">
        <v>63</v>
      </c>
      <c r="X13" s="468" t="s">
        <v>63</v>
      </c>
      <c r="Y13" s="468" t="s">
        <v>63</v>
      </c>
      <c r="Z13" s="468">
        <v>3297000</v>
      </c>
      <c r="AA13" s="468" t="s">
        <v>63</v>
      </c>
      <c r="AB13" s="468" t="s">
        <v>63</v>
      </c>
      <c r="AC13" s="1016">
        <v>500366</v>
      </c>
      <c r="AD13" s="1016" t="s">
        <v>63</v>
      </c>
      <c r="AE13" s="1015" t="s">
        <v>63</v>
      </c>
      <c r="AF13" s="859">
        <f t="shared" si="0"/>
        <v>500366</v>
      </c>
      <c r="AG13" s="468">
        <v>136000</v>
      </c>
      <c r="AH13" s="468" t="s">
        <v>63</v>
      </c>
      <c r="AI13" s="468" t="s">
        <v>63</v>
      </c>
      <c r="AJ13" s="468" t="s">
        <v>63</v>
      </c>
      <c r="AK13" s="468" t="s">
        <v>63</v>
      </c>
      <c r="AL13" s="476">
        <v>850000000</v>
      </c>
      <c r="AM13" s="468" t="s">
        <v>63</v>
      </c>
      <c r="AN13" s="468" t="s">
        <v>63</v>
      </c>
      <c r="AO13" s="468">
        <v>180420</v>
      </c>
      <c r="AP13" s="468" t="s">
        <v>63</v>
      </c>
      <c r="AQ13" s="468" t="s">
        <v>63</v>
      </c>
      <c r="AR13" s="468">
        <v>2682000</v>
      </c>
      <c r="AS13" s="468">
        <v>13027000</v>
      </c>
      <c r="AT13" s="477" t="s">
        <v>63</v>
      </c>
    </row>
    <row r="14" spans="1:46" s="177" customFormat="1" ht="12.75" outlineLevel="1">
      <c r="A14" s="1135"/>
      <c r="B14" s="474">
        <v>2011</v>
      </c>
      <c r="C14" s="468">
        <v>619968</v>
      </c>
      <c r="D14" s="468">
        <v>6423000000</v>
      </c>
      <c r="E14" s="468">
        <v>365000000</v>
      </c>
      <c r="F14" s="468" t="s">
        <v>63</v>
      </c>
      <c r="G14" s="468" t="s">
        <v>63</v>
      </c>
      <c r="H14" s="468">
        <v>6693000</v>
      </c>
      <c r="I14" s="475">
        <v>0.74</v>
      </c>
      <c r="J14" s="468" t="s">
        <v>63</v>
      </c>
      <c r="K14" s="468" t="s">
        <v>63</v>
      </c>
      <c r="L14" s="468" t="s">
        <v>63</v>
      </c>
      <c r="M14" s="468">
        <v>205559836</v>
      </c>
      <c r="N14" s="468">
        <v>46214285</v>
      </c>
      <c r="O14" s="468" t="s">
        <v>63</v>
      </c>
      <c r="P14" s="468" t="s">
        <v>63</v>
      </c>
      <c r="Q14" s="468" t="s">
        <v>63</v>
      </c>
      <c r="R14" s="468" t="s">
        <v>63</v>
      </c>
      <c r="S14" s="468" t="s">
        <v>63</v>
      </c>
      <c r="T14" s="468">
        <v>89832000</v>
      </c>
      <c r="U14" s="468" t="s">
        <v>63</v>
      </c>
      <c r="V14" s="468" t="s">
        <v>63</v>
      </c>
      <c r="W14" s="468" t="s">
        <v>63</v>
      </c>
      <c r="X14" s="468" t="s">
        <v>63</v>
      </c>
      <c r="Y14" s="468" t="s">
        <v>63</v>
      </c>
      <c r="Z14" s="468">
        <v>3231000</v>
      </c>
      <c r="AA14" s="468" t="s">
        <v>63</v>
      </c>
      <c r="AB14" s="468" t="s">
        <v>63</v>
      </c>
      <c r="AC14" s="1016">
        <v>462639</v>
      </c>
      <c r="AD14" s="1016" t="s">
        <v>63</v>
      </c>
      <c r="AE14" s="1015" t="s">
        <v>63</v>
      </c>
      <c r="AF14" s="859">
        <f t="shared" si="0"/>
        <v>462639</v>
      </c>
      <c r="AG14" s="468">
        <v>125000</v>
      </c>
      <c r="AH14" s="468" t="s">
        <v>63</v>
      </c>
      <c r="AI14" s="468" t="s">
        <v>63</v>
      </c>
      <c r="AJ14" s="468" t="s">
        <v>63</v>
      </c>
      <c r="AK14" s="468" t="s">
        <v>63</v>
      </c>
      <c r="AL14" s="476">
        <v>815000000</v>
      </c>
      <c r="AM14" s="468" t="s">
        <v>63</v>
      </c>
      <c r="AN14" s="468" t="s">
        <v>63</v>
      </c>
      <c r="AO14" s="468">
        <v>175690</v>
      </c>
      <c r="AP14" s="468" t="s">
        <v>63</v>
      </c>
      <c r="AQ14" s="468" t="s">
        <v>63</v>
      </c>
      <c r="AR14" s="468">
        <v>2592000</v>
      </c>
      <c r="AS14" s="468">
        <v>12641000</v>
      </c>
      <c r="AT14" s="477" t="s">
        <v>63</v>
      </c>
    </row>
    <row r="15" spans="1:46" s="177" customFormat="1" ht="12.75" outlineLevel="1">
      <c r="A15" s="1135"/>
      <c r="B15" s="474">
        <v>2012</v>
      </c>
      <c r="C15" s="468">
        <v>634265</v>
      </c>
      <c r="D15" s="468">
        <v>6564000000</v>
      </c>
      <c r="E15" s="468">
        <v>334000000</v>
      </c>
      <c r="F15" s="468" t="s">
        <v>63</v>
      </c>
      <c r="G15" s="468" t="s">
        <v>63</v>
      </c>
      <c r="H15" s="468">
        <v>6373000</v>
      </c>
      <c r="I15" s="475">
        <v>0.7</v>
      </c>
      <c r="J15" s="468" t="s">
        <v>63</v>
      </c>
      <c r="K15" s="468" t="s">
        <v>63</v>
      </c>
      <c r="L15" s="468" t="s">
        <v>63</v>
      </c>
      <c r="M15" s="468">
        <v>205438925</v>
      </c>
      <c r="N15" s="468">
        <v>51846498</v>
      </c>
      <c r="O15" s="468" t="s">
        <v>63</v>
      </c>
      <c r="P15" s="468" t="s">
        <v>63</v>
      </c>
      <c r="Q15" s="468" t="s">
        <v>63</v>
      </c>
      <c r="R15" s="468" t="s">
        <v>63</v>
      </c>
      <c r="S15" s="468" t="s">
        <v>63</v>
      </c>
      <c r="T15" s="468">
        <v>91150000</v>
      </c>
      <c r="U15" s="468" t="s">
        <v>63</v>
      </c>
      <c r="V15" s="468" t="s">
        <v>63</v>
      </c>
      <c r="W15" s="468" t="s">
        <v>63</v>
      </c>
      <c r="X15" s="468" t="s">
        <v>63</v>
      </c>
      <c r="Y15" s="468" t="s">
        <v>63</v>
      </c>
      <c r="Z15" s="468">
        <v>3221000</v>
      </c>
      <c r="AA15" s="468" t="s">
        <v>63</v>
      </c>
      <c r="AB15" s="468" t="s">
        <v>63</v>
      </c>
      <c r="AC15" s="1016">
        <v>474326</v>
      </c>
      <c r="AD15" s="1016" t="s">
        <v>63</v>
      </c>
      <c r="AE15" s="1015" t="s">
        <v>63</v>
      </c>
      <c r="AF15" s="859">
        <f t="shared" si="0"/>
        <v>474326</v>
      </c>
      <c r="AG15" s="468">
        <v>64000</v>
      </c>
      <c r="AH15" s="468" t="s">
        <v>63</v>
      </c>
      <c r="AI15" s="468" t="s">
        <v>63</v>
      </c>
      <c r="AJ15" s="468" t="s">
        <v>63</v>
      </c>
      <c r="AK15" s="468" t="s">
        <v>63</v>
      </c>
      <c r="AL15" s="476">
        <v>873000000</v>
      </c>
      <c r="AM15" s="468" t="s">
        <v>63</v>
      </c>
      <c r="AN15" s="468" t="s">
        <v>63</v>
      </c>
      <c r="AO15" s="468">
        <v>244600</v>
      </c>
      <c r="AP15" s="468" t="s">
        <v>63</v>
      </c>
      <c r="AQ15" s="468" t="s">
        <v>63</v>
      </c>
      <c r="AR15" s="468">
        <v>2789000</v>
      </c>
      <c r="AS15" s="468">
        <v>12448000</v>
      </c>
      <c r="AT15" s="477" t="s">
        <v>63</v>
      </c>
    </row>
    <row r="16" spans="1:46" s="177" customFormat="1" ht="12.75" outlineLevel="1">
      <c r="A16" s="1135"/>
      <c r="B16" s="474">
        <v>2013</v>
      </c>
      <c r="C16" s="468">
        <v>649495</v>
      </c>
      <c r="D16" s="468">
        <v>6595000000</v>
      </c>
      <c r="E16" s="468">
        <v>377000000</v>
      </c>
      <c r="F16" s="468" t="s">
        <v>63</v>
      </c>
      <c r="G16" s="468" t="s">
        <v>63</v>
      </c>
      <c r="H16" s="468">
        <v>6538000</v>
      </c>
      <c r="I16" s="475">
        <v>0.68899999999999995</v>
      </c>
      <c r="J16" s="468" t="s">
        <v>63</v>
      </c>
      <c r="K16" s="468" t="s">
        <v>63</v>
      </c>
      <c r="L16" s="468" t="s">
        <v>63</v>
      </c>
      <c r="M16" s="468">
        <v>212714957</v>
      </c>
      <c r="N16" s="468">
        <v>50894602</v>
      </c>
      <c r="O16" s="468" t="s">
        <v>63</v>
      </c>
      <c r="P16" s="468" t="s">
        <v>63</v>
      </c>
      <c r="Q16" s="468" t="s">
        <v>63</v>
      </c>
      <c r="R16" s="468" t="s">
        <v>63</v>
      </c>
      <c r="S16" s="468" t="s">
        <v>63</v>
      </c>
      <c r="T16" s="468">
        <v>86471000</v>
      </c>
      <c r="U16" s="468" t="s">
        <v>63</v>
      </c>
      <c r="V16" s="468" t="s">
        <v>63</v>
      </c>
      <c r="W16" s="468" t="s">
        <v>63</v>
      </c>
      <c r="X16" s="468" t="s">
        <v>63</v>
      </c>
      <c r="Y16" s="468" t="s">
        <v>63</v>
      </c>
      <c r="Z16" s="468">
        <v>3229000</v>
      </c>
      <c r="AA16" s="468" t="s">
        <v>63</v>
      </c>
      <c r="AB16" s="468" t="s">
        <v>63</v>
      </c>
      <c r="AC16" s="1016">
        <v>511263</v>
      </c>
      <c r="AD16" s="1016" t="s">
        <v>63</v>
      </c>
      <c r="AE16" s="1015" t="s">
        <v>63</v>
      </c>
      <c r="AF16" s="859">
        <f t="shared" si="0"/>
        <v>511263</v>
      </c>
      <c r="AG16" s="468">
        <v>69000</v>
      </c>
      <c r="AH16" s="468" t="s">
        <v>63</v>
      </c>
      <c r="AI16" s="468" t="s">
        <v>63</v>
      </c>
      <c r="AJ16" s="468" t="s">
        <v>63</v>
      </c>
      <c r="AK16" s="468" t="s">
        <v>63</v>
      </c>
      <c r="AL16" s="476">
        <v>948000000</v>
      </c>
      <c r="AM16" s="468" t="s">
        <v>63</v>
      </c>
      <c r="AN16" s="468" t="s">
        <v>63</v>
      </c>
      <c r="AO16" s="468">
        <v>295030</v>
      </c>
      <c r="AP16" s="468" t="s">
        <v>63</v>
      </c>
      <c r="AQ16" s="468" t="s">
        <v>63</v>
      </c>
      <c r="AR16" s="468">
        <v>2997000</v>
      </c>
      <c r="AS16" s="468">
        <v>12834000</v>
      </c>
      <c r="AT16" s="477" t="s">
        <v>63</v>
      </c>
    </row>
    <row r="17" spans="1:47" s="177" customFormat="1" ht="12.75" outlineLevel="1">
      <c r="A17" s="1135"/>
      <c r="B17" s="474">
        <v>2014</v>
      </c>
      <c r="C17" s="468">
        <v>663862</v>
      </c>
      <c r="D17" s="468">
        <v>6673000000</v>
      </c>
      <c r="E17" s="468">
        <v>376000000</v>
      </c>
      <c r="F17" s="468" t="s">
        <v>63</v>
      </c>
      <c r="G17" s="468" t="s">
        <v>63</v>
      </c>
      <c r="H17" s="468">
        <v>6417000</v>
      </c>
      <c r="I17" s="475">
        <v>0.66200000000000003</v>
      </c>
      <c r="J17" s="468" t="s">
        <v>63</v>
      </c>
      <c r="K17" s="468" t="s">
        <v>63</v>
      </c>
      <c r="L17" s="468" t="s">
        <v>63</v>
      </c>
      <c r="M17" s="468">
        <v>217760638</v>
      </c>
      <c r="N17" s="468">
        <v>53064281</v>
      </c>
      <c r="O17" s="468" t="s">
        <v>63</v>
      </c>
      <c r="P17" s="468" t="s">
        <v>63</v>
      </c>
      <c r="Q17" s="468" t="s">
        <v>63</v>
      </c>
      <c r="R17" s="468" t="s">
        <v>63</v>
      </c>
      <c r="S17" s="468" t="s">
        <v>63</v>
      </c>
      <c r="T17" s="468">
        <v>86011000</v>
      </c>
      <c r="U17" s="468" t="s">
        <v>63</v>
      </c>
      <c r="V17" s="468" t="s">
        <v>63</v>
      </c>
      <c r="W17" s="468" t="s">
        <v>63</v>
      </c>
      <c r="X17" s="468" t="s">
        <v>63</v>
      </c>
      <c r="Y17" s="468" t="s">
        <v>63</v>
      </c>
      <c r="Z17" s="468">
        <v>3291000</v>
      </c>
      <c r="AA17" s="468" t="s">
        <v>63</v>
      </c>
      <c r="AB17" s="468" t="s">
        <v>63</v>
      </c>
      <c r="AC17" s="1016">
        <v>525467</v>
      </c>
      <c r="AD17" s="1016" t="s">
        <v>63</v>
      </c>
      <c r="AE17" s="1015" t="s">
        <v>63</v>
      </c>
      <c r="AF17" s="859">
        <f t="shared" si="0"/>
        <v>525467</v>
      </c>
      <c r="AG17" s="468">
        <v>71000</v>
      </c>
      <c r="AH17" s="468" t="s">
        <v>63</v>
      </c>
      <c r="AI17" s="468" t="s">
        <v>63</v>
      </c>
      <c r="AJ17" s="468" t="s">
        <v>63</v>
      </c>
      <c r="AK17" s="468" t="s">
        <v>63</v>
      </c>
      <c r="AL17" s="476">
        <v>892000000</v>
      </c>
      <c r="AM17" s="468" t="s">
        <v>63</v>
      </c>
      <c r="AN17" s="468" t="s">
        <v>63</v>
      </c>
      <c r="AO17" s="468">
        <v>366637</v>
      </c>
      <c r="AP17" s="468" t="s">
        <v>63</v>
      </c>
      <c r="AQ17" s="468" t="s">
        <v>63</v>
      </c>
      <c r="AR17" s="468">
        <v>2973000</v>
      </c>
      <c r="AS17" s="468">
        <v>12754000</v>
      </c>
      <c r="AT17" s="477" t="s">
        <v>63</v>
      </c>
    </row>
    <row r="18" spans="1:47" s="177" customFormat="1" ht="12.75" outlineLevel="1">
      <c r="A18" s="478" t="s">
        <v>1026</v>
      </c>
      <c r="B18" s="474">
        <v>2015</v>
      </c>
      <c r="C18" s="468">
        <v>649654</v>
      </c>
      <c r="D18" s="468">
        <v>7308925644.3800001</v>
      </c>
      <c r="E18" s="468">
        <v>344753484.15999997</v>
      </c>
      <c r="F18" s="468" t="s">
        <v>63</v>
      </c>
      <c r="G18" s="468" t="s">
        <v>63</v>
      </c>
      <c r="H18" s="468">
        <v>6840346</v>
      </c>
      <c r="I18" s="475">
        <v>0.67600000000000005</v>
      </c>
      <c r="J18" s="468">
        <v>31565.163349999999</v>
      </c>
      <c r="K18" s="468">
        <f>397.7154+324.133</f>
        <v>721.84839999999997</v>
      </c>
      <c r="L18" s="468">
        <v>5900135026.8100004</v>
      </c>
      <c r="M18" s="468" t="s">
        <v>63</v>
      </c>
      <c r="N18" s="468" t="s">
        <v>63</v>
      </c>
      <c r="O18" s="468" t="s">
        <v>63</v>
      </c>
      <c r="P18" s="468" t="s">
        <v>63</v>
      </c>
      <c r="Q18" s="468" t="s">
        <v>63</v>
      </c>
      <c r="R18" s="1023">
        <v>32152249.615618974</v>
      </c>
      <c r="S18" s="468">
        <v>4947868200</v>
      </c>
      <c r="T18" s="468">
        <v>84771239.000000075</v>
      </c>
      <c r="U18" s="468">
        <v>267334.9839765919</v>
      </c>
      <c r="V18" s="468">
        <v>17559607.699999999</v>
      </c>
      <c r="W18" s="468" t="s">
        <v>63</v>
      </c>
      <c r="X18" s="468" t="s">
        <v>63</v>
      </c>
      <c r="Y18" s="468" t="s">
        <v>63</v>
      </c>
      <c r="Z18" s="468">
        <v>3442963</v>
      </c>
      <c r="AA18" s="468" t="s">
        <v>63</v>
      </c>
      <c r="AB18" s="468" t="s">
        <v>63</v>
      </c>
      <c r="AC18" s="1016">
        <f>988640*1.1</f>
        <v>1087504</v>
      </c>
      <c r="AD18" s="1016">
        <v>60</v>
      </c>
      <c r="AE18" s="1015" t="s">
        <v>63</v>
      </c>
      <c r="AF18" s="859">
        <f t="shared" si="0"/>
        <v>1087564</v>
      </c>
      <c r="AG18" s="468">
        <f>662307-AH18</f>
        <v>642528</v>
      </c>
      <c r="AH18" s="468">
        <v>19779</v>
      </c>
      <c r="AI18" s="468">
        <v>62678</v>
      </c>
      <c r="AJ18" s="468">
        <v>229821</v>
      </c>
      <c r="AK18" s="468">
        <v>5</v>
      </c>
      <c r="AL18" s="468" t="s">
        <v>63</v>
      </c>
      <c r="AM18" s="468">
        <v>649654</v>
      </c>
      <c r="AN18" s="468">
        <v>172405852</v>
      </c>
      <c r="AO18" s="468">
        <v>366637</v>
      </c>
      <c r="AP18" s="468">
        <v>95015829520</v>
      </c>
      <c r="AQ18" s="468">
        <v>85038573</v>
      </c>
      <c r="AR18" s="468">
        <v>2309716</v>
      </c>
      <c r="AS18" s="468">
        <v>13485159</v>
      </c>
      <c r="AT18" s="477" t="s">
        <v>63</v>
      </c>
    </row>
    <row r="19" spans="1:47" s="177" customFormat="1" ht="12.75" outlineLevel="1">
      <c r="A19" s="478" t="s">
        <v>1027</v>
      </c>
      <c r="B19" s="474">
        <v>2016</v>
      </c>
      <c r="C19" s="468">
        <v>693292</v>
      </c>
      <c r="D19" s="468">
        <v>6812868483</v>
      </c>
      <c r="E19" s="468">
        <v>339047295</v>
      </c>
      <c r="F19" s="468" t="s">
        <v>63</v>
      </c>
      <c r="G19" s="468" t="s">
        <v>63</v>
      </c>
      <c r="H19" s="468">
        <v>5943160</v>
      </c>
      <c r="I19" s="475">
        <v>0.59899999999999998</v>
      </c>
      <c r="J19" s="468">
        <v>41405.779739999998</v>
      </c>
      <c r="K19" s="468">
        <f>62.0977+35.00569</f>
        <v>97.103390000000005</v>
      </c>
      <c r="L19" s="468">
        <v>5863086250</v>
      </c>
      <c r="M19" s="468" t="s">
        <v>63</v>
      </c>
      <c r="N19" s="468" t="s">
        <v>63</v>
      </c>
      <c r="O19" s="468" t="s">
        <v>63</v>
      </c>
      <c r="P19" s="468" t="s">
        <v>63</v>
      </c>
      <c r="Q19" s="468" t="s">
        <v>63</v>
      </c>
      <c r="R19" s="1023">
        <v>56884909.5859401</v>
      </c>
      <c r="S19" s="468">
        <v>3216065855.1199999</v>
      </c>
      <c r="T19" s="468" t="s">
        <v>63</v>
      </c>
      <c r="U19" s="468">
        <v>390716.45098901103</v>
      </c>
      <c r="V19" s="468">
        <v>5016395.2</v>
      </c>
      <c r="W19" s="468" t="s">
        <v>63</v>
      </c>
      <c r="X19" s="468" t="s">
        <v>63</v>
      </c>
      <c r="Y19" s="468" t="s">
        <v>63</v>
      </c>
      <c r="Z19" s="468">
        <v>1695161</v>
      </c>
      <c r="AA19" s="468" t="s">
        <v>63</v>
      </c>
      <c r="AB19" s="468">
        <f>Z19</f>
        <v>1695161</v>
      </c>
      <c r="AC19" s="1016">
        <f>958422*1.1</f>
        <v>1054264.2000000002</v>
      </c>
      <c r="AD19" s="1016">
        <v>6950</v>
      </c>
      <c r="AE19" s="1015" t="s">
        <v>63</v>
      </c>
      <c r="AF19" s="859">
        <f t="shared" si="0"/>
        <v>1061214.2000000002</v>
      </c>
      <c r="AG19" s="468">
        <f>644061-AH19</f>
        <v>624209</v>
      </c>
      <c r="AH19" s="468">
        <v>19852</v>
      </c>
      <c r="AI19" s="468" t="s">
        <v>63</v>
      </c>
      <c r="AJ19" s="468" t="s">
        <v>63</v>
      </c>
      <c r="AK19" s="468" t="s">
        <v>63</v>
      </c>
      <c r="AL19" s="468" t="s">
        <v>63</v>
      </c>
      <c r="AM19" s="468">
        <v>693292</v>
      </c>
      <c r="AN19" s="468">
        <v>171323262</v>
      </c>
      <c r="AO19" s="468">
        <v>278121</v>
      </c>
      <c r="AP19" s="468">
        <v>109496537530</v>
      </c>
      <c r="AQ19" s="468">
        <v>94260628</v>
      </c>
      <c r="AR19" s="468">
        <v>2337792</v>
      </c>
      <c r="AS19" s="468">
        <v>10620174</v>
      </c>
      <c r="AT19" s="477">
        <f>AS19</f>
        <v>10620174</v>
      </c>
    </row>
    <row r="20" spans="1:47" s="177" customFormat="1" ht="12.75" outlineLevel="1">
      <c r="A20" s="857" t="s">
        <v>1027</v>
      </c>
      <c r="B20" s="858">
        <v>2017</v>
      </c>
      <c r="C20" s="859">
        <v>704621</v>
      </c>
      <c r="D20" s="859">
        <v>6781801504.8139381</v>
      </c>
      <c r="E20" s="859">
        <v>323907656</v>
      </c>
      <c r="F20" s="859">
        <v>1569245</v>
      </c>
      <c r="G20" s="859">
        <v>458104.82</v>
      </c>
      <c r="H20" s="859">
        <v>5791183.3872415097</v>
      </c>
      <c r="I20" s="860">
        <v>0.59714406241495055</v>
      </c>
      <c r="J20" s="859">
        <v>56196.38411727552</v>
      </c>
      <c r="K20" s="859">
        <v>43722.507230080002</v>
      </c>
      <c r="L20" s="859">
        <v>5615074550.5166883</v>
      </c>
      <c r="M20" s="859">
        <v>246926812.14681613</v>
      </c>
      <c r="N20" s="859">
        <v>42271798.068753913</v>
      </c>
      <c r="O20" s="859">
        <v>27436312.460757352</v>
      </c>
      <c r="P20" s="859">
        <v>3584000</v>
      </c>
      <c r="Q20" s="859">
        <v>9291530</v>
      </c>
      <c r="R20" s="1024">
        <v>57934405</v>
      </c>
      <c r="S20" s="859">
        <v>842943342</v>
      </c>
      <c r="T20" s="859">
        <v>128820802.55999999</v>
      </c>
      <c r="U20" s="859">
        <v>17640.249116580311</v>
      </c>
      <c r="V20" s="859">
        <v>966786.81</v>
      </c>
      <c r="W20" s="859">
        <v>784704</v>
      </c>
      <c r="X20" s="859">
        <v>1531602</v>
      </c>
      <c r="Y20" s="859">
        <v>4356</v>
      </c>
      <c r="Z20" s="859">
        <v>3968964.8978811856</v>
      </c>
      <c r="AA20" s="859">
        <v>3333464.237224434</v>
      </c>
      <c r="AB20" s="859">
        <v>2724586</v>
      </c>
      <c r="AC20" s="1015">
        <v>857998</v>
      </c>
      <c r="AD20" s="1015">
        <v>40611</v>
      </c>
      <c r="AE20" s="1015">
        <v>198528</v>
      </c>
      <c r="AF20" s="859">
        <f t="shared" si="0"/>
        <v>1097137</v>
      </c>
      <c r="AG20" s="859">
        <v>133199.54490513541</v>
      </c>
      <c r="AH20" s="859">
        <v>5357</v>
      </c>
      <c r="AI20" s="859" t="s">
        <v>63</v>
      </c>
      <c r="AJ20" s="859" t="s">
        <v>63</v>
      </c>
      <c r="AK20" s="859">
        <v>24793.043215416666</v>
      </c>
      <c r="AL20" s="859" t="s">
        <v>63</v>
      </c>
      <c r="AM20" s="859">
        <v>704621</v>
      </c>
      <c r="AN20" s="859" t="s">
        <v>63</v>
      </c>
      <c r="AO20" s="859">
        <v>677132.20408265572</v>
      </c>
      <c r="AP20" s="859">
        <v>28747572000</v>
      </c>
      <c r="AQ20" s="859" t="s">
        <v>63</v>
      </c>
      <c r="AR20" s="859">
        <v>2144724.9016135833</v>
      </c>
      <c r="AS20" s="859">
        <v>11532641</v>
      </c>
      <c r="AT20" s="861">
        <v>10898970</v>
      </c>
      <c r="AU20" s="932"/>
    </row>
    <row r="21" spans="1:47" s="177" customFormat="1" ht="12.75" outlineLevel="1">
      <c r="A21" s="862" t="s">
        <v>1027</v>
      </c>
      <c r="B21" s="863">
        <v>2018</v>
      </c>
      <c r="C21" s="864">
        <v>716492</v>
      </c>
      <c r="D21" s="865">
        <v>6770289711.3999996</v>
      </c>
      <c r="E21" s="865">
        <v>335441570</v>
      </c>
      <c r="F21" s="865">
        <v>1597812</v>
      </c>
      <c r="G21" s="865">
        <v>512239.79</v>
      </c>
      <c r="H21" s="865">
        <v>5568671.1738965968</v>
      </c>
      <c r="I21" s="866">
        <v>0.55200000000000005</v>
      </c>
      <c r="J21" s="865">
        <v>58197.461429012837</v>
      </c>
      <c r="K21" s="859">
        <v>43640.200052400003</v>
      </c>
      <c r="L21" s="865">
        <v>5702082723.7399998</v>
      </c>
      <c r="M21" s="865">
        <v>250753057.13278401</v>
      </c>
      <c r="N21" s="865">
        <v>42926819.101108432</v>
      </c>
      <c r="O21" s="865">
        <v>27861450.79253155</v>
      </c>
      <c r="P21" s="865">
        <v>4023040</v>
      </c>
      <c r="Q21" s="865">
        <v>3638576.8000000003</v>
      </c>
      <c r="R21" s="865">
        <v>67082761.439999998</v>
      </c>
      <c r="S21" s="865">
        <v>4172029</v>
      </c>
      <c r="T21" s="865">
        <v>135849505.792</v>
      </c>
      <c r="U21" s="865">
        <v>14407.410656461585</v>
      </c>
      <c r="V21" s="865">
        <v>1199110.2499999998</v>
      </c>
      <c r="W21" s="865">
        <v>713949.3</v>
      </c>
      <c r="X21" s="865">
        <v>1541238.9999999998</v>
      </c>
      <c r="Y21" s="865">
        <v>4554</v>
      </c>
      <c r="Z21" s="865">
        <v>4101350.1976756598</v>
      </c>
      <c r="AA21" s="865">
        <v>3410711.882831323</v>
      </c>
      <c r="AB21" s="865">
        <v>2793502</v>
      </c>
      <c r="AC21" s="865">
        <v>1289749</v>
      </c>
      <c r="AD21" s="865">
        <v>37483</v>
      </c>
      <c r="AE21" s="865">
        <v>291299</v>
      </c>
      <c r="AF21" s="859">
        <f t="shared" si="0"/>
        <v>1618531</v>
      </c>
      <c r="AG21" s="865">
        <v>208137</v>
      </c>
      <c r="AH21" s="865">
        <v>6112</v>
      </c>
      <c r="AI21" s="865" t="s">
        <v>63</v>
      </c>
      <c r="AJ21" s="865" t="s">
        <v>63</v>
      </c>
      <c r="AK21" s="865">
        <v>25575.362074166667</v>
      </c>
      <c r="AL21" s="865" t="s">
        <v>63</v>
      </c>
      <c r="AM21" s="865">
        <v>716492</v>
      </c>
      <c r="AN21" s="865" t="s">
        <v>63</v>
      </c>
      <c r="AO21" s="865">
        <v>688540.09058428602</v>
      </c>
      <c r="AP21" s="865">
        <v>29729531000</v>
      </c>
      <c r="AQ21" s="865" t="s">
        <v>63</v>
      </c>
      <c r="AR21" s="865">
        <v>2164731.3095072298</v>
      </c>
      <c r="AS21" s="859">
        <v>11490202.640456077</v>
      </c>
      <c r="AT21" s="867">
        <v>10819332.693327246</v>
      </c>
      <c r="AU21" s="932"/>
    </row>
    <row r="22" spans="1:47" s="177" customFormat="1" ht="13.5" outlineLevel="1" thickBot="1">
      <c r="A22" s="995" t="s">
        <v>1027</v>
      </c>
      <c r="B22" s="996">
        <v>2019</v>
      </c>
      <c r="C22" s="997">
        <f>'Community Indicators'!B17</f>
        <v>727211</v>
      </c>
      <c r="D22" s="998">
        <f>'Emission Summary'!E75+'Emission Summary'!E77+'Emission Summary'!E76</f>
        <v>6606814120.5352497</v>
      </c>
      <c r="E22" s="998">
        <f>'Emission Summary'!E80+'Emission Summary'!E81</f>
        <v>359427976</v>
      </c>
      <c r="F22" s="998">
        <f>'Stationary Energy Data'!B60</f>
        <v>1419535</v>
      </c>
      <c r="G22" s="998">
        <f>'Stationary Energy Data'!B58</f>
        <v>647438.51</v>
      </c>
      <c r="H22" s="998">
        <f>'Emission Summary'!C78</f>
        <v>5350440.6138168564</v>
      </c>
      <c r="I22" s="999">
        <f>'Stationary Energy Data'!C19</f>
        <v>0.51400000000000001</v>
      </c>
      <c r="J22" s="998">
        <f>'Fugitive Emissions Data'!F45</f>
        <v>62358.984814458607</v>
      </c>
      <c r="K22" s="998">
        <f>'Fugitive Emissions Data'!C71+'Fugitive Emissions Data'!C64</f>
        <v>26997.600000000002</v>
      </c>
      <c r="L22" s="998">
        <f>'On-Road Data'!B65</f>
        <v>5789090900.0600004</v>
      </c>
      <c r="M22" s="998">
        <f>'On-Road Data'!F66</f>
        <v>254579302.25493085</v>
      </c>
      <c r="N22" s="998">
        <f>'On-Road Data'!G66</f>
        <v>43581840.156775646</v>
      </c>
      <c r="O22" s="998">
        <f>'On-Road Data'!H66</f>
        <v>28286589.139436767</v>
      </c>
      <c r="P22" s="998">
        <f>'On-Road Data'!D91</f>
        <v>9460500</v>
      </c>
      <c r="Q22" s="998">
        <f>'Transit Data'!D26</f>
        <v>3551761.5240698643</v>
      </c>
      <c r="R22" s="1018">
        <f>'Railways Data'!B48</f>
        <v>60264157.464749999</v>
      </c>
      <c r="S22" s="998">
        <f>'Railways Data'!B37</f>
        <v>4172029</v>
      </c>
      <c r="T22" s="998">
        <f>'Aviation Data'!G42</f>
        <v>143790597.52199998</v>
      </c>
      <c r="U22" s="998">
        <f>'Aviation Data'!B48</f>
        <v>9667.3522592152203</v>
      </c>
      <c r="V22" s="998">
        <f>'Off-Road'!D38</f>
        <v>1445473</v>
      </c>
      <c r="W22" s="998">
        <f>'Off-Road'!D37</f>
        <v>813487</v>
      </c>
      <c r="X22" s="998">
        <f>'Off-Road'!D39</f>
        <v>1781738</v>
      </c>
      <c r="Y22" s="998">
        <f>'Off-Road'!D40</f>
        <v>3830</v>
      </c>
      <c r="Z22" s="998">
        <f>'Off-Road'!E33+'Aviation Data'!B7+'Railways Data'!B6+'Transit Data'!B6+'On-Road Data'!B6</f>
        <v>4221123.5000923844</v>
      </c>
      <c r="AA22" s="998">
        <f>'Off-Road'!E33+'Railways Data'!B6+'Transit Data'!B6+'On-Road Data'!B6+'Aviation Data'!B8</f>
        <v>3451988.7481142781</v>
      </c>
      <c r="AB22" s="998">
        <f>'Emission Summary'!B103-'Emission Summary'!B97</f>
        <v>2813535.1000392768</v>
      </c>
      <c r="AC22" s="998">
        <f>551145+432115</f>
        <v>983260</v>
      </c>
      <c r="AD22" s="998">
        <f>1500+30071</f>
        <v>31571</v>
      </c>
      <c r="AE22" s="998">
        <v>340195</v>
      </c>
      <c r="AF22" s="859">
        <f t="shared" si="0"/>
        <v>1355026</v>
      </c>
      <c r="AG22" s="998">
        <f>'Waste_Recycling Data'!G54</f>
        <v>169849.90290442202</v>
      </c>
      <c r="AH22" s="998">
        <f>'Emission Summary'!B113</f>
        <v>5666</v>
      </c>
      <c r="AI22" s="998" t="s">
        <v>63</v>
      </c>
      <c r="AJ22" s="998" t="s">
        <v>63</v>
      </c>
      <c r="AK22" s="998">
        <f>IPPU!B28</f>
        <v>23250.329158333334</v>
      </c>
      <c r="AL22" s="998" t="s">
        <v>63</v>
      </c>
      <c r="AM22" s="998">
        <f>'Consumption-Based Data'!B46</f>
        <v>727211</v>
      </c>
      <c r="AN22" s="998" t="s">
        <v>63</v>
      </c>
      <c r="AO22" s="998">
        <f>'Consumption-Based Data'!B42</f>
        <v>788665.71009107295</v>
      </c>
      <c r="AP22" s="998">
        <f>'Consumption-Based Data'!B35</f>
        <v>28621737000</v>
      </c>
      <c r="AQ22" s="998" t="s">
        <v>63</v>
      </c>
      <c r="AR22" s="998">
        <f>'Consumption-Based Data'!B6</f>
        <v>2403340.6631482961</v>
      </c>
      <c r="AS22" s="998">
        <f>'Emission Summary'!B8</f>
        <v>11499703.289881643</v>
      </c>
      <c r="AT22" s="1000">
        <f>'Emission Summary'!B17</f>
        <v>10832188.86472331</v>
      </c>
    </row>
    <row r="23" spans="1:47" s="483" customFormat="1" ht="13.5" outlineLevel="1" thickBot="1">
      <c r="A23" s="1019" t="s">
        <v>1369</v>
      </c>
      <c r="B23" s="1020"/>
      <c r="C23" s="1021">
        <f>(C22-C21)/C21</f>
        <v>1.4960390346298353E-2</v>
      </c>
      <c r="D23" s="1021">
        <f t="shared" ref="D23:AT23" si="1">(D22-D21)/D21</f>
        <v>-2.4146025921089494E-2</v>
      </c>
      <c r="E23" s="1021">
        <f t="shared" si="1"/>
        <v>7.1506957232521901E-2</v>
      </c>
      <c r="F23" s="1021">
        <f t="shared" si="1"/>
        <v>-0.11157570477628156</v>
      </c>
      <c r="G23" s="1021">
        <f t="shared" si="1"/>
        <v>0.26393638807324993</v>
      </c>
      <c r="H23" s="1021">
        <f t="shared" si="1"/>
        <v>-3.9188983020348948E-2</v>
      </c>
      <c r="I23" s="1021">
        <f t="shared" si="1"/>
        <v>-6.8840579710144983E-2</v>
      </c>
      <c r="J23" s="1021">
        <f t="shared" si="1"/>
        <v>7.1506957232521998E-2</v>
      </c>
      <c r="K23" s="1021">
        <f t="shared" si="1"/>
        <v>-0.38135938956321852</v>
      </c>
      <c r="L23" s="1021">
        <f t="shared" si="1"/>
        <v>1.5259016842697072E-2</v>
      </c>
      <c r="M23" s="1021">
        <f t="shared" si="1"/>
        <v>1.5259016842696723E-2</v>
      </c>
      <c r="N23" s="1021">
        <f t="shared" si="1"/>
        <v>1.5259016842696843E-2</v>
      </c>
      <c r="O23" s="1021">
        <f t="shared" si="1"/>
        <v>1.5259016842697143E-2</v>
      </c>
      <c r="P23" s="1021">
        <f t="shared" si="1"/>
        <v>1.3515798997772828</v>
      </c>
      <c r="Q23" s="1021">
        <f t="shared" si="1"/>
        <v>-2.3859679402709316E-2</v>
      </c>
      <c r="R23" s="1021">
        <f t="shared" si="1"/>
        <v>-0.10164465249911749</v>
      </c>
      <c r="S23" s="1021">
        <f t="shared" si="1"/>
        <v>0</v>
      </c>
      <c r="T23" s="1021">
        <f t="shared" si="1"/>
        <v>5.8455065284953214E-2</v>
      </c>
      <c r="U23" s="1021">
        <f t="shared" si="1"/>
        <v>-0.32900140839120834</v>
      </c>
      <c r="V23" s="1021">
        <f t="shared" si="1"/>
        <v>0.20545462771250625</v>
      </c>
      <c r="W23" s="1021">
        <f t="shared" si="1"/>
        <v>0.13941844329842462</v>
      </c>
      <c r="X23" s="1021">
        <f t="shared" si="1"/>
        <v>0.1560426384227237</v>
      </c>
      <c r="Y23" s="1021">
        <f t="shared" si="1"/>
        <v>-0.15898111550285463</v>
      </c>
      <c r="Z23" s="1021">
        <f t="shared" si="1"/>
        <v>2.9203383433241865E-2</v>
      </c>
      <c r="AA23" s="1021">
        <f t="shared" si="1"/>
        <v>1.2102126095942788E-2</v>
      </c>
      <c r="AB23" s="1021">
        <f t="shared" si="1"/>
        <v>7.1713211729494946E-3</v>
      </c>
      <c r="AC23" s="1021">
        <f t="shared" si="1"/>
        <v>-0.23763460952479901</v>
      </c>
      <c r="AD23" s="1021">
        <f t="shared" si="1"/>
        <v>-0.15772483525865058</v>
      </c>
      <c r="AE23" s="1021">
        <f t="shared" si="1"/>
        <v>0.16785502181607215</v>
      </c>
      <c r="AF23" s="1021">
        <f t="shared" si="1"/>
        <v>-0.16280503740737742</v>
      </c>
      <c r="AG23" s="1021">
        <f t="shared" si="1"/>
        <v>-0.18395142187875282</v>
      </c>
      <c r="AH23" s="1021">
        <f t="shared" si="1"/>
        <v>-7.2971204188481673E-2</v>
      </c>
      <c r="AI23" s="1021"/>
      <c r="AJ23" s="1021"/>
      <c r="AK23" s="1021">
        <f t="shared" si="1"/>
        <v>-9.0909090909090912E-2</v>
      </c>
      <c r="AL23" s="1021"/>
      <c r="AM23" s="1021">
        <f t="shared" si="1"/>
        <v>1.4960390346298353E-2</v>
      </c>
      <c r="AN23" s="1021"/>
      <c r="AO23" s="1021">
        <f t="shared" si="1"/>
        <v>0.14541726890851286</v>
      </c>
      <c r="AP23" s="1021">
        <f t="shared" si="1"/>
        <v>-3.7262410900461229E-2</v>
      </c>
      <c r="AQ23" s="1021"/>
      <c r="AR23" s="1021">
        <f t="shared" si="1"/>
        <v>0.11022585232316072</v>
      </c>
      <c r="AS23" s="1021">
        <f t="shared" si="1"/>
        <v>8.2684785663528475E-4</v>
      </c>
      <c r="AT23" s="1022">
        <f t="shared" si="1"/>
        <v>1.1882591801611389E-3</v>
      </c>
    </row>
    <row r="24" spans="1:47" s="177" customFormat="1" outlineLevel="1">
      <c r="A24" s="483" t="s">
        <v>1028</v>
      </c>
      <c r="B24" s="479"/>
      <c r="C24" s="480"/>
      <c r="D24" s="480"/>
      <c r="E24" s="480"/>
      <c r="F24" s="482"/>
      <c r="G24" s="481"/>
      <c r="H24" s="480"/>
      <c r="I24" s="480"/>
      <c r="J24" s="480"/>
      <c r="K24" s="480"/>
      <c r="L24" s="480"/>
      <c r="M24" s="480"/>
      <c r="N24" s="480"/>
      <c r="O24" s="480"/>
      <c r="P24" s="480"/>
      <c r="Q24" s="480"/>
      <c r="R24" s="480"/>
      <c r="S24" s="480"/>
      <c r="T24" s="480"/>
      <c r="U24" s="480"/>
      <c r="V24" s="480"/>
      <c r="W24" s="480"/>
      <c r="X24" s="480"/>
      <c r="Y24" s="480"/>
      <c r="Z24" s="480"/>
      <c r="AA24" s="480"/>
      <c r="AB24" s="480"/>
      <c r="AC24" s="480"/>
      <c r="AD24" s="480"/>
      <c r="AE24" s="480"/>
      <c r="AF24" s="480"/>
      <c r="AG24" s="480"/>
      <c r="AH24" s="480"/>
      <c r="AI24" s="480"/>
      <c r="AJ24" s="480"/>
      <c r="AK24" s="480"/>
      <c r="AL24" s="480"/>
      <c r="AM24" s="480"/>
      <c r="AN24" s="480"/>
      <c r="AO24" s="480"/>
      <c r="AP24" s="480"/>
      <c r="AQ24" s="480"/>
      <c r="AR24" s="480"/>
    </row>
    <row r="25" spans="1:47" s="177" customFormat="1" ht="14.25" outlineLevel="1">
      <c r="A25" s="1121" t="s">
        <v>61</v>
      </c>
      <c r="B25" s="1122" t="s">
        <v>1029</v>
      </c>
      <c r="C25" s="1122"/>
      <c r="D25" s="1122"/>
      <c r="E25" s="1122"/>
      <c r="F25" s="1122"/>
      <c r="G25" s="1123" t="s">
        <v>1103</v>
      </c>
      <c r="H25" s="480"/>
      <c r="I25" s="480"/>
      <c r="J25" s="480"/>
      <c r="K25" s="480"/>
      <c r="L25" s="480"/>
      <c r="M25" s="480"/>
      <c r="N25" s="480"/>
      <c r="O25" s="480"/>
      <c r="P25" s="480"/>
      <c r="Q25" s="480"/>
      <c r="R25" s="480"/>
      <c r="S25" s="480"/>
      <c r="T25" s="480"/>
      <c r="U25" s="480"/>
      <c r="V25" s="480"/>
      <c r="W25" s="480"/>
      <c r="X25" s="480"/>
      <c r="Y25" s="480"/>
      <c r="Z25" s="480"/>
      <c r="AA25" s="480"/>
      <c r="AB25" s="480"/>
      <c r="AC25" s="480"/>
      <c r="AD25" s="480"/>
      <c r="AE25" s="480"/>
      <c r="AF25" s="480"/>
      <c r="AG25" s="480"/>
      <c r="AH25" s="480"/>
      <c r="AI25" s="480"/>
      <c r="AJ25" s="480"/>
      <c r="AK25" s="480"/>
      <c r="AL25" s="480"/>
      <c r="AM25" s="480"/>
      <c r="AN25" s="480"/>
      <c r="AO25" s="480"/>
      <c r="AP25" s="480"/>
      <c r="AQ25" s="480"/>
    </row>
    <row r="26" spans="1:47" s="177" customFormat="1" ht="38.25" outlineLevel="1">
      <c r="A26" s="1121"/>
      <c r="B26" s="484" t="s">
        <v>1030</v>
      </c>
      <c r="C26" s="485" t="s">
        <v>1031</v>
      </c>
      <c r="D26" s="485" t="s">
        <v>1032</v>
      </c>
      <c r="E26" s="486" t="s">
        <v>129</v>
      </c>
      <c r="F26" s="486" t="s">
        <v>1033</v>
      </c>
      <c r="G26" s="1123"/>
      <c r="H26" s="480"/>
      <c r="I26" s="480"/>
      <c r="J26" s="480"/>
      <c r="K26" s="480"/>
      <c r="L26" s="480"/>
      <c r="M26" s="480"/>
      <c r="N26" s="480"/>
      <c r="O26" s="480"/>
      <c r="P26" s="480"/>
      <c r="Q26" s="480"/>
      <c r="R26" s="480"/>
      <c r="S26" s="480"/>
      <c r="T26" s="480"/>
      <c r="U26" s="480"/>
      <c r="V26" s="480"/>
      <c r="W26" s="480"/>
      <c r="X26" s="480"/>
      <c r="Y26" s="480"/>
      <c r="Z26" s="480"/>
      <c r="AA26" s="480"/>
      <c r="AB26" s="480"/>
      <c r="AC26" s="480"/>
      <c r="AD26" s="480"/>
      <c r="AE26" s="480"/>
      <c r="AF26" s="480"/>
      <c r="AG26" s="480"/>
      <c r="AH26" s="480"/>
      <c r="AI26" s="480"/>
      <c r="AJ26" s="480"/>
      <c r="AK26" s="480"/>
      <c r="AL26" s="480"/>
      <c r="AM26" s="480"/>
      <c r="AN26" s="480"/>
      <c r="AO26" s="480"/>
      <c r="AP26" s="480"/>
      <c r="AQ26" s="480"/>
    </row>
    <row r="27" spans="1:47" s="177" customFormat="1" ht="12.75" outlineLevel="1">
      <c r="A27" s="474">
        <v>2005</v>
      </c>
      <c r="B27" s="468">
        <f>(1949+5095)*1000</f>
        <v>7044000</v>
      </c>
      <c r="C27" s="468">
        <f>2540*1000</f>
        <v>2540000</v>
      </c>
      <c r="D27" s="468">
        <f>C27*0.84</f>
        <v>2133600</v>
      </c>
      <c r="E27" s="468">
        <f>169</f>
        <v>169</v>
      </c>
      <c r="F27" s="468">
        <f>E27*654.875</f>
        <v>110673.875</v>
      </c>
      <c r="G27" s="468">
        <f>SUM(B27,D27,F27)</f>
        <v>9288273.875</v>
      </c>
      <c r="H27" s="480"/>
      <c r="I27" s="480"/>
      <c r="J27" s="480"/>
      <c r="K27" s="480"/>
      <c r="L27" s="480"/>
      <c r="M27" s="480"/>
      <c r="N27" s="480"/>
      <c r="O27" s="480"/>
      <c r="P27" s="480"/>
      <c r="Q27" s="480"/>
      <c r="R27" s="480"/>
      <c r="S27" s="480"/>
      <c r="T27" s="480"/>
      <c r="U27" s="480"/>
      <c r="V27" s="480"/>
      <c r="W27" s="480"/>
      <c r="X27" s="480"/>
      <c r="Y27" s="480"/>
      <c r="Z27" s="480"/>
      <c r="AA27" s="480"/>
      <c r="AB27" s="480"/>
      <c r="AC27" s="480"/>
      <c r="AD27" s="480"/>
      <c r="AE27" s="480"/>
      <c r="AF27" s="480"/>
      <c r="AG27" s="480"/>
      <c r="AH27" s="480"/>
      <c r="AI27" s="480"/>
      <c r="AJ27" s="480"/>
      <c r="AK27" s="480"/>
      <c r="AL27" s="480"/>
      <c r="AM27" s="480"/>
      <c r="AN27" s="480"/>
      <c r="AO27" s="480"/>
    </row>
    <row r="28" spans="1:47" ht="14.65" customHeight="1" outlineLevel="1">
      <c r="A28" s="474">
        <v>2006</v>
      </c>
      <c r="B28" s="468"/>
      <c r="C28" s="468"/>
      <c r="D28" s="468"/>
      <c r="E28" s="468"/>
      <c r="F28" s="468">
        <f t="shared" ref="F28:F37" si="2">E28*654.875</f>
        <v>0</v>
      </c>
      <c r="G28" s="468">
        <f>SUM(B28,C28,F28)</f>
        <v>0</v>
      </c>
      <c r="H28" s="482"/>
      <c r="I28" s="482"/>
      <c r="J28" s="482"/>
      <c r="K28" s="482"/>
      <c r="L28" s="482"/>
      <c r="M28" s="482"/>
      <c r="N28" s="482"/>
      <c r="O28" s="482"/>
      <c r="P28" s="482"/>
      <c r="Q28" s="482"/>
      <c r="R28" s="482"/>
      <c r="S28" s="482"/>
      <c r="T28" s="482"/>
      <c r="U28" s="482"/>
      <c r="V28" s="482"/>
      <c r="W28" s="482"/>
      <c r="X28" s="482"/>
      <c r="Y28" s="482"/>
      <c r="Z28" s="482"/>
      <c r="AA28" s="482"/>
      <c r="AB28" s="482"/>
      <c r="AC28" s="482"/>
      <c r="AD28" s="482"/>
      <c r="AE28" s="482"/>
      <c r="AF28" s="482"/>
      <c r="AG28" s="482"/>
      <c r="AH28" s="482"/>
      <c r="AI28" s="482"/>
      <c r="AJ28" s="482"/>
      <c r="AK28" s="482"/>
      <c r="AL28" s="482"/>
      <c r="AM28" s="482"/>
      <c r="AN28" s="482"/>
      <c r="AO28" s="482"/>
    </row>
    <row r="29" spans="1:47" ht="14.65" customHeight="1" outlineLevel="1">
      <c r="A29" s="474">
        <v>2007</v>
      </c>
      <c r="B29" s="468">
        <f>(1974+5155)*1000</f>
        <v>7129000</v>
      </c>
      <c r="C29" s="468">
        <f>2608*1000</f>
        <v>2608000</v>
      </c>
      <c r="D29" s="468"/>
      <c r="E29" s="468">
        <v>185</v>
      </c>
      <c r="F29" s="468">
        <f t="shared" si="2"/>
        <v>121151.875</v>
      </c>
      <c r="G29" s="468">
        <f t="shared" ref="G29:G39" si="3">SUM(B29,C29,F29)</f>
        <v>9858151.875</v>
      </c>
      <c r="H29" s="482"/>
      <c r="I29" s="482"/>
      <c r="J29" s="482"/>
      <c r="K29" s="482"/>
      <c r="L29" s="482"/>
      <c r="M29" s="482"/>
      <c r="N29" s="482"/>
      <c r="O29" s="482"/>
      <c r="P29" s="482"/>
      <c r="Q29" s="482"/>
      <c r="R29" s="482"/>
      <c r="S29" s="482"/>
      <c r="T29" s="482"/>
      <c r="U29" s="482"/>
      <c r="V29" s="482"/>
      <c r="W29" s="482"/>
      <c r="X29" s="482"/>
      <c r="Y29" s="482"/>
      <c r="Z29" s="482"/>
      <c r="AA29" s="482"/>
      <c r="AB29" s="482"/>
      <c r="AC29" s="482"/>
      <c r="AD29" s="482"/>
      <c r="AE29" s="482"/>
      <c r="AF29" s="482"/>
      <c r="AG29" s="482"/>
      <c r="AH29" s="482"/>
      <c r="AI29" s="482"/>
      <c r="AJ29" s="482"/>
      <c r="AK29" s="482"/>
      <c r="AL29" s="482"/>
      <c r="AM29" s="482"/>
      <c r="AN29" s="482"/>
      <c r="AO29" s="482"/>
    </row>
    <row r="30" spans="1:47" ht="14.65" customHeight="1" outlineLevel="1">
      <c r="A30" s="474">
        <v>2008</v>
      </c>
      <c r="B30" s="468"/>
      <c r="C30" s="468"/>
      <c r="D30" s="468"/>
      <c r="E30" s="468"/>
      <c r="F30" s="468">
        <f t="shared" si="2"/>
        <v>0</v>
      </c>
      <c r="G30" s="468">
        <f t="shared" si="3"/>
        <v>0</v>
      </c>
      <c r="H30" s="482"/>
      <c r="I30" s="482"/>
      <c r="J30" s="482"/>
      <c r="K30" s="482"/>
      <c r="L30" s="482"/>
      <c r="M30" s="482"/>
      <c r="N30" s="482"/>
      <c r="O30" s="482"/>
      <c r="P30" s="482"/>
      <c r="Q30" s="482"/>
      <c r="R30" s="482"/>
      <c r="S30" s="482"/>
      <c r="T30" s="482"/>
      <c r="U30" s="482"/>
      <c r="V30" s="482"/>
      <c r="W30" s="482"/>
      <c r="X30" s="482"/>
      <c r="Y30" s="482"/>
      <c r="Z30" s="482"/>
      <c r="AA30" s="482"/>
      <c r="AB30" s="482"/>
      <c r="AC30" s="482"/>
      <c r="AD30" s="482"/>
      <c r="AE30" s="482"/>
      <c r="AF30" s="482"/>
      <c r="AG30" s="482"/>
      <c r="AH30" s="482"/>
      <c r="AI30" s="482"/>
      <c r="AJ30" s="482"/>
      <c r="AK30" s="482"/>
      <c r="AL30" s="482"/>
      <c r="AM30" s="482"/>
      <c r="AN30" s="482"/>
      <c r="AO30" s="482"/>
    </row>
    <row r="31" spans="1:47" ht="14.65" customHeight="1" outlineLevel="1">
      <c r="A31" s="474">
        <v>2009</v>
      </c>
      <c r="B31" s="468">
        <f>(1908+4722)*1000</f>
        <v>6630000</v>
      </c>
      <c r="C31" s="468">
        <f>2355*1000</f>
        <v>2355000</v>
      </c>
      <c r="D31" s="468"/>
      <c r="E31" s="468">
        <v>137</v>
      </c>
      <c r="F31" s="468">
        <f t="shared" si="2"/>
        <v>89717.875</v>
      </c>
      <c r="G31" s="468">
        <f t="shared" si="3"/>
        <v>9074717.875</v>
      </c>
      <c r="H31" s="482"/>
      <c r="I31" s="482"/>
      <c r="J31" s="482"/>
      <c r="K31" s="482"/>
      <c r="L31" s="482"/>
      <c r="M31" s="482"/>
      <c r="N31" s="482"/>
      <c r="O31" s="482"/>
      <c r="P31" s="482"/>
      <c r="Q31" s="482"/>
      <c r="R31" s="482"/>
      <c r="S31" s="482"/>
      <c r="T31" s="482"/>
      <c r="U31" s="482"/>
      <c r="V31" s="482"/>
      <c r="W31" s="482"/>
      <c r="X31" s="482"/>
      <c r="Y31" s="482"/>
      <c r="Z31" s="482"/>
      <c r="AA31" s="482"/>
      <c r="AB31" s="482"/>
      <c r="AC31" s="482"/>
      <c r="AD31" s="482"/>
      <c r="AE31" s="482"/>
      <c r="AF31" s="482"/>
      <c r="AG31" s="482"/>
      <c r="AH31" s="482"/>
      <c r="AI31" s="482"/>
      <c r="AJ31" s="482"/>
      <c r="AK31" s="482"/>
      <c r="AL31" s="482"/>
      <c r="AM31" s="482"/>
      <c r="AN31" s="482"/>
      <c r="AO31" s="482"/>
    </row>
    <row r="32" spans="1:47" ht="14.65" customHeight="1" outlineLevel="1">
      <c r="A32" s="474">
        <v>2010</v>
      </c>
      <c r="B32" s="468">
        <f>(2014+4898)*1000</f>
        <v>6912000</v>
      </c>
      <c r="C32" s="468">
        <f>2400*1000</f>
        <v>2400000</v>
      </c>
      <c r="D32" s="468"/>
      <c r="E32" s="468">
        <v>136</v>
      </c>
      <c r="F32" s="468">
        <f t="shared" si="2"/>
        <v>89063</v>
      </c>
      <c r="G32" s="468">
        <f t="shared" si="3"/>
        <v>9401063</v>
      </c>
    </row>
    <row r="33" spans="1:13" ht="14.65" customHeight="1" outlineLevel="1">
      <c r="A33" s="474">
        <v>2011</v>
      </c>
      <c r="B33" s="468">
        <f>(2001+4692)*1000</f>
        <v>6693000</v>
      </c>
      <c r="C33" s="468">
        <f>2342*1000</f>
        <v>2342000</v>
      </c>
      <c r="D33" s="468"/>
      <c r="E33" s="468">
        <v>126</v>
      </c>
      <c r="F33" s="468">
        <f t="shared" si="2"/>
        <v>82514.25</v>
      </c>
      <c r="G33" s="468">
        <f t="shared" si="3"/>
        <v>9117514.25</v>
      </c>
    </row>
    <row r="34" spans="1:13" ht="14.65" customHeight="1" outlineLevel="1">
      <c r="A34" s="474">
        <v>2012</v>
      </c>
      <c r="B34" s="468">
        <f>(1877+4497)*1000</f>
        <v>6374000</v>
      </c>
      <c r="C34" s="468">
        <f>2333*1000</f>
        <v>2333000</v>
      </c>
      <c r="D34" s="468"/>
      <c r="E34" s="468">
        <v>65</v>
      </c>
      <c r="F34" s="468">
        <f t="shared" si="2"/>
        <v>42566.875</v>
      </c>
      <c r="G34" s="468">
        <f t="shared" si="3"/>
        <v>8749566.875</v>
      </c>
    </row>
    <row r="35" spans="1:13" ht="14.65" customHeight="1" outlineLevel="1">
      <c r="A35" s="474">
        <v>2013</v>
      </c>
      <c r="B35" s="468">
        <f>(2013+4525)*1000</f>
        <v>6538000</v>
      </c>
      <c r="C35" s="468">
        <f>2387*1000</f>
        <v>2387000</v>
      </c>
      <c r="D35" s="468"/>
      <c r="E35" s="468">
        <v>70</v>
      </c>
      <c r="F35" s="468">
        <f t="shared" si="2"/>
        <v>45841.25</v>
      </c>
      <c r="G35" s="468">
        <f t="shared" si="3"/>
        <v>8970841.25</v>
      </c>
    </row>
    <row r="36" spans="1:13" ht="14.65" customHeight="1" outlineLevel="1">
      <c r="A36" s="474">
        <v>2014</v>
      </c>
      <c r="B36" s="468">
        <f>(1896+4522)*1000</f>
        <v>6418000</v>
      </c>
      <c r="C36" s="468">
        <f>2453*1000</f>
        <v>2453000</v>
      </c>
      <c r="D36" s="468"/>
      <c r="E36" s="468">
        <v>71</v>
      </c>
      <c r="F36" s="468">
        <f t="shared" si="2"/>
        <v>46496.125</v>
      </c>
      <c r="G36" s="468">
        <f t="shared" si="3"/>
        <v>8917496.125</v>
      </c>
    </row>
    <row r="37" spans="1:13" ht="14.65" customHeight="1" outlineLevel="1">
      <c r="A37" s="474">
        <v>2015</v>
      </c>
      <c r="B37" s="468">
        <f>(1865+4397)*1000</f>
        <v>6262000</v>
      </c>
      <c r="C37" s="468">
        <f>2538*1000</f>
        <v>2538000</v>
      </c>
      <c r="D37" s="468"/>
      <c r="E37" s="468">
        <v>77</v>
      </c>
      <c r="F37" s="468">
        <f t="shared" si="2"/>
        <v>50425.375</v>
      </c>
      <c r="G37" s="468">
        <f t="shared" si="3"/>
        <v>8850425.375</v>
      </c>
    </row>
    <row r="38" spans="1:13" ht="14.65" customHeight="1" outlineLevel="1">
      <c r="A38" s="474">
        <v>2016</v>
      </c>
      <c r="B38" s="468">
        <f>H19</f>
        <v>5943160</v>
      </c>
      <c r="C38" s="468">
        <v>1691914</v>
      </c>
      <c r="D38" s="468"/>
      <c r="E38" s="468"/>
      <c r="F38" s="468">
        <f>AG19</f>
        <v>624209</v>
      </c>
      <c r="G38" s="468">
        <f t="shared" si="3"/>
        <v>8259283</v>
      </c>
    </row>
    <row r="39" spans="1:13" outlineLevel="1">
      <c r="A39" s="474">
        <v>2017</v>
      </c>
      <c r="B39" s="468">
        <f>H20</f>
        <v>5791183.3872415097</v>
      </c>
      <c r="C39" s="468">
        <v>2724443</v>
      </c>
      <c r="D39" s="468"/>
      <c r="E39" s="468"/>
      <c r="F39" s="468">
        <f>AG20</f>
        <v>133199.54490513541</v>
      </c>
      <c r="G39" s="468">
        <f t="shared" si="3"/>
        <v>8648825.9321466442</v>
      </c>
    </row>
    <row r="40" spans="1:13" outlineLevel="1">
      <c r="A40" s="474">
        <v>2018</v>
      </c>
      <c r="B40" s="468">
        <v>5568671.1738965968</v>
      </c>
      <c r="C40" s="468">
        <v>2603508.8966481606</v>
      </c>
      <c r="D40" s="468"/>
      <c r="E40" s="468"/>
      <c r="F40" s="468">
        <v>210244.20389345716</v>
      </c>
      <c r="G40" s="468">
        <v>8382424.2744382145</v>
      </c>
    </row>
    <row r="41" spans="1:13" outlineLevel="1">
      <c r="A41" s="474">
        <v>2019</v>
      </c>
      <c r="B41" s="468">
        <f>H22</f>
        <v>5350440.6138168564</v>
      </c>
      <c r="C41" s="468">
        <f>'On-Road Data'!P54</f>
        <v>2643913.3766382192</v>
      </c>
      <c r="D41" s="468"/>
      <c r="E41" s="468"/>
      <c r="F41" s="468">
        <f>AG22</f>
        <v>169849.90290442202</v>
      </c>
      <c r="G41" s="468">
        <f t="shared" ref="G41" si="4">SUM(B41,C41,F41)</f>
        <v>8164203.8933594981</v>
      </c>
    </row>
    <row r="42" spans="1:13" outlineLevel="1"/>
    <row r="43" spans="1:13" outlineLevel="1"/>
    <row r="44" spans="1:13" outlineLevel="1"/>
    <row r="45" spans="1:13" ht="20.25">
      <c r="A45" s="1101" t="s">
        <v>416</v>
      </c>
      <c r="B45" s="1102"/>
      <c r="C45" s="1102"/>
      <c r="D45" s="1102"/>
      <c r="E45" s="1102"/>
      <c r="F45" s="1102"/>
      <c r="G45" s="1102"/>
      <c r="H45" s="1102"/>
      <c r="I45" s="1102"/>
      <c r="J45" s="1102"/>
      <c r="K45" s="1102"/>
      <c r="L45" s="1102"/>
      <c r="M45" s="1103"/>
    </row>
    <row r="46" spans="1:13" outlineLevel="1">
      <c r="A46" s="1118" t="s">
        <v>60</v>
      </c>
      <c r="B46" s="1120" t="s">
        <v>1100</v>
      </c>
      <c r="C46" s="1120"/>
      <c r="D46" s="1120"/>
      <c r="E46" s="1118" t="s">
        <v>1381</v>
      </c>
    </row>
    <row r="47" spans="1:13" outlineLevel="1">
      <c r="A47" s="1119"/>
      <c r="B47" s="1030">
        <v>2017</v>
      </c>
      <c r="C47" s="1030">
        <v>2018</v>
      </c>
      <c r="D47" s="1030">
        <v>2019</v>
      </c>
      <c r="E47" s="1119"/>
    </row>
    <row r="48" spans="1:13" outlineLevel="1">
      <c r="A48" s="715" t="s">
        <v>64</v>
      </c>
      <c r="B48" s="716">
        <v>4518319.5009187972</v>
      </c>
      <c r="C48" s="716">
        <v>4667350.7450065464</v>
      </c>
      <c r="D48" s="716">
        <f>'Emission Summary'!$B$4</f>
        <v>4825744.3665837971</v>
      </c>
      <c r="E48" s="717">
        <f>(D48-C48)/C48</f>
        <v>3.3936515644707267E-2</v>
      </c>
    </row>
    <row r="49" spans="1:5" outlineLevel="1">
      <c r="A49" s="229" t="s">
        <v>66</v>
      </c>
      <c r="B49" s="230">
        <v>4051873.3237060593</v>
      </c>
      <c r="C49" s="230">
        <v>3804801.2384223915</v>
      </c>
      <c r="D49" s="230">
        <f>'Emission Summary'!$B$5</f>
        <v>3456616.461245128</v>
      </c>
      <c r="E49" s="717">
        <f t="shared" ref="E49:E51" si="5">(D49-C49)/C49</f>
        <v>-9.1511949076644422E-2</v>
      </c>
    </row>
    <row r="50" spans="1:5" outlineLevel="1">
      <c r="A50" s="229" t="s">
        <v>67</v>
      </c>
      <c r="B50" s="230">
        <v>741969.45942706545</v>
      </c>
      <c r="C50" s="230">
        <v>853319.34751990729</v>
      </c>
      <c r="D50" s="230">
        <f>'Emission Summary'!$B$6</f>
        <v>814001.79890442197</v>
      </c>
      <c r="E50" s="717">
        <f t="shared" si="5"/>
        <v>-4.6076007452260495E-2</v>
      </c>
    </row>
    <row r="51" spans="1:5" outlineLevel="1">
      <c r="A51" s="232" t="s">
        <v>609</v>
      </c>
      <c r="B51" s="230">
        <v>2144724.9016135833</v>
      </c>
      <c r="C51" s="230">
        <v>2164731.3095072298</v>
      </c>
      <c r="D51" s="230">
        <f>'Emission Summary'!$B$7</f>
        <v>2403340.6631482961</v>
      </c>
      <c r="E51" s="717">
        <f t="shared" si="5"/>
        <v>0.11022585232316072</v>
      </c>
    </row>
    <row r="52" spans="1:5" outlineLevel="1">
      <c r="A52" s="235" t="s">
        <v>69</v>
      </c>
      <c r="B52" s="233">
        <f t="shared" ref="B52:C52" si="6">SUM(B48:B51)</f>
        <v>11456887.185665507</v>
      </c>
      <c r="C52" s="233">
        <f t="shared" si="6"/>
        <v>11490202.640456077</v>
      </c>
      <c r="D52" s="233">
        <f>SUM(D48:D51)</f>
        <v>11499703.289881643</v>
      </c>
      <c r="E52" s="1031">
        <f>(D52-C52)/C52</f>
        <v>8.2684785663528475E-4</v>
      </c>
    </row>
    <row r="53" spans="1:5" outlineLevel="1"/>
    <row r="54" spans="1:5" outlineLevel="1"/>
    <row r="55" spans="1:5" outlineLevel="1">
      <c r="A55" s="1118" t="s">
        <v>1383</v>
      </c>
      <c r="B55" s="1120" t="s">
        <v>1100</v>
      </c>
      <c r="C55" s="1120"/>
      <c r="D55" s="1120"/>
      <c r="E55" s="1118" t="s">
        <v>1381</v>
      </c>
    </row>
    <row r="56" spans="1:5" outlineLevel="1">
      <c r="A56" s="1119"/>
      <c r="B56" s="1030">
        <v>2017</v>
      </c>
      <c r="C56" s="1030">
        <v>2018</v>
      </c>
      <c r="D56" s="1030">
        <v>2019</v>
      </c>
      <c r="E56" s="1119"/>
    </row>
    <row r="57" spans="1:5" outlineLevel="1">
      <c r="A57" s="718" t="s">
        <v>1201</v>
      </c>
      <c r="B57" s="716">
        <f>3792335+1147876+916316</f>
        <v>5856527</v>
      </c>
      <c r="C57" s="716">
        <v>5670508.8353780098</v>
      </c>
      <c r="D57" s="716">
        <f>'Visual Summary'!B12</f>
        <v>5439797.1986313146</v>
      </c>
      <c r="E57" s="717">
        <f t="shared" ref="E57:E58" si="7">(D57-C57)/C57</f>
        <v>-4.0686231772940264E-2</v>
      </c>
    </row>
    <row r="58" spans="1:5" outlineLevel="1">
      <c r="A58" s="718" t="s">
        <v>68</v>
      </c>
      <c r="B58" s="716">
        <v>3295518</v>
      </c>
      <c r="C58" s="716">
        <v>3415138.1710314238</v>
      </c>
      <c r="D58" s="716">
        <f>'Visual Summary'!B13</f>
        <v>3457799.1960392767</v>
      </c>
      <c r="E58" s="717">
        <f t="shared" si="7"/>
        <v>1.2491742023711016E-2</v>
      </c>
    </row>
    <row r="59" spans="1:5" outlineLevel="1">
      <c r="A59" s="718" t="s">
        <v>91</v>
      </c>
      <c r="B59" s="716">
        <v>133200</v>
      </c>
      <c r="C59" s="716">
        <v>208136.96246524373</v>
      </c>
      <c r="D59" s="716">
        <f>'Visual Summary'!B14</f>
        <v>169849.90290442202</v>
      </c>
      <c r="E59" s="717">
        <f>(D59-C59)/C59</f>
        <v>-0.18395127471515382</v>
      </c>
    </row>
    <row r="60" spans="1:5" outlineLevel="1">
      <c r="A60" s="718" t="s">
        <v>70</v>
      </c>
      <c r="B60" s="716">
        <v>2124</v>
      </c>
      <c r="C60" s="716">
        <v>6112</v>
      </c>
      <c r="D60" s="716">
        <f>'Visual Summary'!B15</f>
        <v>5666</v>
      </c>
      <c r="E60" s="717">
        <f t="shared" ref="E60:E62" si="8">(D60-C60)/C60</f>
        <v>-7.2971204188481673E-2</v>
      </c>
    </row>
    <row r="61" spans="1:5" outlineLevel="1">
      <c r="A61" s="718" t="s">
        <v>1228</v>
      </c>
      <c r="B61" s="716">
        <v>24793</v>
      </c>
      <c r="C61" s="716">
        <v>25575.362074166667</v>
      </c>
      <c r="D61" s="716">
        <f>'Visual Summary'!B16</f>
        <v>23250.329158333334</v>
      </c>
      <c r="E61" s="717">
        <f t="shared" si="8"/>
        <v>-9.0909090909090912E-2</v>
      </c>
    </row>
    <row r="62" spans="1:5" outlineLevel="1">
      <c r="A62" s="718" t="s">
        <v>557</v>
      </c>
      <c r="B62" s="716">
        <v>2144725</v>
      </c>
      <c r="C62" s="716">
        <v>2164731.3095072298</v>
      </c>
      <c r="D62" s="716">
        <f>'Visual Summary'!B17</f>
        <v>2403340.6631482961</v>
      </c>
      <c r="E62" s="717">
        <f t="shared" si="8"/>
        <v>0.11022585232316072</v>
      </c>
    </row>
    <row r="63" spans="1:5" outlineLevel="1">
      <c r="A63" s="1029" t="s">
        <v>69</v>
      </c>
      <c r="B63" s="233">
        <f>SUM(B57:B62)</f>
        <v>11456887</v>
      </c>
      <c r="C63" s="233">
        <f t="shared" ref="C63:D63" si="9">SUM(C57:C62)</f>
        <v>11490202.640456073</v>
      </c>
      <c r="D63" s="233">
        <f t="shared" si="9"/>
        <v>11499703.289881643</v>
      </c>
      <c r="E63" s="1031">
        <f>(D63-C63)/C63</f>
        <v>8.2684785663560926E-4</v>
      </c>
    </row>
    <row r="64" spans="1:5" outlineLevel="1"/>
    <row r="65" spans="1:5" outlineLevel="1"/>
    <row r="66" spans="1:5" outlineLevel="1">
      <c r="A66" s="1118" t="s">
        <v>41</v>
      </c>
      <c r="B66" s="1120" t="s">
        <v>1100</v>
      </c>
      <c r="C66" s="1120"/>
      <c r="D66" s="1120"/>
      <c r="E66" s="1118" t="s">
        <v>1381</v>
      </c>
    </row>
    <row r="67" spans="1:5" outlineLevel="1">
      <c r="A67" s="1119"/>
      <c r="B67" s="1030">
        <v>2017</v>
      </c>
      <c r="C67" s="1030">
        <v>2018</v>
      </c>
      <c r="D67" s="1030">
        <v>2019</v>
      </c>
      <c r="E67" s="1119"/>
    </row>
    <row r="68" spans="1:5" outlineLevel="1">
      <c r="A68" s="718" t="s">
        <v>530</v>
      </c>
      <c r="B68" s="716">
        <v>4015137.9733241824</v>
      </c>
      <c r="C68" s="716">
        <v>3765256.1692995219</v>
      </c>
      <c r="D68" s="716">
        <f>'Visual Summary'!B22</f>
        <v>3420518.2063317443</v>
      </c>
      <c r="E68" s="717">
        <f t="shared" ref="E68:E79" si="10">(D68-C68)/C68</f>
        <v>-9.1557638436035482E-2</v>
      </c>
    </row>
    <row r="69" spans="1:5" outlineLevel="1">
      <c r="A69" s="718" t="s">
        <v>623</v>
      </c>
      <c r="B69" s="716">
        <v>1822670.3459317556</v>
      </c>
      <c r="C69" s="716">
        <v>1885933.9677619128</v>
      </c>
      <c r="D69" s="716">
        <f>'Visual Summary'!B23</f>
        <v>2001028.1893668587</v>
      </c>
      <c r="E69" s="717">
        <f t="shared" si="10"/>
        <v>6.102770487851765E-2</v>
      </c>
    </row>
    <row r="70" spans="1:5" outlineLevel="1">
      <c r="A70" s="718" t="s">
        <v>432</v>
      </c>
      <c r="B70" s="716">
        <v>2585.7726564899995</v>
      </c>
      <c r="C70" s="716">
        <v>2891.3374946549998</v>
      </c>
      <c r="D70" s="716">
        <f>'Visual Summary'!B24</f>
        <v>3656.3364721118801</v>
      </c>
      <c r="E70" s="717">
        <f t="shared" si="10"/>
        <v>0.26458307923965185</v>
      </c>
    </row>
    <row r="71" spans="1:5" outlineLevel="1">
      <c r="A71" s="718" t="s">
        <v>158</v>
      </c>
      <c r="B71" s="716">
        <v>16133.658924200001</v>
      </c>
      <c r="C71" s="716">
        <v>16427.360821920003</v>
      </c>
      <c r="D71" s="716">
        <f>'Visual Summary'!B25</f>
        <v>14594.466460600002</v>
      </c>
      <c r="E71" s="717">
        <f t="shared" si="10"/>
        <v>-0.11157570477628159</v>
      </c>
    </row>
    <row r="72" spans="1:5" outlineLevel="1">
      <c r="A72" s="718" t="s">
        <v>1198</v>
      </c>
      <c r="B72" s="716">
        <v>2606035</v>
      </c>
      <c r="C72" s="716">
        <v>2648618.8208872895</v>
      </c>
      <c r="D72" s="716">
        <f>'Visual Summary'!B26</f>
        <v>2670048.0664684745</v>
      </c>
      <c r="E72" s="717">
        <f t="shared" si="10"/>
        <v>8.0907246494632112E-3</v>
      </c>
    </row>
    <row r="73" spans="1:5" outlineLevel="1">
      <c r="A73" s="718" t="s">
        <v>24</v>
      </c>
      <c r="B73" s="716">
        <v>37947</v>
      </c>
      <c r="C73" s="716">
        <v>36396.251111099577</v>
      </c>
      <c r="D73" s="716">
        <f>'Visual Summary'!B27</f>
        <v>36266.545636515635</v>
      </c>
      <c r="E73" s="717">
        <f t="shared" si="10"/>
        <v>-3.5637042449238898E-3</v>
      </c>
    </row>
    <row r="74" spans="1:5" outlineLevel="1">
      <c r="A74" s="718" t="s">
        <v>124</v>
      </c>
      <c r="B74" s="716">
        <v>19564.209201814803</v>
      </c>
      <c r="C74" s="716">
        <v>42972</v>
      </c>
      <c r="D74" s="716">
        <v>42972</v>
      </c>
      <c r="E74" s="717">
        <f t="shared" si="10"/>
        <v>0</v>
      </c>
    </row>
    <row r="75" spans="1:5" outlineLevel="1">
      <c r="A75" s="718" t="s">
        <v>679</v>
      </c>
      <c r="B75" s="716">
        <v>34595</v>
      </c>
      <c r="C75" s="716">
        <v>37308</v>
      </c>
      <c r="D75" s="716">
        <v>31200</v>
      </c>
      <c r="E75" s="717">
        <f t="shared" si="10"/>
        <v>-0.16371823737536184</v>
      </c>
    </row>
    <row r="76" spans="1:5" outlineLevel="1">
      <c r="A76" s="718" t="s">
        <v>576</v>
      </c>
      <c r="B76" s="716">
        <v>608878.37452193</v>
      </c>
      <c r="C76" s="716">
        <v>621636</v>
      </c>
      <c r="D76" s="716">
        <f>'Visual Summary'!B29</f>
        <v>644264.09600000002</v>
      </c>
      <c r="E76" s="717">
        <f t="shared" si="10"/>
        <v>3.6400877684046644E-2</v>
      </c>
    </row>
    <row r="77" spans="1:5" outlineLevel="1">
      <c r="A77" s="718" t="s">
        <v>577</v>
      </c>
      <c r="B77" s="716">
        <v>143.14144750188603</v>
      </c>
      <c r="C77" s="716">
        <v>122.98554736443334</v>
      </c>
      <c r="D77" s="716">
        <f>'Visual Summary'!B30</f>
        <v>82.521669299579969</v>
      </c>
      <c r="E77" s="717">
        <f t="shared" si="10"/>
        <v>-0.3290132778362157</v>
      </c>
    </row>
    <row r="78" spans="1:5" outlineLevel="1">
      <c r="A78" s="718" t="s">
        <v>953</v>
      </c>
      <c r="B78" s="716">
        <v>26302.027713621748</v>
      </c>
      <c r="C78" s="716">
        <v>28094</v>
      </c>
      <c r="D78" s="716">
        <f>'Visual Summary'!B31</f>
        <v>32966.095631874356</v>
      </c>
      <c r="E78" s="717">
        <f t="shared" si="10"/>
        <v>0.17342121562875901</v>
      </c>
    </row>
    <row r="79" spans="1:5" outlineLevel="1">
      <c r="A79" s="718" t="s">
        <v>1200</v>
      </c>
      <c r="B79" s="716">
        <v>130162</v>
      </c>
      <c r="C79" s="716">
        <v>203088</v>
      </c>
      <c r="D79" s="716">
        <f>'Visual Summary'!B32</f>
        <v>167488.42052842202</v>
      </c>
      <c r="E79" s="717">
        <f t="shared" si="10"/>
        <v>-0.17529139817014289</v>
      </c>
    </row>
    <row r="80" spans="1:5" outlineLevel="1">
      <c r="A80" s="718" t="s">
        <v>397</v>
      </c>
      <c r="B80" s="716">
        <f>108+2929</f>
        <v>3037</v>
      </c>
      <c r="C80" s="716">
        <f>112+7044</f>
        <v>7156</v>
      </c>
      <c r="D80" s="716">
        <f>'Visual Summary'!B33</f>
        <v>2361.4823759999999</v>
      </c>
      <c r="E80" s="717">
        <f t="shared" ref="E80:E81" si="11">(D80-C80)/C80</f>
        <v>-0.66999966797093347</v>
      </c>
    </row>
    <row r="81" spans="1:5" outlineLevel="1">
      <c r="A81" s="718" t="s">
        <v>92</v>
      </c>
      <c r="B81" s="716">
        <v>2124.3163690925294</v>
      </c>
      <c r="C81" s="716">
        <v>6112</v>
      </c>
      <c r="D81" s="716">
        <f>'Visual Summary'!B34</f>
        <v>5666</v>
      </c>
      <c r="E81" s="717">
        <f t="shared" si="11"/>
        <v>-7.2971204188481673E-2</v>
      </c>
    </row>
    <row r="82" spans="1:5" outlineLevel="1">
      <c r="A82" s="718" t="s">
        <v>465</v>
      </c>
      <c r="B82" s="716">
        <v>24793.043215416666</v>
      </c>
      <c r="C82" s="716">
        <v>25575.362074166667</v>
      </c>
      <c r="D82" s="716">
        <f>'Visual Summary'!B35</f>
        <v>23250.329158333334</v>
      </c>
      <c r="E82" s="717">
        <f>(D82-C82)/C82</f>
        <v>-9.0909090909090912E-2</v>
      </c>
    </row>
    <row r="83" spans="1:5" outlineLevel="1">
      <c r="A83" s="718" t="s">
        <v>608</v>
      </c>
      <c r="B83" s="716">
        <v>1303184.9132534997</v>
      </c>
      <c r="C83" s="716">
        <v>1308100.5191379997</v>
      </c>
      <c r="D83" s="716">
        <f>'Visual Summary'!B36</f>
        <v>1425725.4103752396</v>
      </c>
      <c r="E83" s="717">
        <f t="shared" ref="E83:E85" si="12">(D83-C83)/C83</f>
        <v>8.9920376543196553E-2</v>
      </c>
    </row>
    <row r="84" spans="1:5" outlineLevel="1">
      <c r="A84" s="718" t="s">
        <v>559</v>
      </c>
      <c r="B84" s="716">
        <v>823141.54228008341</v>
      </c>
      <c r="C84" s="716">
        <v>837009.29990922997</v>
      </c>
      <c r="D84" s="716">
        <f>'Visual Summary'!B37</f>
        <v>958724.90635305655</v>
      </c>
      <c r="E84" s="717">
        <f t="shared" si="12"/>
        <v>0.14541726890851284</v>
      </c>
    </row>
    <row r="85" spans="1:5" outlineLevel="1">
      <c r="A85" s="718" t="s">
        <v>583</v>
      </c>
      <c r="B85" s="716">
        <v>18398.446080000002</v>
      </c>
      <c r="C85" s="716">
        <v>19621.490460000001</v>
      </c>
      <c r="D85" s="716">
        <f>'Visual Summary'!B38</f>
        <v>18890.346420000002</v>
      </c>
      <c r="E85" s="717">
        <f t="shared" si="12"/>
        <v>-3.7262410900461188E-2</v>
      </c>
    </row>
    <row r="86" spans="1:5" outlineLevel="1">
      <c r="A86" s="1029" t="s">
        <v>69</v>
      </c>
      <c r="B86" s="233">
        <f>SUM(B68:B85)</f>
        <v>11494833.764919585</v>
      </c>
      <c r="C86" s="233">
        <f>SUM(C68:C85)</f>
        <v>11492319.56450516</v>
      </c>
      <c r="D86" s="233">
        <f>SUM(D68:D85)</f>
        <v>11499703.419248531</v>
      </c>
      <c r="E86" s="1031">
        <f>(D86-C86)/C86</f>
        <v>6.4250343039331614E-4</v>
      </c>
    </row>
    <row r="87" spans="1:5" outlineLevel="1">
      <c r="A87" s="1029" t="s">
        <v>1382</v>
      </c>
      <c r="B87" s="233">
        <f>SUM(B68:B82)</f>
        <v>9350108.8633060027</v>
      </c>
      <c r="C87" s="233">
        <f t="shared" ref="C87" si="13">SUM(C68:C82)</f>
        <v>9327588.2549979296</v>
      </c>
      <c r="D87" s="233">
        <f>SUM(D68:D82)</f>
        <v>9096362.7561002355</v>
      </c>
      <c r="E87" s="1031">
        <f>(D87-C87)/C87</f>
        <v>-2.4789419577327321E-2</v>
      </c>
    </row>
    <row r="88" spans="1:5" outlineLevel="1">
      <c r="A88" s="1029" t="s">
        <v>621</v>
      </c>
      <c r="B88" s="233">
        <v>8716437</v>
      </c>
      <c r="C88" s="233">
        <v>8656718</v>
      </c>
      <c r="D88" s="233">
        <v>8428848</v>
      </c>
      <c r="E88" s="1031">
        <f>(D88-C88)/C88</f>
        <v>-2.6322908982364911E-2</v>
      </c>
    </row>
  </sheetData>
  <mergeCells count="25">
    <mergeCell ref="AL8:AR8"/>
    <mergeCell ref="AS8:AS9"/>
    <mergeCell ref="AT8:AT9"/>
    <mergeCell ref="A10:A17"/>
    <mergeCell ref="A8:A9"/>
    <mergeCell ref="B8:B9"/>
    <mergeCell ref="C8:C9"/>
    <mergeCell ref="D8:I8"/>
    <mergeCell ref="J8:K8"/>
    <mergeCell ref="L8:AA8"/>
    <mergeCell ref="A25:A26"/>
    <mergeCell ref="B25:F25"/>
    <mergeCell ref="G25:G26"/>
    <mergeCell ref="AC8:AG8"/>
    <mergeCell ref="AI8:AJ8"/>
    <mergeCell ref="A66:A67"/>
    <mergeCell ref="B66:D66"/>
    <mergeCell ref="E66:E67"/>
    <mergeCell ref="A45:M45"/>
    <mergeCell ref="B46:D46"/>
    <mergeCell ref="E46:E47"/>
    <mergeCell ref="A46:A47"/>
    <mergeCell ref="A55:A56"/>
    <mergeCell ref="B55:D55"/>
    <mergeCell ref="E55:E56"/>
  </mergeCells>
  <pageMargins left="0.7" right="0.7" top="0.75" bottom="0.75" header="0.3" footer="0.3"/>
  <pageSetup orientation="portrait" r:id="rId1"/>
  <ignoredErrors>
    <ignoredError sqref="AF20:AF21 C87 C63"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DAD94-7A2F-4412-8B6C-FF45933E0CB9}">
  <sheetPr>
    <tabColor theme="1" tint="0.499984740745262"/>
    <pageSetUpPr autoPageBreaks="0"/>
  </sheetPr>
  <dimension ref="A1:JK74"/>
  <sheetViews>
    <sheetView zoomScale="70" zoomScaleNormal="70" workbookViewId="0">
      <selection activeCell="B86" sqref="B86"/>
    </sheetView>
  </sheetViews>
  <sheetFormatPr defaultColWidth="11.125" defaultRowHeight="14.25" outlineLevelRow="2"/>
  <cols>
    <col min="1" max="1" width="19.625" style="167" customWidth="1"/>
    <col min="2" max="2" width="39" style="167" customWidth="1"/>
    <col min="3" max="3" width="16.125" style="167" customWidth="1"/>
    <col min="4" max="4" width="12.75" style="167" customWidth="1"/>
    <col min="5" max="5" width="10.25" style="167" customWidth="1"/>
    <col min="6" max="6" width="29.625" style="167" customWidth="1"/>
    <col min="7" max="7" width="27.5" style="172" customWidth="1"/>
    <col min="8" max="8" width="56.25" style="167" customWidth="1"/>
    <col min="9" max="9" width="19.25" style="167" customWidth="1"/>
    <col min="10" max="10" width="29.5" style="167" customWidth="1"/>
    <col min="11" max="11" width="24.125" style="167" customWidth="1"/>
    <col min="12" max="16384" width="11.125" style="167"/>
  </cols>
  <sheetData>
    <row r="1" spans="1:137" s="875" customFormat="1" ht="20.65" customHeight="1">
      <c r="A1" s="875" t="s">
        <v>628</v>
      </c>
      <c r="J1" s="876"/>
      <c r="K1" s="876"/>
      <c r="L1" s="876"/>
      <c r="M1" s="876"/>
      <c r="N1" s="876"/>
      <c r="O1" s="876"/>
      <c r="P1" s="876"/>
      <c r="Q1" s="876"/>
      <c r="R1" s="876"/>
      <c r="S1" s="876"/>
      <c r="T1" s="876"/>
      <c r="U1" s="876"/>
      <c r="V1" s="876"/>
      <c r="W1" s="876"/>
      <c r="X1" s="876"/>
      <c r="Y1" s="876"/>
      <c r="Z1" s="876"/>
      <c r="AA1" s="876"/>
      <c r="AB1" s="876"/>
      <c r="AC1" s="876"/>
      <c r="AD1" s="876"/>
      <c r="AE1" s="876"/>
      <c r="AF1" s="876"/>
      <c r="AG1" s="876"/>
      <c r="AH1" s="876"/>
      <c r="AI1" s="876"/>
      <c r="AJ1" s="876"/>
      <c r="AK1" s="876"/>
      <c r="AL1" s="876"/>
      <c r="AM1" s="876"/>
      <c r="AN1" s="876"/>
      <c r="AO1" s="876"/>
      <c r="AP1" s="876"/>
      <c r="AQ1" s="876"/>
      <c r="AR1" s="876"/>
      <c r="AS1" s="876"/>
      <c r="AT1" s="876"/>
      <c r="AU1" s="876"/>
      <c r="AV1" s="876"/>
      <c r="AW1" s="876"/>
      <c r="AX1" s="876"/>
      <c r="AY1" s="876"/>
      <c r="AZ1" s="876"/>
      <c r="BA1" s="876"/>
      <c r="BB1" s="876"/>
      <c r="BC1" s="876"/>
      <c r="BD1" s="876"/>
      <c r="BE1" s="876"/>
      <c r="BF1" s="876"/>
      <c r="BG1" s="876"/>
      <c r="BH1" s="876"/>
      <c r="BI1" s="876"/>
      <c r="BJ1" s="876"/>
      <c r="BK1" s="876"/>
      <c r="BL1" s="876"/>
      <c r="BM1" s="876"/>
      <c r="BN1" s="876"/>
      <c r="BO1" s="876"/>
      <c r="BP1" s="876"/>
      <c r="BQ1" s="876"/>
      <c r="BR1" s="876"/>
      <c r="BS1" s="876"/>
      <c r="BT1" s="876"/>
      <c r="BU1" s="876"/>
      <c r="BV1" s="876"/>
      <c r="BW1" s="876"/>
      <c r="BX1" s="876"/>
      <c r="BY1" s="876"/>
      <c r="BZ1" s="876"/>
      <c r="CA1" s="876"/>
      <c r="CB1" s="876"/>
      <c r="CC1" s="876"/>
      <c r="CD1" s="876"/>
      <c r="CE1" s="876"/>
      <c r="CF1" s="876"/>
      <c r="CG1" s="876"/>
      <c r="CH1" s="876"/>
      <c r="CI1" s="876"/>
      <c r="CJ1" s="876"/>
      <c r="CK1" s="876"/>
      <c r="CL1" s="876"/>
      <c r="CM1" s="876"/>
      <c r="CN1" s="876"/>
      <c r="CO1" s="876"/>
      <c r="CP1" s="876"/>
      <c r="CQ1" s="876"/>
      <c r="CR1" s="876"/>
      <c r="CS1" s="876"/>
      <c r="CT1" s="876"/>
      <c r="CU1" s="876"/>
      <c r="CV1" s="876"/>
      <c r="CW1" s="876"/>
      <c r="CX1" s="876"/>
      <c r="CY1" s="876"/>
      <c r="CZ1" s="876"/>
      <c r="DA1" s="876"/>
      <c r="DB1" s="876"/>
      <c r="DC1" s="876"/>
      <c r="DD1" s="876"/>
      <c r="DE1" s="876"/>
      <c r="DF1" s="876"/>
      <c r="DG1" s="876"/>
      <c r="DH1" s="876"/>
      <c r="DI1" s="876"/>
      <c r="DJ1" s="876"/>
      <c r="DK1" s="876"/>
      <c r="DL1" s="876"/>
      <c r="DM1" s="876"/>
      <c r="DN1" s="876"/>
      <c r="DO1" s="876"/>
      <c r="DP1" s="876"/>
      <c r="DQ1" s="876"/>
      <c r="DR1" s="876"/>
      <c r="DS1" s="876"/>
      <c r="DT1" s="876"/>
      <c r="DU1" s="876"/>
      <c r="DV1" s="876"/>
      <c r="DW1" s="876"/>
      <c r="DX1" s="876"/>
      <c r="DY1" s="876"/>
      <c r="DZ1" s="876"/>
      <c r="EA1" s="876"/>
      <c r="EB1" s="876"/>
      <c r="EC1" s="876"/>
      <c r="ED1" s="876"/>
      <c r="EE1" s="876"/>
      <c r="EF1" s="876"/>
      <c r="EG1" s="876"/>
    </row>
    <row r="2" spans="1:137" s="217" customFormat="1" ht="20.25">
      <c r="A2" s="1059" t="s">
        <v>632</v>
      </c>
      <c r="B2" s="1053"/>
      <c r="C2" s="1053"/>
      <c r="D2" s="1053"/>
      <c r="E2" s="1053"/>
      <c r="F2" s="1053"/>
      <c r="G2" s="1053"/>
      <c r="H2" s="1053"/>
      <c r="I2" s="922"/>
      <c r="J2" s="222"/>
      <c r="K2" s="222"/>
      <c r="L2" s="222"/>
      <c r="M2" s="222"/>
      <c r="N2" s="222"/>
      <c r="O2" s="222"/>
      <c r="P2" s="222"/>
      <c r="Q2" s="222"/>
      <c r="R2" s="222"/>
      <c r="S2" s="222"/>
      <c r="T2" s="222"/>
      <c r="U2" s="222"/>
      <c r="V2" s="222"/>
      <c r="W2" s="222"/>
      <c r="X2" s="222"/>
      <c r="Y2" s="222"/>
      <c r="Z2" s="222"/>
      <c r="AA2" s="222"/>
      <c r="AB2" s="222"/>
      <c r="AC2" s="222"/>
      <c r="AD2" s="222"/>
      <c r="AE2" s="222"/>
      <c r="AF2" s="222"/>
      <c r="AG2" s="222"/>
      <c r="AH2" s="222"/>
      <c r="AI2" s="222"/>
      <c r="AJ2" s="222"/>
      <c r="AK2" s="222"/>
      <c r="AL2" s="222"/>
      <c r="AM2" s="222"/>
      <c r="AN2" s="222"/>
      <c r="AO2" s="222"/>
      <c r="AP2" s="222"/>
      <c r="AQ2" s="222"/>
      <c r="AR2" s="222"/>
      <c r="AS2" s="222"/>
      <c r="AT2" s="222"/>
      <c r="AU2" s="222"/>
      <c r="AV2" s="222"/>
      <c r="AW2" s="222"/>
      <c r="AX2" s="222"/>
      <c r="AY2" s="222"/>
      <c r="AZ2" s="222"/>
      <c r="BA2" s="222"/>
      <c r="BB2" s="222"/>
      <c r="BC2" s="222"/>
      <c r="BD2" s="222"/>
      <c r="BE2" s="222"/>
      <c r="BF2" s="222"/>
      <c r="BG2" s="222"/>
      <c r="BH2" s="222"/>
      <c r="BI2" s="222"/>
      <c r="BJ2" s="222"/>
      <c r="BK2" s="222"/>
      <c r="BL2" s="222"/>
      <c r="BM2" s="222"/>
      <c r="BN2" s="222"/>
      <c r="BO2" s="222"/>
      <c r="BP2" s="222"/>
      <c r="BQ2" s="222"/>
      <c r="BR2" s="222"/>
      <c r="BS2" s="222"/>
      <c r="BT2" s="222"/>
      <c r="BU2" s="222"/>
      <c r="BV2" s="222"/>
      <c r="BW2" s="222"/>
      <c r="BX2" s="222"/>
      <c r="BY2" s="222"/>
      <c r="BZ2" s="222"/>
      <c r="CA2" s="222"/>
      <c r="CB2" s="222"/>
      <c r="CC2" s="222"/>
      <c r="CD2" s="222"/>
      <c r="CE2" s="222"/>
      <c r="CF2" s="222"/>
      <c r="CG2" s="222"/>
      <c r="CH2" s="222"/>
      <c r="CI2" s="222"/>
      <c r="CJ2" s="222"/>
      <c r="CK2" s="222"/>
      <c r="CL2" s="222"/>
      <c r="CM2" s="222"/>
      <c r="CN2" s="222"/>
      <c r="CO2" s="222"/>
      <c r="CP2" s="222"/>
      <c r="CQ2" s="222"/>
      <c r="CR2" s="222"/>
      <c r="CS2" s="222"/>
      <c r="CT2" s="222"/>
      <c r="CU2" s="222"/>
      <c r="CV2" s="222"/>
      <c r="CW2" s="222"/>
      <c r="CX2" s="222"/>
      <c r="CY2" s="222"/>
      <c r="CZ2" s="222"/>
      <c r="DA2" s="222"/>
      <c r="DB2" s="222"/>
      <c r="DC2" s="222"/>
      <c r="DD2" s="222"/>
      <c r="DE2" s="222"/>
      <c r="DF2" s="222"/>
      <c r="DG2" s="222"/>
      <c r="DH2" s="222"/>
      <c r="DI2" s="222"/>
      <c r="DJ2" s="222"/>
      <c r="DK2" s="222"/>
      <c r="DL2" s="222"/>
      <c r="DM2" s="222"/>
      <c r="DN2" s="222"/>
      <c r="DO2" s="222"/>
      <c r="DP2" s="222"/>
      <c r="DQ2" s="222"/>
      <c r="DR2" s="222"/>
      <c r="DS2" s="222"/>
      <c r="DT2" s="222"/>
      <c r="DU2" s="222"/>
      <c r="DV2" s="222"/>
      <c r="DW2" s="222"/>
      <c r="DX2" s="222"/>
      <c r="DY2" s="222"/>
      <c r="DZ2" s="222"/>
      <c r="EA2" s="222"/>
      <c r="EB2" s="222"/>
      <c r="EC2" s="222"/>
      <c r="ED2" s="222"/>
      <c r="EE2" s="222"/>
      <c r="EF2" s="222"/>
      <c r="EG2" s="222"/>
    </row>
    <row r="3" spans="1:137" s="398" customFormat="1" ht="15" hidden="1" outlineLevel="1">
      <c r="A3" s="397" t="s">
        <v>648</v>
      </c>
      <c r="B3" s="213"/>
      <c r="C3" s="213"/>
      <c r="D3" s="214"/>
      <c r="E3" s="214"/>
      <c r="F3" s="214"/>
      <c r="G3" s="215"/>
      <c r="H3" s="215"/>
      <c r="I3" s="215"/>
    </row>
    <row r="4" spans="1:137" s="398" customFormat="1" ht="15" hidden="1" outlineLevel="1">
      <c r="A4" s="397" t="s">
        <v>647</v>
      </c>
      <c r="B4" s="213"/>
      <c r="C4" s="213"/>
      <c r="D4" s="214"/>
      <c r="E4" s="214"/>
      <c r="F4" s="214"/>
      <c r="G4" s="215"/>
      <c r="H4" s="215"/>
      <c r="I4" s="215"/>
    </row>
    <row r="5" spans="1:137" s="401" customFormat="1" ht="16.5" hidden="1" outlineLevel="1">
      <c r="A5" s="1149"/>
      <c r="B5" s="1149"/>
      <c r="C5" s="1149"/>
      <c r="D5" s="1149"/>
      <c r="E5" s="1149"/>
      <c r="F5" s="399"/>
      <c r="G5" s="399"/>
      <c r="H5" s="399"/>
      <c r="I5" s="399"/>
      <c r="J5" s="399"/>
      <c r="K5" s="399"/>
      <c r="L5" s="399"/>
      <c r="M5" s="399"/>
      <c r="N5" s="399"/>
      <c r="O5" s="399"/>
      <c r="P5" s="399"/>
      <c r="Q5" s="399"/>
      <c r="R5" s="399"/>
      <c r="S5" s="399"/>
      <c r="T5" s="399"/>
      <c r="U5" s="399"/>
      <c r="V5" s="399"/>
      <c r="W5" s="399"/>
      <c r="X5" s="400"/>
      <c r="Y5" s="400"/>
      <c r="Z5" s="400"/>
      <c r="AA5" s="400"/>
      <c r="AB5" s="400"/>
      <c r="AC5" s="400"/>
      <c r="AD5" s="400"/>
      <c r="AE5" s="400"/>
      <c r="AF5" s="400"/>
      <c r="AG5" s="400"/>
      <c r="AH5" s="400"/>
      <c r="AI5" s="400"/>
      <c r="AJ5" s="400"/>
      <c r="AK5" s="400"/>
      <c r="AL5" s="400"/>
      <c r="AM5" s="400"/>
      <c r="AN5" s="400"/>
      <c r="AO5" s="400"/>
      <c r="AP5" s="400"/>
      <c r="AQ5" s="400"/>
      <c r="AR5" s="400"/>
      <c r="AS5" s="400"/>
      <c r="AT5" s="400"/>
      <c r="AU5" s="400"/>
      <c r="AV5" s="400"/>
      <c r="AW5" s="400"/>
      <c r="AX5" s="400"/>
      <c r="AY5" s="400"/>
      <c r="AZ5" s="400"/>
      <c r="BA5" s="400"/>
      <c r="BB5" s="400"/>
      <c r="BC5" s="400"/>
      <c r="BD5" s="400"/>
      <c r="BE5" s="400"/>
      <c r="BF5" s="400"/>
      <c r="BG5" s="400"/>
      <c r="BH5" s="400"/>
      <c r="BI5" s="400"/>
      <c r="BJ5" s="400"/>
      <c r="BK5" s="400"/>
      <c r="BL5" s="400"/>
      <c r="BM5" s="400"/>
      <c r="BN5" s="400"/>
      <c r="BO5" s="400"/>
      <c r="BP5" s="400"/>
      <c r="BQ5" s="400"/>
      <c r="BR5" s="400"/>
      <c r="BS5" s="400"/>
      <c r="BT5" s="400"/>
      <c r="BU5" s="400"/>
      <c r="BV5" s="400"/>
      <c r="BW5" s="400"/>
      <c r="BX5" s="400"/>
      <c r="BY5" s="400"/>
      <c r="BZ5" s="400"/>
      <c r="CA5" s="400"/>
      <c r="CB5" s="400"/>
      <c r="CC5" s="400"/>
      <c r="CD5" s="400"/>
      <c r="CE5" s="400"/>
      <c r="CF5" s="400"/>
      <c r="CG5" s="400"/>
      <c r="CH5" s="400"/>
      <c r="CI5" s="400"/>
      <c r="CJ5" s="400"/>
      <c r="CK5" s="400"/>
      <c r="CL5" s="400"/>
      <c r="CM5" s="400"/>
      <c r="CN5" s="400"/>
      <c r="CO5" s="400"/>
      <c r="CP5" s="400"/>
      <c r="CQ5" s="400"/>
      <c r="CR5" s="400"/>
      <c r="CS5" s="400"/>
      <c r="CT5" s="400"/>
      <c r="CU5" s="400"/>
      <c r="CV5" s="400"/>
      <c r="CW5" s="400"/>
      <c r="CX5" s="400"/>
      <c r="CY5" s="400"/>
      <c r="CZ5" s="400"/>
      <c r="DA5" s="400"/>
      <c r="DB5" s="400"/>
      <c r="DC5" s="400"/>
      <c r="DD5" s="400"/>
      <c r="DE5" s="400"/>
      <c r="DF5" s="400"/>
      <c r="DG5" s="400"/>
      <c r="DH5" s="400"/>
      <c r="DI5" s="400"/>
      <c r="DJ5" s="400"/>
      <c r="DK5" s="400"/>
      <c r="DL5" s="400"/>
      <c r="DM5" s="400"/>
      <c r="DN5" s="400"/>
      <c r="DO5" s="400"/>
      <c r="DP5" s="400"/>
      <c r="DQ5" s="400"/>
      <c r="DR5" s="400"/>
      <c r="DS5" s="400"/>
      <c r="DT5" s="400"/>
      <c r="DU5" s="400"/>
      <c r="DV5" s="400"/>
      <c r="DW5" s="400"/>
      <c r="DX5" s="400"/>
      <c r="DY5" s="400"/>
      <c r="DZ5" s="400"/>
      <c r="EA5" s="400"/>
      <c r="EB5" s="400"/>
      <c r="EC5" s="400"/>
      <c r="ED5" s="400"/>
      <c r="EE5" s="400"/>
      <c r="EF5" s="400"/>
      <c r="EG5" s="400"/>
    </row>
    <row r="6" spans="1:137" s="401" customFormat="1" ht="16.5" hidden="1" outlineLevel="1">
      <c r="A6" s="1150" t="s">
        <v>77</v>
      </c>
      <c r="B6" s="1151"/>
      <c r="C6" s="1151"/>
      <c r="D6" s="1152"/>
      <c r="E6" s="399"/>
      <c r="F6" s="399"/>
      <c r="G6" s="399"/>
      <c r="H6" s="399"/>
      <c r="I6" s="399"/>
      <c r="J6" s="399"/>
      <c r="K6" s="399"/>
      <c r="L6" s="399"/>
      <c r="M6" s="399"/>
      <c r="N6" s="399"/>
      <c r="O6" s="399"/>
      <c r="P6" s="399"/>
      <c r="Q6" s="399"/>
      <c r="R6" s="399"/>
      <c r="S6" s="399"/>
      <c r="T6" s="399"/>
      <c r="U6" s="399"/>
      <c r="V6" s="399"/>
      <c r="W6" s="399"/>
      <c r="X6" s="400"/>
      <c r="Y6" s="400"/>
      <c r="Z6" s="400"/>
      <c r="AA6" s="400"/>
      <c r="AB6" s="400"/>
      <c r="AC6" s="400"/>
      <c r="AD6" s="400"/>
      <c r="AE6" s="400"/>
      <c r="AF6" s="400"/>
      <c r="AG6" s="400"/>
      <c r="AH6" s="400"/>
      <c r="AI6" s="400"/>
      <c r="AJ6" s="400"/>
      <c r="AK6" s="400"/>
      <c r="AL6" s="400"/>
      <c r="AM6" s="400"/>
      <c r="AN6" s="400"/>
      <c r="AO6" s="400"/>
      <c r="AP6" s="400"/>
      <c r="AQ6" s="400"/>
      <c r="AR6" s="400"/>
      <c r="AS6" s="400"/>
      <c r="AT6" s="400"/>
      <c r="AU6" s="400"/>
      <c r="AV6" s="400"/>
      <c r="AW6" s="400"/>
      <c r="AX6" s="400"/>
      <c r="AY6" s="400"/>
      <c r="AZ6" s="400"/>
      <c r="BA6" s="400"/>
      <c r="BB6" s="400"/>
      <c r="BC6" s="400"/>
      <c r="BD6" s="400"/>
      <c r="BE6" s="400"/>
      <c r="BF6" s="400"/>
      <c r="BG6" s="400"/>
      <c r="BH6" s="400"/>
      <c r="BI6" s="400"/>
      <c r="BJ6" s="400"/>
      <c r="BK6" s="400"/>
      <c r="BL6" s="400"/>
      <c r="BM6" s="400"/>
      <c r="BN6" s="400"/>
      <c r="BO6" s="400"/>
      <c r="BP6" s="400"/>
      <c r="BQ6" s="400"/>
      <c r="BR6" s="400"/>
      <c r="BS6" s="400"/>
      <c r="BT6" s="400"/>
      <c r="BU6" s="400"/>
      <c r="BV6" s="400"/>
      <c r="BW6" s="400"/>
      <c r="BX6" s="400"/>
      <c r="BY6" s="400"/>
      <c r="BZ6" s="400"/>
      <c r="CA6" s="400"/>
      <c r="CB6" s="400"/>
      <c r="CC6" s="400"/>
      <c r="CD6" s="400"/>
      <c r="CE6" s="400"/>
      <c r="CF6" s="400"/>
      <c r="CG6" s="400"/>
      <c r="CH6" s="400"/>
      <c r="CI6" s="400"/>
      <c r="CJ6" s="400"/>
      <c r="CK6" s="400"/>
      <c r="CL6" s="400"/>
      <c r="CM6" s="400"/>
      <c r="CN6" s="400"/>
      <c r="CO6" s="400"/>
      <c r="CP6" s="400"/>
      <c r="CQ6" s="400"/>
      <c r="CR6" s="400"/>
      <c r="CS6" s="400"/>
      <c r="CT6" s="400"/>
      <c r="CU6" s="400"/>
      <c r="CV6" s="400"/>
      <c r="CW6" s="400"/>
      <c r="CX6" s="400"/>
      <c r="CY6" s="400"/>
      <c r="CZ6" s="400"/>
      <c r="DA6" s="400"/>
      <c r="DB6" s="400"/>
      <c r="DC6" s="400"/>
      <c r="DD6" s="400"/>
      <c r="DE6" s="400"/>
      <c r="DF6" s="400"/>
      <c r="DG6" s="400"/>
      <c r="DH6" s="400"/>
      <c r="DI6" s="400"/>
      <c r="DJ6" s="400"/>
      <c r="DK6" s="400"/>
      <c r="DL6" s="400"/>
      <c r="DM6" s="400"/>
      <c r="DN6" s="400"/>
      <c r="DO6" s="400"/>
      <c r="DP6" s="400"/>
      <c r="DQ6" s="400"/>
      <c r="DR6" s="400"/>
      <c r="DS6" s="400"/>
      <c r="DT6" s="400"/>
      <c r="DU6" s="400"/>
      <c r="DV6" s="400"/>
      <c r="DW6" s="400"/>
      <c r="DX6" s="400"/>
      <c r="DY6" s="400"/>
      <c r="DZ6" s="400"/>
      <c r="EA6" s="400"/>
      <c r="EB6" s="400"/>
      <c r="EC6" s="400"/>
      <c r="ED6" s="400"/>
      <c r="EE6" s="400"/>
      <c r="EF6" s="400"/>
      <c r="EG6" s="400"/>
    </row>
    <row r="7" spans="1:137" s="401" customFormat="1" ht="16.5" hidden="1" outlineLevel="1">
      <c r="A7" s="402" t="s">
        <v>80</v>
      </c>
      <c r="B7" s="403" t="s">
        <v>82</v>
      </c>
      <c r="C7" s="402" t="s">
        <v>84</v>
      </c>
      <c r="D7" s="403" t="s">
        <v>85</v>
      </c>
      <c r="E7" s="399"/>
      <c r="F7" s="399"/>
      <c r="G7" s="399"/>
      <c r="H7" s="399"/>
      <c r="I7" s="399"/>
      <c r="J7" s="399"/>
      <c r="K7" s="399"/>
      <c r="L7" s="399"/>
      <c r="M7" s="399"/>
      <c r="N7" s="399"/>
      <c r="O7" s="399"/>
      <c r="P7" s="399"/>
      <c r="Q7" s="399"/>
      <c r="R7" s="399"/>
      <c r="S7" s="399"/>
      <c r="T7" s="399"/>
      <c r="U7" s="399"/>
      <c r="V7" s="399"/>
      <c r="W7" s="399"/>
      <c r="X7" s="400"/>
      <c r="Y7" s="400"/>
      <c r="Z7" s="400"/>
      <c r="AA7" s="400"/>
      <c r="AB7" s="400"/>
      <c r="AC7" s="400"/>
      <c r="AD7" s="400"/>
      <c r="AE7" s="400"/>
      <c r="AF7" s="400"/>
      <c r="AG7" s="400"/>
      <c r="AH7" s="400"/>
      <c r="AI7" s="400"/>
      <c r="AJ7" s="400"/>
      <c r="AK7" s="400"/>
      <c r="AL7" s="400"/>
      <c r="AM7" s="400"/>
      <c r="AN7" s="400"/>
      <c r="AO7" s="400"/>
      <c r="AP7" s="400"/>
      <c r="AQ7" s="400"/>
      <c r="AR7" s="400"/>
      <c r="AS7" s="400"/>
      <c r="AT7" s="400"/>
      <c r="AU7" s="400"/>
      <c r="AV7" s="400"/>
      <c r="AW7" s="400"/>
      <c r="AX7" s="400"/>
      <c r="AY7" s="400"/>
      <c r="AZ7" s="400"/>
      <c r="BA7" s="400"/>
      <c r="BB7" s="400"/>
      <c r="BC7" s="400"/>
      <c r="BD7" s="400"/>
      <c r="BE7" s="400"/>
      <c r="BF7" s="400"/>
      <c r="BG7" s="400"/>
      <c r="BH7" s="400"/>
      <c r="BI7" s="400"/>
      <c r="BJ7" s="400"/>
      <c r="BK7" s="400"/>
      <c r="BL7" s="400"/>
      <c r="BM7" s="400"/>
      <c r="BN7" s="400"/>
      <c r="BO7" s="400"/>
      <c r="BP7" s="400"/>
      <c r="BQ7" s="400"/>
      <c r="BR7" s="400"/>
      <c r="BS7" s="400"/>
      <c r="BT7" s="400"/>
      <c r="BU7" s="400"/>
      <c r="BV7" s="400"/>
      <c r="BW7" s="400"/>
      <c r="BX7" s="400"/>
      <c r="BY7" s="400"/>
      <c r="BZ7" s="400"/>
      <c r="CA7" s="400"/>
      <c r="CB7" s="400"/>
      <c r="CC7" s="400"/>
      <c r="CD7" s="400"/>
      <c r="CE7" s="400"/>
      <c r="CF7" s="400"/>
      <c r="CG7" s="400"/>
      <c r="CH7" s="400"/>
      <c r="CI7" s="400"/>
      <c r="CJ7" s="400"/>
      <c r="CK7" s="400"/>
      <c r="CL7" s="400"/>
      <c r="CM7" s="400"/>
      <c r="CN7" s="400"/>
      <c r="CO7" s="400"/>
      <c r="CP7" s="400"/>
      <c r="CQ7" s="400"/>
      <c r="CR7" s="400"/>
      <c r="CS7" s="400"/>
      <c r="CT7" s="400"/>
      <c r="CU7" s="400"/>
      <c r="CV7" s="400"/>
      <c r="CW7" s="400"/>
      <c r="CX7" s="400"/>
      <c r="CY7" s="400"/>
      <c r="CZ7" s="400"/>
      <c r="DA7" s="400"/>
      <c r="DB7" s="400"/>
      <c r="DC7" s="400"/>
      <c r="DD7" s="400"/>
      <c r="DE7" s="400"/>
      <c r="DF7" s="400"/>
      <c r="DG7" s="400"/>
      <c r="DH7" s="400"/>
      <c r="DI7" s="400"/>
      <c r="DJ7" s="400"/>
      <c r="DK7" s="400"/>
      <c r="DL7" s="400"/>
      <c r="DM7" s="400"/>
      <c r="DN7" s="400"/>
      <c r="DO7" s="400"/>
      <c r="DP7" s="400"/>
      <c r="DQ7" s="400"/>
      <c r="DR7" s="400"/>
      <c r="DS7" s="400"/>
      <c r="DT7" s="400"/>
      <c r="DU7" s="400"/>
      <c r="DV7" s="400"/>
      <c r="DW7" s="400"/>
      <c r="DX7" s="400"/>
      <c r="DY7" s="400"/>
      <c r="DZ7" s="400"/>
      <c r="EA7" s="400"/>
      <c r="EB7" s="400"/>
      <c r="EC7" s="400"/>
      <c r="ED7" s="400"/>
      <c r="EE7" s="400"/>
      <c r="EF7" s="400"/>
      <c r="EG7" s="400"/>
    </row>
    <row r="8" spans="1:137" s="401" customFormat="1" ht="16.5" hidden="1" outlineLevel="1">
      <c r="A8" s="1060" t="s">
        <v>86</v>
      </c>
      <c r="B8" s="1061" t="s">
        <v>87</v>
      </c>
      <c r="C8" s="1062" t="s">
        <v>88</v>
      </c>
      <c r="D8" s="1063" t="s">
        <v>89</v>
      </c>
      <c r="E8" s="406"/>
      <c r="F8" s="399"/>
      <c r="G8" s="399"/>
      <c r="H8" s="399"/>
      <c r="I8" s="399"/>
      <c r="J8" s="399"/>
      <c r="K8" s="399"/>
      <c r="L8" s="399"/>
      <c r="M8" s="399"/>
      <c r="N8" s="399"/>
      <c r="O8" s="399"/>
      <c r="P8" s="399"/>
      <c r="Q8" s="399"/>
      <c r="R8" s="399"/>
      <c r="S8" s="399"/>
      <c r="T8" s="399"/>
      <c r="U8" s="399"/>
      <c r="V8" s="399"/>
      <c r="W8" s="399"/>
      <c r="X8" s="400"/>
      <c r="Y8" s="400"/>
      <c r="Z8" s="400"/>
      <c r="AA8" s="400"/>
      <c r="AB8" s="400"/>
      <c r="AC8" s="400"/>
      <c r="AD8" s="400"/>
      <c r="AE8" s="400"/>
      <c r="AF8" s="400"/>
      <c r="AG8" s="400"/>
      <c r="AH8" s="400"/>
      <c r="AI8" s="400"/>
      <c r="AJ8" s="400"/>
      <c r="AK8" s="400"/>
      <c r="AL8" s="400"/>
      <c r="AM8" s="400"/>
      <c r="AN8" s="400"/>
      <c r="AO8" s="400"/>
      <c r="AP8" s="400"/>
      <c r="AQ8" s="400"/>
      <c r="AR8" s="400"/>
      <c r="AS8" s="400"/>
      <c r="AT8" s="400"/>
      <c r="AU8" s="400"/>
      <c r="AV8" s="400"/>
      <c r="AW8" s="400"/>
      <c r="AX8" s="400"/>
      <c r="AY8" s="400"/>
      <c r="AZ8" s="400"/>
      <c r="BA8" s="400"/>
      <c r="BB8" s="400"/>
      <c r="BC8" s="400"/>
      <c r="BD8" s="400"/>
      <c r="BE8" s="400"/>
      <c r="BF8" s="400"/>
      <c r="BG8" s="400"/>
      <c r="BH8" s="400"/>
      <c r="BI8" s="400"/>
      <c r="BJ8" s="400"/>
      <c r="BK8" s="400"/>
      <c r="BL8" s="400"/>
      <c r="BM8" s="400"/>
      <c r="BN8" s="400"/>
      <c r="BO8" s="400"/>
      <c r="BP8" s="400"/>
      <c r="BQ8" s="400"/>
      <c r="BR8" s="400"/>
      <c r="BS8" s="400"/>
      <c r="BT8" s="400"/>
      <c r="BU8" s="400"/>
      <c r="BV8" s="400"/>
      <c r="BW8" s="400"/>
      <c r="BX8" s="400"/>
      <c r="BY8" s="400"/>
      <c r="BZ8" s="400"/>
      <c r="CA8" s="400"/>
      <c r="CB8" s="400"/>
      <c r="CC8" s="400"/>
      <c r="CD8" s="400"/>
      <c r="CE8" s="400"/>
      <c r="CF8" s="400"/>
      <c r="CG8" s="400"/>
      <c r="CH8" s="400"/>
      <c r="CI8" s="400"/>
      <c r="CJ8" s="400"/>
      <c r="CK8" s="400"/>
      <c r="CL8" s="400"/>
      <c r="CM8" s="400"/>
      <c r="CN8" s="400"/>
      <c r="CO8" s="400"/>
      <c r="CP8" s="400"/>
      <c r="CQ8" s="400"/>
      <c r="CR8" s="400"/>
      <c r="CS8" s="400"/>
      <c r="CT8" s="400"/>
      <c r="CU8" s="400"/>
      <c r="CV8" s="400"/>
      <c r="CW8" s="400"/>
      <c r="CX8" s="400"/>
      <c r="CY8" s="400"/>
      <c r="CZ8" s="400"/>
      <c r="DA8" s="400"/>
      <c r="DB8" s="400"/>
      <c r="DC8" s="400"/>
      <c r="DD8" s="400"/>
      <c r="DE8" s="400"/>
      <c r="DF8" s="400"/>
      <c r="DG8" s="400"/>
      <c r="DH8" s="400"/>
      <c r="DI8" s="400"/>
      <c r="DJ8" s="400"/>
      <c r="DK8" s="400"/>
      <c r="DL8" s="400"/>
      <c r="DM8" s="400"/>
      <c r="DN8" s="400"/>
      <c r="DO8" s="400"/>
      <c r="DP8" s="400"/>
      <c r="DQ8" s="400"/>
      <c r="DR8" s="400"/>
      <c r="DS8" s="400"/>
      <c r="DT8" s="400"/>
      <c r="DU8" s="400"/>
      <c r="DV8" s="400"/>
      <c r="DW8" s="400"/>
      <c r="DX8" s="400"/>
      <c r="DY8" s="400"/>
      <c r="DZ8" s="400"/>
      <c r="EA8" s="400"/>
      <c r="EB8" s="400"/>
      <c r="EC8" s="400"/>
      <c r="ED8" s="400"/>
      <c r="EE8" s="400"/>
      <c r="EF8" s="400"/>
      <c r="EG8" s="400"/>
    </row>
    <row r="9" spans="1:137" s="216" customFormat="1" ht="20.25" collapsed="1">
      <c r="A9" s="1064" t="s">
        <v>16</v>
      </c>
      <c r="B9" s="1053"/>
      <c r="C9" s="1053"/>
      <c r="D9" s="1053"/>
      <c r="E9" s="1053"/>
      <c r="F9" s="1053"/>
      <c r="G9" s="1053"/>
      <c r="H9" s="1053"/>
      <c r="I9" s="933"/>
      <c r="J9" s="223"/>
      <c r="K9" s="223"/>
      <c r="L9" s="223"/>
      <c r="M9" s="223"/>
      <c r="N9" s="223"/>
      <c r="O9" s="223"/>
      <c r="P9" s="223"/>
      <c r="Q9" s="223"/>
      <c r="R9" s="223"/>
      <c r="S9" s="223"/>
      <c r="T9" s="223"/>
      <c r="U9" s="223"/>
      <c r="V9" s="223"/>
      <c r="W9" s="223"/>
      <c r="X9" s="223"/>
      <c r="Y9" s="223"/>
      <c r="Z9" s="223"/>
      <c r="AA9" s="223"/>
      <c r="AB9" s="223"/>
      <c r="AC9" s="223"/>
      <c r="AD9" s="223"/>
      <c r="AE9" s="223"/>
      <c r="AF9" s="223"/>
      <c r="AG9" s="223"/>
      <c r="AH9" s="223"/>
      <c r="AI9" s="223"/>
      <c r="AJ9" s="223"/>
      <c r="AK9" s="223"/>
      <c r="AL9" s="223"/>
      <c r="AM9" s="223"/>
      <c r="AN9" s="223"/>
      <c r="AO9" s="223"/>
      <c r="AP9" s="223"/>
      <c r="AQ9" s="223"/>
      <c r="AR9" s="223"/>
      <c r="AS9" s="223"/>
      <c r="AT9" s="223"/>
      <c r="AU9" s="223"/>
      <c r="AV9" s="223"/>
      <c r="AW9" s="223"/>
      <c r="AX9" s="223"/>
      <c r="AY9" s="223"/>
      <c r="AZ9" s="223"/>
      <c r="BA9" s="223"/>
      <c r="BB9" s="223"/>
      <c r="BC9" s="223"/>
      <c r="BD9" s="223"/>
      <c r="BE9" s="223"/>
      <c r="BF9" s="223"/>
      <c r="BG9" s="223"/>
      <c r="BH9" s="223"/>
      <c r="BI9" s="223"/>
      <c r="BJ9" s="223"/>
      <c r="BK9" s="223"/>
      <c r="BL9" s="223"/>
      <c r="BM9" s="223"/>
      <c r="BN9" s="223"/>
      <c r="BO9" s="223"/>
      <c r="BP9" s="223"/>
      <c r="BQ9" s="223"/>
      <c r="BR9" s="223"/>
      <c r="BS9" s="223"/>
      <c r="BT9" s="223"/>
      <c r="BU9" s="223"/>
      <c r="BV9" s="223"/>
      <c r="BW9" s="223"/>
      <c r="BX9" s="223"/>
      <c r="BY9" s="223"/>
      <c r="BZ9" s="223"/>
      <c r="CA9" s="223"/>
      <c r="CB9" s="223"/>
      <c r="CC9" s="223"/>
      <c r="CD9" s="223"/>
      <c r="CE9" s="223"/>
      <c r="CF9" s="223"/>
      <c r="CG9" s="223"/>
      <c r="CH9" s="223"/>
      <c r="CI9" s="223"/>
      <c r="CJ9" s="223"/>
      <c r="CK9" s="223"/>
      <c r="CL9" s="223"/>
      <c r="CM9" s="223"/>
      <c r="CN9" s="223"/>
      <c r="CO9" s="223"/>
      <c r="CP9" s="223"/>
      <c r="CQ9" s="223"/>
      <c r="CR9" s="223"/>
      <c r="CS9" s="223"/>
      <c r="CT9" s="223"/>
      <c r="CU9" s="223"/>
      <c r="CV9" s="223"/>
      <c r="CW9" s="223"/>
      <c r="CX9" s="223"/>
      <c r="CY9" s="223"/>
      <c r="CZ9" s="223"/>
      <c r="DA9" s="223"/>
      <c r="DB9" s="223"/>
      <c r="DC9" s="223"/>
      <c r="DD9" s="223"/>
      <c r="DE9" s="223"/>
      <c r="DF9" s="223"/>
      <c r="DG9" s="223"/>
      <c r="DH9" s="223"/>
      <c r="DI9" s="223"/>
      <c r="DJ9" s="223"/>
      <c r="DK9" s="223"/>
      <c r="DL9" s="223"/>
      <c r="DM9" s="223"/>
      <c r="DN9" s="223"/>
      <c r="DO9" s="223"/>
      <c r="DP9" s="223"/>
      <c r="DQ9" s="223"/>
      <c r="DR9" s="223"/>
      <c r="DS9" s="223"/>
      <c r="DT9" s="223"/>
      <c r="DU9" s="223"/>
      <c r="DV9" s="223"/>
      <c r="DW9" s="223"/>
      <c r="DX9" s="223"/>
      <c r="DY9" s="223"/>
      <c r="DZ9" s="223"/>
      <c r="EA9" s="223"/>
      <c r="EB9" s="223"/>
      <c r="EC9" s="223"/>
      <c r="ED9" s="223"/>
      <c r="EE9" s="223"/>
      <c r="EF9" s="223"/>
      <c r="EG9" s="223"/>
    </row>
    <row r="10" spans="1:137" s="170" customFormat="1" ht="15.75" hidden="1" outlineLevel="1">
      <c r="A10" s="877" t="s">
        <v>19</v>
      </c>
      <c r="B10" s="568"/>
      <c r="C10" s="568"/>
      <c r="D10" s="568"/>
      <c r="E10" s="568"/>
      <c r="F10" s="568"/>
      <c r="G10" s="568"/>
      <c r="H10" s="568"/>
      <c r="I10" s="753"/>
      <c r="J10" s="169"/>
      <c r="K10" s="169"/>
      <c r="L10" s="169"/>
      <c r="M10" s="169"/>
      <c r="N10" s="169"/>
      <c r="O10" s="169"/>
      <c r="P10" s="169"/>
      <c r="Q10" s="169"/>
      <c r="R10" s="169"/>
      <c r="S10" s="169"/>
      <c r="T10" s="169"/>
      <c r="U10" s="169"/>
      <c r="V10" s="169"/>
      <c r="W10" s="169"/>
      <c r="X10" s="169"/>
      <c r="Y10" s="169"/>
      <c r="Z10" s="169"/>
      <c r="AA10" s="169"/>
      <c r="AB10" s="169"/>
      <c r="AC10" s="169"/>
      <c r="AD10" s="169"/>
      <c r="AE10" s="169"/>
      <c r="AF10" s="169"/>
      <c r="AG10" s="169"/>
      <c r="AH10" s="169"/>
      <c r="AI10" s="169"/>
      <c r="AJ10" s="169"/>
      <c r="AK10" s="169"/>
      <c r="AL10" s="169"/>
      <c r="AM10" s="169"/>
      <c r="AN10" s="169"/>
      <c r="AO10" s="169"/>
      <c r="AP10" s="169"/>
      <c r="AQ10" s="169"/>
      <c r="AR10" s="169"/>
      <c r="AS10" s="169"/>
      <c r="AT10" s="169"/>
      <c r="AU10" s="169"/>
      <c r="AV10" s="169"/>
      <c r="AW10" s="169"/>
      <c r="AX10" s="169"/>
      <c r="AY10" s="169"/>
      <c r="AZ10" s="169"/>
      <c r="BA10" s="169"/>
      <c r="BB10" s="169"/>
      <c r="BC10" s="169"/>
      <c r="BD10" s="169"/>
      <c r="BE10" s="169"/>
      <c r="BF10" s="169"/>
      <c r="BG10" s="169"/>
      <c r="BH10" s="169"/>
      <c r="BI10" s="169"/>
      <c r="BJ10" s="169"/>
      <c r="BK10" s="169"/>
      <c r="BL10" s="169"/>
      <c r="BM10" s="169"/>
      <c r="BN10" s="169"/>
      <c r="BO10" s="169"/>
      <c r="BP10" s="169"/>
      <c r="BQ10" s="169"/>
      <c r="BR10" s="169"/>
      <c r="BS10" s="169"/>
      <c r="BT10" s="169"/>
      <c r="BU10" s="169"/>
      <c r="BV10" s="169"/>
      <c r="BW10" s="169"/>
      <c r="BX10" s="169"/>
      <c r="BY10" s="169"/>
      <c r="BZ10" s="169"/>
      <c r="CA10" s="169"/>
      <c r="CB10" s="169"/>
      <c r="CC10" s="169"/>
      <c r="CD10" s="169"/>
      <c r="CE10" s="169"/>
      <c r="CF10" s="169"/>
      <c r="CG10" s="169"/>
      <c r="CH10" s="169"/>
      <c r="CI10" s="169"/>
      <c r="CJ10" s="169"/>
      <c r="CK10" s="169"/>
      <c r="CL10" s="169"/>
      <c r="CM10" s="169"/>
      <c r="CN10" s="169"/>
      <c r="CO10" s="169"/>
      <c r="CP10" s="169"/>
      <c r="CQ10" s="169"/>
      <c r="CR10" s="169"/>
      <c r="CS10" s="169"/>
      <c r="CT10" s="169"/>
      <c r="CU10" s="169"/>
      <c r="CV10" s="169"/>
      <c r="CW10" s="169"/>
      <c r="CX10" s="169"/>
      <c r="CY10" s="169"/>
      <c r="CZ10" s="169"/>
      <c r="DA10" s="169"/>
      <c r="DB10" s="169"/>
      <c r="DC10" s="169"/>
      <c r="DD10" s="169"/>
      <c r="DE10" s="169"/>
      <c r="DF10" s="169"/>
      <c r="DG10" s="169"/>
      <c r="DH10" s="169"/>
      <c r="DI10" s="169"/>
      <c r="DJ10" s="169"/>
      <c r="DK10" s="169"/>
      <c r="DL10" s="169"/>
      <c r="DM10" s="169"/>
      <c r="DN10" s="169"/>
      <c r="DO10" s="169"/>
      <c r="DP10" s="169"/>
      <c r="DQ10" s="169"/>
      <c r="DR10" s="169"/>
      <c r="DS10" s="169"/>
      <c r="DT10" s="169"/>
      <c r="DU10" s="169"/>
      <c r="DV10" s="169"/>
      <c r="DW10" s="169"/>
      <c r="DX10" s="169"/>
      <c r="DY10" s="169"/>
      <c r="DZ10" s="169"/>
      <c r="EA10" s="169"/>
      <c r="EB10" s="169"/>
      <c r="EC10" s="169"/>
      <c r="ED10" s="169"/>
      <c r="EE10" s="169"/>
      <c r="EF10" s="169"/>
      <c r="EG10" s="169"/>
    </row>
    <row r="11" spans="1:137" hidden="1" outlineLevel="2">
      <c r="A11" s="537" t="s">
        <v>139</v>
      </c>
      <c r="B11" s="869" t="s">
        <v>94</v>
      </c>
      <c r="C11" s="869" t="s">
        <v>633</v>
      </c>
      <c r="D11" s="1153" t="s">
        <v>634</v>
      </c>
      <c r="E11" s="1153"/>
      <c r="F11" s="1153"/>
      <c r="G11" s="869" t="s">
        <v>98</v>
      </c>
      <c r="H11" s="869" t="s">
        <v>99</v>
      </c>
      <c r="I11" s="538" t="s">
        <v>100</v>
      </c>
      <c r="J11" s="166"/>
      <c r="K11" s="166"/>
      <c r="L11" s="166"/>
      <c r="M11" s="166"/>
      <c r="N11" s="166"/>
      <c r="O11" s="166"/>
      <c r="P11" s="166"/>
      <c r="Q11" s="166"/>
      <c r="R11" s="166"/>
      <c r="S11" s="166"/>
      <c r="T11" s="166"/>
      <c r="U11" s="166"/>
      <c r="V11" s="166"/>
      <c r="W11" s="166"/>
    </row>
    <row r="12" spans="1:137" s="170" customFormat="1" ht="120" hidden="1" outlineLevel="2">
      <c r="A12" s="752" t="s">
        <v>145</v>
      </c>
      <c r="B12" s="395" t="s">
        <v>574</v>
      </c>
      <c r="C12" s="402" t="s">
        <v>575</v>
      </c>
      <c r="D12" s="1148" t="s">
        <v>683</v>
      </c>
      <c r="E12" s="1148"/>
      <c r="F12" s="1148"/>
      <c r="G12" s="396" t="s">
        <v>757</v>
      </c>
      <c r="H12" s="396" t="s">
        <v>761</v>
      </c>
      <c r="I12" s="765" t="s">
        <v>1267</v>
      </c>
      <c r="J12" s="166"/>
      <c r="K12" s="169"/>
      <c r="L12" s="169"/>
      <c r="M12" s="169"/>
      <c r="N12" s="169"/>
      <c r="O12" s="169"/>
      <c r="P12" s="169"/>
      <c r="Q12" s="169"/>
      <c r="R12" s="169"/>
      <c r="S12" s="169"/>
      <c r="T12" s="169"/>
      <c r="U12" s="169"/>
      <c r="V12" s="169"/>
      <c r="W12" s="169"/>
      <c r="X12" s="169"/>
      <c r="Y12" s="169"/>
      <c r="Z12" s="169"/>
      <c r="AA12" s="169"/>
      <c r="AB12" s="169"/>
      <c r="AC12" s="169"/>
      <c r="AD12" s="169"/>
      <c r="AE12" s="169"/>
      <c r="AF12" s="169"/>
      <c r="AG12" s="169"/>
      <c r="AH12" s="169"/>
      <c r="AI12" s="169"/>
      <c r="AJ12" s="169"/>
      <c r="AK12" s="169"/>
      <c r="AL12" s="169"/>
      <c r="AM12" s="169"/>
      <c r="AN12" s="169"/>
      <c r="AO12" s="169"/>
      <c r="AP12" s="169"/>
      <c r="AQ12" s="169"/>
      <c r="AR12" s="169"/>
      <c r="AS12" s="169"/>
      <c r="AT12" s="169"/>
      <c r="AU12" s="169"/>
      <c r="AV12" s="169"/>
      <c r="AW12" s="169"/>
      <c r="AX12" s="169"/>
      <c r="AY12" s="169"/>
      <c r="AZ12" s="169"/>
      <c r="BA12" s="169"/>
      <c r="BB12" s="169"/>
      <c r="BC12" s="169"/>
      <c r="BD12" s="169"/>
      <c r="BE12" s="169"/>
      <c r="BF12" s="169"/>
      <c r="BG12" s="169"/>
      <c r="BH12" s="169"/>
      <c r="BI12" s="169"/>
      <c r="BJ12" s="169"/>
      <c r="BK12" s="169"/>
      <c r="BL12" s="169"/>
      <c r="BM12" s="169"/>
      <c r="BN12" s="169"/>
      <c r="BO12" s="169"/>
      <c r="BP12" s="169"/>
      <c r="BQ12" s="169"/>
      <c r="BR12" s="169"/>
      <c r="BS12" s="169"/>
      <c r="BT12" s="169"/>
      <c r="BU12" s="169"/>
      <c r="BV12" s="169"/>
      <c r="BW12" s="169"/>
      <c r="BX12" s="169"/>
      <c r="BY12" s="169"/>
      <c r="BZ12" s="169"/>
      <c r="CA12" s="169"/>
      <c r="CB12" s="169"/>
      <c r="CC12" s="169"/>
      <c r="CD12" s="169"/>
      <c r="CE12" s="169"/>
      <c r="CF12" s="169"/>
      <c r="CG12" s="169"/>
      <c r="CH12" s="169"/>
      <c r="CI12" s="169"/>
      <c r="CJ12" s="169"/>
      <c r="CK12" s="169"/>
      <c r="CL12" s="169"/>
      <c r="CM12" s="169"/>
      <c r="CN12" s="169"/>
      <c r="CO12" s="169"/>
      <c r="CP12" s="169"/>
      <c r="CQ12" s="169"/>
      <c r="CR12" s="169"/>
      <c r="CS12" s="169"/>
      <c r="CT12" s="169"/>
      <c r="CU12" s="169"/>
      <c r="CV12" s="169"/>
      <c r="CW12" s="169"/>
      <c r="CX12" s="169"/>
      <c r="CY12" s="169"/>
      <c r="CZ12" s="169"/>
      <c r="DA12" s="169"/>
      <c r="DB12" s="169"/>
      <c r="DC12" s="169"/>
      <c r="DD12" s="169"/>
      <c r="DE12" s="169"/>
      <c r="DF12" s="169"/>
      <c r="DG12" s="169"/>
      <c r="DH12" s="169"/>
      <c r="DI12" s="169"/>
      <c r="DJ12" s="169"/>
      <c r="DK12" s="169"/>
      <c r="DL12" s="169"/>
      <c r="DM12" s="169"/>
      <c r="DN12" s="169"/>
      <c r="DO12" s="169"/>
      <c r="DP12" s="169"/>
      <c r="DQ12" s="169"/>
      <c r="DR12" s="169"/>
      <c r="DS12" s="169"/>
      <c r="DT12" s="169"/>
      <c r="DU12" s="169"/>
      <c r="DV12" s="169"/>
      <c r="DW12" s="169"/>
      <c r="DX12" s="169"/>
      <c r="DY12" s="169"/>
      <c r="DZ12" s="169"/>
      <c r="EA12" s="169"/>
      <c r="EB12" s="169"/>
      <c r="EC12" s="169"/>
      <c r="ED12" s="169"/>
      <c r="EE12" s="169"/>
      <c r="EF12" s="169"/>
      <c r="EG12" s="169"/>
    </row>
    <row r="13" spans="1:137" s="170" customFormat="1" ht="54" hidden="1" customHeight="1" outlineLevel="2">
      <c r="A13" s="752" t="s">
        <v>147</v>
      </c>
      <c r="B13" s="395" t="s">
        <v>466</v>
      </c>
      <c r="C13" s="402" t="s">
        <v>148</v>
      </c>
      <c r="D13" s="1148" t="s">
        <v>683</v>
      </c>
      <c r="E13" s="1148"/>
      <c r="F13" s="1148"/>
      <c r="G13" s="396" t="s">
        <v>573</v>
      </c>
      <c r="H13" s="396" t="s">
        <v>758</v>
      </c>
      <c r="I13" s="765" t="s">
        <v>1267</v>
      </c>
      <c r="J13" s="166"/>
      <c r="K13" s="169"/>
      <c r="L13" s="169"/>
      <c r="M13" s="169"/>
      <c r="N13" s="169"/>
      <c r="O13" s="169"/>
      <c r="P13" s="169"/>
      <c r="Q13" s="169"/>
      <c r="R13" s="169"/>
      <c r="S13" s="169"/>
      <c r="T13" s="169"/>
      <c r="U13" s="169"/>
      <c r="V13" s="169"/>
      <c r="W13" s="169"/>
      <c r="X13" s="169"/>
      <c r="Y13" s="169"/>
      <c r="Z13" s="169"/>
      <c r="AA13" s="169"/>
      <c r="AB13" s="169"/>
      <c r="AC13" s="169"/>
      <c r="AD13" s="169"/>
      <c r="AE13" s="169"/>
      <c r="AF13" s="169"/>
      <c r="AG13" s="169"/>
      <c r="AH13" s="169"/>
      <c r="AI13" s="169"/>
      <c r="AJ13" s="169"/>
      <c r="AK13" s="169"/>
      <c r="AL13" s="169"/>
      <c r="AM13" s="169"/>
      <c r="AN13" s="169"/>
      <c r="AO13" s="169"/>
      <c r="AP13" s="169"/>
      <c r="AQ13" s="169"/>
      <c r="AR13" s="169"/>
      <c r="AS13" s="169"/>
      <c r="AT13" s="169"/>
      <c r="AU13" s="169"/>
      <c r="AV13" s="169"/>
      <c r="AW13" s="169"/>
      <c r="AX13" s="169"/>
      <c r="AY13" s="169"/>
      <c r="AZ13" s="169"/>
      <c r="BA13" s="169"/>
      <c r="BB13" s="169"/>
      <c r="BC13" s="169"/>
      <c r="BD13" s="169"/>
      <c r="BE13" s="169"/>
      <c r="BF13" s="169"/>
      <c r="BG13" s="169"/>
      <c r="BH13" s="169"/>
      <c r="BI13" s="169"/>
      <c r="BJ13" s="169"/>
      <c r="BK13" s="169"/>
      <c r="BL13" s="169"/>
      <c r="BM13" s="169"/>
      <c r="BN13" s="169"/>
      <c r="BO13" s="169"/>
      <c r="BP13" s="169"/>
      <c r="BQ13" s="169"/>
      <c r="BR13" s="169"/>
      <c r="BS13" s="169"/>
      <c r="BT13" s="169"/>
      <c r="BU13" s="169"/>
      <c r="BV13" s="169"/>
      <c r="BW13" s="169"/>
      <c r="BX13" s="169"/>
      <c r="BY13" s="169"/>
      <c r="BZ13" s="169"/>
      <c r="CA13" s="169"/>
      <c r="CB13" s="169"/>
      <c r="CC13" s="169"/>
      <c r="CD13" s="169"/>
      <c r="CE13" s="169"/>
      <c r="CF13" s="169"/>
      <c r="CG13" s="169"/>
      <c r="CH13" s="169"/>
      <c r="CI13" s="169"/>
      <c r="CJ13" s="169"/>
      <c r="CK13" s="169"/>
      <c r="CL13" s="169"/>
      <c r="CM13" s="169"/>
      <c r="CN13" s="169"/>
      <c r="CO13" s="169"/>
      <c r="CP13" s="169"/>
      <c r="CQ13" s="169"/>
      <c r="CR13" s="169"/>
      <c r="CS13" s="169"/>
      <c r="CT13" s="169"/>
      <c r="CU13" s="169"/>
      <c r="CV13" s="169"/>
      <c r="CW13" s="169"/>
      <c r="CX13" s="169"/>
      <c r="CY13" s="169"/>
      <c r="CZ13" s="169"/>
      <c r="DA13" s="169"/>
      <c r="DB13" s="169"/>
      <c r="DC13" s="169"/>
      <c r="DD13" s="169"/>
      <c r="DE13" s="169"/>
      <c r="DF13" s="169"/>
      <c r="DG13" s="169"/>
      <c r="DH13" s="169"/>
      <c r="DI13" s="169"/>
      <c r="DJ13" s="169"/>
      <c r="DK13" s="169"/>
      <c r="DL13" s="169"/>
      <c r="DM13" s="169"/>
      <c r="DN13" s="169"/>
      <c r="DO13" s="169"/>
      <c r="DP13" s="169"/>
      <c r="DQ13" s="169"/>
      <c r="DR13" s="169"/>
      <c r="DS13" s="169"/>
      <c r="DT13" s="169"/>
      <c r="DU13" s="169"/>
      <c r="DV13" s="169"/>
      <c r="DW13" s="169"/>
      <c r="DX13" s="169"/>
      <c r="DY13" s="169"/>
      <c r="DZ13" s="169"/>
      <c r="EA13" s="169"/>
      <c r="EB13" s="169"/>
      <c r="EC13" s="169"/>
      <c r="ED13" s="169"/>
      <c r="EE13" s="169"/>
      <c r="EF13" s="169"/>
      <c r="EG13" s="169"/>
    </row>
    <row r="14" spans="1:137" s="170" customFormat="1" ht="197.25" hidden="1" customHeight="1" outlineLevel="2">
      <c r="A14" s="752" t="s">
        <v>149</v>
      </c>
      <c r="B14" s="395" t="s">
        <v>759</v>
      </c>
      <c r="C14" s="402" t="s">
        <v>150</v>
      </c>
      <c r="D14" s="1148" t="s">
        <v>683</v>
      </c>
      <c r="E14" s="1148"/>
      <c r="F14" s="1148"/>
      <c r="G14" s="396" t="s">
        <v>760</v>
      </c>
      <c r="H14" s="396" t="s">
        <v>1046</v>
      </c>
      <c r="I14" s="925" t="s">
        <v>1357</v>
      </c>
      <c r="J14" s="166"/>
      <c r="K14" s="169"/>
      <c r="L14" s="169"/>
      <c r="M14" s="169"/>
      <c r="N14" s="169"/>
      <c r="O14" s="169"/>
      <c r="P14" s="169"/>
      <c r="Q14" s="169"/>
      <c r="R14" s="169"/>
      <c r="S14" s="169"/>
      <c r="T14" s="169"/>
      <c r="U14" s="169"/>
      <c r="V14" s="169"/>
      <c r="W14" s="169"/>
      <c r="X14" s="169"/>
      <c r="Y14" s="169"/>
      <c r="Z14" s="169"/>
      <c r="AA14" s="169"/>
      <c r="AB14" s="169"/>
      <c r="AC14" s="169"/>
      <c r="AD14" s="169"/>
      <c r="AE14" s="169"/>
      <c r="AF14" s="169"/>
      <c r="AG14" s="169"/>
      <c r="AH14" s="169"/>
      <c r="AI14" s="169"/>
      <c r="AJ14" s="169"/>
      <c r="AK14" s="169"/>
      <c r="AL14" s="169"/>
      <c r="AM14" s="169"/>
      <c r="AN14" s="169"/>
      <c r="AO14" s="169"/>
      <c r="AP14" s="169"/>
      <c r="AQ14" s="169"/>
      <c r="AR14" s="169"/>
      <c r="AS14" s="169"/>
      <c r="AT14" s="169"/>
      <c r="AU14" s="169"/>
      <c r="AV14" s="169"/>
      <c r="AW14" s="169"/>
      <c r="AX14" s="169"/>
      <c r="AY14" s="169"/>
      <c r="AZ14" s="169"/>
      <c r="BA14" s="169"/>
      <c r="BB14" s="169"/>
      <c r="BC14" s="169"/>
      <c r="BD14" s="169"/>
      <c r="BE14" s="169"/>
      <c r="BF14" s="169"/>
      <c r="BG14" s="169"/>
      <c r="BH14" s="169"/>
      <c r="BI14" s="169"/>
      <c r="BJ14" s="169"/>
      <c r="BK14" s="169"/>
      <c r="BL14" s="169"/>
      <c r="BM14" s="169"/>
      <c r="BN14" s="169"/>
      <c r="BO14" s="169"/>
      <c r="BP14" s="169"/>
      <c r="BQ14" s="169"/>
      <c r="BR14" s="169"/>
      <c r="BS14" s="169"/>
      <c r="BT14" s="169"/>
      <c r="BU14" s="169"/>
      <c r="BV14" s="169"/>
      <c r="BW14" s="169"/>
      <c r="BX14" s="169"/>
      <c r="BY14" s="169"/>
      <c r="BZ14" s="169"/>
      <c r="CA14" s="169"/>
      <c r="CB14" s="169"/>
      <c r="CC14" s="169"/>
      <c r="CD14" s="169"/>
      <c r="CE14" s="169"/>
      <c r="CF14" s="169"/>
      <c r="CG14" s="169"/>
      <c r="CH14" s="169"/>
      <c r="CI14" s="169"/>
      <c r="CJ14" s="169"/>
      <c r="CK14" s="169"/>
      <c r="CL14" s="169"/>
      <c r="CM14" s="169"/>
      <c r="CN14" s="169"/>
      <c r="CO14" s="169"/>
      <c r="CP14" s="169"/>
      <c r="CQ14" s="169"/>
      <c r="CR14" s="169"/>
      <c r="CS14" s="169"/>
      <c r="CT14" s="169"/>
      <c r="CU14" s="169"/>
      <c r="CV14" s="169"/>
      <c r="CW14" s="169"/>
      <c r="CX14" s="169"/>
      <c r="CY14" s="169"/>
      <c r="CZ14" s="169"/>
      <c r="DA14" s="169"/>
      <c r="DB14" s="169"/>
      <c r="DC14" s="169"/>
      <c r="DD14" s="169"/>
      <c r="DE14" s="169"/>
      <c r="DF14" s="169"/>
      <c r="DG14" s="169"/>
      <c r="DH14" s="169"/>
      <c r="DI14" s="169"/>
      <c r="DJ14" s="169"/>
      <c r="DK14" s="169"/>
      <c r="DL14" s="169"/>
      <c r="DM14" s="169"/>
      <c r="DN14" s="169"/>
      <c r="DO14" s="169"/>
      <c r="DP14" s="169"/>
      <c r="DQ14" s="169"/>
      <c r="DR14" s="169"/>
      <c r="DS14" s="169"/>
      <c r="DT14" s="169"/>
      <c r="DU14" s="169"/>
      <c r="DV14" s="169"/>
      <c r="DW14" s="169"/>
      <c r="DX14" s="169"/>
      <c r="DY14" s="169"/>
      <c r="DZ14" s="169"/>
      <c r="EA14" s="169"/>
      <c r="EB14" s="169"/>
      <c r="EC14" s="169"/>
      <c r="ED14" s="169"/>
      <c r="EE14" s="169"/>
      <c r="EF14" s="169"/>
      <c r="EG14" s="169"/>
    </row>
    <row r="15" spans="1:137" s="170" customFormat="1" ht="15.75" hidden="1" outlineLevel="1">
      <c r="A15" s="877" t="s">
        <v>52</v>
      </c>
      <c r="B15" s="568"/>
      <c r="C15" s="568"/>
      <c r="D15" s="568"/>
      <c r="E15" s="568"/>
      <c r="F15" s="568"/>
      <c r="G15" s="568"/>
      <c r="H15" s="568"/>
      <c r="I15" s="753"/>
      <c r="J15" s="166"/>
      <c r="K15" s="169"/>
      <c r="L15" s="169"/>
      <c r="M15" s="169"/>
      <c r="N15" s="169"/>
      <c r="O15" s="169"/>
      <c r="P15" s="169"/>
      <c r="Q15" s="169"/>
      <c r="R15" s="169"/>
      <c r="S15" s="169"/>
      <c r="T15" s="169"/>
      <c r="U15" s="169"/>
      <c r="V15" s="169"/>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69"/>
      <c r="BF15" s="169"/>
      <c r="BG15" s="169"/>
      <c r="BH15" s="169"/>
      <c r="BI15" s="169"/>
      <c r="BJ15" s="169"/>
      <c r="BK15" s="169"/>
      <c r="BL15" s="169"/>
      <c r="BM15" s="169"/>
      <c r="BN15" s="169"/>
      <c r="BO15" s="169"/>
      <c r="BP15" s="169"/>
      <c r="BQ15" s="169"/>
      <c r="BR15" s="169"/>
      <c r="BS15" s="169"/>
      <c r="BT15" s="169"/>
      <c r="BU15" s="169"/>
      <c r="BV15" s="169"/>
      <c r="BW15" s="169"/>
      <c r="BX15" s="169"/>
      <c r="BY15" s="169"/>
      <c r="BZ15" s="169"/>
      <c r="CA15" s="169"/>
      <c r="CB15" s="169"/>
      <c r="CC15" s="169"/>
      <c r="CD15" s="169"/>
      <c r="CE15" s="169"/>
      <c r="CF15" s="169"/>
      <c r="CG15" s="169"/>
      <c r="CH15" s="169"/>
      <c r="CI15" s="169"/>
      <c r="CJ15" s="169"/>
      <c r="CK15" s="169"/>
      <c r="CL15" s="169"/>
      <c r="CM15" s="169"/>
      <c r="CN15" s="169"/>
      <c r="CO15" s="169"/>
      <c r="CP15" s="169"/>
      <c r="CQ15" s="169"/>
      <c r="CR15" s="169"/>
      <c r="CS15" s="169"/>
      <c r="CT15" s="169"/>
      <c r="CU15" s="169"/>
      <c r="CV15" s="169"/>
      <c r="CW15" s="169"/>
      <c r="CX15" s="169"/>
      <c r="CY15" s="169"/>
      <c r="CZ15" s="169"/>
      <c r="DA15" s="169"/>
      <c r="DB15" s="169"/>
      <c r="DC15" s="169"/>
      <c r="DD15" s="169"/>
      <c r="DE15" s="169"/>
      <c r="DF15" s="169"/>
      <c r="DG15" s="169"/>
      <c r="DH15" s="169"/>
      <c r="DI15" s="169"/>
      <c r="DJ15" s="169"/>
      <c r="DK15" s="169"/>
      <c r="DL15" s="169"/>
      <c r="DM15" s="169"/>
      <c r="DN15" s="169"/>
      <c r="DO15" s="169"/>
      <c r="DP15" s="169"/>
      <c r="DQ15" s="169"/>
      <c r="DR15" s="169"/>
      <c r="DS15" s="169"/>
      <c r="DT15" s="169"/>
      <c r="DU15" s="169"/>
      <c r="DV15" s="169"/>
      <c r="DW15" s="169"/>
      <c r="DX15" s="169"/>
      <c r="DY15" s="169"/>
      <c r="DZ15" s="169"/>
      <c r="EA15" s="169"/>
      <c r="EB15" s="169"/>
      <c r="EC15" s="169"/>
      <c r="ED15" s="169"/>
      <c r="EE15" s="169"/>
      <c r="EF15" s="169"/>
      <c r="EG15" s="169"/>
    </row>
    <row r="16" spans="1:137" s="170" customFormat="1" ht="57" hidden="1" outlineLevel="2">
      <c r="A16" s="537" t="s">
        <v>93</v>
      </c>
      <c r="B16" s="869" t="s">
        <v>94</v>
      </c>
      <c r="C16" s="869" t="s">
        <v>95</v>
      </c>
      <c r="D16" s="869" t="s">
        <v>142</v>
      </c>
      <c r="E16" s="869" t="s">
        <v>96</v>
      </c>
      <c r="F16" s="869" t="s">
        <v>97</v>
      </c>
      <c r="G16" s="869" t="s">
        <v>98</v>
      </c>
      <c r="H16" s="869" t="s">
        <v>99</v>
      </c>
      <c r="I16" s="538" t="s">
        <v>100</v>
      </c>
      <c r="J16" s="166"/>
      <c r="K16" s="169"/>
      <c r="L16" s="169"/>
      <c r="M16" s="169"/>
      <c r="N16" s="169"/>
      <c r="O16" s="169"/>
      <c r="P16" s="169"/>
      <c r="Q16" s="169"/>
      <c r="R16" s="169"/>
      <c r="S16" s="169"/>
      <c r="T16" s="169"/>
      <c r="U16" s="169"/>
      <c r="V16" s="169"/>
      <c r="W16" s="169"/>
      <c r="X16" s="169"/>
      <c r="Y16" s="169"/>
      <c r="Z16" s="169"/>
      <c r="AA16" s="169"/>
      <c r="AB16" s="169"/>
      <c r="AC16" s="169"/>
      <c r="AD16" s="169"/>
      <c r="AE16" s="169"/>
      <c r="AF16" s="169"/>
      <c r="AG16" s="169"/>
      <c r="AH16" s="169"/>
      <c r="AI16" s="169"/>
      <c r="AJ16" s="169"/>
      <c r="AK16" s="169"/>
      <c r="AL16" s="169"/>
      <c r="AM16" s="169"/>
      <c r="AN16" s="169"/>
      <c r="AO16" s="169"/>
      <c r="AP16" s="169"/>
      <c r="AQ16" s="169"/>
      <c r="AR16" s="169"/>
      <c r="AS16" s="169"/>
      <c r="AT16" s="169"/>
      <c r="AU16" s="169"/>
      <c r="AV16" s="169"/>
      <c r="AW16" s="169"/>
      <c r="AX16" s="169"/>
      <c r="AY16" s="169"/>
      <c r="AZ16" s="169"/>
      <c r="BA16" s="169"/>
      <c r="BB16" s="169"/>
      <c r="BC16" s="169"/>
      <c r="BD16" s="169"/>
      <c r="BE16" s="169"/>
      <c r="BF16" s="169"/>
      <c r="BG16" s="169"/>
      <c r="BH16" s="169"/>
      <c r="BI16" s="169"/>
      <c r="BJ16" s="169"/>
      <c r="BK16" s="169"/>
      <c r="BL16" s="169"/>
      <c r="BM16" s="169"/>
      <c r="BN16" s="169"/>
      <c r="BO16" s="169"/>
      <c r="BP16" s="169"/>
      <c r="BQ16" s="169"/>
      <c r="BR16" s="169"/>
      <c r="BS16" s="169"/>
      <c r="BT16" s="169"/>
      <c r="BU16" s="169"/>
      <c r="BV16" s="169"/>
      <c r="BW16" s="169"/>
      <c r="BX16" s="169"/>
      <c r="BY16" s="169"/>
      <c r="BZ16" s="169"/>
      <c r="CA16" s="169"/>
      <c r="CB16" s="169"/>
      <c r="CC16" s="169"/>
      <c r="CD16" s="169"/>
      <c r="CE16" s="169"/>
      <c r="CF16" s="169"/>
      <c r="CG16" s="169"/>
      <c r="CH16" s="169"/>
      <c r="CI16" s="169"/>
      <c r="CJ16" s="169"/>
      <c r="CK16" s="169"/>
      <c r="CL16" s="169"/>
      <c r="CM16" s="169"/>
      <c r="CN16" s="169"/>
      <c r="CO16" s="169"/>
      <c r="CP16" s="169"/>
      <c r="CQ16" s="169"/>
      <c r="CR16" s="169"/>
      <c r="CS16" s="169"/>
      <c r="CT16" s="169"/>
      <c r="CU16" s="169"/>
      <c r="CV16" s="169"/>
      <c r="CW16" s="169"/>
      <c r="CX16" s="169"/>
      <c r="CY16" s="169"/>
      <c r="CZ16" s="169"/>
      <c r="DA16" s="169"/>
      <c r="DB16" s="169"/>
      <c r="DC16" s="169"/>
      <c r="DD16" s="169"/>
      <c r="DE16" s="169"/>
      <c r="DF16" s="169"/>
      <c r="DG16" s="169"/>
      <c r="DH16" s="169"/>
      <c r="DI16" s="169"/>
      <c r="DJ16" s="169"/>
      <c r="DK16" s="169"/>
      <c r="DL16" s="169"/>
      <c r="DM16" s="169"/>
      <c r="DN16" s="169"/>
      <c r="DO16" s="169"/>
      <c r="DP16" s="169"/>
      <c r="DQ16" s="169"/>
      <c r="DR16" s="169"/>
      <c r="DS16" s="169"/>
      <c r="DT16" s="169"/>
      <c r="DU16" s="169"/>
      <c r="DV16" s="169"/>
      <c r="DW16" s="169"/>
      <c r="DX16" s="169"/>
      <c r="DY16" s="169"/>
      <c r="DZ16" s="169"/>
      <c r="EA16" s="169"/>
      <c r="EB16" s="169"/>
      <c r="EC16" s="169"/>
      <c r="ED16" s="169"/>
      <c r="EE16" s="169"/>
      <c r="EF16" s="169"/>
      <c r="EG16" s="169"/>
    </row>
    <row r="17" spans="1:137" s="168" customFormat="1" ht="127.15" hidden="1" customHeight="1" outlineLevel="2">
      <c r="A17" s="754" t="s">
        <v>105</v>
      </c>
      <c r="B17" s="747" t="s">
        <v>532</v>
      </c>
      <c r="C17" s="747" t="s">
        <v>106</v>
      </c>
      <c r="D17" s="747" t="s">
        <v>442</v>
      </c>
      <c r="E17" s="747" t="s">
        <v>635</v>
      </c>
      <c r="F17" s="748" t="s">
        <v>694</v>
      </c>
      <c r="G17" s="746" t="s">
        <v>1261</v>
      </c>
      <c r="H17" s="745" t="s">
        <v>476</v>
      </c>
      <c r="I17" s="856" t="s">
        <v>1267</v>
      </c>
      <c r="J17" s="166"/>
      <c r="K17" s="166"/>
      <c r="L17" s="166"/>
      <c r="M17" s="166"/>
      <c r="N17" s="166"/>
      <c r="O17" s="166"/>
      <c r="P17" s="166"/>
      <c r="Q17" s="166"/>
      <c r="R17" s="166"/>
      <c r="S17" s="166"/>
      <c r="T17" s="166"/>
      <c r="U17" s="166"/>
      <c r="V17" s="167"/>
      <c r="W17" s="167"/>
      <c r="X17" s="167"/>
      <c r="Y17" s="167"/>
      <c r="Z17" s="167"/>
      <c r="AA17" s="167"/>
      <c r="AB17" s="167"/>
      <c r="AC17" s="167"/>
      <c r="AD17" s="167"/>
      <c r="AE17" s="167"/>
      <c r="AF17" s="167"/>
      <c r="AG17" s="167"/>
      <c r="AH17" s="167"/>
      <c r="AI17" s="167"/>
      <c r="AJ17" s="167"/>
      <c r="AK17" s="167"/>
      <c r="AL17" s="167"/>
      <c r="AM17" s="167"/>
      <c r="AN17" s="167"/>
      <c r="AO17" s="167"/>
      <c r="AP17" s="167"/>
      <c r="AQ17" s="167"/>
      <c r="AR17" s="167"/>
      <c r="AS17" s="167"/>
      <c r="AT17" s="167"/>
      <c r="AU17" s="167"/>
      <c r="AV17" s="167"/>
      <c r="AW17" s="167"/>
      <c r="AX17" s="167"/>
      <c r="AY17" s="167"/>
      <c r="AZ17" s="167"/>
      <c r="BA17" s="167"/>
      <c r="BB17" s="167"/>
      <c r="BC17" s="167"/>
      <c r="BD17" s="167"/>
      <c r="BE17" s="167"/>
      <c r="BF17" s="167"/>
      <c r="BG17" s="167"/>
      <c r="BH17" s="167"/>
      <c r="BI17" s="167"/>
      <c r="BJ17" s="167"/>
      <c r="BK17" s="167"/>
      <c r="BL17" s="167"/>
      <c r="BM17" s="167"/>
      <c r="BN17" s="167"/>
      <c r="BO17" s="167"/>
      <c r="BP17" s="167"/>
      <c r="BQ17" s="167"/>
      <c r="BR17" s="167"/>
      <c r="BS17" s="167"/>
      <c r="BT17" s="167"/>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167"/>
      <c r="CS17" s="167"/>
      <c r="CT17" s="167"/>
      <c r="CU17" s="167"/>
      <c r="CV17" s="167"/>
      <c r="CW17" s="167"/>
      <c r="CX17" s="167"/>
      <c r="CY17" s="167"/>
      <c r="CZ17" s="167"/>
      <c r="DA17" s="167"/>
      <c r="DB17" s="167"/>
      <c r="DC17" s="167"/>
      <c r="DD17" s="167"/>
      <c r="DE17" s="167"/>
      <c r="DF17" s="167"/>
      <c r="DG17" s="167"/>
      <c r="DH17" s="167"/>
      <c r="DI17" s="167"/>
      <c r="DJ17" s="167"/>
      <c r="DK17" s="167"/>
      <c r="DL17" s="167"/>
      <c r="DM17" s="167"/>
      <c r="DN17" s="167"/>
      <c r="DO17" s="167"/>
      <c r="DP17" s="167"/>
      <c r="DQ17" s="167"/>
      <c r="DR17" s="167"/>
      <c r="DS17" s="167"/>
      <c r="DT17" s="167"/>
      <c r="DU17" s="167"/>
      <c r="DV17" s="167"/>
      <c r="DW17" s="167"/>
      <c r="DX17" s="167"/>
      <c r="DY17" s="167"/>
      <c r="DZ17" s="167"/>
      <c r="EA17" s="167"/>
      <c r="EB17" s="167"/>
      <c r="EC17" s="167"/>
      <c r="ED17" s="167"/>
      <c r="EE17" s="167"/>
      <c r="EF17" s="167"/>
      <c r="EG17" s="167"/>
    </row>
    <row r="18" spans="1:137" s="168" customFormat="1" ht="96.75" hidden="1" customHeight="1" outlineLevel="2">
      <c r="A18" s="754" t="s">
        <v>107</v>
      </c>
      <c r="B18" s="747" t="s">
        <v>533</v>
      </c>
      <c r="C18" s="747" t="s">
        <v>108</v>
      </c>
      <c r="D18" s="747" t="s">
        <v>442</v>
      </c>
      <c r="E18" s="747" t="s">
        <v>635</v>
      </c>
      <c r="F18" s="748" t="s">
        <v>695</v>
      </c>
      <c r="G18" s="746" t="s">
        <v>1261</v>
      </c>
      <c r="H18" s="745" t="s">
        <v>476</v>
      </c>
      <c r="I18" s="856" t="s">
        <v>1267</v>
      </c>
      <c r="J18" s="166"/>
      <c r="K18" s="166"/>
      <c r="L18" s="166"/>
      <c r="M18" s="166"/>
      <c r="N18" s="166"/>
      <c r="O18" s="166"/>
      <c r="P18" s="166"/>
      <c r="Q18" s="166"/>
      <c r="R18" s="166"/>
      <c r="S18" s="166"/>
      <c r="T18" s="166"/>
      <c r="U18" s="166"/>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c r="CS18" s="167"/>
      <c r="CT18" s="167"/>
      <c r="CU18" s="167"/>
      <c r="CV18" s="167"/>
      <c r="CW18" s="167"/>
      <c r="CX18" s="167"/>
      <c r="CY18" s="167"/>
      <c r="CZ18" s="167"/>
      <c r="DA18" s="167"/>
      <c r="DB18" s="167"/>
      <c r="DC18" s="167"/>
      <c r="DD18" s="167"/>
      <c r="DE18" s="167"/>
      <c r="DF18" s="167"/>
      <c r="DG18" s="167"/>
      <c r="DH18" s="167"/>
      <c r="DI18" s="167"/>
      <c r="DJ18" s="167"/>
      <c r="DK18" s="167"/>
      <c r="DL18" s="167"/>
      <c r="DM18" s="167"/>
      <c r="DN18" s="167"/>
      <c r="DO18" s="167"/>
      <c r="DP18" s="167"/>
      <c r="DQ18" s="167"/>
      <c r="DR18" s="167"/>
      <c r="DS18" s="167"/>
      <c r="DT18" s="167"/>
      <c r="DU18" s="167"/>
      <c r="DV18" s="167"/>
      <c r="DW18" s="167"/>
      <c r="DX18" s="167"/>
      <c r="DY18" s="167"/>
      <c r="DZ18" s="167"/>
      <c r="EA18" s="167"/>
      <c r="EB18" s="167"/>
      <c r="EC18" s="167"/>
      <c r="ED18" s="167"/>
      <c r="EE18" s="167"/>
      <c r="EF18" s="167"/>
      <c r="EG18" s="167"/>
    </row>
    <row r="19" spans="1:137" s="168" customFormat="1" ht="270" hidden="1" outlineLevel="2">
      <c r="A19" s="754" t="s">
        <v>450</v>
      </c>
      <c r="B19" s="747" t="s">
        <v>534</v>
      </c>
      <c r="C19" s="747" t="s">
        <v>109</v>
      </c>
      <c r="D19" s="747" t="s">
        <v>442</v>
      </c>
      <c r="E19" s="749" t="s">
        <v>636</v>
      </c>
      <c r="F19" s="748" t="s">
        <v>697</v>
      </c>
      <c r="G19" s="746" t="s">
        <v>1262</v>
      </c>
      <c r="H19" s="745" t="s">
        <v>671</v>
      </c>
      <c r="I19" s="855" t="s">
        <v>1334</v>
      </c>
      <c r="J19" s="166"/>
      <c r="K19" s="166"/>
      <c r="L19" s="166"/>
      <c r="M19" s="166"/>
      <c r="N19" s="166"/>
      <c r="O19" s="166"/>
      <c r="P19" s="166"/>
      <c r="Q19" s="166"/>
      <c r="R19" s="166"/>
      <c r="S19" s="166"/>
      <c r="T19" s="166"/>
      <c r="U19" s="166"/>
      <c r="V19" s="167"/>
      <c r="W19" s="167"/>
      <c r="X19" s="167"/>
      <c r="Y19" s="167"/>
      <c r="Z19" s="167"/>
      <c r="AA19" s="167"/>
      <c r="AB19" s="167"/>
      <c r="AC19" s="167"/>
      <c r="AD19" s="167"/>
      <c r="AE19" s="167"/>
      <c r="AF19" s="167"/>
      <c r="AG19" s="167"/>
      <c r="AH19" s="167"/>
      <c r="AI19" s="167"/>
      <c r="AJ19" s="167"/>
      <c r="AK19" s="167"/>
      <c r="AL19" s="167"/>
      <c r="AM19" s="167"/>
      <c r="AN19" s="167"/>
      <c r="AO19" s="167"/>
      <c r="AP19" s="167"/>
      <c r="AQ19" s="167"/>
      <c r="AR19" s="167"/>
      <c r="AS19" s="167"/>
      <c r="AT19" s="167"/>
      <c r="AU19" s="167"/>
      <c r="AV19" s="167"/>
      <c r="AW19" s="167"/>
      <c r="AX19" s="167"/>
      <c r="AY19" s="167"/>
      <c r="AZ19" s="167"/>
      <c r="BA19" s="167"/>
      <c r="BB19" s="167"/>
      <c r="BC19" s="167"/>
      <c r="BD19" s="167"/>
      <c r="BE19" s="167"/>
      <c r="BF19" s="167"/>
      <c r="BG19" s="167"/>
      <c r="BH19" s="167"/>
      <c r="BI19" s="167"/>
      <c r="BJ19" s="167"/>
      <c r="BK19" s="167"/>
      <c r="BL19" s="167"/>
      <c r="BM19" s="167"/>
      <c r="BN19" s="167"/>
      <c r="BO19" s="167"/>
      <c r="BP19" s="167"/>
      <c r="BQ19" s="167"/>
      <c r="BR19" s="167"/>
      <c r="BS19" s="167"/>
      <c r="BT19" s="167"/>
      <c r="BU19" s="167"/>
      <c r="BV19" s="167"/>
      <c r="BW19" s="167"/>
      <c r="BX19" s="167"/>
      <c r="BY19" s="167"/>
      <c r="BZ19" s="167"/>
      <c r="CA19" s="167"/>
      <c r="CB19" s="167"/>
      <c r="CC19" s="167"/>
      <c r="CD19" s="167"/>
      <c r="CE19" s="167"/>
      <c r="CF19" s="167"/>
      <c r="CG19" s="167"/>
      <c r="CH19" s="167"/>
      <c r="CI19" s="167"/>
      <c r="CJ19" s="167"/>
      <c r="CK19" s="167"/>
      <c r="CL19" s="167"/>
      <c r="CM19" s="167"/>
      <c r="CN19" s="167"/>
      <c r="CO19" s="167"/>
      <c r="CP19" s="167"/>
      <c r="CQ19" s="167"/>
      <c r="CR19" s="167"/>
      <c r="CS19" s="167"/>
      <c r="CT19" s="167"/>
      <c r="CU19" s="167"/>
      <c r="CV19" s="167"/>
      <c r="CW19" s="167"/>
      <c r="CX19" s="167"/>
      <c r="CY19" s="167"/>
      <c r="CZ19" s="167"/>
      <c r="DA19" s="167"/>
      <c r="DB19" s="167"/>
      <c r="DC19" s="167"/>
      <c r="DD19" s="167"/>
      <c r="DE19" s="167"/>
      <c r="DF19" s="167"/>
      <c r="DG19" s="167"/>
      <c r="DH19" s="167"/>
      <c r="DI19" s="167"/>
      <c r="DJ19" s="167"/>
      <c r="DK19" s="167"/>
      <c r="DL19" s="167"/>
      <c r="DM19" s="167"/>
      <c r="DN19" s="167"/>
      <c r="DO19" s="167"/>
      <c r="DP19" s="167"/>
      <c r="DQ19" s="167"/>
      <c r="DR19" s="167"/>
      <c r="DS19" s="167"/>
      <c r="DT19" s="167"/>
      <c r="DU19" s="167"/>
      <c r="DV19" s="167"/>
      <c r="DW19" s="167"/>
      <c r="DX19" s="167"/>
      <c r="DY19" s="167"/>
      <c r="DZ19" s="167"/>
      <c r="EA19" s="167"/>
      <c r="EB19" s="167"/>
      <c r="EC19" s="167"/>
      <c r="ED19" s="167"/>
      <c r="EE19" s="167"/>
      <c r="EF19" s="167"/>
      <c r="EG19" s="167"/>
    </row>
    <row r="20" spans="1:137" s="168" customFormat="1" ht="45" hidden="1" outlineLevel="2">
      <c r="A20" s="754" t="s">
        <v>110</v>
      </c>
      <c r="B20" s="748" t="s">
        <v>698</v>
      </c>
      <c r="C20" s="747" t="s">
        <v>111</v>
      </c>
      <c r="D20" s="747" t="s">
        <v>569</v>
      </c>
      <c r="E20" s="747" t="s">
        <v>84</v>
      </c>
      <c r="F20" s="747" t="s">
        <v>570</v>
      </c>
      <c r="G20" s="747"/>
      <c r="H20" s="745"/>
      <c r="I20" s="766" t="s">
        <v>1267</v>
      </c>
      <c r="J20" s="166"/>
      <c r="K20" s="166"/>
      <c r="L20" s="166"/>
      <c r="M20" s="166"/>
      <c r="N20" s="166"/>
      <c r="O20" s="166"/>
      <c r="P20" s="166"/>
      <c r="Q20" s="166"/>
      <c r="R20" s="166"/>
      <c r="S20" s="166"/>
      <c r="T20" s="166"/>
      <c r="U20" s="166"/>
      <c r="V20" s="167"/>
      <c r="W20" s="167"/>
      <c r="X20" s="167"/>
      <c r="Y20" s="167"/>
      <c r="Z20" s="167"/>
      <c r="AA20" s="167"/>
      <c r="AB20" s="167"/>
      <c r="AC20" s="167"/>
      <c r="AD20" s="167"/>
      <c r="AE20" s="167"/>
      <c r="AF20" s="167"/>
      <c r="AG20" s="167"/>
      <c r="AH20" s="167"/>
      <c r="AI20" s="167"/>
      <c r="AJ20" s="167"/>
      <c r="AK20" s="167"/>
      <c r="AL20" s="167"/>
      <c r="AM20" s="167"/>
      <c r="AN20" s="167"/>
      <c r="AO20" s="167"/>
      <c r="AP20" s="167"/>
      <c r="AQ20" s="167"/>
      <c r="AR20" s="167"/>
      <c r="AS20" s="167"/>
      <c r="AT20" s="167"/>
      <c r="AU20" s="167"/>
      <c r="AV20" s="167"/>
      <c r="AW20" s="167"/>
      <c r="AX20" s="167"/>
      <c r="AY20" s="167"/>
      <c r="AZ20" s="167"/>
      <c r="BA20" s="16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67"/>
      <c r="CS20" s="167"/>
      <c r="CT20" s="167"/>
      <c r="CU20" s="167"/>
      <c r="CV20" s="167"/>
      <c r="CW20" s="167"/>
      <c r="CX20" s="167"/>
      <c r="CY20" s="167"/>
      <c r="CZ20" s="167"/>
      <c r="DA20" s="167"/>
      <c r="DB20" s="167"/>
      <c r="DC20" s="167"/>
      <c r="DD20" s="167"/>
      <c r="DE20" s="167"/>
      <c r="DF20" s="167"/>
      <c r="DG20" s="167"/>
      <c r="DH20" s="167"/>
      <c r="DI20" s="167"/>
      <c r="DJ20" s="167"/>
      <c r="DK20" s="167"/>
      <c r="DL20" s="167"/>
      <c r="DM20" s="167"/>
      <c r="DN20" s="167"/>
      <c r="DO20" s="167"/>
      <c r="DP20" s="167"/>
      <c r="DQ20" s="167"/>
      <c r="DR20" s="167"/>
      <c r="DS20" s="167"/>
      <c r="DT20" s="167"/>
      <c r="DU20" s="167"/>
      <c r="DV20" s="167"/>
      <c r="DW20" s="167"/>
      <c r="DX20" s="167"/>
      <c r="DY20" s="167"/>
      <c r="DZ20" s="167"/>
      <c r="EA20" s="167"/>
      <c r="EB20" s="167"/>
      <c r="EC20" s="167"/>
      <c r="ED20" s="167"/>
      <c r="EE20" s="167"/>
      <c r="EF20" s="167"/>
      <c r="EG20" s="167"/>
    </row>
    <row r="21" spans="1:137" s="168" customFormat="1" ht="90" hidden="1" outlineLevel="2">
      <c r="A21" s="754" t="s">
        <v>112</v>
      </c>
      <c r="B21" s="747" t="s">
        <v>113</v>
      </c>
      <c r="C21" s="747" t="s">
        <v>114</v>
      </c>
      <c r="D21" s="747" t="s">
        <v>442</v>
      </c>
      <c r="E21" s="747" t="s">
        <v>80</v>
      </c>
      <c r="F21" s="747" t="s">
        <v>553</v>
      </c>
      <c r="G21" s="748" t="s">
        <v>696</v>
      </c>
      <c r="H21" s="745" t="s">
        <v>476</v>
      </c>
      <c r="I21" s="766" t="s">
        <v>1267</v>
      </c>
      <c r="J21" s="363"/>
      <c r="K21" s="166"/>
      <c r="L21" s="166"/>
      <c r="M21" s="166"/>
      <c r="N21" s="166"/>
      <c r="O21" s="166"/>
      <c r="P21" s="166"/>
      <c r="Q21" s="166"/>
      <c r="R21" s="166"/>
      <c r="S21" s="166"/>
      <c r="T21" s="166"/>
      <c r="U21" s="166"/>
      <c r="V21" s="167"/>
      <c r="W21" s="167"/>
      <c r="X21" s="167"/>
      <c r="Y21" s="167"/>
      <c r="Z21" s="167"/>
      <c r="AA21" s="167"/>
      <c r="AB21" s="167"/>
      <c r="AC21" s="167"/>
      <c r="AD21" s="167"/>
      <c r="AE21" s="167"/>
      <c r="AF21" s="167"/>
      <c r="AG21" s="167"/>
      <c r="AH21" s="167"/>
      <c r="AI21" s="167"/>
      <c r="AJ21" s="167"/>
      <c r="AK21" s="167"/>
      <c r="AL21" s="167"/>
      <c r="AM21" s="167"/>
      <c r="AN21" s="167"/>
      <c r="AO21" s="167"/>
      <c r="AP21" s="167"/>
      <c r="AQ21" s="167"/>
      <c r="AR21" s="167"/>
      <c r="AS21" s="167"/>
      <c r="AT21" s="167"/>
      <c r="AU21" s="167"/>
      <c r="AV21" s="167"/>
      <c r="AW21" s="167"/>
      <c r="AX21" s="167"/>
      <c r="AY21" s="167"/>
      <c r="AZ21" s="167"/>
      <c r="BA21" s="167"/>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67"/>
      <c r="CS21" s="167"/>
      <c r="CT21" s="167"/>
      <c r="CU21" s="167"/>
      <c r="CV21" s="167"/>
      <c r="CW21" s="167"/>
      <c r="CX21" s="167"/>
      <c r="CY21" s="167"/>
      <c r="CZ21" s="167"/>
      <c r="DA21" s="167"/>
      <c r="DB21" s="167"/>
      <c r="DC21" s="167"/>
      <c r="DD21" s="167"/>
      <c r="DE21" s="167"/>
      <c r="DF21" s="167"/>
      <c r="DG21" s="167"/>
      <c r="DH21" s="167"/>
      <c r="DI21" s="167"/>
      <c r="DJ21" s="167"/>
      <c r="DK21" s="167"/>
      <c r="DL21" s="167"/>
      <c r="DM21" s="167"/>
      <c r="DN21" s="167"/>
      <c r="DO21" s="167"/>
      <c r="DP21" s="167"/>
      <c r="DQ21" s="167"/>
      <c r="DR21" s="167"/>
      <c r="DS21" s="167"/>
      <c r="DT21" s="167"/>
      <c r="DU21" s="167"/>
      <c r="DV21" s="167"/>
      <c r="DW21" s="167"/>
      <c r="DX21" s="167"/>
      <c r="DY21" s="167"/>
      <c r="DZ21" s="167"/>
      <c r="EA21" s="167"/>
      <c r="EB21" s="167"/>
      <c r="EC21" s="167"/>
      <c r="ED21" s="167"/>
      <c r="EE21" s="167"/>
      <c r="EF21" s="167"/>
      <c r="EG21" s="167"/>
    </row>
    <row r="22" spans="1:137" s="168" customFormat="1" ht="90" hidden="1" outlineLevel="2">
      <c r="A22" s="754" t="s">
        <v>112</v>
      </c>
      <c r="B22" s="747" t="s">
        <v>115</v>
      </c>
      <c r="C22" s="747" t="s">
        <v>108</v>
      </c>
      <c r="D22" s="747" t="s">
        <v>442</v>
      </c>
      <c r="E22" s="747" t="s">
        <v>80</v>
      </c>
      <c r="F22" s="747" t="s">
        <v>554</v>
      </c>
      <c r="G22" s="748" t="s">
        <v>696</v>
      </c>
      <c r="H22" s="745" t="s">
        <v>476</v>
      </c>
      <c r="I22" s="766" t="s">
        <v>1267</v>
      </c>
      <c r="J22" s="363"/>
      <c r="K22" s="166"/>
      <c r="L22" s="166"/>
      <c r="M22" s="166"/>
      <c r="N22" s="166"/>
      <c r="O22" s="166"/>
      <c r="P22" s="166"/>
      <c r="Q22" s="166"/>
      <c r="R22" s="166"/>
      <c r="S22" s="166"/>
      <c r="T22" s="166"/>
      <c r="U22" s="166"/>
      <c r="V22" s="167"/>
      <c r="W22" s="167"/>
      <c r="X22" s="167"/>
      <c r="Y22" s="167"/>
      <c r="Z22" s="167"/>
      <c r="AA22" s="167"/>
      <c r="AB22" s="167"/>
      <c r="AC22" s="167"/>
      <c r="AD22" s="167"/>
      <c r="AE22" s="167"/>
      <c r="AF22" s="167"/>
      <c r="AG22" s="167"/>
      <c r="AH22" s="167"/>
      <c r="AI22" s="167"/>
      <c r="AJ22" s="167"/>
      <c r="AK22" s="167"/>
      <c r="AL22" s="167"/>
      <c r="AM22" s="167"/>
      <c r="AN22" s="167"/>
      <c r="AO22" s="167"/>
      <c r="AP22" s="167"/>
      <c r="AQ22" s="167"/>
      <c r="AR22" s="167"/>
      <c r="AS22" s="167"/>
      <c r="AT22" s="167"/>
      <c r="AU22" s="167"/>
      <c r="AV22" s="167"/>
      <c r="AW22" s="167"/>
      <c r="AX22" s="167"/>
      <c r="AY22" s="167"/>
      <c r="AZ22" s="167"/>
      <c r="BA22" s="167"/>
      <c r="BB22" s="167"/>
      <c r="BC22" s="167"/>
      <c r="BD22" s="167"/>
      <c r="BE22" s="167"/>
      <c r="BF22" s="167"/>
      <c r="BG22" s="167"/>
      <c r="BH22" s="167"/>
      <c r="BI22" s="167"/>
      <c r="BJ22" s="167"/>
      <c r="BK22" s="167"/>
      <c r="BL22" s="167"/>
      <c r="BM22" s="167"/>
      <c r="BN22" s="167"/>
      <c r="BO22" s="167"/>
      <c r="BP22" s="167"/>
      <c r="BQ22" s="167"/>
      <c r="BR22" s="167"/>
      <c r="BS22" s="167"/>
      <c r="BT22" s="167"/>
      <c r="BU22" s="167"/>
      <c r="BV22" s="167"/>
      <c r="BW22" s="167"/>
      <c r="BX22" s="167"/>
      <c r="BY22" s="167"/>
      <c r="BZ22" s="167"/>
      <c r="CA22" s="167"/>
      <c r="CB22" s="167"/>
      <c r="CC22" s="167"/>
      <c r="CD22" s="167"/>
      <c r="CE22" s="167"/>
      <c r="CF22" s="167"/>
      <c r="CG22" s="167"/>
      <c r="CH22" s="167"/>
      <c r="CI22" s="167"/>
      <c r="CJ22" s="167"/>
      <c r="CK22" s="167"/>
      <c r="CL22" s="167"/>
      <c r="CM22" s="167"/>
      <c r="CN22" s="167"/>
      <c r="CO22" s="167"/>
      <c r="CP22" s="167"/>
      <c r="CQ22" s="167"/>
      <c r="CR22" s="167"/>
      <c r="CS22" s="167"/>
      <c r="CT22" s="167"/>
      <c r="CU22" s="167"/>
      <c r="CV22" s="167"/>
      <c r="CW22" s="167"/>
      <c r="CX22" s="167"/>
      <c r="CY22" s="167"/>
      <c r="CZ22" s="167"/>
      <c r="DA22" s="167"/>
      <c r="DB22" s="167"/>
      <c r="DC22" s="167"/>
      <c r="DD22" s="167"/>
      <c r="DE22" s="167"/>
      <c r="DF22" s="167"/>
      <c r="DG22" s="167"/>
      <c r="DH22" s="167"/>
      <c r="DI22" s="167"/>
      <c r="DJ22" s="167"/>
      <c r="DK22" s="167"/>
      <c r="DL22" s="167"/>
      <c r="DM22" s="167"/>
      <c r="DN22" s="167"/>
      <c r="DO22" s="167"/>
      <c r="DP22" s="167"/>
      <c r="DQ22" s="167"/>
      <c r="DR22" s="167"/>
      <c r="DS22" s="167"/>
      <c r="DT22" s="167"/>
      <c r="DU22" s="167"/>
      <c r="DV22" s="167"/>
      <c r="DW22" s="167"/>
      <c r="DX22" s="167"/>
      <c r="DY22" s="167"/>
      <c r="DZ22" s="167"/>
      <c r="EA22" s="167"/>
      <c r="EB22" s="167"/>
      <c r="EC22" s="167"/>
      <c r="ED22" s="167"/>
      <c r="EE22" s="167"/>
      <c r="EF22" s="167"/>
      <c r="EG22" s="167"/>
    </row>
    <row r="23" spans="1:137" s="168" customFormat="1" ht="30" hidden="1" outlineLevel="2">
      <c r="A23" s="754" t="s">
        <v>116</v>
      </c>
      <c r="B23" s="747" t="s">
        <v>451</v>
      </c>
      <c r="C23" s="747" t="s">
        <v>114</v>
      </c>
      <c r="D23" s="747" t="s">
        <v>569</v>
      </c>
      <c r="E23" s="747" t="s">
        <v>84</v>
      </c>
      <c r="F23" s="747" t="s">
        <v>570</v>
      </c>
      <c r="G23" s="747"/>
      <c r="H23" s="745"/>
      <c r="I23" s="755" t="s">
        <v>63</v>
      </c>
      <c r="J23" s="166"/>
      <c r="K23" s="166"/>
      <c r="L23" s="166"/>
      <c r="M23" s="166"/>
      <c r="N23" s="166"/>
      <c r="O23" s="166"/>
      <c r="P23" s="166"/>
      <c r="Q23" s="166"/>
      <c r="R23" s="166"/>
      <c r="S23" s="166"/>
      <c r="T23" s="166"/>
      <c r="U23" s="166"/>
      <c r="V23" s="167"/>
      <c r="W23" s="167"/>
      <c r="X23" s="167"/>
      <c r="Y23" s="167"/>
      <c r="Z23" s="167"/>
      <c r="AA23" s="167"/>
      <c r="AB23" s="167"/>
      <c r="AC23" s="167"/>
      <c r="AD23" s="167"/>
      <c r="AE23" s="167"/>
      <c r="AF23" s="167"/>
      <c r="AG23" s="167"/>
      <c r="AH23" s="167"/>
      <c r="AI23" s="167"/>
      <c r="AJ23" s="167"/>
      <c r="AK23" s="167"/>
      <c r="AL23" s="167"/>
      <c r="AM23" s="167"/>
      <c r="AN23" s="167"/>
      <c r="AO23" s="167"/>
      <c r="AP23" s="167"/>
      <c r="AQ23" s="167"/>
      <c r="AR23" s="167"/>
      <c r="AS23" s="167"/>
      <c r="AT23" s="167"/>
      <c r="AU23" s="167"/>
      <c r="AV23" s="167"/>
      <c r="AW23" s="167"/>
      <c r="AX23" s="167"/>
      <c r="AY23" s="167"/>
      <c r="AZ23" s="167"/>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167"/>
      <c r="CL23" s="167"/>
      <c r="CM23" s="167"/>
      <c r="CN23" s="167"/>
      <c r="CO23" s="167"/>
      <c r="CP23" s="167"/>
      <c r="CQ23" s="167"/>
      <c r="CR23" s="167"/>
      <c r="CS23" s="167"/>
      <c r="CT23" s="167"/>
      <c r="CU23" s="167"/>
      <c r="CV23" s="167"/>
      <c r="CW23" s="167"/>
      <c r="CX23" s="167"/>
      <c r="CY23" s="167"/>
      <c r="CZ23" s="167"/>
      <c r="DA23" s="167"/>
      <c r="DB23" s="167"/>
      <c r="DC23" s="167"/>
      <c r="DD23" s="167"/>
      <c r="DE23" s="167"/>
      <c r="DF23" s="167"/>
      <c r="DG23" s="167"/>
      <c r="DH23" s="167"/>
      <c r="DI23" s="167"/>
      <c r="DJ23" s="167"/>
      <c r="DK23" s="167"/>
      <c r="DL23" s="167"/>
      <c r="DM23" s="167"/>
      <c r="DN23" s="167"/>
      <c r="DO23" s="167"/>
      <c r="DP23" s="167"/>
      <c r="DQ23" s="167"/>
      <c r="DR23" s="167"/>
      <c r="DS23" s="167"/>
      <c r="DT23" s="167"/>
      <c r="DU23" s="167"/>
      <c r="DV23" s="167"/>
      <c r="DW23" s="167"/>
      <c r="DX23" s="167"/>
      <c r="DY23" s="167"/>
      <c r="DZ23" s="167"/>
      <c r="EA23" s="167"/>
      <c r="EB23" s="167"/>
      <c r="EC23" s="167"/>
      <c r="ED23" s="167"/>
      <c r="EE23" s="167"/>
      <c r="EF23" s="167"/>
      <c r="EG23" s="167"/>
    </row>
    <row r="24" spans="1:137" s="168" customFormat="1" ht="30" hidden="1" outlineLevel="2">
      <c r="A24" s="754" t="s">
        <v>116</v>
      </c>
      <c r="B24" s="747" t="s">
        <v>452</v>
      </c>
      <c r="C24" s="747" t="s">
        <v>108</v>
      </c>
      <c r="D24" s="747" t="s">
        <v>569</v>
      </c>
      <c r="E24" s="747" t="s">
        <v>84</v>
      </c>
      <c r="F24" s="747" t="s">
        <v>570</v>
      </c>
      <c r="G24" s="747"/>
      <c r="H24" s="745"/>
      <c r="I24" s="755" t="s">
        <v>63</v>
      </c>
      <c r="J24" s="166"/>
      <c r="K24" s="166"/>
      <c r="L24" s="166"/>
      <c r="M24" s="166"/>
      <c r="N24" s="166"/>
      <c r="O24" s="166"/>
      <c r="P24" s="166"/>
      <c r="Q24" s="166"/>
      <c r="R24" s="166"/>
      <c r="S24" s="166"/>
      <c r="T24" s="166"/>
      <c r="U24" s="166"/>
      <c r="V24" s="167"/>
      <c r="W24" s="167"/>
      <c r="X24" s="167"/>
      <c r="Y24" s="167"/>
      <c r="Z24" s="167"/>
      <c r="AA24" s="167"/>
      <c r="AB24" s="167"/>
      <c r="AC24" s="167"/>
      <c r="AD24" s="167"/>
      <c r="AE24" s="167"/>
      <c r="AF24" s="167"/>
      <c r="AG24" s="167"/>
      <c r="AH24" s="167"/>
      <c r="AI24" s="167"/>
      <c r="AJ24" s="167"/>
      <c r="AK24" s="167"/>
      <c r="AL24" s="167"/>
      <c r="AM24" s="167"/>
      <c r="AN24" s="167"/>
      <c r="AO24" s="167"/>
      <c r="AP24" s="167"/>
      <c r="AQ24" s="167"/>
      <c r="AR24" s="167"/>
      <c r="AS24" s="167"/>
      <c r="AT24" s="167"/>
      <c r="AU24" s="167"/>
      <c r="AV24" s="167"/>
      <c r="AW24" s="167"/>
      <c r="AX24" s="167"/>
      <c r="AY24" s="167"/>
      <c r="AZ24" s="167"/>
      <c r="BA24" s="167"/>
      <c r="BB24" s="167"/>
      <c r="BC24" s="167"/>
      <c r="BD24" s="167"/>
      <c r="BE24" s="167"/>
      <c r="BF24" s="167"/>
      <c r="BG24" s="167"/>
      <c r="BH24" s="167"/>
      <c r="BI24" s="167"/>
      <c r="BJ24" s="167"/>
      <c r="BK24" s="167"/>
      <c r="BL24" s="167"/>
      <c r="BM24" s="167"/>
      <c r="BN24" s="167"/>
      <c r="BO24" s="167"/>
      <c r="BP24" s="167"/>
      <c r="BQ24" s="167"/>
      <c r="BR24" s="167"/>
      <c r="BS24" s="167"/>
      <c r="BT24" s="167"/>
      <c r="BU24" s="167"/>
      <c r="BV24" s="167"/>
      <c r="BW24" s="167"/>
      <c r="BX24" s="167"/>
      <c r="BY24" s="167"/>
      <c r="BZ24" s="167"/>
      <c r="CA24" s="167"/>
      <c r="CB24" s="167"/>
      <c r="CC24" s="167"/>
      <c r="CD24" s="167"/>
      <c r="CE24" s="167"/>
      <c r="CF24" s="167"/>
      <c r="CG24" s="167"/>
      <c r="CH24" s="167"/>
      <c r="CI24" s="167"/>
      <c r="CJ24" s="167"/>
      <c r="CK24" s="167"/>
      <c r="CL24" s="167"/>
      <c r="CM24" s="167"/>
      <c r="CN24" s="167"/>
      <c r="CO24" s="167"/>
      <c r="CP24" s="167"/>
      <c r="CQ24" s="167"/>
      <c r="CR24" s="167"/>
      <c r="CS24" s="167"/>
      <c r="CT24" s="167"/>
      <c r="CU24" s="167"/>
      <c r="CV24" s="167"/>
      <c r="CW24" s="167"/>
      <c r="CX24" s="167"/>
      <c r="CY24" s="167"/>
      <c r="CZ24" s="167"/>
      <c r="DA24" s="167"/>
      <c r="DB24" s="167"/>
      <c r="DC24" s="167"/>
      <c r="DD24" s="167"/>
      <c r="DE24" s="167"/>
      <c r="DF24" s="167"/>
      <c r="DG24" s="167"/>
      <c r="DH24" s="167"/>
      <c r="DI24" s="167"/>
      <c r="DJ24" s="167"/>
      <c r="DK24" s="167"/>
      <c r="DL24" s="167"/>
      <c r="DM24" s="167"/>
      <c r="DN24" s="167"/>
      <c r="DO24" s="167"/>
      <c r="DP24" s="167"/>
      <c r="DQ24" s="167"/>
      <c r="DR24" s="167"/>
      <c r="DS24" s="167"/>
      <c r="DT24" s="167"/>
      <c r="DU24" s="167"/>
      <c r="DV24" s="167"/>
      <c r="DW24" s="167"/>
      <c r="DX24" s="167"/>
      <c r="DY24" s="167"/>
      <c r="DZ24" s="167"/>
      <c r="EA24" s="167"/>
      <c r="EB24" s="167"/>
      <c r="EC24" s="167"/>
      <c r="ED24" s="167"/>
      <c r="EE24" s="167"/>
      <c r="EF24" s="167"/>
      <c r="EG24" s="167"/>
    </row>
    <row r="25" spans="1:137" s="168" customFormat="1" ht="60" hidden="1" outlineLevel="2">
      <c r="A25" s="754" t="s">
        <v>117</v>
      </c>
      <c r="B25" s="747">
        <v>0</v>
      </c>
      <c r="C25" s="747" t="s">
        <v>118</v>
      </c>
      <c r="D25" s="747" t="s">
        <v>569</v>
      </c>
      <c r="E25" s="747" t="s">
        <v>84</v>
      </c>
      <c r="F25" s="747" t="s">
        <v>610</v>
      </c>
      <c r="G25" s="747"/>
      <c r="H25" s="745"/>
      <c r="I25" s="755" t="s">
        <v>63</v>
      </c>
      <c r="J25" s="166"/>
      <c r="K25" s="166"/>
      <c r="L25" s="166"/>
      <c r="M25" s="166"/>
      <c r="N25" s="166"/>
      <c r="O25" s="166"/>
      <c r="P25" s="166"/>
      <c r="Q25" s="166"/>
      <c r="R25" s="166"/>
      <c r="S25" s="166"/>
      <c r="T25" s="166"/>
      <c r="U25" s="166"/>
      <c r="V25" s="167"/>
      <c r="W25" s="167"/>
      <c r="X25" s="167"/>
      <c r="Y25" s="167"/>
      <c r="Z25" s="167"/>
      <c r="AA25" s="167"/>
      <c r="AB25" s="167"/>
      <c r="AC25" s="167"/>
      <c r="AD25" s="167"/>
      <c r="AE25" s="167"/>
      <c r="AF25" s="167"/>
      <c r="AG25" s="167"/>
      <c r="AH25" s="167"/>
      <c r="AI25" s="167"/>
      <c r="AJ25" s="167"/>
      <c r="AK25" s="16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c r="CS25" s="167"/>
      <c r="CT25" s="167"/>
      <c r="CU25" s="167"/>
      <c r="CV25" s="167"/>
      <c r="CW25" s="167"/>
      <c r="CX25" s="167"/>
      <c r="CY25" s="167"/>
      <c r="CZ25" s="167"/>
      <c r="DA25" s="167"/>
      <c r="DB25" s="167"/>
      <c r="DC25" s="167"/>
      <c r="DD25" s="167"/>
      <c r="DE25" s="167"/>
      <c r="DF25" s="167"/>
      <c r="DG25" s="167"/>
      <c r="DH25" s="167"/>
      <c r="DI25" s="167"/>
      <c r="DJ25" s="167"/>
      <c r="DK25" s="167"/>
      <c r="DL25" s="167"/>
      <c r="DM25" s="167"/>
      <c r="DN25" s="167"/>
      <c r="DO25" s="167"/>
      <c r="DP25" s="167"/>
      <c r="DQ25" s="167"/>
      <c r="DR25" s="167"/>
      <c r="DS25" s="167"/>
      <c r="DT25" s="167"/>
      <c r="DU25" s="167"/>
      <c r="DV25" s="167"/>
      <c r="DW25" s="167"/>
      <c r="DX25" s="167"/>
      <c r="DY25" s="167"/>
      <c r="DZ25" s="167"/>
      <c r="EA25" s="167"/>
      <c r="EB25" s="167"/>
      <c r="EC25" s="167"/>
      <c r="ED25" s="167"/>
      <c r="EE25" s="167"/>
      <c r="EF25" s="167"/>
      <c r="EG25" s="167"/>
    </row>
    <row r="26" spans="1:137" s="168" customFormat="1" ht="194.65" hidden="1" customHeight="1" outlineLevel="2">
      <c r="A26" s="756" t="s">
        <v>1141</v>
      </c>
      <c r="B26" s="747" t="s">
        <v>453</v>
      </c>
      <c r="C26" s="747" t="s">
        <v>454</v>
      </c>
      <c r="D26" s="747" t="s">
        <v>442</v>
      </c>
      <c r="E26" s="751" t="s">
        <v>63</v>
      </c>
      <c r="F26" s="748" t="s">
        <v>699</v>
      </c>
      <c r="G26" s="750" t="s">
        <v>1142</v>
      </c>
      <c r="H26" s="745" t="s">
        <v>1143</v>
      </c>
      <c r="I26" s="855" t="s">
        <v>1267</v>
      </c>
      <c r="J26" s="389"/>
      <c r="K26" s="166"/>
      <c r="L26" s="166"/>
      <c r="M26" s="166"/>
      <c r="N26" s="166"/>
      <c r="O26" s="166"/>
      <c r="P26" s="166"/>
      <c r="Q26" s="166"/>
      <c r="R26" s="166"/>
      <c r="S26" s="166"/>
      <c r="T26" s="166"/>
      <c r="U26" s="166"/>
      <c r="V26" s="167"/>
      <c r="W26" s="167"/>
      <c r="X26" s="167"/>
      <c r="Y26" s="167"/>
      <c r="Z26" s="167"/>
      <c r="AA26" s="167"/>
      <c r="AB26" s="167"/>
      <c r="AC26" s="167"/>
      <c r="AD26" s="167"/>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67"/>
      <c r="BF26" s="167"/>
      <c r="BG26" s="167"/>
      <c r="BH26" s="167"/>
      <c r="BI26" s="167"/>
      <c r="BJ26" s="167"/>
      <c r="BK26" s="167"/>
      <c r="BL26" s="167"/>
      <c r="BM26" s="167"/>
      <c r="BN26" s="167"/>
      <c r="BO26" s="167"/>
      <c r="BP26" s="167"/>
      <c r="BQ26" s="167"/>
      <c r="BR26" s="167"/>
      <c r="BS26" s="167"/>
      <c r="BT26" s="167"/>
      <c r="BU26" s="167"/>
      <c r="BV26" s="167"/>
      <c r="BW26" s="167"/>
      <c r="BX26" s="167"/>
      <c r="BY26" s="167"/>
      <c r="BZ26" s="167"/>
      <c r="CA26" s="167"/>
      <c r="CB26" s="167"/>
      <c r="CC26" s="167"/>
      <c r="CD26" s="167"/>
      <c r="CE26" s="167"/>
      <c r="CF26" s="167"/>
      <c r="CG26" s="167"/>
      <c r="CH26" s="167"/>
      <c r="CI26" s="167"/>
      <c r="CJ26" s="167"/>
      <c r="CK26" s="167"/>
      <c r="CL26" s="167"/>
      <c r="CM26" s="167"/>
      <c r="CN26" s="167"/>
      <c r="CO26" s="167"/>
      <c r="CP26" s="167"/>
      <c r="CQ26" s="167"/>
      <c r="CR26" s="167"/>
      <c r="CS26" s="167"/>
      <c r="CT26" s="167"/>
      <c r="CU26" s="167"/>
      <c r="CV26" s="167"/>
      <c r="CW26" s="167"/>
      <c r="CX26" s="167"/>
      <c r="CY26" s="167"/>
      <c r="CZ26" s="167"/>
      <c r="DA26" s="167"/>
      <c r="DB26" s="167"/>
      <c r="DC26" s="167"/>
      <c r="DD26" s="167"/>
      <c r="DE26" s="167"/>
      <c r="DF26" s="167"/>
      <c r="DG26" s="167"/>
      <c r="DH26" s="167"/>
      <c r="DI26" s="167"/>
      <c r="DJ26" s="167"/>
      <c r="DK26" s="167"/>
      <c r="DL26" s="167"/>
      <c r="DM26" s="167"/>
      <c r="DN26" s="167"/>
      <c r="DO26" s="167"/>
      <c r="DP26" s="167"/>
      <c r="DQ26" s="167"/>
      <c r="DR26" s="167"/>
      <c r="DS26" s="167"/>
      <c r="DT26" s="167"/>
      <c r="DU26" s="167"/>
      <c r="DV26" s="167"/>
      <c r="DW26" s="167"/>
      <c r="DX26" s="167"/>
      <c r="DY26" s="167"/>
      <c r="DZ26" s="167"/>
      <c r="EA26" s="167"/>
      <c r="EB26" s="167"/>
      <c r="EC26" s="167"/>
      <c r="ED26" s="167"/>
      <c r="EE26" s="167"/>
      <c r="EF26" s="167"/>
      <c r="EG26" s="167"/>
    </row>
    <row r="27" spans="1:137" s="168" customFormat="1" ht="15.75" hidden="1" outlineLevel="1">
      <c r="A27" s="877" t="s">
        <v>68</v>
      </c>
      <c r="B27" s="568"/>
      <c r="C27" s="568"/>
      <c r="D27" s="568"/>
      <c r="E27" s="568"/>
      <c r="F27" s="568"/>
      <c r="G27" s="568"/>
      <c r="H27" s="568"/>
      <c r="I27" s="753"/>
      <c r="J27" s="166"/>
      <c r="K27" s="166"/>
      <c r="L27" s="166"/>
      <c r="M27" s="166"/>
      <c r="N27" s="166"/>
      <c r="O27" s="166"/>
      <c r="P27" s="166"/>
      <c r="Q27" s="166"/>
      <c r="R27" s="166"/>
      <c r="S27" s="166"/>
      <c r="T27" s="166"/>
      <c r="U27" s="166"/>
      <c r="V27" s="167"/>
      <c r="W27" s="167"/>
      <c r="X27" s="167"/>
      <c r="Y27" s="167"/>
      <c r="Z27" s="167"/>
      <c r="AA27" s="167"/>
      <c r="AB27" s="167"/>
      <c r="AC27" s="167"/>
      <c r="AD27" s="167"/>
      <c r="AE27" s="167"/>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c r="CS27" s="167"/>
      <c r="CT27" s="167"/>
      <c r="CU27" s="167"/>
      <c r="CV27" s="167"/>
      <c r="CW27" s="167"/>
      <c r="CX27" s="167"/>
      <c r="CY27" s="167"/>
      <c r="CZ27" s="167"/>
      <c r="DA27" s="167"/>
      <c r="DB27" s="167"/>
      <c r="DC27" s="167"/>
      <c r="DD27" s="167"/>
      <c r="DE27" s="167"/>
      <c r="DF27" s="167"/>
      <c r="DG27" s="167"/>
      <c r="DH27" s="167"/>
      <c r="DI27" s="167"/>
      <c r="DJ27" s="167"/>
      <c r="DK27" s="167"/>
      <c r="DL27" s="167"/>
      <c r="DM27" s="167"/>
      <c r="DN27" s="167"/>
      <c r="DO27" s="167"/>
      <c r="DP27" s="167"/>
      <c r="DQ27" s="167"/>
      <c r="DR27" s="167"/>
      <c r="DS27" s="167"/>
      <c r="DT27" s="167"/>
      <c r="DU27" s="167"/>
      <c r="DV27" s="167"/>
      <c r="DW27" s="167"/>
      <c r="DX27" s="167"/>
      <c r="DY27" s="167"/>
      <c r="DZ27" s="167"/>
      <c r="EA27" s="167"/>
      <c r="EB27" s="167"/>
      <c r="EC27" s="167"/>
      <c r="ED27" s="167"/>
      <c r="EE27" s="167"/>
      <c r="EF27" s="167"/>
      <c r="EG27" s="167"/>
    </row>
    <row r="28" spans="1:137" s="170" customFormat="1" ht="62.25" hidden="1" customHeight="1" outlineLevel="2">
      <c r="A28" s="537" t="s">
        <v>93</v>
      </c>
      <c r="B28" s="869" t="s">
        <v>94</v>
      </c>
      <c r="C28" s="869" t="s">
        <v>95</v>
      </c>
      <c r="D28" s="869" t="s">
        <v>142</v>
      </c>
      <c r="E28" s="869" t="s">
        <v>96</v>
      </c>
      <c r="F28" s="869" t="s">
        <v>97</v>
      </c>
      <c r="G28" s="869" t="s">
        <v>98</v>
      </c>
      <c r="H28" s="869" t="s">
        <v>99</v>
      </c>
      <c r="I28" s="538" t="s">
        <v>100</v>
      </c>
      <c r="J28" s="169"/>
      <c r="K28" s="169"/>
      <c r="L28" s="169"/>
      <c r="M28" s="169"/>
      <c r="N28" s="169"/>
      <c r="O28" s="169"/>
      <c r="P28" s="169"/>
      <c r="Q28" s="169"/>
      <c r="R28" s="169"/>
      <c r="S28" s="169"/>
      <c r="T28" s="169"/>
      <c r="U28" s="169"/>
      <c r="V28" s="169"/>
      <c r="W28" s="169"/>
      <c r="X28" s="169"/>
      <c r="Y28" s="169"/>
      <c r="Z28" s="169"/>
      <c r="AA28" s="169"/>
      <c r="AB28" s="169"/>
      <c r="AC28" s="169"/>
      <c r="AD28" s="169"/>
      <c r="AE28" s="169"/>
      <c r="AF28" s="169"/>
      <c r="AG28" s="169"/>
      <c r="AH28" s="169"/>
      <c r="AI28" s="169"/>
      <c r="AJ28" s="169"/>
      <c r="AK28" s="169"/>
      <c r="AL28" s="169"/>
      <c r="AM28" s="169"/>
      <c r="AN28" s="169"/>
      <c r="AO28" s="169"/>
      <c r="AP28" s="169"/>
      <c r="AQ28" s="169"/>
      <c r="AR28" s="169"/>
      <c r="AS28" s="169"/>
      <c r="AT28" s="169"/>
      <c r="AU28" s="169"/>
      <c r="AV28" s="169"/>
      <c r="AW28" s="169"/>
      <c r="AX28" s="169"/>
      <c r="AY28" s="169"/>
      <c r="AZ28" s="169"/>
      <c r="BA28" s="169"/>
      <c r="BB28" s="169"/>
      <c r="BC28" s="169"/>
      <c r="BD28" s="169"/>
      <c r="BE28" s="169"/>
      <c r="BF28" s="169"/>
      <c r="BG28" s="169"/>
      <c r="BH28" s="169"/>
      <c r="BI28" s="169"/>
      <c r="BJ28" s="169"/>
      <c r="BK28" s="169"/>
      <c r="BL28" s="169"/>
      <c r="BM28" s="169"/>
      <c r="BN28" s="169"/>
      <c r="BO28" s="169"/>
      <c r="BP28" s="169"/>
      <c r="BQ28" s="169"/>
      <c r="BR28" s="169"/>
      <c r="BS28" s="169"/>
      <c r="BT28" s="169"/>
      <c r="BU28" s="169"/>
      <c r="BV28" s="169"/>
      <c r="BW28" s="169"/>
      <c r="BX28" s="169"/>
      <c r="BY28" s="169"/>
      <c r="BZ28" s="169"/>
      <c r="CA28" s="169"/>
      <c r="CB28" s="169"/>
      <c r="CC28" s="169"/>
      <c r="CD28" s="169"/>
      <c r="CE28" s="169"/>
      <c r="CF28" s="169"/>
      <c r="CG28" s="169"/>
      <c r="CH28" s="169"/>
      <c r="CI28" s="169"/>
      <c r="CJ28" s="169"/>
      <c r="CK28" s="169"/>
      <c r="CL28" s="169"/>
      <c r="CM28" s="169"/>
      <c r="CN28" s="169"/>
      <c r="CO28" s="169"/>
      <c r="CP28" s="169"/>
      <c r="CQ28" s="169"/>
      <c r="CR28" s="169"/>
      <c r="CS28" s="169"/>
      <c r="CT28" s="169"/>
      <c r="CU28" s="169"/>
      <c r="CV28" s="169"/>
      <c r="CW28" s="169"/>
      <c r="CX28" s="169"/>
      <c r="CY28" s="169"/>
      <c r="CZ28" s="169"/>
      <c r="DA28" s="169"/>
      <c r="DB28" s="169"/>
      <c r="DC28" s="169"/>
      <c r="DD28" s="169"/>
      <c r="DE28" s="169"/>
      <c r="DF28" s="169"/>
      <c r="DG28" s="169"/>
      <c r="DH28" s="169"/>
      <c r="DI28" s="169"/>
      <c r="DJ28" s="169"/>
      <c r="DK28" s="169"/>
      <c r="DL28" s="169"/>
      <c r="DM28" s="169"/>
      <c r="DN28" s="169"/>
      <c r="DO28" s="169"/>
      <c r="DP28" s="169"/>
      <c r="DQ28" s="169"/>
      <c r="DR28" s="169"/>
      <c r="DS28" s="169"/>
      <c r="DT28" s="169"/>
      <c r="DU28" s="169"/>
      <c r="DV28" s="169"/>
      <c r="DW28" s="169"/>
      <c r="DX28" s="169"/>
      <c r="DY28" s="169"/>
      <c r="DZ28" s="169"/>
      <c r="EA28" s="169"/>
      <c r="EB28" s="169"/>
      <c r="EC28" s="169"/>
      <c r="ED28" s="169"/>
      <c r="EE28" s="169"/>
      <c r="EF28" s="169"/>
      <c r="EG28" s="169"/>
    </row>
    <row r="29" spans="1:137" s="168" customFormat="1" ht="104.65" hidden="1" customHeight="1" outlineLevel="2">
      <c r="A29" s="757" t="s">
        <v>119</v>
      </c>
      <c r="B29" s="500" t="s">
        <v>120</v>
      </c>
      <c r="C29" s="500" t="s">
        <v>121</v>
      </c>
      <c r="D29" s="500" t="s">
        <v>442</v>
      </c>
      <c r="E29" s="500" t="s">
        <v>63</v>
      </c>
      <c r="F29" s="500"/>
      <c r="G29" s="742" t="s">
        <v>762</v>
      </c>
      <c r="H29" s="570" t="s">
        <v>1144</v>
      </c>
      <c r="I29" s="758" t="s">
        <v>1267</v>
      </c>
      <c r="J29" s="169"/>
      <c r="K29" s="169"/>
      <c r="L29" s="167"/>
      <c r="M29" s="166"/>
      <c r="N29" s="166"/>
      <c r="O29" s="166"/>
      <c r="P29" s="166"/>
      <c r="Q29" s="166"/>
      <c r="R29" s="166"/>
      <c r="S29" s="166"/>
      <c r="T29" s="166"/>
      <c r="U29" s="166"/>
      <c r="V29" s="167"/>
      <c r="W29" s="167"/>
      <c r="X29" s="167"/>
      <c r="Y29" s="167"/>
      <c r="Z29" s="167"/>
      <c r="AA29" s="167"/>
      <c r="AB29" s="167"/>
      <c r="AC29" s="167"/>
      <c r="AD29" s="167"/>
      <c r="AE29" s="167"/>
      <c r="AF29" s="167"/>
      <c r="AG29" s="167"/>
      <c r="AH29" s="167"/>
      <c r="AI29" s="167"/>
      <c r="AJ29" s="167"/>
      <c r="AK29" s="167"/>
      <c r="AL29" s="167"/>
      <c r="AM29" s="167"/>
      <c r="AN29" s="167"/>
      <c r="AO29" s="167"/>
      <c r="AP29" s="167"/>
      <c r="AQ29" s="167"/>
      <c r="AR29" s="167"/>
      <c r="AS29" s="167"/>
      <c r="AT29" s="167"/>
      <c r="AU29" s="167"/>
      <c r="AV29" s="167"/>
      <c r="AW29" s="167"/>
      <c r="AX29" s="167"/>
      <c r="AY29" s="167"/>
      <c r="AZ29" s="167"/>
      <c r="BA29" s="167"/>
      <c r="BB29" s="167"/>
      <c r="BC29" s="167"/>
      <c r="BD29" s="167"/>
      <c r="BE29" s="167"/>
      <c r="BF29" s="167"/>
      <c r="BG29" s="167"/>
      <c r="BH29" s="167"/>
      <c r="BI29" s="167"/>
      <c r="BJ29" s="167"/>
      <c r="BK29" s="167"/>
      <c r="BL29" s="167"/>
      <c r="BM29" s="167"/>
      <c r="BN29" s="167"/>
      <c r="BO29" s="167"/>
      <c r="BP29" s="167"/>
      <c r="BQ29" s="167"/>
      <c r="BR29" s="167"/>
      <c r="BS29" s="167"/>
      <c r="BT29" s="167"/>
      <c r="BU29" s="167"/>
      <c r="BV29" s="167"/>
      <c r="BW29" s="167"/>
      <c r="BX29" s="167"/>
      <c r="BY29" s="167"/>
      <c r="BZ29" s="167"/>
      <c r="CA29" s="167"/>
      <c r="CB29" s="167"/>
      <c r="CC29" s="167"/>
      <c r="CD29" s="167"/>
      <c r="CE29" s="167"/>
      <c r="CF29" s="167"/>
      <c r="CG29" s="167"/>
      <c r="CH29" s="167"/>
      <c r="CI29" s="167"/>
      <c r="CJ29" s="167"/>
      <c r="CK29" s="167"/>
      <c r="CL29" s="167"/>
      <c r="CM29" s="167"/>
      <c r="CN29" s="167"/>
      <c r="CO29" s="167"/>
      <c r="CP29" s="167"/>
      <c r="CQ29" s="167"/>
      <c r="CR29" s="167"/>
      <c r="CS29" s="167"/>
      <c r="CT29" s="167"/>
      <c r="CU29" s="167"/>
      <c r="CV29" s="167"/>
      <c r="CW29" s="167"/>
      <c r="CX29" s="167"/>
      <c r="CY29" s="167"/>
      <c r="CZ29" s="167"/>
      <c r="DA29" s="167"/>
      <c r="DB29" s="167"/>
      <c r="DC29" s="167"/>
      <c r="DD29" s="167"/>
      <c r="DE29" s="167"/>
      <c r="DF29" s="167"/>
      <c r="DG29" s="167"/>
      <c r="DH29" s="167"/>
      <c r="DI29" s="167"/>
      <c r="DJ29" s="167"/>
      <c r="DK29" s="167"/>
      <c r="DL29" s="167"/>
      <c r="DM29" s="167"/>
      <c r="DN29" s="167"/>
      <c r="DO29" s="167"/>
      <c r="DP29" s="167"/>
      <c r="DQ29" s="167"/>
      <c r="DR29" s="167"/>
      <c r="DS29" s="167"/>
      <c r="DT29" s="167"/>
      <c r="DU29" s="167"/>
      <c r="DV29" s="167"/>
      <c r="DW29" s="167"/>
      <c r="DX29" s="167"/>
      <c r="DY29" s="167"/>
      <c r="DZ29" s="167"/>
      <c r="EA29" s="167"/>
      <c r="EB29" s="167"/>
      <c r="EC29" s="167"/>
      <c r="ED29" s="167"/>
      <c r="EE29" s="167"/>
      <c r="EF29" s="167"/>
      <c r="EG29" s="167"/>
    </row>
    <row r="30" spans="1:137" s="168" customFormat="1" ht="135" hidden="1" outlineLevel="2">
      <c r="A30" s="757" t="s">
        <v>24</v>
      </c>
      <c r="B30" s="500" t="s">
        <v>122</v>
      </c>
      <c r="C30" s="500" t="s">
        <v>121</v>
      </c>
      <c r="D30" s="500" t="s">
        <v>442</v>
      </c>
      <c r="E30" s="500" t="s">
        <v>63</v>
      </c>
      <c r="F30" s="500"/>
      <c r="G30" s="500" t="s">
        <v>556</v>
      </c>
      <c r="H30" s="769" t="s">
        <v>1271</v>
      </c>
      <c r="I30" s="758" t="s">
        <v>1267</v>
      </c>
      <c r="J30" s="169"/>
      <c r="K30" s="166"/>
      <c r="L30" s="166"/>
      <c r="M30" s="166"/>
      <c r="N30" s="166"/>
      <c r="O30" s="166"/>
      <c r="P30" s="166"/>
      <c r="Q30" s="166"/>
      <c r="R30" s="166"/>
      <c r="S30" s="166"/>
      <c r="T30" s="166"/>
      <c r="U30" s="166"/>
      <c r="V30" s="167"/>
      <c r="W30" s="167"/>
      <c r="X30" s="167"/>
      <c r="Y30" s="167"/>
      <c r="Z30" s="167"/>
      <c r="AA30" s="167"/>
      <c r="AB30" s="167"/>
      <c r="AC30" s="167"/>
      <c r="AD30" s="167"/>
      <c r="AE30" s="167"/>
      <c r="AF30" s="167"/>
      <c r="AG30" s="167"/>
      <c r="AH30" s="167"/>
      <c r="AI30" s="167"/>
      <c r="AJ30" s="167"/>
      <c r="AK30" s="167"/>
      <c r="AL30" s="167"/>
      <c r="AM30" s="167"/>
      <c r="AN30" s="167"/>
      <c r="AO30" s="167"/>
      <c r="AP30" s="167"/>
      <c r="AQ30" s="167"/>
      <c r="AR30" s="167"/>
      <c r="AS30" s="167"/>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67"/>
      <c r="CD30" s="167"/>
      <c r="CE30" s="167"/>
      <c r="CF30" s="167"/>
      <c r="CG30" s="167"/>
      <c r="CH30" s="167"/>
      <c r="CI30" s="167"/>
      <c r="CJ30" s="167"/>
      <c r="CK30" s="167"/>
      <c r="CL30" s="167"/>
      <c r="CM30" s="167"/>
      <c r="CN30" s="167"/>
      <c r="CO30" s="167"/>
      <c r="CP30" s="167"/>
      <c r="CQ30" s="167"/>
      <c r="CR30" s="167"/>
      <c r="CS30" s="167"/>
      <c r="CT30" s="167"/>
      <c r="CU30" s="167"/>
      <c r="CV30" s="167"/>
      <c r="CW30" s="167"/>
      <c r="CX30" s="167"/>
      <c r="CY30" s="167"/>
      <c r="CZ30" s="167"/>
      <c r="DA30" s="167"/>
      <c r="DB30" s="167"/>
      <c r="DC30" s="167"/>
      <c r="DD30" s="167"/>
      <c r="DE30" s="167"/>
      <c r="DF30" s="167"/>
      <c r="DG30" s="167"/>
      <c r="DH30" s="167"/>
      <c r="DI30" s="167"/>
      <c r="DJ30" s="167"/>
      <c r="DK30" s="167"/>
      <c r="DL30" s="167"/>
      <c r="DM30" s="167"/>
      <c r="DN30" s="167"/>
      <c r="DO30" s="167"/>
      <c r="DP30" s="167"/>
      <c r="DQ30" s="167"/>
      <c r="DR30" s="167"/>
      <c r="DS30" s="167"/>
      <c r="DT30" s="167"/>
      <c r="DU30" s="167"/>
      <c r="DV30" s="167"/>
      <c r="DW30" s="167"/>
      <c r="DX30" s="167"/>
      <c r="DY30" s="167"/>
      <c r="DZ30" s="167"/>
      <c r="EA30" s="167"/>
      <c r="EB30" s="167"/>
      <c r="EC30" s="167"/>
      <c r="ED30" s="167"/>
      <c r="EE30" s="167"/>
      <c r="EF30" s="167"/>
      <c r="EG30" s="167"/>
    </row>
    <row r="31" spans="1:137" s="168" customFormat="1" ht="90" hidden="1" outlineLevel="2">
      <c r="A31" s="759" t="s">
        <v>763</v>
      </c>
      <c r="B31" s="743" t="s">
        <v>455</v>
      </c>
      <c r="C31" s="743" t="s">
        <v>114</v>
      </c>
      <c r="D31" s="743" t="s">
        <v>442</v>
      </c>
      <c r="E31" s="743" t="s">
        <v>63</v>
      </c>
      <c r="F31" s="743"/>
      <c r="G31" s="566" t="s">
        <v>762</v>
      </c>
      <c r="H31" s="566" t="s">
        <v>764</v>
      </c>
      <c r="I31" s="854" t="s">
        <v>1267</v>
      </c>
      <c r="J31" s="169"/>
      <c r="K31" s="166"/>
      <c r="L31" s="166"/>
      <c r="M31" s="166"/>
      <c r="N31" s="166"/>
      <c r="O31" s="166"/>
      <c r="P31" s="166"/>
      <c r="Q31" s="166"/>
      <c r="R31" s="166"/>
      <c r="S31" s="166"/>
      <c r="T31" s="166"/>
      <c r="U31" s="166"/>
      <c r="V31" s="167"/>
      <c r="W31" s="167"/>
      <c r="X31" s="167"/>
      <c r="Y31" s="167"/>
      <c r="Z31" s="167"/>
      <c r="AA31" s="167"/>
      <c r="AB31" s="167"/>
      <c r="AC31" s="167"/>
      <c r="AD31" s="167"/>
      <c r="AE31" s="167"/>
      <c r="AF31" s="167"/>
      <c r="AG31" s="167"/>
      <c r="AH31" s="167"/>
      <c r="AI31" s="167"/>
      <c r="AJ31" s="167"/>
      <c r="AK31" s="167"/>
      <c r="AL31" s="167"/>
      <c r="AM31" s="167"/>
      <c r="AN31" s="167"/>
      <c r="AO31" s="167"/>
      <c r="AP31" s="167"/>
      <c r="AQ31" s="167"/>
      <c r="AR31" s="167"/>
      <c r="AS31" s="167"/>
      <c r="AT31" s="167"/>
      <c r="AU31" s="167"/>
      <c r="AV31" s="167"/>
      <c r="AW31" s="167"/>
      <c r="AX31" s="167"/>
      <c r="AY31" s="167"/>
      <c r="AZ31" s="167"/>
      <c r="BA31" s="167"/>
      <c r="BB31" s="167"/>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c r="CS31" s="167"/>
      <c r="CT31" s="167"/>
      <c r="CU31" s="167"/>
      <c r="CV31" s="167"/>
      <c r="CW31" s="167"/>
      <c r="CX31" s="167"/>
      <c r="CY31" s="167"/>
      <c r="CZ31" s="167"/>
      <c r="DA31" s="167"/>
      <c r="DB31" s="167"/>
      <c r="DC31" s="167"/>
      <c r="DD31" s="167"/>
      <c r="DE31" s="167"/>
      <c r="DF31" s="167"/>
      <c r="DG31" s="167"/>
      <c r="DH31" s="167"/>
      <c r="DI31" s="167"/>
      <c r="DJ31" s="167"/>
      <c r="DK31" s="167"/>
      <c r="DL31" s="167"/>
      <c r="DM31" s="167"/>
      <c r="DN31" s="167"/>
      <c r="DO31" s="167"/>
      <c r="DP31" s="167"/>
      <c r="DQ31" s="167"/>
      <c r="DR31" s="167"/>
      <c r="DS31" s="167"/>
      <c r="DT31" s="167"/>
      <c r="DU31" s="167"/>
      <c r="DV31" s="167"/>
      <c r="DW31" s="167"/>
      <c r="DX31" s="167"/>
      <c r="DY31" s="167"/>
      <c r="DZ31" s="167"/>
      <c r="EA31" s="167"/>
      <c r="EB31" s="167"/>
      <c r="EC31" s="167"/>
      <c r="ED31" s="167"/>
      <c r="EE31" s="167"/>
      <c r="EF31" s="167"/>
      <c r="EG31" s="167"/>
    </row>
    <row r="32" spans="1:137" s="168" customFormat="1" ht="75" hidden="1" outlineLevel="2">
      <c r="A32" s="757" t="s">
        <v>124</v>
      </c>
      <c r="B32" s="500" t="s">
        <v>456</v>
      </c>
      <c r="C32" s="500" t="s">
        <v>114</v>
      </c>
      <c r="D32" s="500" t="s">
        <v>442</v>
      </c>
      <c r="E32" s="500" t="s">
        <v>63</v>
      </c>
      <c r="F32" s="500"/>
      <c r="G32" s="500" t="s">
        <v>556</v>
      </c>
      <c r="H32" s="500" t="s">
        <v>571</v>
      </c>
      <c r="I32" s="758" t="s">
        <v>1270</v>
      </c>
      <c r="J32" s="169"/>
      <c r="K32" s="166"/>
      <c r="L32" s="166"/>
      <c r="M32" s="166"/>
      <c r="N32" s="166"/>
      <c r="O32" s="166"/>
      <c r="P32" s="166"/>
      <c r="Q32" s="166"/>
      <c r="R32" s="166"/>
      <c r="S32" s="166"/>
      <c r="T32" s="166"/>
      <c r="U32" s="166"/>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67"/>
      <c r="BF32" s="167"/>
      <c r="BG32" s="167"/>
      <c r="BH32" s="167"/>
      <c r="BI32" s="167"/>
      <c r="BJ32" s="167"/>
      <c r="BK32" s="167"/>
      <c r="BL32" s="167"/>
      <c r="BM32" s="167"/>
      <c r="BN32" s="167"/>
      <c r="BO32" s="167"/>
      <c r="BP32" s="167"/>
      <c r="BQ32" s="167"/>
      <c r="BR32" s="167"/>
      <c r="BS32" s="167"/>
      <c r="BT32" s="167"/>
      <c r="BU32" s="167"/>
      <c r="BV32" s="167"/>
      <c r="BW32" s="167"/>
      <c r="BX32" s="167"/>
      <c r="BY32" s="167"/>
      <c r="BZ32" s="167"/>
      <c r="CA32" s="167"/>
      <c r="CB32" s="167"/>
      <c r="CC32" s="167"/>
      <c r="CD32" s="167"/>
      <c r="CE32" s="167"/>
      <c r="CF32" s="167"/>
      <c r="CG32" s="167"/>
      <c r="CH32" s="167"/>
      <c r="CI32" s="167"/>
      <c r="CJ32" s="167"/>
      <c r="CK32" s="167"/>
      <c r="CL32" s="167"/>
      <c r="CM32" s="167"/>
      <c r="CN32" s="167"/>
      <c r="CO32" s="167"/>
      <c r="CP32" s="167"/>
      <c r="CQ32" s="167"/>
      <c r="CR32" s="167"/>
      <c r="CS32" s="167"/>
      <c r="CT32" s="167"/>
      <c r="CU32" s="167"/>
      <c r="CV32" s="167"/>
      <c r="CW32" s="167"/>
      <c r="CX32" s="167"/>
      <c r="CY32" s="167"/>
      <c r="CZ32" s="167"/>
      <c r="DA32" s="167"/>
      <c r="DB32" s="167"/>
      <c r="DC32" s="167"/>
      <c r="DD32" s="167"/>
      <c r="DE32" s="167"/>
      <c r="DF32" s="167"/>
      <c r="DG32" s="167"/>
      <c r="DH32" s="167"/>
      <c r="DI32" s="167"/>
      <c r="DJ32" s="167"/>
      <c r="DK32" s="167"/>
      <c r="DL32" s="167"/>
      <c r="DM32" s="167"/>
      <c r="DN32" s="167"/>
      <c r="DO32" s="167"/>
      <c r="DP32" s="167"/>
      <c r="DQ32" s="167"/>
      <c r="DR32" s="167"/>
      <c r="DS32" s="167"/>
      <c r="DT32" s="167"/>
      <c r="DU32" s="167"/>
      <c r="DV32" s="167"/>
      <c r="DW32" s="167"/>
      <c r="DX32" s="167"/>
      <c r="DY32" s="167"/>
      <c r="DZ32" s="167"/>
      <c r="EA32" s="167"/>
      <c r="EB32" s="167"/>
      <c r="EC32" s="167"/>
      <c r="ED32" s="167"/>
      <c r="EE32" s="167"/>
      <c r="EF32" s="167"/>
      <c r="EG32" s="167"/>
    </row>
    <row r="33" spans="1:271" s="168" customFormat="1" ht="71.25" hidden="1" outlineLevel="2">
      <c r="A33" s="757" t="s">
        <v>124</v>
      </c>
      <c r="B33" s="500" t="s">
        <v>457</v>
      </c>
      <c r="C33" s="500" t="s">
        <v>125</v>
      </c>
      <c r="D33" s="744" t="s">
        <v>442</v>
      </c>
      <c r="E33" s="500"/>
      <c r="F33" s="500"/>
      <c r="G33" s="453" t="s">
        <v>1146</v>
      </c>
      <c r="H33" s="453" t="s">
        <v>1145</v>
      </c>
      <c r="I33" s="758" t="s">
        <v>1270</v>
      </c>
      <c r="J33" s="169"/>
      <c r="K33" s="166"/>
      <c r="L33" s="166"/>
      <c r="M33" s="166"/>
      <c r="N33" s="166"/>
      <c r="O33" s="166"/>
      <c r="P33" s="166"/>
      <c r="Q33" s="166"/>
      <c r="R33" s="166"/>
      <c r="S33" s="166"/>
      <c r="T33" s="166"/>
      <c r="U33" s="166"/>
      <c r="V33" s="167"/>
      <c r="W33" s="167"/>
      <c r="X33" s="167"/>
      <c r="Y33" s="167"/>
      <c r="Z33" s="167"/>
      <c r="AA33" s="167"/>
      <c r="AB33" s="167"/>
      <c r="AC33" s="167"/>
      <c r="AD33" s="167"/>
      <c r="AE33" s="16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167"/>
      <c r="BF33" s="167"/>
      <c r="BG33" s="167"/>
      <c r="BH33" s="167"/>
      <c r="BI33" s="167"/>
      <c r="BJ33" s="167"/>
      <c r="BK33" s="167"/>
      <c r="BL33" s="167"/>
      <c r="BM33" s="167"/>
      <c r="BN33" s="167"/>
      <c r="BO33" s="167"/>
      <c r="BP33" s="167"/>
      <c r="BQ33" s="167"/>
      <c r="BR33" s="167"/>
      <c r="BS33" s="167"/>
      <c r="BT33" s="167"/>
      <c r="BU33" s="167"/>
      <c r="BV33" s="167"/>
      <c r="BW33" s="167"/>
      <c r="BX33" s="167"/>
      <c r="BY33" s="167"/>
      <c r="BZ33" s="167"/>
      <c r="CA33" s="167"/>
      <c r="CB33" s="167"/>
      <c r="CC33" s="167"/>
      <c r="CD33" s="167"/>
      <c r="CE33" s="167"/>
      <c r="CF33" s="167"/>
      <c r="CG33" s="167"/>
      <c r="CH33" s="167"/>
      <c r="CI33" s="167"/>
      <c r="CJ33" s="167"/>
      <c r="CK33" s="167"/>
      <c r="CL33" s="167"/>
      <c r="CM33" s="167"/>
      <c r="CN33" s="167"/>
      <c r="CO33" s="167"/>
      <c r="CP33" s="167"/>
      <c r="CQ33" s="167"/>
      <c r="CR33" s="167"/>
      <c r="CS33" s="167"/>
      <c r="CT33" s="167"/>
      <c r="CU33" s="167"/>
      <c r="CV33" s="167"/>
      <c r="CW33" s="167"/>
      <c r="CX33" s="167"/>
      <c r="CY33" s="167"/>
      <c r="CZ33" s="167"/>
      <c r="DA33" s="167"/>
      <c r="DB33" s="167"/>
      <c r="DC33" s="167"/>
      <c r="DD33" s="167"/>
      <c r="DE33" s="167"/>
      <c r="DF33" s="167"/>
      <c r="DG33" s="167"/>
      <c r="DH33" s="167"/>
      <c r="DI33" s="167"/>
      <c r="DJ33" s="167"/>
      <c r="DK33" s="167"/>
      <c r="DL33" s="167"/>
      <c r="DM33" s="167"/>
      <c r="DN33" s="167"/>
      <c r="DO33" s="167"/>
      <c r="DP33" s="167"/>
      <c r="DQ33" s="167"/>
      <c r="DR33" s="167"/>
      <c r="DS33" s="167"/>
      <c r="DT33" s="167"/>
      <c r="DU33" s="167"/>
      <c r="DV33" s="167"/>
      <c r="DW33" s="167"/>
      <c r="DX33" s="167"/>
      <c r="DY33" s="167"/>
      <c r="DZ33" s="167"/>
      <c r="EA33" s="167"/>
      <c r="EB33" s="167"/>
      <c r="EC33" s="167"/>
      <c r="ED33" s="167"/>
      <c r="EE33" s="167"/>
      <c r="EF33" s="167"/>
      <c r="EG33" s="167"/>
    </row>
    <row r="34" spans="1:271" s="171" customFormat="1" ht="30" hidden="1" outlineLevel="2">
      <c r="A34" s="757" t="s">
        <v>126</v>
      </c>
      <c r="B34" s="500" t="s">
        <v>458</v>
      </c>
      <c r="C34" s="500" t="s">
        <v>114</v>
      </c>
      <c r="D34" s="500" t="s">
        <v>569</v>
      </c>
      <c r="E34" s="500" t="s">
        <v>84</v>
      </c>
      <c r="F34" s="500" t="s">
        <v>572</v>
      </c>
      <c r="G34" s="500"/>
      <c r="H34" s="500"/>
      <c r="I34" s="760" t="s">
        <v>63</v>
      </c>
      <c r="J34" s="169"/>
      <c r="K34" s="166"/>
      <c r="L34" s="166"/>
      <c r="M34" s="166"/>
      <c r="N34" s="166"/>
      <c r="O34" s="166"/>
      <c r="P34" s="166"/>
      <c r="Q34" s="166"/>
      <c r="R34" s="166"/>
      <c r="S34" s="166"/>
      <c r="T34" s="166"/>
      <c r="U34" s="166"/>
      <c r="V34" s="167"/>
      <c r="W34" s="167"/>
      <c r="X34" s="16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167"/>
      <c r="BF34" s="167"/>
      <c r="BG34" s="167"/>
      <c r="BH34" s="167"/>
      <c r="BI34" s="167"/>
      <c r="BJ34" s="167"/>
      <c r="BK34" s="167"/>
      <c r="BL34" s="167"/>
      <c r="BM34" s="167"/>
      <c r="BN34" s="167"/>
      <c r="BO34" s="167"/>
      <c r="BP34" s="167"/>
      <c r="BQ34" s="167"/>
      <c r="BR34" s="167"/>
      <c r="BS34" s="167"/>
      <c r="BT34" s="167"/>
      <c r="BU34" s="167"/>
      <c r="BV34" s="167"/>
      <c r="BW34" s="167"/>
      <c r="BX34" s="167"/>
      <c r="BY34" s="167"/>
      <c r="BZ34" s="167"/>
      <c r="CA34" s="167"/>
      <c r="CB34" s="167"/>
      <c r="CC34" s="167"/>
      <c r="CD34" s="167"/>
      <c r="CE34" s="167"/>
      <c r="CF34" s="167"/>
      <c r="CG34" s="167"/>
      <c r="CH34" s="167"/>
      <c r="CI34" s="167"/>
      <c r="CJ34" s="167"/>
      <c r="CK34" s="167"/>
      <c r="CL34" s="167"/>
      <c r="CM34" s="167"/>
      <c r="CN34" s="167"/>
      <c r="CO34" s="167"/>
      <c r="CP34" s="167"/>
      <c r="CQ34" s="167"/>
      <c r="CR34" s="167"/>
      <c r="CS34" s="167"/>
      <c r="CT34" s="167"/>
      <c r="CU34" s="167"/>
      <c r="CV34" s="167"/>
      <c r="CW34" s="167"/>
      <c r="CX34" s="167"/>
      <c r="CY34" s="167"/>
      <c r="CZ34" s="167"/>
      <c r="DA34" s="167"/>
      <c r="DB34" s="167"/>
      <c r="DC34" s="167"/>
      <c r="DD34" s="167"/>
      <c r="DE34" s="167"/>
      <c r="DF34" s="167"/>
      <c r="DG34" s="167"/>
      <c r="DH34" s="167"/>
      <c r="DI34" s="167"/>
      <c r="DJ34" s="167"/>
      <c r="DK34" s="167"/>
      <c r="DL34" s="167"/>
      <c r="DM34" s="167"/>
      <c r="DN34" s="167"/>
      <c r="DO34" s="167"/>
      <c r="DP34" s="167"/>
      <c r="DQ34" s="167"/>
      <c r="DR34" s="167"/>
      <c r="DS34" s="167"/>
      <c r="DT34" s="167"/>
      <c r="DU34" s="167"/>
      <c r="DV34" s="167"/>
      <c r="DW34" s="167"/>
      <c r="DX34" s="167"/>
      <c r="DY34" s="167"/>
      <c r="DZ34" s="167"/>
      <c r="EA34" s="167"/>
      <c r="EB34" s="167"/>
      <c r="EC34" s="167"/>
      <c r="ED34" s="167"/>
      <c r="EE34" s="167"/>
      <c r="EF34" s="167"/>
      <c r="EG34" s="167"/>
      <c r="EH34" s="168"/>
      <c r="EI34" s="168"/>
      <c r="EJ34" s="168"/>
      <c r="EK34" s="168"/>
      <c r="EL34" s="168"/>
      <c r="EM34" s="168"/>
      <c r="EN34" s="168"/>
      <c r="EO34" s="168"/>
      <c r="EP34" s="168"/>
      <c r="EQ34" s="168"/>
      <c r="ER34" s="168"/>
      <c r="ES34" s="168"/>
      <c r="ET34" s="168"/>
      <c r="EU34" s="168"/>
      <c r="EV34" s="168"/>
      <c r="EW34" s="168"/>
      <c r="EX34" s="168"/>
      <c r="EY34" s="168"/>
      <c r="EZ34" s="168"/>
      <c r="FA34" s="168"/>
      <c r="FB34" s="168"/>
      <c r="FC34" s="168"/>
      <c r="FD34" s="168"/>
      <c r="FE34" s="168"/>
      <c r="FF34" s="168"/>
      <c r="FG34" s="168"/>
      <c r="FH34" s="168"/>
      <c r="FI34" s="168"/>
      <c r="FJ34" s="168"/>
      <c r="FK34" s="168"/>
      <c r="FL34" s="168"/>
      <c r="FM34" s="168"/>
      <c r="FN34" s="168"/>
      <c r="FO34" s="168"/>
      <c r="FP34" s="168"/>
      <c r="FQ34" s="168"/>
      <c r="FR34" s="168"/>
      <c r="FS34" s="168"/>
      <c r="FT34" s="168"/>
      <c r="FU34" s="168"/>
      <c r="FV34" s="168"/>
      <c r="FW34" s="168"/>
      <c r="FX34" s="168"/>
      <c r="FY34" s="168"/>
      <c r="FZ34" s="168"/>
      <c r="GA34" s="168"/>
      <c r="GB34" s="168"/>
      <c r="GC34" s="168"/>
      <c r="GD34" s="168"/>
      <c r="GE34" s="168"/>
      <c r="GF34" s="168"/>
      <c r="GG34" s="168"/>
      <c r="GH34" s="168"/>
      <c r="GI34" s="168"/>
      <c r="GJ34" s="168"/>
      <c r="GK34" s="168"/>
      <c r="GL34" s="168"/>
      <c r="GM34" s="168"/>
      <c r="GN34" s="168"/>
      <c r="GO34" s="168"/>
      <c r="GP34" s="168"/>
      <c r="GQ34" s="168"/>
      <c r="GR34" s="168"/>
      <c r="GS34" s="168"/>
      <c r="GT34" s="168"/>
      <c r="GU34" s="168"/>
      <c r="GV34" s="168"/>
      <c r="GW34" s="168"/>
      <c r="GX34" s="168"/>
      <c r="GY34" s="168"/>
      <c r="GZ34" s="168"/>
      <c r="HA34" s="168"/>
      <c r="HB34" s="168"/>
      <c r="HC34" s="168"/>
      <c r="HD34" s="168"/>
      <c r="HE34" s="168"/>
      <c r="HF34" s="168"/>
      <c r="HG34" s="168"/>
      <c r="HH34" s="168"/>
      <c r="HI34" s="168"/>
      <c r="HJ34" s="168"/>
      <c r="HK34" s="168"/>
      <c r="HL34" s="168"/>
      <c r="HM34" s="168"/>
      <c r="HN34" s="168"/>
      <c r="HO34" s="168"/>
      <c r="HP34" s="168"/>
      <c r="HQ34" s="168"/>
      <c r="HR34" s="168"/>
      <c r="HS34" s="168"/>
      <c r="HT34" s="168"/>
      <c r="HU34" s="168"/>
      <c r="HV34" s="168"/>
      <c r="HW34" s="168"/>
      <c r="HX34" s="168"/>
      <c r="HY34" s="168"/>
      <c r="HZ34" s="168"/>
      <c r="IA34" s="168"/>
      <c r="IB34" s="168"/>
      <c r="IC34" s="168"/>
      <c r="ID34" s="168"/>
      <c r="IE34" s="168"/>
      <c r="IF34" s="168"/>
      <c r="IG34" s="168"/>
      <c r="IH34" s="168"/>
      <c r="II34" s="168"/>
      <c r="IJ34" s="168"/>
      <c r="IK34" s="168"/>
      <c r="IL34" s="168"/>
      <c r="IM34" s="168"/>
      <c r="IN34" s="168"/>
      <c r="IO34" s="168"/>
      <c r="IP34" s="168"/>
      <c r="IQ34" s="168"/>
      <c r="IR34" s="168"/>
      <c r="IS34" s="168"/>
      <c r="IT34" s="168"/>
      <c r="IU34" s="168"/>
      <c r="IV34" s="168"/>
      <c r="IW34" s="168"/>
      <c r="IX34" s="168"/>
      <c r="IY34" s="168"/>
      <c r="IZ34" s="168"/>
      <c r="JA34" s="168"/>
      <c r="JB34" s="168"/>
      <c r="JC34" s="168"/>
      <c r="JD34" s="168"/>
      <c r="JE34" s="168"/>
      <c r="JF34" s="168"/>
      <c r="JG34" s="168"/>
      <c r="JH34" s="168"/>
      <c r="JI34" s="168"/>
      <c r="JJ34" s="168"/>
      <c r="JK34" s="168"/>
    </row>
    <row r="35" spans="1:271" s="171" customFormat="1" ht="30" hidden="1" outlineLevel="2">
      <c r="A35" s="757" t="s">
        <v>126</v>
      </c>
      <c r="B35" s="500" t="s">
        <v>459</v>
      </c>
      <c r="C35" s="500" t="s">
        <v>125</v>
      </c>
      <c r="D35" s="500" t="s">
        <v>569</v>
      </c>
      <c r="E35" s="500" t="s">
        <v>84</v>
      </c>
      <c r="F35" s="500" t="s">
        <v>572</v>
      </c>
      <c r="G35" s="500"/>
      <c r="H35" s="500"/>
      <c r="I35" s="760" t="s">
        <v>63</v>
      </c>
      <c r="J35" s="166"/>
      <c r="K35" s="166"/>
      <c r="L35" s="166"/>
      <c r="M35" s="166"/>
      <c r="N35" s="166"/>
      <c r="O35" s="166"/>
      <c r="P35" s="166"/>
      <c r="Q35" s="166"/>
      <c r="R35" s="166"/>
      <c r="S35" s="166"/>
      <c r="T35" s="166"/>
      <c r="U35" s="166"/>
      <c r="V35" s="167"/>
      <c r="W35" s="167"/>
      <c r="X35" s="167"/>
      <c r="Y35" s="167"/>
      <c r="Z35" s="167"/>
      <c r="AA35" s="167"/>
      <c r="AB35" s="167"/>
      <c r="AC35" s="167"/>
      <c r="AD35" s="167"/>
      <c r="AE35" s="167"/>
      <c r="AF35" s="167"/>
      <c r="AG35" s="167"/>
      <c r="AH35" s="167"/>
      <c r="AI35" s="167"/>
      <c r="AJ35" s="167"/>
      <c r="AK35" s="167"/>
      <c r="AL35" s="167"/>
      <c r="AM35" s="167"/>
      <c r="AN35" s="167"/>
      <c r="AO35" s="167"/>
      <c r="AP35" s="167"/>
      <c r="AQ35" s="167"/>
      <c r="AR35" s="167"/>
      <c r="AS35" s="167"/>
      <c r="AT35" s="167"/>
      <c r="AU35" s="167"/>
      <c r="AV35" s="167"/>
      <c r="AW35" s="167"/>
      <c r="AX35" s="167"/>
      <c r="AY35" s="167"/>
      <c r="AZ35" s="167"/>
      <c r="BA35" s="167"/>
      <c r="BB35" s="167"/>
      <c r="BC35" s="167"/>
      <c r="BD35" s="167"/>
      <c r="BE35" s="167"/>
      <c r="BF35" s="167"/>
      <c r="BG35" s="167"/>
      <c r="BH35" s="167"/>
      <c r="BI35" s="167"/>
      <c r="BJ35" s="167"/>
      <c r="BK35" s="167"/>
      <c r="BL35" s="167"/>
      <c r="BM35" s="167"/>
      <c r="BN35" s="167"/>
      <c r="BO35" s="167"/>
      <c r="BP35" s="167"/>
      <c r="BQ35" s="167"/>
      <c r="BR35" s="167"/>
      <c r="BS35" s="167"/>
      <c r="BT35" s="167"/>
      <c r="BU35" s="167"/>
      <c r="BV35" s="167"/>
      <c r="BW35" s="167"/>
      <c r="BX35" s="167"/>
      <c r="BY35" s="167"/>
      <c r="BZ35" s="167"/>
      <c r="CA35" s="167"/>
      <c r="CB35" s="167"/>
      <c r="CC35" s="167"/>
      <c r="CD35" s="167"/>
      <c r="CE35" s="167"/>
      <c r="CF35" s="167"/>
      <c r="CG35" s="167"/>
      <c r="CH35" s="167"/>
      <c r="CI35" s="167"/>
      <c r="CJ35" s="167"/>
      <c r="CK35" s="167"/>
      <c r="CL35" s="167"/>
      <c r="CM35" s="167"/>
      <c r="CN35" s="167"/>
      <c r="CO35" s="167"/>
      <c r="CP35" s="167"/>
      <c r="CQ35" s="167"/>
      <c r="CR35" s="167"/>
      <c r="CS35" s="167"/>
      <c r="CT35" s="167"/>
      <c r="CU35" s="167"/>
      <c r="CV35" s="167"/>
      <c r="CW35" s="167"/>
      <c r="CX35" s="167"/>
      <c r="CY35" s="167"/>
      <c r="CZ35" s="167"/>
      <c r="DA35" s="167"/>
      <c r="DB35" s="167"/>
      <c r="DC35" s="167"/>
      <c r="DD35" s="167"/>
      <c r="DE35" s="167"/>
      <c r="DF35" s="167"/>
      <c r="DG35" s="167"/>
      <c r="DH35" s="167"/>
      <c r="DI35" s="167"/>
      <c r="DJ35" s="167"/>
      <c r="DK35" s="167"/>
      <c r="DL35" s="167"/>
      <c r="DM35" s="167"/>
      <c r="DN35" s="167"/>
      <c r="DO35" s="167"/>
      <c r="DP35" s="167"/>
      <c r="DQ35" s="167"/>
      <c r="DR35" s="167"/>
      <c r="DS35" s="167"/>
      <c r="DT35" s="167"/>
      <c r="DU35" s="167"/>
      <c r="DV35" s="167"/>
      <c r="DW35" s="167"/>
      <c r="DX35" s="167"/>
      <c r="DY35" s="167"/>
      <c r="DZ35" s="167"/>
      <c r="EA35" s="167"/>
      <c r="EB35" s="167"/>
      <c r="EC35" s="167"/>
      <c r="ED35" s="167"/>
      <c r="EE35" s="167"/>
      <c r="EF35" s="167"/>
      <c r="EG35" s="167"/>
      <c r="EH35" s="168"/>
      <c r="EI35" s="168"/>
      <c r="EJ35" s="168"/>
      <c r="EK35" s="168"/>
      <c r="EL35" s="168"/>
      <c r="EM35" s="168"/>
      <c r="EN35" s="168"/>
      <c r="EO35" s="168"/>
      <c r="EP35" s="168"/>
      <c r="EQ35" s="168"/>
      <c r="ER35" s="168"/>
      <c r="ES35" s="168"/>
      <c r="ET35" s="168"/>
      <c r="EU35" s="168"/>
      <c r="EV35" s="168"/>
      <c r="EW35" s="168"/>
      <c r="EX35" s="168"/>
      <c r="EY35" s="168"/>
      <c r="EZ35" s="168"/>
      <c r="FA35" s="168"/>
      <c r="FB35" s="168"/>
      <c r="FC35" s="168"/>
      <c r="FD35" s="168"/>
      <c r="FE35" s="168"/>
      <c r="FF35" s="168"/>
      <c r="FG35" s="168"/>
      <c r="FH35" s="168"/>
      <c r="FI35" s="168"/>
      <c r="FJ35" s="168"/>
      <c r="FK35" s="168"/>
      <c r="FL35" s="168"/>
      <c r="FM35" s="168"/>
      <c r="FN35" s="168"/>
      <c r="FO35" s="168"/>
      <c r="FP35" s="168"/>
      <c r="FQ35" s="168"/>
      <c r="FR35" s="168"/>
      <c r="FS35" s="168"/>
      <c r="FT35" s="168"/>
      <c r="FU35" s="168"/>
      <c r="FV35" s="168"/>
      <c r="FW35" s="168"/>
      <c r="FX35" s="168"/>
      <c r="FY35" s="168"/>
      <c r="FZ35" s="168"/>
      <c r="GA35" s="168"/>
      <c r="GB35" s="168"/>
      <c r="GC35" s="168"/>
      <c r="GD35" s="168"/>
      <c r="GE35" s="168"/>
      <c r="GF35" s="168"/>
      <c r="GG35" s="168"/>
      <c r="GH35" s="168"/>
      <c r="GI35" s="168"/>
      <c r="GJ35" s="168"/>
      <c r="GK35" s="168"/>
      <c r="GL35" s="168"/>
      <c r="GM35" s="168"/>
      <c r="GN35" s="168"/>
      <c r="GO35" s="168"/>
      <c r="GP35" s="168"/>
      <c r="GQ35" s="168"/>
      <c r="GR35" s="168"/>
      <c r="GS35" s="168"/>
      <c r="GT35" s="168"/>
      <c r="GU35" s="168"/>
      <c r="GV35" s="168"/>
      <c r="GW35" s="168"/>
      <c r="GX35" s="168"/>
      <c r="GY35" s="168"/>
      <c r="GZ35" s="168"/>
      <c r="HA35" s="168"/>
      <c r="HB35" s="168"/>
      <c r="HC35" s="168"/>
      <c r="HD35" s="168"/>
      <c r="HE35" s="168"/>
      <c r="HF35" s="168"/>
      <c r="HG35" s="168"/>
      <c r="HH35" s="168"/>
      <c r="HI35" s="168"/>
      <c r="HJ35" s="168"/>
      <c r="HK35" s="168"/>
      <c r="HL35" s="168"/>
      <c r="HM35" s="168"/>
      <c r="HN35" s="168"/>
      <c r="HO35" s="168"/>
      <c r="HP35" s="168"/>
      <c r="HQ35" s="168"/>
      <c r="HR35" s="168"/>
      <c r="HS35" s="168"/>
      <c r="HT35" s="168"/>
      <c r="HU35" s="168"/>
      <c r="HV35" s="168"/>
      <c r="HW35" s="168"/>
      <c r="HX35" s="168"/>
      <c r="HY35" s="168"/>
      <c r="HZ35" s="168"/>
      <c r="IA35" s="168"/>
      <c r="IB35" s="168"/>
      <c r="IC35" s="168"/>
      <c r="ID35" s="168"/>
      <c r="IE35" s="168"/>
      <c r="IF35" s="168"/>
      <c r="IG35" s="168"/>
      <c r="IH35" s="168"/>
      <c r="II35" s="168"/>
      <c r="IJ35" s="168"/>
      <c r="IK35" s="168"/>
      <c r="IL35" s="168"/>
      <c r="IM35" s="168"/>
      <c r="IN35" s="168"/>
      <c r="IO35" s="168"/>
      <c r="IP35" s="168"/>
      <c r="IQ35" s="168"/>
      <c r="IR35" s="168"/>
      <c r="IS35" s="168"/>
      <c r="IT35" s="168"/>
      <c r="IU35" s="168"/>
      <c r="IV35" s="168"/>
      <c r="IW35" s="168"/>
      <c r="IX35" s="168"/>
      <c r="IY35" s="168"/>
      <c r="IZ35" s="168"/>
      <c r="JA35" s="168"/>
      <c r="JB35" s="168"/>
      <c r="JC35" s="168"/>
      <c r="JD35" s="168"/>
      <c r="JE35" s="168"/>
      <c r="JF35" s="168"/>
      <c r="JG35" s="168"/>
      <c r="JH35" s="168"/>
      <c r="JI35" s="168"/>
      <c r="JJ35" s="168"/>
      <c r="JK35" s="168"/>
    </row>
    <row r="36" spans="1:271" s="168" customFormat="1" ht="90" hidden="1" outlineLevel="2">
      <c r="A36" s="757" t="s">
        <v>25</v>
      </c>
      <c r="B36" s="500" t="s">
        <v>460</v>
      </c>
      <c r="C36" s="500" t="s">
        <v>114</v>
      </c>
      <c r="D36" s="500" t="s">
        <v>442</v>
      </c>
      <c r="E36" s="500" t="s">
        <v>80</v>
      </c>
      <c r="F36" s="500" t="s">
        <v>553</v>
      </c>
      <c r="G36" s="741" t="s">
        <v>1261</v>
      </c>
      <c r="H36" s="500" t="s">
        <v>476</v>
      </c>
      <c r="I36" s="850" t="s">
        <v>1267</v>
      </c>
      <c r="J36" s="166"/>
      <c r="K36" s="166"/>
      <c r="L36" s="166"/>
      <c r="M36" s="166"/>
      <c r="N36" s="166"/>
      <c r="O36" s="166"/>
      <c r="P36" s="166"/>
      <c r="Q36" s="166"/>
      <c r="R36" s="166"/>
      <c r="S36" s="166"/>
      <c r="T36" s="166"/>
      <c r="U36" s="166"/>
      <c r="V36" s="167"/>
      <c r="W36" s="167"/>
      <c r="X36" s="167"/>
      <c r="Y36" s="167"/>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c r="CS36" s="167"/>
      <c r="CT36" s="167"/>
      <c r="CU36" s="167"/>
      <c r="CV36" s="167"/>
      <c r="CW36" s="167"/>
      <c r="CX36" s="167"/>
      <c r="CY36" s="167"/>
      <c r="CZ36" s="167"/>
      <c r="DA36" s="167"/>
      <c r="DB36" s="167"/>
      <c r="DC36" s="167"/>
      <c r="DD36" s="167"/>
      <c r="DE36" s="167"/>
      <c r="DF36" s="167"/>
      <c r="DG36" s="167"/>
      <c r="DH36" s="167"/>
      <c r="DI36" s="167"/>
      <c r="DJ36" s="167"/>
      <c r="DK36" s="167"/>
      <c r="DL36" s="167"/>
      <c r="DM36" s="167"/>
      <c r="DN36" s="167"/>
      <c r="DO36" s="167"/>
      <c r="DP36" s="167"/>
      <c r="DQ36" s="167"/>
      <c r="DR36" s="167"/>
      <c r="DS36" s="167"/>
      <c r="DT36" s="167"/>
      <c r="DU36" s="167"/>
      <c r="DV36" s="167"/>
      <c r="DW36" s="167"/>
      <c r="DX36" s="167"/>
      <c r="DY36" s="167"/>
      <c r="DZ36" s="167"/>
      <c r="EA36" s="167"/>
      <c r="EB36" s="167"/>
      <c r="EC36" s="167"/>
      <c r="ED36" s="167"/>
      <c r="EE36" s="167"/>
      <c r="EF36" s="167"/>
      <c r="EG36" s="167"/>
    </row>
    <row r="37" spans="1:271" s="168" customFormat="1" ht="222.75" hidden="1" customHeight="1" outlineLevel="2">
      <c r="A37" s="757" t="s">
        <v>25</v>
      </c>
      <c r="B37" s="500" t="s">
        <v>461</v>
      </c>
      <c r="C37" s="500" t="s">
        <v>462</v>
      </c>
      <c r="D37" s="500" t="s">
        <v>442</v>
      </c>
      <c r="E37" s="500"/>
      <c r="F37" s="500"/>
      <c r="G37" s="567" t="s">
        <v>1053</v>
      </c>
      <c r="H37" s="782" t="s">
        <v>1047</v>
      </c>
      <c r="I37" s="850" t="s">
        <v>1267</v>
      </c>
      <c r="J37" s="166"/>
      <c r="K37" s="166"/>
      <c r="L37" s="166"/>
      <c r="M37" s="166"/>
      <c r="N37" s="166"/>
      <c r="O37" s="166"/>
      <c r="P37" s="166"/>
      <c r="Q37" s="166"/>
      <c r="R37" s="166"/>
      <c r="S37" s="166"/>
      <c r="T37" s="166"/>
      <c r="U37" s="166"/>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67"/>
      <c r="BF37" s="167"/>
      <c r="BG37" s="167"/>
      <c r="BH37" s="167"/>
      <c r="BI37" s="167"/>
      <c r="BJ37" s="167"/>
      <c r="BK37" s="167"/>
      <c r="BL37" s="167"/>
      <c r="BM37" s="167"/>
      <c r="BN37" s="167"/>
      <c r="BO37" s="167"/>
      <c r="BP37" s="167"/>
      <c r="BQ37" s="167"/>
      <c r="BR37" s="167"/>
      <c r="BS37" s="167"/>
      <c r="BT37" s="167"/>
      <c r="BU37" s="167"/>
      <c r="BV37" s="167"/>
      <c r="BW37" s="167"/>
      <c r="BX37" s="167"/>
      <c r="BY37" s="167"/>
      <c r="BZ37" s="167"/>
      <c r="CA37" s="167"/>
      <c r="CB37" s="167"/>
      <c r="CC37" s="167"/>
      <c r="CD37" s="167"/>
      <c r="CE37" s="167"/>
      <c r="CF37" s="167"/>
      <c r="CG37" s="167"/>
      <c r="CH37" s="167"/>
      <c r="CI37" s="167"/>
      <c r="CJ37" s="167"/>
      <c r="CK37" s="167"/>
      <c r="CL37" s="167"/>
      <c r="CM37" s="167"/>
      <c r="CN37" s="167"/>
      <c r="CO37" s="167"/>
      <c r="CP37" s="167"/>
      <c r="CQ37" s="167"/>
      <c r="CR37" s="167"/>
      <c r="CS37" s="167"/>
      <c r="CT37" s="167"/>
      <c r="CU37" s="167"/>
      <c r="CV37" s="167"/>
      <c r="CW37" s="167"/>
      <c r="CX37" s="167"/>
      <c r="CY37" s="167"/>
      <c r="CZ37" s="167"/>
      <c r="DA37" s="167"/>
      <c r="DB37" s="167"/>
      <c r="DC37" s="167"/>
      <c r="DD37" s="167"/>
      <c r="DE37" s="167"/>
      <c r="DF37" s="167"/>
      <c r="DG37" s="167"/>
      <c r="DH37" s="167"/>
      <c r="DI37" s="167"/>
      <c r="DJ37" s="167"/>
      <c r="DK37" s="167"/>
      <c r="DL37" s="167"/>
      <c r="DM37" s="167"/>
      <c r="DN37" s="167"/>
      <c r="DO37" s="167"/>
      <c r="DP37" s="167"/>
      <c r="DQ37" s="167"/>
      <c r="DR37" s="167"/>
      <c r="DS37" s="167"/>
      <c r="DT37" s="167"/>
      <c r="DU37" s="167"/>
      <c r="DV37" s="167"/>
      <c r="DW37" s="167"/>
      <c r="DX37" s="167"/>
      <c r="DY37" s="167"/>
      <c r="DZ37" s="167"/>
      <c r="EA37" s="167"/>
      <c r="EB37" s="167"/>
      <c r="EC37" s="167"/>
      <c r="ED37" s="167"/>
      <c r="EE37" s="167"/>
      <c r="EF37" s="167"/>
      <c r="EG37" s="167"/>
    </row>
    <row r="38" spans="1:271" s="168" customFormat="1" ht="183.4" hidden="1" customHeight="1" outlineLevel="2">
      <c r="A38" s="757" t="s">
        <v>128</v>
      </c>
      <c r="B38" s="500" t="s">
        <v>463</v>
      </c>
      <c r="C38" s="500" t="s">
        <v>114</v>
      </c>
      <c r="D38" s="744" t="s">
        <v>442</v>
      </c>
      <c r="E38" s="500"/>
      <c r="F38" s="500"/>
      <c r="G38" s="453" t="s">
        <v>940</v>
      </c>
      <c r="H38" s="453" t="s">
        <v>941</v>
      </c>
      <c r="I38" s="850" t="s">
        <v>1267</v>
      </c>
      <c r="J38" s="166"/>
      <c r="K38" s="166"/>
      <c r="L38" s="166"/>
      <c r="M38" s="166"/>
      <c r="N38" s="166"/>
      <c r="O38" s="166"/>
      <c r="P38" s="166"/>
      <c r="Q38" s="166"/>
      <c r="R38" s="166"/>
      <c r="S38" s="166"/>
      <c r="T38" s="166"/>
      <c r="U38" s="166"/>
      <c r="V38" s="167"/>
      <c r="W38" s="167"/>
      <c r="X38" s="167"/>
      <c r="Y38" s="167"/>
      <c r="Z38" s="167"/>
      <c r="AA38" s="167"/>
      <c r="AB38" s="167"/>
      <c r="AC38" s="167"/>
      <c r="AD38" s="167"/>
      <c r="AE38" s="167"/>
      <c r="AF38" s="167"/>
      <c r="AG38" s="167"/>
      <c r="AH38" s="167"/>
      <c r="AI38" s="167"/>
      <c r="AJ38" s="167"/>
      <c r="AK38" s="167"/>
      <c r="AL38" s="167"/>
      <c r="AM38" s="167"/>
      <c r="AN38" s="167"/>
      <c r="AO38" s="167"/>
      <c r="AP38" s="167"/>
      <c r="AQ38" s="167"/>
      <c r="AR38" s="167"/>
      <c r="AS38" s="167"/>
      <c r="AT38" s="167"/>
      <c r="AU38" s="167"/>
      <c r="AV38" s="167"/>
      <c r="AW38" s="167"/>
      <c r="AX38" s="167"/>
      <c r="AY38" s="167"/>
      <c r="AZ38" s="167"/>
      <c r="BA38" s="167"/>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c r="CS38" s="167"/>
      <c r="CT38" s="167"/>
      <c r="CU38" s="167"/>
      <c r="CV38" s="167"/>
      <c r="CW38" s="167"/>
      <c r="CX38" s="167"/>
      <c r="CY38" s="167"/>
      <c r="CZ38" s="167"/>
      <c r="DA38" s="167"/>
      <c r="DB38" s="167"/>
      <c r="DC38" s="167"/>
      <c r="DD38" s="167"/>
      <c r="DE38" s="167"/>
      <c r="DF38" s="167"/>
      <c r="DG38" s="167"/>
      <c r="DH38" s="167"/>
      <c r="DI38" s="167"/>
      <c r="DJ38" s="167"/>
      <c r="DK38" s="167"/>
      <c r="DL38" s="167"/>
      <c r="DM38" s="167"/>
      <c r="DN38" s="167"/>
      <c r="DO38" s="167"/>
      <c r="DP38" s="167"/>
      <c r="DQ38" s="167"/>
      <c r="DR38" s="167"/>
      <c r="DS38" s="167"/>
      <c r="DT38" s="167"/>
      <c r="DU38" s="167"/>
      <c r="DV38" s="167"/>
      <c r="DW38" s="167"/>
      <c r="DX38" s="167"/>
      <c r="DY38" s="167"/>
      <c r="DZ38" s="167"/>
      <c r="EA38" s="167"/>
      <c r="EB38" s="167"/>
      <c r="EC38" s="167"/>
      <c r="ED38" s="167"/>
      <c r="EE38" s="167"/>
      <c r="EF38" s="167"/>
      <c r="EG38" s="167"/>
    </row>
    <row r="39" spans="1:271" s="168" customFormat="1" ht="249.75" hidden="1" customHeight="1" outlineLevel="2">
      <c r="A39" s="757" t="s">
        <v>128</v>
      </c>
      <c r="B39" s="500" t="s">
        <v>464</v>
      </c>
      <c r="C39" s="500" t="s">
        <v>125</v>
      </c>
      <c r="D39" s="744" t="s">
        <v>442</v>
      </c>
      <c r="E39" s="500"/>
      <c r="F39" s="500"/>
      <c r="G39" s="453" t="s">
        <v>940</v>
      </c>
      <c r="H39" s="453" t="s">
        <v>1054</v>
      </c>
      <c r="I39" s="850" t="s">
        <v>1267</v>
      </c>
      <c r="J39" s="166"/>
      <c r="K39" s="166"/>
      <c r="L39" s="166"/>
      <c r="M39" s="166"/>
      <c r="N39" s="166"/>
      <c r="O39" s="166"/>
      <c r="P39" s="166"/>
      <c r="Q39" s="166"/>
      <c r="R39" s="166"/>
      <c r="S39" s="166"/>
      <c r="T39" s="166"/>
      <c r="U39" s="166"/>
      <c r="V39" s="167"/>
      <c r="W39" s="167"/>
      <c r="X39" s="167"/>
      <c r="Y39" s="167"/>
      <c r="Z39" s="167"/>
      <c r="AA39" s="167"/>
      <c r="AB39" s="167"/>
      <c r="AC39" s="167"/>
      <c r="AD39" s="167"/>
      <c r="AE39" s="167"/>
      <c r="AF39" s="167"/>
      <c r="AG39" s="167"/>
      <c r="AH39" s="167"/>
      <c r="AI39" s="167"/>
      <c r="AJ39" s="167"/>
      <c r="AK39" s="167"/>
      <c r="AL39" s="167"/>
      <c r="AM39" s="167"/>
      <c r="AN39" s="167"/>
      <c r="AO39" s="167"/>
      <c r="AP39" s="167"/>
      <c r="AQ39" s="167"/>
      <c r="AR39" s="167"/>
      <c r="AS39" s="167"/>
      <c r="AT39" s="167"/>
      <c r="AU39" s="167"/>
      <c r="AV39" s="167"/>
      <c r="AW39" s="167"/>
      <c r="AX39" s="167"/>
      <c r="AY39" s="167"/>
      <c r="AZ39" s="167"/>
      <c r="BA39" s="167"/>
      <c r="BB39" s="167"/>
      <c r="BC39" s="167"/>
      <c r="BD39" s="167"/>
      <c r="BE39" s="167"/>
      <c r="BF39" s="167"/>
      <c r="BG39" s="167"/>
      <c r="BH39" s="167"/>
      <c r="BI39" s="167"/>
      <c r="BJ39" s="167"/>
      <c r="BK39" s="167"/>
      <c r="BL39" s="167"/>
      <c r="BM39" s="167"/>
      <c r="BN39" s="167"/>
      <c r="BO39" s="167"/>
      <c r="BP39" s="167"/>
      <c r="BQ39" s="167"/>
      <c r="BR39" s="167"/>
      <c r="BS39" s="167"/>
      <c r="BT39" s="167"/>
      <c r="BU39" s="167"/>
      <c r="BV39" s="167"/>
      <c r="BW39" s="167"/>
      <c r="BX39" s="167"/>
      <c r="BY39" s="167"/>
      <c r="BZ39" s="167"/>
      <c r="CA39" s="167"/>
      <c r="CB39" s="167"/>
      <c r="CC39" s="167"/>
      <c r="CD39" s="167"/>
      <c r="CE39" s="167"/>
      <c r="CF39" s="167"/>
      <c r="CG39" s="167"/>
      <c r="CH39" s="167"/>
      <c r="CI39" s="167"/>
      <c r="CJ39" s="167"/>
      <c r="CK39" s="167"/>
      <c r="CL39" s="167"/>
      <c r="CM39" s="167"/>
      <c r="CN39" s="167"/>
      <c r="CO39" s="167"/>
      <c r="CP39" s="167"/>
      <c r="CQ39" s="167"/>
      <c r="CR39" s="167"/>
      <c r="CS39" s="167"/>
      <c r="CT39" s="167"/>
      <c r="CU39" s="167"/>
      <c r="CV39" s="167"/>
      <c r="CW39" s="167"/>
      <c r="CX39" s="167"/>
      <c r="CY39" s="167"/>
      <c r="CZ39" s="167"/>
      <c r="DA39" s="167"/>
      <c r="DB39" s="167"/>
      <c r="DC39" s="167"/>
      <c r="DD39" s="167"/>
      <c r="DE39" s="167"/>
      <c r="DF39" s="167"/>
      <c r="DG39" s="167"/>
      <c r="DH39" s="167"/>
      <c r="DI39" s="167"/>
      <c r="DJ39" s="167"/>
      <c r="DK39" s="167"/>
      <c r="DL39" s="167"/>
      <c r="DM39" s="167"/>
      <c r="DN39" s="167"/>
      <c r="DO39" s="167"/>
      <c r="DP39" s="167"/>
      <c r="DQ39" s="167"/>
      <c r="DR39" s="167"/>
      <c r="DS39" s="167"/>
      <c r="DT39" s="167"/>
      <c r="DU39" s="167"/>
      <c r="DV39" s="167"/>
      <c r="DW39" s="167"/>
      <c r="DX39" s="167"/>
      <c r="DY39" s="167"/>
      <c r="DZ39" s="167"/>
      <c r="EA39" s="167"/>
      <c r="EB39" s="167"/>
      <c r="EC39" s="167"/>
      <c r="ED39" s="167"/>
      <c r="EE39" s="167"/>
      <c r="EF39" s="167"/>
      <c r="EG39" s="167"/>
    </row>
    <row r="40" spans="1:271" s="168" customFormat="1" ht="15.75" hidden="1" outlineLevel="1">
      <c r="A40" s="877" t="s">
        <v>129</v>
      </c>
      <c r="B40" s="568"/>
      <c r="C40" s="568"/>
      <c r="D40" s="568"/>
      <c r="E40" s="568"/>
      <c r="F40" s="568"/>
      <c r="G40" s="568"/>
      <c r="H40" s="568"/>
      <c r="I40" s="753"/>
      <c r="J40" s="166"/>
      <c r="K40" s="166"/>
      <c r="L40" s="166"/>
      <c r="M40" s="166"/>
      <c r="N40" s="166"/>
      <c r="O40" s="166"/>
      <c r="P40" s="166"/>
      <c r="Q40" s="166"/>
      <c r="R40" s="166"/>
      <c r="S40" s="166"/>
      <c r="T40" s="166"/>
      <c r="U40" s="166"/>
      <c r="V40" s="167"/>
      <c r="W40" s="167"/>
      <c r="X40" s="167"/>
      <c r="Y40" s="167"/>
      <c r="Z40" s="167"/>
      <c r="AA40" s="167"/>
      <c r="AB40" s="167"/>
      <c r="AC40" s="167"/>
      <c r="AD40" s="167"/>
      <c r="AE40" s="167"/>
      <c r="AF40" s="167"/>
      <c r="AG40" s="167"/>
      <c r="AH40" s="167"/>
      <c r="AI40" s="167"/>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c r="CS40" s="167"/>
      <c r="CT40" s="167"/>
      <c r="CU40" s="167"/>
      <c r="CV40" s="167"/>
      <c r="CW40" s="167"/>
      <c r="CX40" s="167"/>
      <c r="CY40" s="167"/>
      <c r="CZ40" s="167"/>
      <c r="DA40" s="167"/>
      <c r="DB40" s="167"/>
      <c r="DC40" s="167"/>
      <c r="DD40" s="167"/>
      <c r="DE40" s="167"/>
      <c r="DF40" s="167"/>
      <c r="DG40" s="167"/>
      <c r="DH40" s="167"/>
      <c r="DI40" s="167"/>
      <c r="DJ40" s="167"/>
      <c r="DK40" s="167"/>
      <c r="DL40" s="167"/>
      <c r="DM40" s="167"/>
      <c r="DN40" s="167"/>
      <c r="DO40" s="167"/>
      <c r="DP40" s="167"/>
      <c r="DQ40" s="167"/>
      <c r="DR40" s="167"/>
      <c r="DS40" s="167"/>
      <c r="DT40" s="167"/>
      <c r="DU40" s="167"/>
      <c r="DV40" s="167"/>
      <c r="DW40" s="167"/>
      <c r="DX40" s="167"/>
      <c r="DY40" s="167"/>
      <c r="DZ40" s="167"/>
      <c r="EA40" s="167"/>
      <c r="EB40" s="167"/>
      <c r="EC40" s="167"/>
      <c r="ED40" s="167"/>
      <c r="EE40" s="167"/>
      <c r="EF40" s="167"/>
      <c r="EG40" s="167"/>
    </row>
    <row r="41" spans="1:271" s="170" customFormat="1" ht="62.25" hidden="1" customHeight="1" outlineLevel="2">
      <c r="A41" s="537" t="s">
        <v>93</v>
      </c>
      <c r="B41" s="869" t="s">
        <v>94</v>
      </c>
      <c r="C41" s="869" t="s">
        <v>95</v>
      </c>
      <c r="D41" s="869" t="s">
        <v>142</v>
      </c>
      <c r="E41" s="869" t="s">
        <v>96</v>
      </c>
      <c r="F41" s="869" t="s">
        <v>97</v>
      </c>
      <c r="G41" s="869" t="s">
        <v>98</v>
      </c>
      <c r="H41" s="869" t="s">
        <v>99</v>
      </c>
      <c r="I41" s="538" t="s">
        <v>100</v>
      </c>
      <c r="J41" s="169"/>
      <c r="K41" s="169"/>
      <c r="L41" s="169"/>
      <c r="M41" s="169"/>
      <c r="N41" s="169"/>
      <c r="O41" s="169"/>
      <c r="P41" s="169"/>
      <c r="Q41" s="169"/>
      <c r="R41" s="169"/>
      <c r="S41" s="169"/>
      <c r="T41" s="169"/>
      <c r="U41" s="169"/>
      <c r="V41" s="169"/>
      <c r="W41" s="169"/>
      <c r="X41" s="169"/>
      <c r="Y41" s="169"/>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c r="CS41" s="169"/>
      <c r="CT41" s="169"/>
      <c r="CU41" s="169"/>
      <c r="CV41" s="169"/>
      <c r="CW41" s="169"/>
      <c r="CX41" s="169"/>
      <c r="CY41" s="169"/>
      <c r="CZ41" s="169"/>
      <c r="DA41" s="169"/>
      <c r="DB41" s="169"/>
      <c r="DC41" s="169"/>
      <c r="DD41" s="169"/>
      <c r="DE41" s="169"/>
      <c r="DF41" s="169"/>
      <c r="DG41" s="169"/>
      <c r="DH41" s="169"/>
      <c r="DI41" s="169"/>
      <c r="DJ41" s="169"/>
      <c r="DK41" s="169"/>
      <c r="DL41" s="169"/>
      <c r="DM41" s="169"/>
      <c r="DN41" s="169"/>
      <c r="DO41" s="169"/>
      <c r="DP41" s="169"/>
      <c r="DQ41" s="169"/>
      <c r="DR41" s="169"/>
      <c r="DS41" s="169"/>
      <c r="DT41" s="169"/>
      <c r="DU41" s="169"/>
      <c r="DV41" s="169"/>
      <c r="DW41" s="169"/>
      <c r="DX41" s="169"/>
      <c r="DY41" s="169"/>
      <c r="DZ41" s="169"/>
      <c r="EA41" s="169"/>
      <c r="EB41" s="169"/>
      <c r="EC41" s="169"/>
      <c r="ED41" s="169"/>
      <c r="EE41" s="169"/>
      <c r="EF41" s="169"/>
      <c r="EG41" s="169"/>
    </row>
    <row r="42" spans="1:271" s="168" customFormat="1" ht="188.65" hidden="1" customHeight="1" outlineLevel="2">
      <c r="A42" s="757" t="s">
        <v>130</v>
      </c>
      <c r="B42" s="500" t="s">
        <v>131</v>
      </c>
      <c r="C42" s="500" t="s">
        <v>132</v>
      </c>
      <c r="D42" s="500" t="s">
        <v>442</v>
      </c>
      <c r="E42" s="500"/>
      <c r="F42" s="500"/>
      <c r="G42" s="500" t="s">
        <v>942</v>
      </c>
      <c r="H42" s="539" t="s">
        <v>1067</v>
      </c>
      <c r="I42" s="758" t="s">
        <v>1291</v>
      </c>
      <c r="J42" s="166"/>
      <c r="K42" s="166"/>
      <c r="L42" s="166"/>
      <c r="M42" s="166"/>
      <c r="N42" s="166"/>
      <c r="O42" s="166"/>
      <c r="P42" s="166"/>
      <c r="Q42" s="166"/>
      <c r="R42" s="166"/>
      <c r="S42" s="166"/>
      <c r="T42" s="166"/>
      <c r="U42" s="166"/>
      <c r="V42" s="167"/>
      <c r="W42" s="167"/>
      <c r="X42" s="167"/>
      <c r="Y42" s="167"/>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c r="CS42" s="167"/>
      <c r="CT42" s="167"/>
      <c r="CU42" s="167"/>
      <c r="CV42" s="167"/>
      <c r="CW42" s="167"/>
      <c r="CX42" s="167"/>
      <c r="CY42" s="167"/>
      <c r="CZ42" s="167"/>
      <c r="DA42" s="167"/>
      <c r="DB42" s="167"/>
      <c r="DC42" s="167"/>
      <c r="DD42" s="167"/>
      <c r="DE42" s="167"/>
      <c r="DF42" s="167"/>
      <c r="DG42" s="167"/>
      <c r="DH42" s="167"/>
      <c r="DI42" s="167"/>
      <c r="DJ42" s="167"/>
      <c r="DK42" s="167"/>
      <c r="DL42" s="167"/>
      <c r="DM42" s="167"/>
      <c r="DN42" s="167"/>
      <c r="DO42" s="167"/>
      <c r="DP42" s="167"/>
      <c r="DQ42" s="167"/>
      <c r="DR42" s="167"/>
      <c r="DS42" s="167"/>
      <c r="DT42" s="167"/>
      <c r="DU42" s="167"/>
      <c r="DV42" s="167"/>
      <c r="DW42" s="167"/>
      <c r="DX42" s="167"/>
      <c r="DY42" s="167"/>
      <c r="DZ42" s="167"/>
      <c r="EA42" s="167"/>
      <c r="EB42" s="167"/>
      <c r="EC42" s="167"/>
      <c r="ED42" s="167"/>
      <c r="EE42" s="167"/>
      <c r="EF42" s="167"/>
      <c r="EG42" s="167"/>
    </row>
    <row r="43" spans="1:271" s="168" customFormat="1" ht="90" hidden="1" outlineLevel="2">
      <c r="A43" s="757" t="s">
        <v>133</v>
      </c>
      <c r="B43" s="500" t="s">
        <v>134</v>
      </c>
      <c r="C43" s="500" t="s">
        <v>135</v>
      </c>
      <c r="D43" s="500" t="s">
        <v>442</v>
      </c>
      <c r="E43" s="500"/>
      <c r="F43" s="500"/>
      <c r="G43" s="743" t="s">
        <v>620</v>
      </c>
      <c r="H43" s="453" t="s">
        <v>944</v>
      </c>
      <c r="I43" s="758" t="s">
        <v>1291</v>
      </c>
      <c r="J43" s="166"/>
      <c r="K43" s="166"/>
      <c r="L43" s="166"/>
      <c r="M43" s="166"/>
      <c r="N43" s="166"/>
      <c r="O43" s="166"/>
      <c r="P43" s="166"/>
      <c r="Q43" s="166"/>
      <c r="R43" s="166"/>
      <c r="S43" s="166"/>
      <c r="T43" s="166"/>
      <c r="U43" s="166"/>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67"/>
      <c r="BF43" s="167"/>
      <c r="BG43" s="167"/>
      <c r="BH43" s="167"/>
      <c r="BI43" s="167"/>
      <c r="BJ43" s="167"/>
      <c r="BK43" s="167"/>
      <c r="BL43" s="167"/>
      <c r="BM43" s="167"/>
      <c r="BN43" s="167"/>
      <c r="BO43" s="167"/>
      <c r="BP43" s="167"/>
      <c r="BQ43" s="167"/>
      <c r="BR43" s="167"/>
      <c r="BS43" s="167"/>
      <c r="BT43" s="167"/>
      <c r="BU43" s="167"/>
      <c r="BV43" s="167"/>
      <c r="BW43" s="167"/>
      <c r="BX43" s="167"/>
      <c r="BY43" s="167"/>
      <c r="BZ43" s="167"/>
      <c r="CA43" s="167"/>
      <c r="CB43" s="167"/>
      <c r="CC43" s="167"/>
      <c r="CD43" s="167"/>
      <c r="CE43" s="167"/>
      <c r="CF43" s="167"/>
      <c r="CG43" s="167"/>
      <c r="CH43" s="167"/>
      <c r="CI43" s="167"/>
      <c r="CJ43" s="167"/>
      <c r="CK43" s="167"/>
      <c r="CL43" s="167"/>
      <c r="CM43" s="167"/>
      <c r="CN43" s="167"/>
      <c r="CO43" s="167"/>
      <c r="CP43" s="167"/>
      <c r="CQ43" s="167"/>
      <c r="CR43" s="167"/>
      <c r="CS43" s="167"/>
      <c r="CT43" s="167"/>
      <c r="CU43" s="167"/>
      <c r="CV43" s="167"/>
      <c r="CW43" s="167"/>
      <c r="CX43" s="167"/>
      <c r="CY43" s="167"/>
      <c r="CZ43" s="167"/>
      <c r="DA43" s="167"/>
      <c r="DB43" s="167"/>
      <c r="DC43" s="167"/>
      <c r="DD43" s="167"/>
      <c r="DE43" s="167"/>
      <c r="DF43" s="167"/>
      <c r="DG43" s="167"/>
      <c r="DH43" s="167"/>
      <c r="DI43" s="167"/>
      <c r="DJ43" s="167"/>
      <c r="DK43" s="167"/>
      <c r="DL43" s="167"/>
      <c r="DM43" s="167"/>
      <c r="DN43" s="167"/>
      <c r="DO43" s="167"/>
      <c r="DP43" s="167"/>
      <c r="DQ43" s="167"/>
      <c r="DR43" s="167"/>
      <c r="DS43" s="167"/>
      <c r="DT43" s="167"/>
      <c r="DU43" s="167"/>
      <c r="DV43" s="167"/>
      <c r="DW43" s="167"/>
      <c r="DX43" s="167"/>
      <c r="DY43" s="167"/>
      <c r="DZ43" s="167"/>
      <c r="EA43" s="167"/>
      <c r="EB43" s="167"/>
      <c r="EC43" s="167"/>
      <c r="ED43" s="167"/>
      <c r="EE43" s="167"/>
      <c r="EF43" s="167"/>
      <c r="EG43" s="167"/>
    </row>
    <row r="44" spans="1:271" s="168" customFormat="1" ht="90" hidden="1" outlineLevel="2">
      <c r="A44" s="757" t="s">
        <v>136</v>
      </c>
      <c r="B44" s="500" t="s">
        <v>137</v>
      </c>
      <c r="C44" s="500" t="s">
        <v>138</v>
      </c>
      <c r="D44" s="500" t="s">
        <v>442</v>
      </c>
      <c r="E44" s="500"/>
      <c r="F44" s="500"/>
      <c r="G44" s="743" t="s">
        <v>620</v>
      </c>
      <c r="H44" s="453" t="s">
        <v>944</v>
      </c>
      <c r="I44" s="758" t="s">
        <v>1291</v>
      </c>
      <c r="J44" s="166"/>
      <c r="K44" s="166"/>
      <c r="L44" s="166"/>
      <c r="M44" s="166"/>
      <c r="N44" s="166"/>
      <c r="O44" s="166"/>
      <c r="P44" s="166"/>
      <c r="Q44" s="166"/>
      <c r="R44" s="166"/>
      <c r="S44" s="166"/>
      <c r="T44" s="166"/>
      <c r="U44" s="166"/>
      <c r="V44" s="167"/>
      <c r="W44" s="167"/>
      <c r="X44" s="167"/>
      <c r="Y44" s="167"/>
      <c r="Z44" s="167"/>
      <c r="AA44" s="167"/>
      <c r="AB44" s="167"/>
      <c r="AC44" s="167"/>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167"/>
      <c r="BA44" s="167"/>
      <c r="BB44" s="167"/>
      <c r="BC44" s="167"/>
      <c r="BD44" s="167"/>
      <c r="BE44" s="167"/>
      <c r="BF44" s="167"/>
      <c r="BG44" s="167"/>
      <c r="BH44" s="167"/>
      <c r="BI44" s="167"/>
      <c r="BJ44" s="167"/>
      <c r="BK44" s="167"/>
      <c r="BL44" s="167"/>
      <c r="BM44" s="167"/>
      <c r="BN44" s="167"/>
      <c r="BO44" s="167"/>
      <c r="BP44" s="167"/>
      <c r="BQ44" s="167"/>
      <c r="BR44" s="167"/>
      <c r="BS44" s="167"/>
      <c r="BT44" s="167"/>
      <c r="BU44" s="167"/>
      <c r="BV44" s="167"/>
      <c r="BW44" s="167"/>
      <c r="BX44" s="167"/>
      <c r="BY44" s="167"/>
      <c r="BZ44" s="167"/>
      <c r="CA44" s="167"/>
      <c r="CB44" s="167"/>
      <c r="CC44" s="167"/>
      <c r="CD44" s="167"/>
      <c r="CE44" s="167"/>
      <c r="CF44" s="167"/>
      <c r="CG44" s="167"/>
      <c r="CH44" s="167"/>
      <c r="CI44" s="167"/>
      <c r="CJ44" s="167"/>
      <c r="CK44" s="167"/>
      <c r="CL44" s="167"/>
      <c r="CM44" s="167"/>
      <c r="CN44" s="167"/>
      <c r="CO44" s="167"/>
      <c r="CP44" s="167"/>
      <c r="CQ44" s="167"/>
      <c r="CR44" s="167"/>
      <c r="CS44" s="167"/>
      <c r="CT44" s="167"/>
      <c r="CU44" s="167"/>
      <c r="CV44" s="167"/>
      <c r="CW44" s="167"/>
      <c r="CX44" s="167"/>
      <c r="CY44" s="167"/>
      <c r="CZ44" s="167"/>
      <c r="DA44" s="167"/>
      <c r="DB44" s="167"/>
      <c r="DC44" s="167"/>
      <c r="DD44" s="167"/>
      <c r="DE44" s="167"/>
      <c r="DF44" s="167"/>
      <c r="DG44" s="167"/>
      <c r="DH44" s="167"/>
      <c r="DI44" s="167"/>
      <c r="DJ44" s="167"/>
      <c r="DK44" s="167"/>
      <c r="DL44" s="167"/>
      <c r="DM44" s="167"/>
      <c r="DN44" s="167"/>
      <c r="DO44" s="167"/>
      <c r="DP44" s="167"/>
      <c r="DQ44" s="167"/>
      <c r="DR44" s="167"/>
      <c r="DS44" s="167"/>
      <c r="DT44" s="167"/>
      <c r="DU44" s="167"/>
      <c r="DV44" s="167"/>
      <c r="DW44" s="167"/>
      <c r="DX44" s="167"/>
      <c r="DY44" s="167"/>
      <c r="DZ44" s="167"/>
      <c r="EA44" s="167"/>
      <c r="EB44" s="167"/>
      <c r="EC44" s="167"/>
      <c r="ED44" s="167"/>
      <c r="EE44" s="167"/>
      <c r="EF44" s="167"/>
      <c r="EG44" s="167"/>
    </row>
    <row r="45" spans="1:271" s="168" customFormat="1" ht="15.75" hidden="1" outlineLevel="1">
      <c r="A45" s="877" t="s">
        <v>945</v>
      </c>
      <c r="B45" s="568"/>
      <c r="C45" s="568"/>
      <c r="D45" s="568"/>
      <c r="E45" s="568"/>
      <c r="F45" s="568"/>
      <c r="G45" s="568"/>
      <c r="H45" s="568"/>
      <c r="I45" s="753"/>
      <c r="J45" s="166"/>
      <c r="K45" s="166"/>
      <c r="L45" s="166"/>
      <c r="M45" s="166"/>
      <c r="N45" s="166"/>
      <c r="O45" s="166"/>
      <c r="P45" s="166"/>
      <c r="Q45" s="166"/>
      <c r="R45" s="166"/>
      <c r="S45" s="166"/>
      <c r="T45" s="166"/>
      <c r="U45" s="166"/>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167"/>
      <c r="AS45" s="167"/>
      <c r="AT45" s="167"/>
      <c r="AU45" s="167"/>
      <c r="AV45" s="167"/>
      <c r="AW45" s="167"/>
      <c r="AX45" s="167"/>
      <c r="AY45" s="167"/>
      <c r="AZ45" s="167"/>
      <c r="BA45" s="167"/>
      <c r="BB45" s="167"/>
      <c r="BC45" s="167"/>
      <c r="BD45" s="167"/>
      <c r="BE45" s="167"/>
      <c r="BF45" s="167"/>
      <c r="BG45" s="167"/>
      <c r="BH45" s="167"/>
      <c r="BI45" s="167"/>
      <c r="BJ45" s="167"/>
      <c r="BK45" s="167"/>
      <c r="BL45" s="167"/>
      <c r="BM45" s="167"/>
      <c r="BN45" s="167"/>
      <c r="BO45" s="167"/>
      <c r="BP45" s="167"/>
      <c r="BQ45" s="167"/>
      <c r="BR45" s="167"/>
      <c r="BS45" s="167"/>
      <c r="BT45" s="167"/>
      <c r="BU45" s="167"/>
      <c r="BV45" s="167"/>
      <c r="BW45" s="167"/>
      <c r="BX45" s="167"/>
      <c r="BY45" s="167"/>
      <c r="BZ45" s="167"/>
      <c r="CA45" s="167"/>
      <c r="CB45" s="167"/>
      <c r="CC45" s="167"/>
      <c r="CD45" s="167"/>
      <c r="CE45" s="167"/>
      <c r="CF45" s="167"/>
      <c r="CG45" s="167"/>
      <c r="CH45" s="167"/>
      <c r="CI45" s="167"/>
      <c r="CJ45" s="167"/>
      <c r="CK45" s="167"/>
      <c r="CL45" s="167"/>
      <c r="CM45" s="167"/>
      <c r="CN45" s="167"/>
      <c r="CO45" s="167"/>
      <c r="CP45" s="167"/>
      <c r="CQ45" s="167"/>
      <c r="CR45" s="167"/>
      <c r="CS45" s="167"/>
      <c r="CT45" s="167"/>
      <c r="CU45" s="167"/>
      <c r="CV45" s="167"/>
      <c r="CW45" s="167"/>
      <c r="CX45" s="167"/>
      <c r="CY45" s="167"/>
      <c r="CZ45" s="167"/>
      <c r="DA45" s="167"/>
      <c r="DB45" s="167"/>
      <c r="DC45" s="167"/>
      <c r="DD45" s="167"/>
      <c r="DE45" s="167"/>
      <c r="DF45" s="167"/>
      <c r="DG45" s="167"/>
      <c r="DH45" s="167"/>
      <c r="DI45" s="167"/>
      <c r="DJ45" s="167"/>
      <c r="DK45" s="167"/>
      <c r="DL45" s="167"/>
      <c r="DM45" s="167"/>
      <c r="DN45" s="167"/>
      <c r="DO45" s="167"/>
      <c r="DP45" s="167"/>
      <c r="DQ45" s="167"/>
      <c r="DR45" s="167"/>
      <c r="DS45" s="167"/>
      <c r="DT45" s="167"/>
      <c r="DU45" s="167"/>
      <c r="DV45" s="167"/>
      <c r="DW45" s="167"/>
      <c r="DX45" s="167"/>
      <c r="DY45" s="167"/>
      <c r="DZ45" s="167"/>
      <c r="EA45" s="167"/>
      <c r="EB45" s="167"/>
      <c r="EC45" s="167"/>
      <c r="ED45" s="167"/>
      <c r="EE45" s="167"/>
      <c r="EF45" s="167"/>
      <c r="EG45" s="167"/>
    </row>
    <row r="46" spans="1:271" s="168" customFormat="1" hidden="1" outlineLevel="2">
      <c r="A46" s="878" t="s">
        <v>139</v>
      </c>
      <c r="B46" s="569" t="s">
        <v>94</v>
      </c>
      <c r="C46" s="569" t="s">
        <v>95</v>
      </c>
      <c r="D46" s="569" t="s">
        <v>142</v>
      </c>
      <c r="E46" s="569"/>
      <c r="F46" s="569"/>
      <c r="G46" s="569"/>
      <c r="H46" s="569"/>
      <c r="I46" s="761"/>
      <c r="J46" s="166"/>
      <c r="K46" s="166"/>
      <c r="L46" s="166"/>
      <c r="M46" s="166"/>
      <c r="N46" s="166"/>
      <c r="O46" s="166"/>
      <c r="P46" s="166"/>
      <c r="Q46" s="166"/>
      <c r="R46" s="166"/>
      <c r="S46" s="166"/>
      <c r="T46" s="166"/>
      <c r="U46" s="166"/>
      <c r="V46" s="167"/>
      <c r="W46" s="167"/>
      <c r="X46" s="167"/>
      <c r="Y46" s="167"/>
      <c r="Z46" s="167"/>
      <c r="AA46" s="167"/>
      <c r="AB46" s="167"/>
      <c r="AC46" s="167"/>
      <c r="AD46" s="167"/>
      <c r="AE46" s="167"/>
      <c r="AF46" s="167"/>
      <c r="AG46" s="167"/>
      <c r="AH46" s="167"/>
      <c r="AI46" s="167"/>
      <c r="AJ46" s="167"/>
      <c r="AK46" s="167"/>
      <c r="AL46" s="167"/>
      <c r="AM46" s="167"/>
      <c r="AN46" s="167"/>
      <c r="AO46" s="167"/>
      <c r="AP46" s="167"/>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c r="CS46" s="167"/>
      <c r="CT46" s="167"/>
      <c r="CU46" s="167"/>
      <c r="CV46" s="167"/>
      <c r="CW46" s="167"/>
      <c r="CX46" s="167"/>
      <c r="CY46" s="167"/>
      <c r="CZ46" s="167"/>
      <c r="DA46" s="167"/>
      <c r="DB46" s="167"/>
      <c r="DC46" s="167"/>
      <c r="DD46" s="167"/>
      <c r="DE46" s="167"/>
      <c r="DF46" s="167"/>
      <c r="DG46" s="167"/>
      <c r="DH46" s="167"/>
      <c r="DI46" s="167"/>
      <c r="DJ46" s="167"/>
      <c r="DK46" s="167"/>
      <c r="DL46" s="167"/>
      <c r="DM46" s="167"/>
      <c r="DN46" s="167"/>
      <c r="DO46" s="167"/>
      <c r="DP46" s="167"/>
      <c r="DQ46" s="167"/>
      <c r="DR46" s="167"/>
      <c r="DS46" s="167"/>
      <c r="DT46" s="167"/>
      <c r="DU46" s="167"/>
      <c r="DV46" s="167"/>
      <c r="DW46" s="167"/>
      <c r="DX46" s="167"/>
      <c r="DY46" s="167"/>
      <c r="DZ46" s="167"/>
      <c r="EA46" s="167"/>
      <c r="EB46" s="167"/>
      <c r="EC46" s="167"/>
      <c r="ED46" s="167"/>
      <c r="EE46" s="167"/>
      <c r="EF46" s="167"/>
      <c r="EG46" s="167"/>
    </row>
    <row r="47" spans="1:271" s="168" customFormat="1" ht="60" hidden="1" outlineLevel="2">
      <c r="A47" s="752" t="s">
        <v>465</v>
      </c>
      <c r="B47" s="395" t="s">
        <v>946</v>
      </c>
      <c r="C47" s="402" t="s">
        <v>947</v>
      </c>
      <c r="D47" s="404" t="s">
        <v>442</v>
      </c>
      <c r="E47" s="404"/>
      <c r="F47" s="405" t="s">
        <v>1148</v>
      </c>
      <c r="G47" s="540" t="s">
        <v>1147</v>
      </c>
      <c r="H47" s="396" t="s">
        <v>948</v>
      </c>
      <c r="I47" s="770" t="s">
        <v>1389</v>
      </c>
      <c r="J47" s="224"/>
      <c r="K47" s="166"/>
      <c r="L47" s="166"/>
      <c r="M47" s="166"/>
      <c r="N47" s="166"/>
      <c r="O47" s="166"/>
      <c r="P47" s="166"/>
      <c r="Q47" s="166"/>
      <c r="R47" s="166"/>
      <c r="S47" s="166"/>
      <c r="T47" s="166"/>
      <c r="U47" s="166"/>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67"/>
      <c r="BF47" s="167"/>
      <c r="BG47" s="167"/>
      <c r="BH47" s="167"/>
      <c r="BI47" s="167"/>
      <c r="BJ47" s="167"/>
      <c r="BK47" s="167"/>
      <c r="BL47" s="167"/>
      <c r="BM47" s="167"/>
      <c r="BN47" s="167"/>
      <c r="BO47" s="167"/>
      <c r="BP47" s="167"/>
      <c r="BQ47" s="167"/>
      <c r="BR47" s="167"/>
      <c r="BS47" s="167"/>
      <c r="BT47" s="167"/>
      <c r="BU47" s="167"/>
      <c r="BV47" s="167"/>
      <c r="BW47" s="167"/>
      <c r="BX47" s="167"/>
      <c r="BY47" s="167"/>
      <c r="BZ47" s="167"/>
      <c r="CA47" s="167"/>
      <c r="CB47" s="167"/>
      <c r="CC47" s="167"/>
      <c r="CD47" s="167"/>
      <c r="CE47" s="167"/>
      <c r="CF47" s="167"/>
      <c r="CG47" s="167"/>
      <c r="CH47" s="167"/>
      <c r="CI47" s="167"/>
      <c r="CJ47" s="167"/>
      <c r="CK47" s="167"/>
      <c r="CL47" s="167"/>
      <c r="CM47" s="167"/>
      <c r="CN47" s="167"/>
      <c r="CO47" s="167"/>
      <c r="CP47" s="167"/>
      <c r="CQ47" s="167"/>
      <c r="CR47" s="167"/>
      <c r="CS47" s="167"/>
      <c r="CT47" s="167"/>
      <c r="CU47" s="167"/>
      <c r="CV47" s="167"/>
      <c r="CW47" s="167"/>
      <c r="CX47" s="167"/>
      <c r="CY47" s="167"/>
      <c r="CZ47" s="167"/>
      <c r="DA47" s="167"/>
      <c r="DB47" s="167"/>
      <c r="DC47" s="167"/>
      <c r="DD47" s="167"/>
      <c r="DE47" s="167"/>
      <c r="DF47" s="167"/>
      <c r="DG47" s="167"/>
      <c r="DH47" s="167"/>
      <c r="DI47" s="167"/>
      <c r="DJ47" s="167"/>
      <c r="DK47" s="167"/>
      <c r="DL47" s="167"/>
      <c r="DM47" s="167"/>
      <c r="DN47" s="167"/>
      <c r="DO47" s="167"/>
      <c r="DP47" s="167"/>
      <c r="DQ47" s="167"/>
      <c r="DR47" s="167"/>
      <c r="DS47" s="167"/>
      <c r="DT47" s="167"/>
      <c r="DU47" s="167"/>
      <c r="DV47" s="167"/>
      <c r="DW47" s="167"/>
      <c r="DX47" s="167"/>
      <c r="DY47" s="167"/>
      <c r="DZ47" s="167"/>
      <c r="EA47" s="167"/>
      <c r="EB47" s="167"/>
      <c r="EC47" s="167"/>
      <c r="ED47" s="167"/>
      <c r="EE47" s="167"/>
      <c r="EF47" s="167"/>
      <c r="EG47" s="167"/>
    </row>
    <row r="48" spans="1:271" s="168" customFormat="1" ht="15.75" hidden="1" outlineLevel="1">
      <c r="A48" s="877" t="s">
        <v>563</v>
      </c>
      <c r="B48" s="568"/>
      <c r="C48" s="568"/>
      <c r="D48" s="568"/>
      <c r="E48" s="568"/>
      <c r="F48" s="568"/>
      <c r="G48" s="568"/>
      <c r="H48" s="568"/>
      <c r="I48" s="753"/>
      <c r="J48" s="166"/>
      <c r="K48" s="166"/>
      <c r="L48" s="166"/>
      <c r="M48" s="166"/>
      <c r="N48" s="166"/>
      <c r="O48" s="166"/>
      <c r="P48" s="166"/>
      <c r="Q48" s="166"/>
      <c r="R48" s="166"/>
      <c r="S48" s="166"/>
      <c r="T48" s="166"/>
      <c r="U48" s="166"/>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167"/>
      <c r="BB48" s="167"/>
      <c r="BC48" s="167"/>
      <c r="BD48" s="16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c r="CS48" s="167"/>
      <c r="CT48" s="167"/>
      <c r="CU48" s="167"/>
      <c r="CV48" s="167"/>
      <c r="CW48" s="167"/>
      <c r="CX48" s="167"/>
      <c r="CY48" s="167"/>
      <c r="CZ48" s="167"/>
      <c r="DA48" s="167"/>
      <c r="DB48" s="167"/>
      <c r="DC48" s="167"/>
      <c r="DD48" s="167"/>
      <c r="DE48" s="167"/>
      <c r="DF48" s="167"/>
      <c r="DG48" s="167"/>
      <c r="DH48" s="167"/>
      <c r="DI48" s="167"/>
      <c r="DJ48" s="167"/>
      <c r="DK48" s="167"/>
      <c r="DL48" s="167"/>
      <c r="DM48" s="167"/>
      <c r="DN48" s="167"/>
      <c r="DO48" s="167"/>
      <c r="DP48" s="167"/>
      <c r="DQ48" s="167"/>
      <c r="DR48" s="167"/>
      <c r="DS48" s="167"/>
      <c r="DT48" s="167"/>
      <c r="DU48" s="167"/>
      <c r="DV48" s="167"/>
      <c r="DW48" s="167"/>
      <c r="DX48" s="167"/>
      <c r="DY48" s="167"/>
      <c r="DZ48" s="167"/>
      <c r="EA48" s="167"/>
      <c r="EB48" s="167"/>
      <c r="EC48" s="167"/>
      <c r="ED48" s="167"/>
      <c r="EE48" s="167"/>
      <c r="EF48" s="167"/>
      <c r="EG48" s="167"/>
    </row>
    <row r="49" spans="1:137" s="168" customFormat="1" ht="57" hidden="1" outlineLevel="2">
      <c r="A49" s="537" t="s">
        <v>139</v>
      </c>
      <c r="B49" s="869" t="s">
        <v>94</v>
      </c>
      <c r="C49" s="869" t="s">
        <v>95</v>
      </c>
      <c r="D49" s="869" t="s">
        <v>142</v>
      </c>
      <c r="E49" s="869"/>
      <c r="F49" s="869"/>
      <c r="G49" s="869"/>
      <c r="H49" s="869"/>
      <c r="I49" s="538"/>
      <c r="J49" s="166"/>
      <c r="K49" s="166"/>
      <c r="L49" s="166"/>
      <c r="M49" s="166"/>
      <c r="N49" s="166"/>
      <c r="O49" s="166"/>
      <c r="P49" s="166"/>
      <c r="Q49" s="166"/>
      <c r="R49" s="166"/>
      <c r="S49" s="166"/>
      <c r="T49" s="166"/>
      <c r="U49" s="166"/>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167"/>
      <c r="BB49" s="167"/>
      <c r="BC49" s="167"/>
      <c r="BD49" s="167"/>
      <c r="BE49" s="167"/>
      <c r="BF49" s="167"/>
      <c r="BG49" s="167"/>
      <c r="BH49" s="167"/>
      <c r="BI49" s="167"/>
      <c r="BJ49" s="167"/>
      <c r="BK49" s="167"/>
      <c r="BL49" s="167"/>
      <c r="BM49" s="167"/>
      <c r="BN49" s="167"/>
      <c r="BO49" s="167"/>
      <c r="BP49" s="167"/>
      <c r="BQ49" s="167"/>
      <c r="BR49" s="167"/>
      <c r="BS49" s="167"/>
      <c r="BT49" s="167"/>
      <c r="BU49" s="167"/>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67"/>
      <c r="CS49" s="167"/>
      <c r="CT49" s="167"/>
      <c r="CU49" s="167"/>
      <c r="CV49" s="167"/>
      <c r="CW49" s="167"/>
      <c r="CX49" s="167"/>
      <c r="CY49" s="167"/>
      <c r="CZ49" s="167"/>
      <c r="DA49" s="167"/>
      <c r="DB49" s="167"/>
      <c r="DC49" s="167"/>
      <c r="DD49" s="167"/>
      <c r="DE49" s="167"/>
      <c r="DF49" s="167"/>
      <c r="DG49" s="167"/>
      <c r="DH49" s="167"/>
      <c r="DI49" s="167"/>
      <c r="DJ49" s="167"/>
      <c r="DK49" s="167"/>
      <c r="DL49" s="167"/>
      <c r="DM49" s="167"/>
      <c r="DN49" s="167"/>
      <c r="DO49" s="167"/>
      <c r="DP49" s="167"/>
      <c r="DQ49" s="167"/>
      <c r="DR49" s="167"/>
      <c r="DS49" s="167"/>
      <c r="DT49" s="167"/>
      <c r="DU49" s="167"/>
      <c r="DV49" s="167"/>
      <c r="DW49" s="167"/>
      <c r="DX49" s="167"/>
      <c r="DY49" s="167"/>
      <c r="DZ49" s="167"/>
      <c r="EA49" s="167"/>
      <c r="EB49" s="167"/>
      <c r="EC49" s="167"/>
      <c r="ED49" s="167"/>
      <c r="EE49" s="167"/>
      <c r="EF49" s="167"/>
      <c r="EG49" s="167"/>
    </row>
    <row r="50" spans="1:137" s="168" customFormat="1" ht="107.65" hidden="1" customHeight="1" outlineLevel="2">
      <c r="A50" s="879" t="s">
        <v>562</v>
      </c>
      <c r="B50" s="880" t="s">
        <v>669</v>
      </c>
      <c r="C50" s="880" t="s">
        <v>564</v>
      </c>
      <c r="D50" s="880" t="s">
        <v>442</v>
      </c>
      <c r="E50" s="880"/>
      <c r="F50" s="880"/>
      <c r="G50" s="464" t="s">
        <v>949</v>
      </c>
      <c r="H50" s="464" t="s">
        <v>1276</v>
      </c>
      <c r="I50" s="770" t="s">
        <v>1267</v>
      </c>
      <c r="J50" s="166"/>
      <c r="K50" s="166"/>
      <c r="L50" s="166"/>
      <c r="M50" s="166"/>
      <c r="N50" s="166"/>
      <c r="O50" s="166"/>
      <c r="P50" s="166"/>
      <c r="Q50" s="166"/>
      <c r="R50" s="166"/>
      <c r="S50" s="166"/>
      <c r="T50" s="166"/>
      <c r="U50" s="166"/>
      <c r="V50" s="167"/>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67"/>
      <c r="BF50" s="167"/>
      <c r="BG50" s="167"/>
      <c r="BH50" s="167"/>
      <c r="BI50" s="167"/>
      <c r="BJ50" s="167"/>
      <c r="BK50" s="167"/>
      <c r="BL50" s="167"/>
      <c r="BM50" s="167"/>
      <c r="BN50" s="167"/>
      <c r="BO50" s="167"/>
      <c r="BP50" s="167"/>
      <c r="BQ50" s="167"/>
      <c r="BR50" s="167"/>
      <c r="BS50" s="167"/>
      <c r="BT50" s="167"/>
      <c r="BU50" s="167"/>
      <c r="BV50" s="167"/>
      <c r="BW50" s="167"/>
      <c r="BX50" s="167"/>
      <c r="BY50" s="167"/>
      <c r="BZ50" s="167"/>
      <c r="CA50" s="167"/>
      <c r="CB50" s="167"/>
      <c r="CC50" s="167"/>
      <c r="CD50" s="167"/>
      <c r="CE50" s="167"/>
      <c r="CF50" s="167"/>
      <c r="CG50" s="167"/>
      <c r="CH50" s="167"/>
      <c r="CI50" s="167"/>
      <c r="CJ50" s="167"/>
      <c r="CK50" s="167"/>
      <c r="CL50" s="167"/>
      <c r="CM50" s="167"/>
      <c r="CN50" s="167"/>
      <c r="CO50" s="167"/>
      <c r="CP50" s="167"/>
      <c r="CQ50" s="167"/>
      <c r="CR50" s="167"/>
      <c r="CS50" s="167"/>
      <c r="CT50" s="167"/>
      <c r="CU50" s="167"/>
      <c r="CV50" s="167"/>
      <c r="CW50" s="167"/>
      <c r="CX50" s="167"/>
      <c r="CY50" s="167"/>
      <c r="CZ50" s="167"/>
      <c r="DA50" s="167"/>
      <c r="DB50" s="167"/>
      <c r="DC50" s="167"/>
      <c r="DD50" s="167"/>
      <c r="DE50" s="167"/>
      <c r="DF50" s="167"/>
      <c r="DG50" s="167"/>
      <c r="DH50" s="167"/>
      <c r="DI50" s="167"/>
      <c r="DJ50" s="167"/>
      <c r="DK50" s="167"/>
      <c r="DL50" s="167"/>
      <c r="DM50" s="167"/>
      <c r="DN50" s="167"/>
      <c r="DO50" s="167"/>
      <c r="DP50" s="167"/>
      <c r="DQ50" s="167"/>
      <c r="DR50" s="167"/>
      <c r="DS50" s="167"/>
      <c r="DT50" s="167"/>
      <c r="DU50" s="167"/>
      <c r="DV50" s="167"/>
      <c r="DW50" s="167"/>
      <c r="DX50" s="167"/>
      <c r="DY50" s="167"/>
      <c r="DZ50" s="167"/>
      <c r="EA50" s="167"/>
      <c r="EB50" s="167"/>
      <c r="EC50" s="167"/>
      <c r="ED50" s="167"/>
      <c r="EE50" s="167"/>
      <c r="EF50" s="167"/>
      <c r="EG50" s="167"/>
    </row>
    <row r="51" spans="1:137" s="168" customFormat="1" ht="83.65" hidden="1" customHeight="1" outlineLevel="2">
      <c r="A51" s="879" t="s">
        <v>561</v>
      </c>
      <c r="B51" s="880"/>
      <c r="C51" s="880"/>
      <c r="D51" s="880" t="s">
        <v>442</v>
      </c>
      <c r="E51" s="880"/>
      <c r="F51" s="880"/>
      <c r="G51" s="464" t="s">
        <v>566</v>
      </c>
      <c r="H51" s="464" t="s">
        <v>580</v>
      </c>
      <c r="I51" s="770" t="s">
        <v>1267</v>
      </c>
      <c r="J51" s="166"/>
      <c r="K51" s="166"/>
      <c r="L51" s="166"/>
      <c r="M51" s="166"/>
      <c r="N51" s="166"/>
      <c r="O51" s="166"/>
      <c r="P51" s="166"/>
      <c r="Q51" s="166"/>
      <c r="R51" s="166"/>
      <c r="S51" s="166"/>
      <c r="T51" s="166"/>
      <c r="U51" s="166"/>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c r="CS51" s="167"/>
      <c r="CT51" s="167"/>
      <c r="CU51" s="167"/>
      <c r="CV51" s="167"/>
      <c r="CW51" s="167"/>
      <c r="CX51" s="167"/>
      <c r="CY51" s="167"/>
      <c r="CZ51" s="167"/>
      <c r="DA51" s="167"/>
      <c r="DB51" s="167"/>
      <c r="DC51" s="167"/>
      <c r="DD51" s="167"/>
      <c r="DE51" s="167"/>
      <c r="DF51" s="167"/>
      <c r="DG51" s="167"/>
      <c r="DH51" s="167"/>
      <c r="DI51" s="167"/>
      <c r="DJ51" s="167"/>
      <c r="DK51" s="167"/>
      <c r="DL51" s="167"/>
      <c r="DM51" s="167"/>
      <c r="DN51" s="167"/>
      <c r="DO51" s="167"/>
      <c r="DP51" s="167"/>
      <c r="DQ51" s="167"/>
      <c r="DR51" s="167"/>
      <c r="DS51" s="167"/>
      <c r="DT51" s="167"/>
      <c r="DU51" s="167"/>
      <c r="DV51" s="167"/>
      <c r="DW51" s="167"/>
      <c r="DX51" s="167"/>
      <c r="DY51" s="167"/>
      <c r="DZ51" s="167"/>
      <c r="EA51" s="167"/>
      <c r="EB51" s="167"/>
      <c r="EC51" s="167"/>
      <c r="ED51" s="167"/>
      <c r="EE51" s="167"/>
      <c r="EF51" s="167"/>
      <c r="EG51" s="167"/>
    </row>
    <row r="52" spans="1:137" s="168" customFormat="1" ht="75.599999999999994" hidden="1" customHeight="1" outlineLevel="2">
      <c r="A52" s="879" t="s">
        <v>560</v>
      </c>
      <c r="B52" s="880"/>
      <c r="C52" s="880"/>
      <c r="D52" s="880" t="s">
        <v>442</v>
      </c>
      <c r="E52" s="880"/>
      <c r="F52" s="880"/>
      <c r="G52" s="464" t="s">
        <v>581</v>
      </c>
      <c r="H52" s="464" t="s">
        <v>1263</v>
      </c>
      <c r="I52" s="853" t="s">
        <v>1267</v>
      </c>
      <c r="J52" s="166"/>
      <c r="K52" s="166"/>
      <c r="L52" s="166"/>
      <c r="M52" s="166"/>
      <c r="N52" s="166"/>
      <c r="O52" s="166"/>
      <c r="P52" s="166"/>
      <c r="Q52" s="166"/>
      <c r="R52" s="166"/>
      <c r="S52" s="166"/>
      <c r="T52" s="166"/>
      <c r="U52" s="166"/>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c r="CS52" s="167"/>
      <c r="CT52" s="167"/>
      <c r="CU52" s="167"/>
      <c r="CV52" s="167"/>
      <c r="CW52" s="167"/>
      <c r="CX52" s="167"/>
      <c r="CY52" s="167"/>
      <c r="CZ52" s="167"/>
      <c r="DA52" s="167"/>
      <c r="DB52" s="167"/>
      <c r="DC52" s="167"/>
      <c r="DD52" s="167"/>
      <c r="DE52" s="167"/>
      <c r="DF52" s="167"/>
      <c r="DG52" s="167"/>
      <c r="DH52" s="167"/>
      <c r="DI52" s="167"/>
      <c r="DJ52" s="167"/>
      <c r="DK52" s="167"/>
      <c r="DL52" s="167"/>
      <c r="DM52" s="167"/>
      <c r="DN52" s="167"/>
      <c r="DO52" s="167"/>
      <c r="DP52" s="167"/>
      <c r="DQ52" s="167"/>
      <c r="DR52" s="167"/>
      <c r="DS52" s="167"/>
      <c r="DT52" s="167"/>
      <c r="DU52" s="167"/>
      <c r="DV52" s="167"/>
      <c r="DW52" s="167"/>
      <c r="DX52" s="167"/>
      <c r="DY52" s="167"/>
      <c r="DZ52" s="167"/>
      <c r="EA52" s="167"/>
      <c r="EB52" s="167"/>
      <c r="EC52" s="167"/>
      <c r="ED52" s="167"/>
      <c r="EE52" s="167"/>
      <c r="EF52" s="167"/>
      <c r="EG52" s="167"/>
    </row>
    <row r="53" spans="1:137" s="168" customFormat="1" ht="15.75" hidden="1" outlineLevel="1">
      <c r="A53" s="881" t="s">
        <v>467</v>
      </c>
      <c r="B53" s="575"/>
      <c r="C53" s="575"/>
      <c r="D53" s="575"/>
      <c r="E53" s="575"/>
      <c r="F53" s="575"/>
      <c r="G53" s="575"/>
      <c r="H53" s="575"/>
      <c r="I53" s="762"/>
      <c r="J53" s="166"/>
      <c r="K53" s="166"/>
      <c r="L53" s="166"/>
      <c r="M53" s="166"/>
      <c r="N53" s="166"/>
      <c r="O53" s="166"/>
      <c r="P53" s="166"/>
      <c r="Q53" s="166"/>
      <c r="R53" s="166"/>
      <c r="S53" s="166"/>
      <c r="T53" s="166"/>
      <c r="U53" s="166"/>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67"/>
      <c r="BF53" s="167"/>
      <c r="BG53" s="167"/>
      <c r="BH53" s="167"/>
      <c r="BI53" s="167"/>
      <c r="BJ53" s="167"/>
      <c r="BK53" s="167"/>
      <c r="BL53" s="167"/>
      <c r="BM53" s="167"/>
      <c r="BN53" s="16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c r="CS53" s="167"/>
      <c r="CT53" s="167"/>
      <c r="CU53" s="167"/>
      <c r="CV53" s="167"/>
      <c r="CW53" s="167"/>
      <c r="CX53" s="167"/>
      <c r="CY53" s="167"/>
      <c r="CZ53" s="167"/>
      <c r="DA53" s="167"/>
      <c r="DB53" s="167"/>
      <c r="DC53" s="167"/>
      <c r="DD53" s="167"/>
      <c r="DE53" s="167"/>
      <c r="DF53" s="167"/>
      <c r="DG53" s="167"/>
      <c r="DH53" s="167"/>
      <c r="DI53" s="167"/>
      <c r="DJ53" s="167"/>
      <c r="DK53" s="167"/>
      <c r="DL53" s="167"/>
      <c r="DM53" s="167"/>
      <c r="DN53" s="167"/>
      <c r="DO53" s="167"/>
      <c r="DP53" s="167"/>
      <c r="DQ53" s="167"/>
      <c r="DR53" s="167"/>
      <c r="DS53" s="167"/>
      <c r="DT53" s="167"/>
      <c r="DU53" s="167"/>
      <c r="DV53" s="167"/>
      <c r="DW53" s="167"/>
      <c r="DX53" s="167"/>
      <c r="DY53" s="167"/>
      <c r="DZ53" s="167"/>
      <c r="EA53" s="167"/>
      <c r="EB53" s="167"/>
      <c r="EC53" s="167"/>
      <c r="ED53" s="167"/>
      <c r="EE53" s="167"/>
      <c r="EF53" s="167"/>
      <c r="EG53" s="167"/>
    </row>
    <row r="54" spans="1:137" s="168" customFormat="1" ht="57" hidden="1" outlineLevel="2">
      <c r="A54" s="537" t="s">
        <v>139</v>
      </c>
      <c r="B54" s="869" t="s">
        <v>94</v>
      </c>
      <c r="C54" s="869" t="s">
        <v>95</v>
      </c>
      <c r="D54" s="869" t="s">
        <v>142</v>
      </c>
      <c r="E54" s="869"/>
      <c r="F54" s="869"/>
      <c r="G54" s="869"/>
      <c r="H54" s="869"/>
      <c r="I54" s="538"/>
      <c r="J54" s="166"/>
      <c r="K54" s="166"/>
      <c r="L54" s="166"/>
      <c r="M54" s="166"/>
      <c r="N54" s="166"/>
      <c r="O54" s="166"/>
      <c r="P54" s="166"/>
      <c r="Q54" s="166"/>
      <c r="R54" s="166"/>
      <c r="S54" s="166"/>
      <c r="T54" s="166"/>
      <c r="U54" s="166"/>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c r="CS54" s="167"/>
      <c r="CT54" s="167"/>
      <c r="CU54" s="167"/>
      <c r="CV54" s="167"/>
      <c r="CW54" s="167"/>
      <c r="CX54" s="167"/>
      <c r="CY54" s="167"/>
      <c r="CZ54" s="167"/>
      <c r="DA54" s="167"/>
      <c r="DB54" s="167"/>
      <c r="DC54" s="167"/>
      <c r="DD54" s="167"/>
      <c r="DE54" s="167"/>
      <c r="DF54" s="167"/>
      <c r="DG54" s="167"/>
      <c r="DH54" s="167"/>
      <c r="DI54" s="167"/>
      <c r="DJ54" s="167"/>
      <c r="DK54" s="167"/>
      <c r="DL54" s="167"/>
      <c r="DM54" s="167"/>
      <c r="DN54" s="167"/>
      <c r="DO54" s="167"/>
      <c r="DP54" s="167"/>
      <c r="DQ54" s="167"/>
      <c r="DR54" s="167"/>
      <c r="DS54" s="167"/>
      <c r="DT54" s="167"/>
      <c r="DU54" s="167"/>
      <c r="DV54" s="167"/>
      <c r="DW54" s="167"/>
      <c r="DX54" s="167"/>
      <c r="DY54" s="167"/>
      <c r="DZ54" s="167"/>
      <c r="EA54" s="167"/>
      <c r="EB54" s="167"/>
      <c r="EC54" s="167"/>
      <c r="ED54" s="167"/>
      <c r="EE54" s="167"/>
      <c r="EF54" s="167"/>
      <c r="EG54" s="167"/>
    </row>
    <row r="55" spans="1:137" s="168" customFormat="1" ht="165" hidden="1" outlineLevel="2">
      <c r="A55" s="463" t="s">
        <v>152</v>
      </c>
      <c r="B55" s="395" t="s">
        <v>153</v>
      </c>
      <c r="C55" s="402" t="s">
        <v>154</v>
      </c>
      <c r="D55" s="868" t="s">
        <v>442</v>
      </c>
      <c r="E55" s="396"/>
      <c r="F55" s="396"/>
      <c r="G55" s="396" t="s">
        <v>942</v>
      </c>
      <c r="H55" s="464" t="s">
        <v>943</v>
      </c>
      <c r="I55" s="758" t="s">
        <v>1291</v>
      </c>
      <c r="J55" s="166"/>
      <c r="K55" s="166"/>
      <c r="L55" s="166"/>
      <c r="M55" s="166"/>
      <c r="N55" s="166"/>
      <c r="O55" s="166"/>
      <c r="P55" s="166"/>
      <c r="Q55" s="166"/>
      <c r="R55" s="166"/>
      <c r="S55" s="166"/>
      <c r="T55" s="166"/>
      <c r="U55" s="166"/>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67"/>
      <c r="BF55" s="167"/>
      <c r="BG55" s="167"/>
      <c r="BH55" s="167"/>
      <c r="BI55" s="167"/>
      <c r="BJ55" s="167"/>
      <c r="BK55" s="167"/>
      <c r="BL55" s="167"/>
      <c r="BM55" s="167"/>
      <c r="BN55" s="16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c r="CS55" s="167"/>
      <c r="CT55" s="167"/>
      <c r="CU55" s="167"/>
      <c r="CV55" s="167"/>
      <c r="CW55" s="167"/>
      <c r="CX55" s="167"/>
      <c r="CY55" s="167"/>
      <c r="CZ55" s="167"/>
      <c r="DA55" s="167"/>
      <c r="DB55" s="167"/>
      <c r="DC55" s="167"/>
      <c r="DD55" s="167"/>
      <c r="DE55" s="167"/>
      <c r="DF55" s="167"/>
      <c r="DG55" s="167"/>
      <c r="DH55" s="167"/>
      <c r="DI55" s="167"/>
      <c r="DJ55" s="167"/>
      <c r="DK55" s="167"/>
      <c r="DL55" s="167"/>
      <c r="DM55" s="167"/>
      <c r="DN55" s="167"/>
      <c r="DO55" s="167"/>
      <c r="DP55" s="167"/>
      <c r="DQ55" s="167"/>
      <c r="DR55" s="167"/>
      <c r="DS55" s="167"/>
      <c r="DT55" s="167"/>
      <c r="DU55" s="167"/>
      <c r="DV55" s="167"/>
      <c r="DW55" s="167"/>
      <c r="DX55" s="167"/>
      <c r="DY55" s="167"/>
      <c r="DZ55" s="167"/>
      <c r="EA55" s="167"/>
      <c r="EB55" s="167"/>
      <c r="EC55" s="167"/>
      <c r="ED55" s="167"/>
      <c r="EE55" s="167"/>
      <c r="EF55" s="167"/>
      <c r="EG55" s="167"/>
    </row>
    <row r="56" spans="1:137" s="168" customFormat="1" ht="90" hidden="1" outlineLevel="2">
      <c r="A56" s="879" t="s">
        <v>468</v>
      </c>
      <c r="B56" s="880" t="s">
        <v>469</v>
      </c>
      <c r="C56" s="880" t="s">
        <v>43</v>
      </c>
      <c r="D56" s="880" t="s">
        <v>442</v>
      </c>
      <c r="E56" s="880"/>
      <c r="F56" s="880"/>
      <c r="G56" s="741" t="s">
        <v>1261</v>
      </c>
      <c r="H56" s="500" t="s">
        <v>476</v>
      </c>
      <c r="I56" s="850" t="s">
        <v>1331</v>
      </c>
      <c r="J56" s="166"/>
      <c r="K56" s="166"/>
      <c r="L56" s="166"/>
      <c r="M56" s="166"/>
      <c r="N56" s="166"/>
      <c r="O56" s="166"/>
      <c r="P56" s="166"/>
      <c r="Q56" s="166"/>
      <c r="R56" s="166"/>
      <c r="S56" s="166"/>
      <c r="T56" s="166"/>
      <c r="U56" s="166"/>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c r="CS56" s="167"/>
      <c r="CT56" s="167"/>
      <c r="CU56" s="167"/>
      <c r="CV56" s="167"/>
      <c r="CW56" s="167"/>
      <c r="CX56" s="167"/>
      <c r="CY56" s="167"/>
      <c r="CZ56" s="167"/>
      <c r="DA56" s="167"/>
      <c r="DB56" s="167"/>
      <c r="DC56" s="167"/>
      <c r="DD56" s="167"/>
      <c r="DE56" s="167"/>
      <c r="DF56" s="167"/>
      <c r="DG56" s="167"/>
      <c r="DH56" s="167"/>
      <c r="DI56" s="167"/>
      <c r="DJ56" s="167"/>
      <c r="DK56" s="167"/>
      <c r="DL56" s="167"/>
      <c r="DM56" s="167"/>
      <c r="DN56" s="167"/>
      <c r="DO56" s="167"/>
      <c r="DP56" s="167"/>
      <c r="DQ56" s="167"/>
      <c r="DR56" s="167"/>
      <c r="DS56" s="167"/>
      <c r="DT56" s="167"/>
      <c r="DU56" s="167"/>
      <c r="DV56" s="167"/>
      <c r="DW56" s="167"/>
      <c r="DX56" s="167"/>
      <c r="DY56" s="167"/>
      <c r="DZ56" s="167"/>
      <c r="EA56" s="167"/>
      <c r="EB56" s="167"/>
      <c r="EC56" s="167"/>
      <c r="ED56" s="167"/>
      <c r="EE56" s="167"/>
      <c r="EF56" s="167"/>
      <c r="EG56" s="167"/>
    </row>
    <row r="57" spans="1:137" s="168" customFormat="1" ht="90" hidden="1" outlineLevel="2">
      <c r="A57" s="879" t="s">
        <v>470</v>
      </c>
      <c r="B57" s="880" t="s">
        <v>155</v>
      </c>
      <c r="C57" s="880" t="s">
        <v>43</v>
      </c>
      <c r="D57" s="880" t="s">
        <v>442</v>
      </c>
      <c r="E57" s="880"/>
      <c r="F57" s="880"/>
      <c r="G57" s="741" t="s">
        <v>1264</v>
      </c>
      <c r="H57" s="500" t="s">
        <v>476</v>
      </c>
      <c r="I57" s="850" t="s">
        <v>1331</v>
      </c>
      <c r="J57" s="166"/>
      <c r="K57" s="166"/>
      <c r="L57" s="166"/>
      <c r="M57" s="166"/>
      <c r="N57" s="166"/>
      <c r="O57" s="166"/>
      <c r="P57" s="166"/>
      <c r="Q57" s="166"/>
      <c r="R57" s="166"/>
      <c r="S57" s="166"/>
      <c r="T57" s="166"/>
      <c r="U57" s="166"/>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c r="CS57" s="167"/>
      <c r="CT57" s="167"/>
      <c r="CU57" s="167"/>
      <c r="CV57" s="167"/>
      <c r="CW57" s="167"/>
      <c r="CX57" s="167"/>
      <c r="CY57" s="167"/>
      <c r="CZ57" s="167"/>
      <c r="DA57" s="167"/>
      <c r="DB57" s="167"/>
      <c r="DC57" s="167"/>
      <c r="DD57" s="167"/>
      <c r="DE57" s="167"/>
      <c r="DF57" s="167"/>
      <c r="DG57" s="167"/>
      <c r="DH57" s="167"/>
      <c r="DI57" s="167"/>
      <c r="DJ57" s="167"/>
      <c r="DK57" s="167"/>
      <c r="DL57" s="167"/>
      <c r="DM57" s="167"/>
      <c r="DN57" s="167"/>
      <c r="DO57" s="167"/>
      <c r="DP57" s="167"/>
      <c r="DQ57" s="167"/>
      <c r="DR57" s="167"/>
      <c r="DS57" s="167"/>
      <c r="DT57" s="167"/>
      <c r="DU57" s="167"/>
      <c r="DV57" s="167"/>
      <c r="DW57" s="167"/>
      <c r="DX57" s="167"/>
      <c r="DY57" s="167"/>
      <c r="DZ57" s="167"/>
      <c r="EA57" s="167"/>
      <c r="EB57" s="167"/>
      <c r="EC57" s="167"/>
      <c r="ED57" s="167"/>
      <c r="EE57" s="167"/>
      <c r="EF57" s="167"/>
      <c r="EG57" s="167"/>
    </row>
    <row r="58" spans="1:137" s="168" customFormat="1" ht="90" hidden="1" outlineLevel="2">
      <c r="A58" s="879" t="s">
        <v>471</v>
      </c>
      <c r="B58" s="880" t="s">
        <v>155</v>
      </c>
      <c r="C58" s="880" t="s">
        <v>43</v>
      </c>
      <c r="D58" s="880" t="s">
        <v>442</v>
      </c>
      <c r="E58" s="880"/>
      <c r="F58" s="880"/>
      <c r="G58" s="741" t="s">
        <v>1265</v>
      </c>
      <c r="H58" s="500" t="s">
        <v>476</v>
      </c>
      <c r="I58" s="850" t="s">
        <v>1331</v>
      </c>
      <c r="J58" s="166"/>
      <c r="K58" s="166"/>
      <c r="L58" s="166"/>
      <c r="M58" s="166"/>
      <c r="N58" s="166"/>
      <c r="O58" s="166"/>
      <c r="P58" s="166"/>
      <c r="Q58" s="166"/>
      <c r="R58" s="166"/>
      <c r="S58" s="166"/>
      <c r="T58" s="166"/>
      <c r="U58" s="166"/>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c r="CS58" s="167"/>
      <c r="CT58" s="167"/>
      <c r="CU58" s="167"/>
      <c r="CV58" s="167"/>
      <c r="CW58" s="167"/>
      <c r="CX58" s="167"/>
      <c r="CY58" s="167"/>
      <c r="CZ58" s="167"/>
      <c r="DA58" s="167"/>
      <c r="DB58" s="167"/>
      <c r="DC58" s="167"/>
      <c r="DD58" s="167"/>
      <c r="DE58" s="167"/>
      <c r="DF58" s="167"/>
      <c r="DG58" s="167"/>
      <c r="DH58" s="167"/>
      <c r="DI58" s="167"/>
      <c r="DJ58" s="167"/>
      <c r="DK58" s="167"/>
      <c r="DL58" s="167"/>
      <c r="DM58" s="167"/>
      <c r="DN58" s="167"/>
      <c r="DO58" s="167"/>
      <c r="DP58" s="167"/>
      <c r="DQ58" s="167"/>
      <c r="DR58" s="167"/>
      <c r="DS58" s="167"/>
      <c r="DT58" s="167"/>
      <c r="DU58" s="167"/>
      <c r="DV58" s="167"/>
      <c r="DW58" s="167"/>
      <c r="DX58" s="167"/>
      <c r="DY58" s="167"/>
      <c r="DZ58" s="167"/>
      <c r="EA58" s="167"/>
      <c r="EB58" s="167"/>
      <c r="EC58" s="167"/>
      <c r="ED58" s="167"/>
      <c r="EE58" s="167"/>
      <c r="EF58" s="167"/>
      <c r="EG58" s="167"/>
    </row>
    <row r="59" spans="1:137" s="168" customFormat="1" ht="90.75" hidden="1" outlineLevel="2" thickBot="1">
      <c r="A59" s="882" t="s">
        <v>472</v>
      </c>
      <c r="B59" s="883" t="s">
        <v>469</v>
      </c>
      <c r="C59" s="883" t="s">
        <v>43</v>
      </c>
      <c r="D59" s="883" t="s">
        <v>442</v>
      </c>
      <c r="E59" s="883"/>
      <c r="F59" s="883"/>
      <c r="G59" s="763" t="s">
        <v>1266</v>
      </c>
      <c r="H59" s="764" t="s">
        <v>476</v>
      </c>
      <c r="I59" s="852" t="s">
        <v>1331</v>
      </c>
      <c r="J59" s="166"/>
      <c r="K59" s="166"/>
      <c r="L59" s="166"/>
      <c r="M59" s="166"/>
      <c r="N59" s="166"/>
      <c r="O59" s="166"/>
      <c r="P59" s="166"/>
      <c r="Q59" s="166"/>
      <c r="R59" s="166"/>
      <c r="S59" s="166"/>
      <c r="T59" s="166"/>
      <c r="U59" s="166"/>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c r="CS59" s="167"/>
      <c r="CT59" s="167"/>
      <c r="CU59" s="167"/>
      <c r="CV59" s="167"/>
      <c r="CW59" s="167"/>
      <c r="CX59" s="167"/>
      <c r="CY59" s="167"/>
      <c r="CZ59" s="167"/>
      <c r="DA59" s="167"/>
      <c r="DB59" s="167"/>
      <c r="DC59" s="167"/>
      <c r="DD59" s="167"/>
      <c r="DE59" s="167"/>
      <c r="DF59" s="167"/>
      <c r="DG59" s="167"/>
      <c r="DH59" s="167"/>
      <c r="DI59" s="167"/>
      <c r="DJ59" s="167"/>
      <c r="DK59" s="167"/>
      <c r="DL59" s="167"/>
      <c r="DM59" s="167"/>
      <c r="DN59" s="167"/>
      <c r="DO59" s="167"/>
      <c r="DP59" s="167"/>
      <c r="DQ59" s="167"/>
      <c r="DR59" s="167"/>
      <c r="DS59" s="167"/>
      <c r="DT59" s="167"/>
      <c r="DU59" s="167"/>
      <c r="DV59" s="167"/>
      <c r="DW59" s="167"/>
      <c r="DX59" s="167"/>
      <c r="DY59" s="167"/>
      <c r="DZ59" s="167"/>
      <c r="EA59" s="167"/>
      <c r="EB59" s="167"/>
      <c r="EC59" s="167"/>
      <c r="ED59" s="167"/>
      <c r="EE59" s="167"/>
      <c r="EF59" s="167"/>
      <c r="EG59" s="167"/>
    </row>
    <row r="60" spans="1:137" s="168" customFormat="1" ht="15" hidden="1" outlineLevel="1">
      <c r="A60" s="166"/>
      <c r="B60" s="166"/>
      <c r="C60" s="166"/>
      <c r="D60" s="166"/>
      <c r="E60" s="166"/>
      <c r="F60" s="166"/>
      <c r="G60" s="166"/>
      <c r="H60" s="166"/>
      <c r="I60" s="851"/>
      <c r="J60" s="166"/>
      <c r="K60" s="166"/>
      <c r="L60" s="166"/>
      <c r="M60" s="166"/>
      <c r="N60" s="166"/>
      <c r="O60" s="166"/>
      <c r="P60" s="166"/>
      <c r="Q60" s="166"/>
      <c r="R60" s="166"/>
      <c r="S60" s="166"/>
      <c r="T60" s="166"/>
      <c r="U60" s="166"/>
      <c r="V60" s="166"/>
      <c r="W60" s="166"/>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c r="CS60" s="167"/>
      <c r="CT60" s="167"/>
      <c r="CU60" s="167"/>
      <c r="CV60" s="167"/>
      <c r="CW60" s="167"/>
      <c r="CX60" s="167"/>
      <c r="CY60" s="167"/>
      <c r="CZ60" s="167"/>
      <c r="DA60" s="167"/>
      <c r="DB60" s="167"/>
      <c r="DC60" s="167"/>
      <c r="DD60" s="167"/>
      <c r="DE60" s="167"/>
      <c r="DF60" s="167"/>
      <c r="DG60" s="167"/>
      <c r="DH60" s="167"/>
      <c r="DI60" s="167"/>
      <c r="DJ60" s="167"/>
      <c r="DK60" s="167"/>
      <c r="DL60" s="167"/>
      <c r="DM60" s="167"/>
      <c r="DN60" s="167"/>
      <c r="DO60" s="167"/>
      <c r="DP60" s="167"/>
      <c r="DQ60" s="167"/>
      <c r="DR60" s="167"/>
      <c r="DS60" s="167"/>
      <c r="DT60" s="167"/>
      <c r="DU60" s="167"/>
      <c r="DV60" s="167"/>
      <c r="DW60" s="167"/>
      <c r="DX60" s="167"/>
      <c r="DY60" s="167"/>
      <c r="DZ60" s="167"/>
      <c r="EA60" s="167"/>
      <c r="EB60" s="167"/>
      <c r="EC60" s="167"/>
      <c r="ED60" s="167"/>
      <c r="EE60" s="167"/>
      <c r="EF60" s="167"/>
      <c r="EG60" s="167"/>
    </row>
    <row r="61" spans="1:137" s="168" customFormat="1" hidden="1" outlineLevel="1">
      <c r="A61" s="166"/>
      <c r="B61" s="166"/>
      <c r="C61" s="166"/>
      <c r="D61" s="166"/>
      <c r="E61" s="166"/>
      <c r="F61" s="166"/>
      <c r="G61" s="166"/>
      <c r="H61" s="166"/>
      <c r="I61" s="166"/>
      <c r="J61" s="166"/>
      <c r="K61" s="166"/>
      <c r="L61" s="166"/>
      <c r="M61" s="166"/>
      <c r="N61" s="166"/>
      <c r="O61" s="166"/>
      <c r="P61" s="166"/>
      <c r="Q61" s="166"/>
      <c r="R61" s="166"/>
      <c r="S61" s="166"/>
      <c r="T61" s="166"/>
      <c r="U61" s="166"/>
      <c r="V61" s="166"/>
      <c r="W61" s="166"/>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c r="CS61" s="167"/>
      <c r="CT61" s="167"/>
      <c r="CU61" s="167"/>
      <c r="CV61" s="167"/>
      <c r="CW61" s="167"/>
      <c r="CX61" s="167"/>
      <c r="CY61" s="167"/>
      <c r="CZ61" s="167"/>
      <c r="DA61" s="167"/>
      <c r="DB61" s="167"/>
      <c r="DC61" s="167"/>
      <c r="DD61" s="167"/>
      <c r="DE61" s="167"/>
      <c r="DF61" s="167"/>
      <c r="DG61" s="167"/>
      <c r="DH61" s="167"/>
      <c r="DI61" s="167"/>
      <c r="DJ61" s="167"/>
      <c r="DK61" s="167"/>
      <c r="DL61" s="167"/>
      <c r="DM61" s="167"/>
      <c r="DN61" s="167"/>
      <c r="DO61" s="167"/>
      <c r="DP61" s="167"/>
      <c r="DQ61" s="167"/>
      <c r="DR61" s="167"/>
      <c r="DS61" s="167"/>
      <c r="DT61" s="167"/>
      <c r="DU61" s="167"/>
      <c r="DV61" s="167"/>
      <c r="DW61" s="167"/>
      <c r="DX61" s="167"/>
      <c r="DY61" s="167"/>
      <c r="DZ61" s="167"/>
      <c r="EA61" s="167"/>
      <c r="EB61" s="167"/>
      <c r="EC61" s="167"/>
      <c r="ED61" s="167"/>
      <c r="EE61" s="167"/>
      <c r="EF61" s="167"/>
      <c r="EG61" s="167"/>
    </row>
    <row r="62" spans="1:137" s="168" customFormat="1" hidden="1" outlineLevel="1">
      <c r="A62" s="166"/>
      <c r="B62" s="166"/>
      <c r="C62" s="166"/>
      <c r="D62" s="166"/>
      <c r="E62" s="166"/>
      <c r="F62" s="166"/>
      <c r="G62" s="166"/>
      <c r="H62" s="166"/>
      <c r="I62" s="166"/>
      <c r="J62" s="166"/>
      <c r="K62" s="166"/>
      <c r="L62" s="166"/>
      <c r="M62" s="166"/>
      <c r="N62" s="166"/>
      <c r="O62" s="166"/>
      <c r="P62" s="166"/>
      <c r="Q62" s="166"/>
      <c r="R62" s="166"/>
      <c r="S62" s="166"/>
      <c r="T62" s="166"/>
      <c r="U62" s="166"/>
      <c r="V62" s="166"/>
      <c r="W62" s="166"/>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c r="CS62" s="167"/>
      <c r="CT62" s="167"/>
      <c r="CU62" s="167"/>
      <c r="CV62" s="167"/>
      <c r="CW62" s="167"/>
      <c r="CX62" s="167"/>
      <c r="CY62" s="167"/>
      <c r="CZ62" s="167"/>
      <c r="DA62" s="167"/>
      <c r="DB62" s="167"/>
      <c r="DC62" s="167"/>
      <c r="DD62" s="167"/>
      <c r="DE62" s="167"/>
      <c r="DF62" s="167"/>
      <c r="DG62" s="167"/>
      <c r="DH62" s="167"/>
      <c r="DI62" s="167"/>
      <c r="DJ62" s="167"/>
      <c r="DK62" s="167"/>
      <c r="DL62" s="167"/>
      <c r="DM62" s="167"/>
      <c r="DN62" s="167"/>
      <c r="DO62" s="167"/>
      <c r="DP62" s="167"/>
      <c r="DQ62" s="167"/>
      <c r="DR62" s="167"/>
      <c r="DS62" s="167"/>
      <c r="DT62" s="167"/>
      <c r="DU62" s="167"/>
      <c r="DV62" s="167"/>
      <c r="DW62" s="167"/>
      <c r="DX62" s="167"/>
      <c r="DY62" s="167"/>
      <c r="DZ62" s="167"/>
      <c r="EA62" s="167"/>
      <c r="EB62" s="167"/>
      <c r="EC62" s="167"/>
      <c r="ED62" s="167"/>
      <c r="EE62" s="167"/>
      <c r="EF62" s="167"/>
      <c r="EG62" s="167"/>
    </row>
    <row r="63" spans="1:137" s="168" customFormat="1" collapsed="1">
      <c r="A63" s="166"/>
      <c r="B63" s="166"/>
      <c r="C63" s="166"/>
      <c r="D63" s="166"/>
      <c r="E63" s="166"/>
      <c r="F63" s="166"/>
      <c r="G63" s="166"/>
      <c r="H63" s="166"/>
      <c r="I63" s="166"/>
      <c r="J63" s="166"/>
      <c r="K63" s="166"/>
      <c r="L63" s="166"/>
      <c r="M63" s="166"/>
      <c r="N63" s="166"/>
      <c r="O63" s="166"/>
      <c r="P63" s="166"/>
      <c r="Q63" s="166"/>
      <c r="R63" s="166"/>
      <c r="S63" s="166"/>
      <c r="T63" s="166"/>
      <c r="U63" s="166"/>
      <c r="V63" s="166"/>
      <c r="W63" s="166"/>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c r="CS63" s="167"/>
      <c r="CT63" s="167"/>
      <c r="CU63" s="167"/>
      <c r="CV63" s="167"/>
      <c r="CW63" s="167"/>
      <c r="CX63" s="167"/>
      <c r="CY63" s="167"/>
      <c r="CZ63" s="167"/>
      <c r="DA63" s="167"/>
      <c r="DB63" s="167"/>
      <c r="DC63" s="167"/>
      <c r="DD63" s="167"/>
      <c r="DE63" s="167"/>
      <c r="DF63" s="167"/>
      <c r="DG63" s="167"/>
      <c r="DH63" s="167"/>
      <c r="DI63" s="167"/>
      <c r="DJ63" s="167"/>
      <c r="DK63" s="167"/>
      <c r="DL63" s="167"/>
      <c r="DM63" s="167"/>
      <c r="DN63" s="167"/>
      <c r="DO63" s="167"/>
      <c r="DP63" s="167"/>
      <c r="DQ63" s="167"/>
      <c r="DR63" s="167"/>
      <c r="DS63" s="167"/>
      <c r="DT63" s="167"/>
      <c r="DU63" s="167"/>
      <c r="DV63" s="167"/>
      <c r="DW63" s="167"/>
      <c r="DX63" s="167"/>
      <c r="DY63" s="167"/>
      <c r="DZ63" s="167"/>
      <c r="EA63" s="167"/>
      <c r="EB63" s="167"/>
      <c r="EC63" s="167"/>
      <c r="ED63" s="167"/>
      <c r="EE63" s="167"/>
      <c r="EF63" s="167"/>
      <c r="EG63" s="167"/>
    </row>
    <row r="64" spans="1:137" s="168" customFormat="1">
      <c r="A64" s="166"/>
      <c r="B64" s="166"/>
      <c r="C64" s="166"/>
      <c r="D64" s="166"/>
      <c r="E64" s="166"/>
      <c r="F64" s="166"/>
      <c r="G64" s="166"/>
      <c r="H64" s="166"/>
      <c r="I64" s="166"/>
      <c r="J64" s="166"/>
      <c r="K64" s="166"/>
      <c r="L64" s="166"/>
      <c r="M64" s="166"/>
      <c r="N64" s="166"/>
      <c r="O64" s="166"/>
      <c r="P64" s="166"/>
      <c r="Q64" s="166"/>
      <c r="R64" s="166"/>
      <c r="S64" s="166"/>
      <c r="T64" s="166"/>
      <c r="U64" s="166"/>
      <c r="V64" s="166"/>
      <c r="W64" s="166"/>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c r="CS64" s="167"/>
      <c r="CT64" s="167"/>
      <c r="CU64" s="167"/>
      <c r="CV64" s="167"/>
      <c r="CW64" s="167"/>
      <c r="CX64" s="167"/>
      <c r="CY64" s="167"/>
      <c r="CZ64" s="167"/>
      <c r="DA64" s="167"/>
      <c r="DB64" s="167"/>
      <c r="DC64" s="167"/>
      <c r="DD64" s="167"/>
      <c r="DE64" s="167"/>
      <c r="DF64" s="167"/>
      <c r="DG64" s="167"/>
      <c r="DH64" s="167"/>
      <c r="DI64" s="167"/>
      <c r="DJ64" s="167"/>
      <c r="DK64" s="167"/>
      <c r="DL64" s="167"/>
      <c r="DM64" s="167"/>
      <c r="DN64" s="167"/>
      <c r="DO64" s="167"/>
      <c r="DP64" s="167"/>
      <c r="DQ64" s="167"/>
      <c r="DR64" s="167"/>
      <c r="DS64" s="167"/>
      <c r="DT64" s="167"/>
      <c r="DU64" s="167"/>
      <c r="DV64" s="167"/>
      <c r="DW64" s="167"/>
      <c r="DX64" s="167"/>
      <c r="DY64" s="167"/>
      <c r="DZ64" s="167"/>
      <c r="EA64" s="167"/>
      <c r="EB64" s="167"/>
      <c r="EC64" s="167"/>
      <c r="ED64" s="167"/>
      <c r="EE64" s="167"/>
      <c r="EF64" s="167"/>
      <c r="EG64" s="167"/>
    </row>
    <row r="65" spans="1:137" s="168" customFormat="1">
      <c r="A65" s="166"/>
      <c r="B65" s="166"/>
      <c r="C65" s="166"/>
      <c r="D65" s="166"/>
      <c r="E65" s="166"/>
      <c r="G65" s="173"/>
      <c r="H65" s="166"/>
      <c r="I65" s="166"/>
      <c r="J65" s="166"/>
      <c r="K65" s="166"/>
      <c r="L65" s="166"/>
      <c r="M65" s="166"/>
      <c r="N65" s="166"/>
      <c r="O65" s="166"/>
      <c r="P65" s="166"/>
      <c r="Q65" s="166"/>
      <c r="R65" s="166"/>
      <c r="S65" s="166"/>
      <c r="T65" s="166"/>
      <c r="U65" s="166"/>
      <c r="V65" s="166"/>
      <c r="W65" s="166"/>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c r="CS65" s="167"/>
      <c r="CT65" s="167"/>
      <c r="CU65" s="167"/>
      <c r="CV65" s="167"/>
      <c r="CW65" s="167"/>
      <c r="CX65" s="167"/>
      <c r="CY65" s="167"/>
      <c r="CZ65" s="167"/>
      <c r="DA65" s="167"/>
      <c r="DB65" s="167"/>
      <c r="DC65" s="167"/>
      <c r="DD65" s="167"/>
      <c r="DE65" s="167"/>
      <c r="DF65" s="167"/>
      <c r="DG65" s="167"/>
      <c r="DH65" s="167"/>
      <c r="DI65" s="167"/>
      <c r="DJ65" s="167"/>
      <c r="DK65" s="167"/>
      <c r="DL65" s="167"/>
      <c r="DM65" s="167"/>
      <c r="DN65" s="167"/>
      <c r="DO65" s="167"/>
      <c r="DP65" s="167"/>
      <c r="DQ65" s="167"/>
      <c r="DR65" s="167"/>
      <c r="DS65" s="167"/>
      <c r="DT65" s="167"/>
      <c r="DU65" s="167"/>
      <c r="DV65" s="167"/>
      <c r="DW65" s="167"/>
      <c r="DX65" s="167"/>
      <c r="DY65" s="167"/>
      <c r="DZ65" s="167"/>
      <c r="EA65" s="167"/>
      <c r="EB65" s="167"/>
      <c r="EC65" s="167"/>
      <c r="ED65" s="167"/>
      <c r="EE65" s="167"/>
      <c r="EF65" s="167"/>
      <c r="EG65" s="167"/>
    </row>
    <row r="66" spans="1:137" s="168" customFormat="1">
      <c r="A66" s="166"/>
      <c r="B66" s="166"/>
      <c r="C66" s="166"/>
      <c r="D66" s="166"/>
      <c r="E66" s="166"/>
      <c r="F66" s="166"/>
      <c r="G66" s="166"/>
      <c r="H66" s="166"/>
      <c r="I66" s="166"/>
      <c r="J66" s="166"/>
      <c r="K66" s="166"/>
      <c r="L66" s="166"/>
      <c r="M66" s="166"/>
      <c r="N66" s="166"/>
      <c r="O66" s="166"/>
      <c r="P66" s="166"/>
      <c r="Q66" s="166"/>
      <c r="R66" s="166"/>
      <c r="S66" s="166"/>
      <c r="T66" s="166"/>
      <c r="U66" s="166"/>
      <c r="V66" s="166"/>
      <c r="W66" s="166"/>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c r="CS66" s="167"/>
      <c r="CT66" s="167"/>
      <c r="CU66" s="167"/>
      <c r="CV66" s="167"/>
      <c r="CW66" s="167"/>
      <c r="CX66" s="167"/>
      <c r="CY66" s="167"/>
      <c r="CZ66" s="167"/>
      <c r="DA66" s="167"/>
      <c r="DB66" s="167"/>
      <c r="DC66" s="167"/>
      <c r="DD66" s="167"/>
      <c r="DE66" s="167"/>
      <c r="DF66" s="167"/>
      <c r="DG66" s="167"/>
      <c r="DH66" s="167"/>
      <c r="DI66" s="167"/>
      <c r="DJ66" s="167"/>
      <c r="DK66" s="167"/>
      <c r="DL66" s="167"/>
      <c r="DM66" s="167"/>
      <c r="DN66" s="167"/>
      <c r="DO66" s="167"/>
      <c r="DP66" s="167"/>
      <c r="DQ66" s="167"/>
      <c r="DR66" s="167"/>
      <c r="DS66" s="167"/>
      <c r="DT66" s="167"/>
      <c r="DU66" s="167"/>
      <c r="DV66" s="167"/>
      <c r="DW66" s="167"/>
      <c r="DX66" s="167"/>
      <c r="DY66" s="167"/>
      <c r="DZ66" s="167"/>
      <c r="EA66" s="167"/>
      <c r="EB66" s="167"/>
      <c r="EC66" s="167"/>
      <c r="ED66" s="167"/>
      <c r="EE66" s="167"/>
      <c r="EF66" s="167"/>
      <c r="EG66" s="167"/>
    </row>
    <row r="67" spans="1:137" s="168" customFormat="1">
      <c r="A67" s="166"/>
      <c r="B67" s="166"/>
      <c r="C67" s="166"/>
      <c r="D67" s="166"/>
      <c r="E67" s="166"/>
      <c r="F67" s="166"/>
      <c r="G67" s="166"/>
      <c r="H67" s="166"/>
      <c r="I67" s="166"/>
      <c r="J67" s="166"/>
      <c r="K67" s="166"/>
      <c r="L67" s="166"/>
      <c r="M67" s="166"/>
      <c r="N67" s="166"/>
      <c r="O67" s="166"/>
      <c r="P67" s="166"/>
      <c r="Q67" s="166"/>
      <c r="R67" s="166"/>
      <c r="S67" s="166"/>
      <c r="T67" s="166"/>
      <c r="U67" s="166"/>
      <c r="V67" s="166"/>
      <c r="W67" s="166"/>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c r="CS67" s="167"/>
      <c r="CT67" s="167"/>
      <c r="CU67" s="167"/>
      <c r="CV67" s="167"/>
      <c r="CW67" s="167"/>
      <c r="CX67" s="167"/>
      <c r="CY67" s="167"/>
      <c r="CZ67" s="167"/>
      <c r="DA67" s="167"/>
      <c r="DB67" s="167"/>
      <c r="DC67" s="167"/>
      <c r="DD67" s="167"/>
      <c r="DE67" s="167"/>
      <c r="DF67" s="167"/>
      <c r="DG67" s="167"/>
      <c r="DH67" s="167"/>
      <c r="DI67" s="167"/>
      <c r="DJ67" s="167"/>
      <c r="DK67" s="167"/>
      <c r="DL67" s="167"/>
      <c r="DM67" s="167"/>
      <c r="DN67" s="167"/>
      <c r="DO67" s="167"/>
      <c r="DP67" s="167"/>
      <c r="DQ67" s="167"/>
      <c r="DR67" s="167"/>
      <c r="DS67" s="167"/>
      <c r="DT67" s="167"/>
      <c r="DU67" s="167"/>
      <c r="DV67" s="167"/>
      <c r="DW67" s="167"/>
      <c r="DX67" s="167"/>
      <c r="DY67" s="167"/>
      <c r="DZ67" s="167"/>
      <c r="EA67" s="167"/>
      <c r="EB67" s="167"/>
      <c r="EC67" s="167"/>
      <c r="ED67" s="167"/>
      <c r="EE67" s="167"/>
      <c r="EF67" s="167"/>
      <c r="EG67" s="167"/>
    </row>
    <row r="68" spans="1:137" s="168" customFormat="1">
      <c r="A68" s="166"/>
      <c r="B68" s="166"/>
      <c r="C68" s="166"/>
      <c r="D68" s="166"/>
      <c r="E68" s="166"/>
      <c r="F68" s="166"/>
      <c r="G68" s="166"/>
      <c r="H68" s="166"/>
      <c r="I68" s="166"/>
      <c r="J68" s="166"/>
      <c r="K68" s="166"/>
      <c r="L68" s="166"/>
      <c r="M68" s="166"/>
      <c r="N68" s="166"/>
      <c r="O68" s="166"/>
      <c r="P68" s="166"/>
      <c r="Q68" s="166"/>
      <c r="R68" s="166"/>
      <c r="S68" s="166"/>
      <c r="T68" s="166"/>
      <c r="U68" s="166"/>
      <c r="V68" s="166"/>
      <c r="W68" s="166"/>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c r="CS68" s="167"/>
      <c r="CT68" s="167"/>
      <c r="CU68" s="167"/>
      <c r="CV68" s="167"/>
      <c r="CW68" s="167"/>
      <c r="CX68" s="167"/>
      <c r="CY68" s="167"/>
      <c r="CZ68" s="167"/>
      <c r="DA68" s="167"/>
      <c r="DB68" s="167"/>
      <c r="DC68" s="167"/>
      <c r="DD68" s="167"/>
      <c r="DE68" s="167"/>
      <c r="DF68" s="167"/>
      <c r="DG68" s="167"/>
      <c r="DH68" s="167"/>
      <c r="DI68" s="167"/>
      <c r="DJ68" s="167"/>
      <c r="DK68" s="167"/>
      <c r="DL68" s="167"/>
      <c r="DM68" s="167"/>
      <c r="DN68" s="167"/>
      <c r="DO68" s="167"/>
      <c r="DP68" s="167"/>
      <c r="DQ68" s="167"/>
      <c r="DR68" s="167"/>
      <c r="DS68" s="167"/>
      <c r="DT68" s="167"/>
      <c r="DU68" s="167"/>
      <c r="DV68" s="167"/>
      <c r="DW68" s="167"/>
      <c r="DX68" s="167"/>
      <c r="DY68" s="167"/>
      <c r="DZ68" s="167"/>
      <c r="EA68" s="167"/>
      <c r="EB68" s="167"/>
      <c r="EC68" s="167"/>
      <c r="ED68" s="167"/>
      <c r="EE68" s="167"/>
      <c r="EF68" s="167"/>
      <c r="EG68" s="167"/>
    </row>
    <row r="69" spans="1:137" s="168" customFormat="1">
      <c r="A69" s="166"/>
      <c r="B69" s="166"/>
      <c r="C69" s="166"/>
      <c r="D69" s="166"/>
      <c r="E69" s="166"/>
      <c r="F69" s="166"/>
      <c r="G69" s="166"/>
      <c r="H69" s="166"/>
      <c r="I69" s="166"/>
      <c r="J69" s="166"/>
      <c r="K69" s="166"/>
      <c r="L69" s="166"/>
      <c r="M69" s="166"/>
      <c r="N69" s="166"/>
      <c r="O69" s="166"/>
      <c r="P69" s="166"/>
      <c r="Q69" s="166"/>
      <c r="R69" s="166"/>
      <c r="S69" s="166"/>
      <c r="T69" s="166"/>
      <c r="U69" s="166"/>
      <c r="V69" s="166"/>
      <c r="W69" s="166"/>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c r="CS69" s="167"/>
      <c r="CT69" s="167"/>
      <c r="CU69" s="167"/>
      <c r="CV69" s="167"/>
      <c r="CW69" s="167"/>
      <c r="CX69" s="167"/>
      <c r="CY69" s="167"/>
      <c r="CZ69" s="167"/>
      <c r="DA69" s="167"/>
      <c r="DB69" s="167"/>
      <c r="DC69" s="167"/>
      <c r="DD69" s="167"/>
      <c r="DE69" s="167"/>
      <c r="DF69" s="167"/>
      <c r="DG69" s="167"/>
      <c r="DH69" s="167"/>
      <c r="DI69" s="167"/>
      <c r="DJ69" s="167"/>
      <c r="DK69" s="167"/>
      <c r="DL69" s="167"/>
      <c r="DM69" s="167"/>
      <c r="DN69" s="167"/>
      <c r="DO69" s="167"/>
      <c r="DP69" s="167"/>
      <c r="DQ69" s="167"/>
      <c r="DR69" s="167"/>
      <c r="DS69" s="167"/>
      <c r="DT69" s="167"/>
      <c r="DU69" s="167"/>
      <c r="DV69" s="167"/>
      <c r="DW69" s="167"/>
      <c r="DX69" s="167"/>
      <c r="DY69" s="167"/>
      <c r="DZ69" s="167"/>
      <c r="EA69" s="167"/>
      <c r="EB69" s="167"/>
      <c r="EC69" s="167"/>
      <c r="ED69" s="167"/>
      <c r="EE69" s="167"/>
      <c r="EF69" s="167"/>
      <c r="EG69" s="167"/>
    </row>
    <row r="70" spans="1:137" s="168" customFormat="1">
      <c r="A70" s="166"/>
      <c r="B70" s="166"/>
      <c r="C70" s="166"/>
      <c r="D70" s="166"/>
      <c r="E70" s="166"/>
      <c r="F70" s="166"/>
      <c r="G70" s="166"/>
      <c r="H70" s="166"/>
      <c r="I70" s="166"/>
      <c r="J70" s="166"/>
      <c r="K70" s="166"/>
      <c r="L70" s="166"/>
      <c r="M70" s="166"/>
      <c r="N70" s="166"/>
      <c r="O70" s="166"/>
      <c r="P70" s="166"/>
      <c r="Q70" s="166"/>
      <c r="R70" s="166"/>
      <c r="S70" s="166"/>
      <c r="T70" s="166"/>
      <c r="U70" s="166"/>
      <c r="V70" s="166"/>
      <c r="W70" s="166"/>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c r="CS70" s="167"/>
      <c r="CT70" s="167"/>
      <c r="CU70" s="167"/>
      <c r="CV70" s="167"/>
      <c r="CW70" s="167"/>
      <c r="CX70" s="167"/>
      <c r="CY70" s="167"/>
      <c r="CZ70" s="167"/>
      <c r="DA70" s="167"/>
      <c r="DB70" s="167"/>
      <c r="DC70" s="167"/>
      <c r="DD70" s="167"/>
      <c r="DE70" s="167"/>
      <c r="DF70" s="167"/>
      <c r="DG70" s="167"/>
      <c r="DH70" s="167"/>
      <c r="DI70" s="167"/>
      <c r="DJ70" s="167"/>
      <c r="DK70" s="167"/>
      <c r="DL70" s="167"/>
      <c r="DM70" s="167"/>
      <c r="DN70" s="167"/>
      <c r="DO70" s="167"/>
      <c r="DP70" s="167"/>
      <c r="DQ70" s="167"/>
      <c r="DR70" s="167"/>
      <c r="DS70" s="167"/>
      <c r="DT70" s="167"/>
      <c r="DU70" s="167"/>
      <c r="DV70" s="167"/>
      <c r="DW70" s="167"/>
      <c r="DX70" s="167"/>
      <c r="DY70" s="167"/>
      <c r="DZ70" s="167"/>
      <c r="EA70" s="167"/>
      <c r="EB70" s="167"/>
      <c r="EC70" s="167"/>
      <c r="ED70" s="167"/>
      <c r="EE70" s="167"/>
      <c r="EF70" s="167"/>
      <c r="EG70" s="167"/>
    </row>
    <row r="71" spans="1:137" s="168" customFormat="1">
      <c r="A71" s="166"/>
      <c r="B71" s="166"/>
      <c r="C71" s="166"/>
      <c r="D71" s="166"/>
      <c r="E71" s="166"/>
      <c r="F71" s="166"/>
      <c r="G71" s="166"/>
      <c r="H71" s="166"/>
      <c r="I71" s="166"/>
      <c r="J71" s="166"/>
      <c r="K71" s="166"/>
      <c r="L71" s="166"/>
      <c r="M71" s="166"/>
      <c r="N71" s="166"/>
      <c r="O71" s="166"/>
      <c r="P71" s="166"/>
      <c r="Q71" s="166"/>
      <c r="R71" s="166"/>
      <c r="S71" s="166"/>
      <c r="T71" s="166"/>
      <c r="U71" s="166"/>
      <c r="V71" s="166"/>
      <c r="W71" s="166"/>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c r="CS71" s="167"/>
      <c r="CT71" s="167"/>
      <c r="CU71" s="167"/>
      <c r="CV71" s="167"/>
      <c r="CW71" s="167"/>
      <c r="CX71" s="167"/>
      <c r="CY71" s="167"/>
      <c r="CZ71" s="167"/>
      <c r="DA71" s="167"/>
      <c r="DB71" s="167"/>
      <c r="DC71" s="167"/>
      <c r="DD71" s="167"/>
      <c r="DE71" s="167"/>
      <c r="DF71" s="167"/>
      <c r="DG71" s="167"/>
      <c r="DH71" s="167"/>
      <c r="DI71" s="167"/>
      <c r="DJ71" s="167"/>
      <c r="DK71" s="167"/>
      <c r="DL71" s="167"/>
      <c r="DM71" s="167"/>
      <c r="DN71" s="167"/>
      <c r="DO71" s="167"/>
      <c r="DP71" s="167"/>
      <c r="DQ71" s="167"/>
      <c r="DR71" s="167"/>
      <c r="DS71" s="167"/>
      <c r="DT71" s="167"/>
      <c r="DU71" s="167"/>
      <c r="DV71" s="167"/>
      <c r="DW71" s="167"/>
      <c r="DX71" s="167"/>
      <c r="DY71" s="167"/>
      <c r="DZ71" s="167"/>
      <c r="EA71" s="167"/>
      <c r="EB71" s="167"/>
      <c r="EC71" s="167"/>
      <c r="ED71" s="167"/>
      <c r="EE71" s="167"/>
      <c r="EF71" s="167"/>
      <c r="EG71" s="167"/>
    </row>
    <row r="72" spans="1:137" s="168" customFormat="1">
      <c r="A72" s="166"/>
      <c r="B72" s="166"/>
      <c r="C72" s="166"/>
      <c r="D72" s="166"/>
      <c r="E72" s="166"/>
      <c r="F72" s="166"/>
      <c r="G72" s="166"/>
      <c r="H72" s="166"/>
      <c r="I72" s="166"/>
      <c r="J72" s="166"/>
      <c r="K72" s="166"/>
      <c r="L72" s="166"/>
      <c r="M72" s="166"/>
      <c r="N72" s="166"/>
      <c r="O72" s="166"/>
      <c r="P72" s="166"/>
      <c r="Q72" s="166"/>
      <c r="R72" s="166"/>
      <c r="S72" s="166"/>
      <c r="T72" s="166"/>
      <c r="U72" s="166"/>
      <c r="V72" s="166"/>
      <c r="W72" s="166"/>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c r="CS72" s="167"/>
      <c r="CT72" s="167"/>
      <c r="CU72" s="167"/>
      <c r="CV72" s="167"/>
      <c r="CW72" s="167"/>
      <c r="CX72" s="167"/>
      <c r="CY72" s="167"/>
      <c r="CZ72" s="167"/>
      <c r="DA72" s="167"/>
      <c r="DB72" s="167"/>
      <c r="DC72" s="167"/>
      <c r="DD72" s="167"/>
      <c r="DE72" s="167"/>
      <c r="DF72" s="167"/>
      <c r="DG72" s="167"/>
      <c r="DH72" s="167"/>
      <c r="DI72" s="167"/>
      <c r="DJ72" s="167"/>
      <c r="DK72" s="167"/>
      <c r="DL72" s="167"/>
      <c r="DM72" s="167"/>
      <c r="DN72" s="167"/>
      <c r="DO72" s="167"/>
      <c r="DP72" s="167"/>
      <c r="DQ72" s="167"/>
      <c r="DR72" s="167"/>
      <c r="DS72" s="167"/>
      <c r="DT72" s="167"/>
      <c r="DU72" s="167"/>
      <c r="DV72" s="167"/>
      <c r="DW72" s="167"/>
      <c r="DX72" s="167"/>
      <c r="DY72" s="167"/>
      <c r="DZ72" s="167"/>
      <c r="EA72" s="167"/>
      <c r="EB72" s="167"/>
      <c r="EC72" s="167"/>
      <c r="ED72" s="167"/>
      <c r="EE72" s="167"/>
      <c r="EF72" s="167"/>
      <c r="EG72" s="167"/>
    </row>
    <row r="73" spans="1:137" s="168" customFormat="1">
      <c r="A73" s="166"/>
      <c r="B73" s="166"/>
      <c r="C73" s="166"/>
      <c r="D73" s="166"/>
      <c r="E73" s="166"/>
      <c r="F73" s="166"/>
      <c r="G73" s="166"/>
      <c r="H73" s="166"/>
      <c r="I73" s="166"/>
      <c r="J73" s="166"/>
      <c r="K73" s="166"/>
      <c r="L73" s="166"/>
      <c r="M73" s="166"/>
      <c r="N73" s="166"/>
      <c r="O73" s="166"/>
      <c r="P73" s="166"/>
      <c r="Q73" s="166"/>
      <c r="R73" s="166"/>
      <c r="S73" s="166"/>
      <c r="T73" s="166"/>
      <c r="U73" s="166"/>
      <c r="V73" s="166"/>
      <c r="W73" s="166"/>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c r="CS73" s="167"/>
      <c r="CT73" s="167"/>
      <c r="CU73" s="167"/>
      <c r="CV73" s="167"/>
      <c r="CW73" s="167"/>
      <c r="CX73" s="167"/>
      <c r="CY73" s="167"/>
      <c r="CZ73" s="167"/>
      <c r="DA73" s="167"/>
      <c r="DB73" s="167"/>
      <c r="DC73" s="167"/>
      <c r="DD73" s="167"/>
      <c r="DE73" s="167"/>
      <c r="DF73" s="167"/>
      <c r="DG73" s="167"/>
      <c r="DH73" s="167"/>
      <c r="DI73" s="167"/>
      <c r="DJ73" s="167"/>
      <c r="DK73" s="167"/>
      <c r="DL73" s="167"/>
      <c r="DM73" s="167"/>
      <c r="DN73" s="167"/>
      <c r="DO73" s="167"/>
      <c r="DP73" s="167"/>
      <c r="DQ73" s="167"/>
      <c r="DR73" s="167"/>
      <c r="DS73" s="167"/>
      <c r="DT73" s="167"/>
      <c r="DU73" s="167"/>
      <c r="DV73" s="167"/>
      <c r="DW73" s="167"/>
      <c r="DX73" s="167"/>
      <c r="DY73" s="167"/>
      <c r="DZ73" s="167"/>
      <c r="EA73" s="167"/>
      <c r="EB73" s="167"/>
      <c r="EC73" s="167"/>
      <c r="ED73" s="167"/>
      <c r="EE73" s="167"/>
      <c r="EF73" s="167"/>
      <c r="EG73" s="167"/>
    </row>
    <row r="74" spans="1:137" s="168" customFormat="1">
      <c r="A74" s="166"/>
      <c r="B74" s="166"/>
      <c r="C74" s="166"/>
      <c r="D74" s="166"/>
      <c r="E74" s="166"/>
      <c r="F74" s="166"/>
      <c r="G74" s="166"/>
      <c r="H74" s="166"/>
      <c r="I74" s="166"/>
      <c r="J74" s="166"/>
      <c r="K74" s="166"/>
      <c r="L74" s="166"/>
      <c r="M74" s="166"/>
      <c r="N74" s="166"/>
      <c r="O74" s="166"/>
      <c r="P74" s="166"/>
      <c r="Q74" s="166"/>
      <c r="R74" s="166"/>
      <c r="S74" s="166"/>
      <c r="T74" s="166"/>
      <c r="U74" s="166"/>
      <c r="V74" s="166"/>
      <c r="W74" s="166"/>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c r="CS74" s="167"/>
      <c r="CT74" s="167"/>
      <c r="CU74" s="167"/>
      <c r="CV74" s="167"/>
      <c r="CW74" s="167"/>
      <c r="CX74" s="167"/>
      <c r="CY74" s="167"/>
      <c r="CZ74" s="167"/>
      <c r="DA74" s="167"/>
      <c r="DB74" s="167"/>
      <c r="DC74" s="167"/>
      <c r="DD74" s="167"/>
      <c r="DE74" s="167"/>
      <c r="DF74" s="167"/>
      <c r="DG74" s="167"/>
      <c r="DH74" s="167"/>
      <c r="DI74" s="167"/>
      <c r="DJ74" s="167"/>
      <c r="DK74" s="167"/>
      <c r="DL74" s="167"/>
      <c r="DM74" s="167"/>
      <c r="DN74" s="167"/>
      <c r="DO74" s="167"/>
      <c r="DP74" s="167"/>
      <c r="DQ74" s="167"/>
      <c r="DR74" s="167"/>
      <c r="DS74" s="167"/>
      <c r="DT74" s="167"/>
      <c r="DU74" s="167"/>
      <c r="DV74" s="167"/>
      <c r="DW74" s="167"/>
      <c r="DX74" s="167"/>
      <c r="DY74" s="167"/>
      <c r="DZ74" s="167"/>
      <c r="EA74" s="167"/>
      <c r="EB74" s="167"/>
      <c r="EC74" s="167"/>
      <c r="ED74" s="167"/>
      <c r="EE74" s="167"/>
      <c r="EF74" s="167"/>
      <c r="EG74" s="167"/>
    </row>
  </sheetData>
  <mergeCells count="6">
    <mergeCell ref="D13:F13"/>
    <mergeCell ref="D14:F14"/>
    <mergeCell ref="A5:E5"/>
    <mergeCell ref="A6:D6"/>
    <mergeCell ref="D11:F11"/>
    <mergeCell ref="D12:F12"/>
  </mergeCells>
  <phoneticPr fontId="138" type="noConversion"/>
  <hyperlinks>
    <hyperlink ref="G52" r:id="rId1" display="https://www.denverwater.org/sites/default/files/2017-05/2016-comprehensive-annual-financial-report.pdf; Denver Water Financial Reports" xr:uid="{7152C2CD-C9DA-40D2-BB15-6C6954BF14BE}"/>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tabColor theme="3" tint="-0.499984740745262"/>
  </sheetPr>
  <dimension ref="A1:CH102"/>
  <sheetViews>
    <sheetView workbookViewId="0">
      <selection activeCell="C52" sqref="C52"/>
    </sheetView>
  </sheetViews>
  <sheetFormatPr defaultColWidth="8.75" defaultRowHeight="12.75" outlineLevelRow="1"/>
  <cols>
    <col min="1" max="2" width="50.5" style="20" customWidth="1"/>
    <col min="3" max="3" width="40.5" style="21" customWidth="1"/>
    <col min="4" max="4" width="40.5" style="16" customWidth="1"/>
    <col min="5" max="5" width="18.625" style="16" customWidth="1"/>
    <col min="6" max="6" width="66.75" style="16" customWidth="1"/>
    <col min="7" max="86" width="8.75" style="16"/>
    <col min="87" max="16384" width="8.75" style="20"/>
  </cols>
  <sheetData>
    <row r="1" spans="1:86" s="86" customFormat="1" ht="24" customHeight="1">
      <c r="A1" s="574" t="s">
        <v>184</v>
      </c>
      <c r="B1" s="574"/>
      <c r="C1" s="574"/>
      <c r="D1" s="5"/>
      <c r="E1" s="5"/>
      <c r="F1" s="5"/>
      <c r="G1" s="5"/>
      <c r="H1" s="5"/>
      <c r="I1" s="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c r="BY1" s="85"/>
      <c r="BZ1" s="85"/>
      <c r="CA1" s="85"/>
      <c r="CB1" s="85"/>
      <c r="CC1" s="85"/>
      <c r="CD1" s="85"/>
      <c r="CE1" s="85"/>
      <c r="CF1" s="85"/>
      <c r="CG1" s="85"/>
      <c r="CH1" s="85"/>
    </row>
    <row r="2" spans="1:86" s="16" customFormat="1" ht="20.25">
      <c r="A2" s="571" t="s">
        <v>641</v>
      </c>
      <c r="B2" s="572"/>
      <c r="C2" s="573"/>
      <c r="D2" s="5"/>
      <c r="E2" s="5"/>
      <c r="F2" s="5"/>
      <c r="G2" s="5"/>
      <c r="H2" s="5"/>
      <c r="I2" s="5"/>
    </row>
    <row r="3" spans="1:86" s="16" customFormat="1" ht="26.65" hidden="1" customHeight="1" outlineLevel="1">
      <c r="A3" s="1156" t="s">
        <v>1310</v>
      </c>
      <c r="B3" s="1156"/>
      <c r="C3" s="1156"/>
      <c r="D3" s="5"/>
      <c r="E3" s="5"/>
      <c r="F3" s="5"/>
      <c r="G3" s="5"/>
      <c r="H3" s="5"/>
      <c r="I3" s="5"/>
    </row>
    <row r="4" spans="1:86" s="16" customFormat="1" ht="29.65" hidden="1" customHeight="1" outlineLevel="1">
      <c r="A4" s="1154" t="s">
        <v>1311</v>
      </c>
      <c r="B4" s="1154"/>
      <c r="C4" s="1154"/>
      <c r="D4" s="5"/>
      <c r="E4" s="5"/>
      <c r="F4" s="5"/>
      <c r="G4" s="5"/>
      <c r="H4" s="5"/>
      <c r="I4" s="5"/>
    </row>
    <row r="5" spans="1:86" s="16" customFormat="1" ht="27.6" hidden="1" customHeight="1" outlineLevel="1">
      <c r="A5" s="1154" t="s">
        <v>1312</v>
      </c>
      <c r="B5" s="1154"/>
      <c r="C5" s="1154"/>
      <c r="D5" s="5"/>
      <c r="E5" s="5"/>
      <c r="F5" s="5"/>
      <c r="G5" s="5"/>
      <c r="H5" s="5"/>
      <c r="I5" s="5"/>
    </row>
    <row r="6" spans="1:86" s="16" customFormat="1" ht="48.6" hidden="1" customHeight="1" outlineLevel="1">
      <c r="A6" s="1154" t="s">
        <v>1330</v>
      </c>
      <c r="B6" s="1154"/>
      <c r="C6" s="1154"/>
      <c r="D6" s="5"/>
      <c r="E6" s="5"/>
      <c r="F6" s="5"/>
      <c r="G6" s="5"/>
      <c r="H6" s="5"/>
      <c r="I6" s="5"/>
    </row>
    <row r="7" spans="1:86" s="16" customFormat="1" hidden="1" outlineLevel="1">
      <c r="A7" s="1154" t="s">
        <v>1313</v>
      </c>
      <c r="B7" s="1154"/>
      <c r="C7" s="1154"/>
      <c r="D7" s="5"/>
      <c r="E7" s="5"/>
      <c r="F7" s="5"/>
      <c r="G7" s="5"/>
      <c r="H7" s="5"/>
      <c r="I7" s="5"/>
    </row>
    <row r="8" spans="1:86" s="16" customFormat="1" ht="44.65" hidden="1" customHeight="1" outlineLevel="1">
      <c r="A8" s="1154" t="s">
        <v>1314</v>
      </c>
      <c r="B8" s="1154"/>
      <c r="C8" s="1154"/>
      <c r="D8" s="5"/>
      <c r="E8" s="5"/>
      <c r="F8" s="5"/>
      <c r="G8" s="5"/>
      <c r="H8" s="5"/>
      <c r="I8" s="5"/>
    </row>
    <row r="9" spans="1:86" s="16" customFormat="1" ht="49.15" hidden="1" customHeight="1" outlineLevel="1">
      <c r="A9" s="1154" t="s">
        <v>1315</v>
      </c>
      <c r="B9" s="1154"/>
      <c r="C9" s="1154"/>
      <c r="D9" s="5"/>
      <c r="E9" s="5"/>
      <c r="F9" s="5"/>
      <c r="G9" s="5"/>
      <c r="H9" s="5"/>
      <c r="I9" s="5"/>
    </row>
    <row r="10" spans="1:86" s="208" customFormat="1" ht="36.6" hidden="1" customHeight="1" outlineLevel="1">
      <c r="A10" s="1155" t="s">
        <v>1339</v>
      </c>
      <c r="B10" s="1155"/>
      <c r="C10" s="1155"/>
      <c r="D10" s="5"/>
      <c r="E10" s="5"/>
      <c r="F10" s="5"/>
      <c r="G10" s="5"/>
      <c r="H10" s="5"/>
      <c r="I10" s="5"/>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row>
    <row r="11" spans="1:86" s="208" customFormat="1" hidden="1" outlineLevel="1">
      <c r="A11" s="1154" t="s">
        <v>1316</v>
      </c>
      <c r="B11" s="1154"/>
      <c r="C11" s="1154"/>
      <c r="D11" s="5"/>
      <c r="E11" s="5"/>
      <c r="F11" s="5"/>
      <c r="G11" s="5"/>
      <c r="H11" s="5"/>
      <c r="I11" s="5"/>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row>
    <row r="12" spans="1:86" s="16" customFormat="1" ht="28.9" hidden="1" customHeight="1" outlineLevel="1">
      <c r="A12" s="1154" t="s">
        <v>1355</v>
      </c>
      <c r="B12" s="1154"/>
      <c r="C12" s="1154"/>
      <c r="D12" s="5"/>
      <c r="E12" s="5"/>
      <c r="F12" s="5"/>
      <c r="G12" s="5"/>
      <c r="H12" s="5"/>
      <c r="I12" s="5"/>
    </row>
    <row r="13" spans="1:86" s="16" customFormat="1" ht="32.65" hidden="1" customHeight="1" outlineLevel="1">
      <c r="A13" s="1154" t="s">
        <v>1356</v>
      </c>
      <c r="B13" s="1154"/>
      <c r="C13" s="1154"/>
      <c r="D13" s="5"/>
      <c r="E13" s="5"/>
      <c r="F13" s="5"/>
      <c r="G13" s="5"/>
      <c r="H13" s="5"/>
      <c r="I13" s="5"/>
    </row>
    <row r="14" spans="1:86" s="16" customFormat="1" ht="20.65" customHeight="1" collapsed="1">
      <c r="A14" s="571" t="s">
        <v>642</v>
      </c>
      <c r="B14" s="572"/>
      <c r="C14" s="573"/>
    </row>
    <row r="15" spans="1:86" s="17" customFormat="1" ht="13.15" customHeight="1" outlineLevel="1">
      <c r="A15" s="555" t="s">
        <v>392</v>
      </c>
      <c r="B15" s="557" t="s">
        <v>56</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row>
    <row r="16" spans="1:86" s="5" customFormat="1" ht="13.15" customHeight="1" outlineLevel="1">
      <c r="A16" s="325" t="s">
        <v>646</v>
      </c>
      <c r="B16" s="840">
        <v>153</v>
      </c>
    </row>
    <row r="17" spans="1:2" s="5" customFormat="1" ht="13.15" customHeight="1" outlineLevel="1">
      <c r="A17" s="325" t="s">
        <v>236</v>
      </c>
      <c r="B17" s="841">
        <v>727211</v>
      </c>
    </row>
    <row r="18" spans="1:2" s="5" customFormat="1" ht="15" outlineLevel="1">
      <c r="A18" s="325" t="s">
        <v>552</v>
      </c>
      <c r="B18" s="842">
        <v>314045</v>
      </c>
    </row>
    <row r="19" spans="1:2" s="5" customFormat="1" ht="15" outlineLevel="1">
      <c r="A19" s="683" t="s">
        <v>550</v>
      </c>
      <c r="B19" s="842">
        <v>25694</v>
      </c>
    </row>
    <row r="20" spans="1:2" s="5" customFormat="1" ht="15" outlineLevel="1">
      <c r="A20" s="326" t="s">
        <v>186</v>
      </c>
      <c r="B20" s="843">
        <v>78230146160</v>
      </c>
    </row>
    <row r="21" spans="1:2" s="5" customFormat="1" ht="15" outlineLevel="1">
      <c r="A21" s="683" t="s">
        <v>238</v>
      </c>
      <c r="B21" s="844" t="s">
        <v>690</v>
      </c>
    </row>
    <row r="22" spans="1:2" s="5" customFormat="1" ht="15" outlineLevel="1">
      <c r="A22" s="683" t="s">
        <v>187</v>
      </c>
      <c r="B22" s="844" t="s">
        <v>691</v>
      </c>
    </row>
    <row r="23" spans="1:2" s="5" customFormat="1" ht="15" outlineLevel="1">
      <c r="A23" s="325" t="s">
        <v>1034</v>
      </c>
      <c r="B23" s="842">
        <v>294358</v>
      </c>
    </row>
    <row r="24" spans="1:2" s="5" customFormat="1" ht="15" outlineLevel="1">
      <c r="A24" s="325" t="s">
        <v>684</v>
      </c>
      <c r="B24" s="842">
        <f>10012+14016+26671+87703</f>
        <v>138402</v>
      </c>
    </row>
    <row r="25" spans="1:2" s="5" customFormat="1" ht="15" outlineLevel="1">
      <c r="A25" s="325" t="s">
        <v>685</v>
      </c>
      <c r="B25" s="842">
        <v>16</v>
      </c>
    </row>
    <row r="26" spans="1:2" s="5" customFormat="1" ht="15" outlineLevel="1">
      <c r="A26" s="325" t="s">
        <v>686</v>
      </c>
      <c r="B26" s="842">
        <v>2643</v>
      </c>
    </row>
    <row r="27" spans="1:2" s="5" customFormat="1" ht="15" outlineLevel="1">
      <c r="A27" s="683" t="s">
        <v>1289</v>
      </c>
      <c r="B27" s="845">
        <f>SUM(B28:B31)</f>
        <v>621930664</v>
      </c>
    </row>
    <row r="28" spans="1:2" s="5" customFormat="1" ht="15" outlineLevel="1">
      <c r="A28" s="325" t="s">
        <v>551</v>
      </c>
      <c r="B28" s="842">
        <v>429236846</v>
      </c>
    </row>
    <row r="29" spans="1:2" s="5" customFormat="1" ht="15" outlineLevel="1">
      <c r="A29" s="325" t="s">
        <v>687</v>
      </c>
      <c r="B29" s="842">
        <v>75581626</v>
      </c>
    </row>
    <row r="30" spans="1:2" s="5" customFormat="1" ht="15" outlineLevel="1">
      <c r="A30" s="325" t="s">
        <v>688</v>
      </c>
      <c r="B30" s="842">
        <v>28684443</v>
      </c>
    </row>
    <row r="31" spans="1:2" s="5" customFormat="1" ht="15" outlineLevel="1">
      <c r="A31" s="325" t="s">
        <v>689</v>
      </c>
      <c r="B31" s="842">
        <v>88427749</v>
      </c>
    </row>
    <row r="32" spans="1:2" s="5" customFormat="1" ht="15" outlineLevel="1">
      <c r="A32" s="325" t="s">
        <v>188</v>
      </c>
      <c r="B32" s="841">
        <v>628274</v>
      </c>
    </row>
    <row r="33" spans="1:4" s="5" customFormat="1" ht="15" outlineLevel="1">
      <c r="A33" s="325" t="s">
        <v>190</v>
      </c>
      <c r="B33" s="842">
        <v>6163</v>
      </c>
    </row>
    <row r="34" spans="1:4" s="5" customFormat="1" ht="15" outlineLevel="1">
      <c r="A34" s="325" t="s">
        <v>191</v>
      </c>
      <c r="B34" s="842">
        <v>920</v>
      </c>
    </row>
    <row r="35" spans="1:4" s="5" customFormat="1" ht="15" outlineLevel="1">
      <c r="A35" s="325" t="s">
        <v>1215</v>
      </c>
      <c r="B35" s="923">
        <v>762201000</v>
      </c>
    </row>
    <row r="36" spans="1:4" s="5" customFormat="1" ht="15" outlineLevel="1">
      <c r="A36" s="325" t="s">
        <v>513</v>
      </c>
      <c r="B36" s="924">
        <f>B35/0.0365</f>
        <v>20882219178.082191</v>
      </c>
    </row>
    <row r="37" spans="1:4" s="5" customFormat="1">
      <c r="A37" s="18"/>
      <c r="B37" s="18"/>
    </row>
    <row r="38" spans="1:4" s="19" customFormat="1">
      <c r="C38" s="5"/>
      <c r="D38" s="836"/>
    </row>
    <row r="39" spans="1:4" s="19" customFormat="1" ht="41.65" customHeight="1">
      <c r="C39" s="5"/>
    </row>
    <row r="40" spans="1:4" s="19" customFormat="1"/>
    <row r="41" spans="1:4" s="19" customFormat="1" ht="40.9" customHeight="1"/>
    <row r="42" spans="1:4" s="19" customFormat="1"/>
    <row r="43" spans="1:4" s="19" customFormat="1"/>
    <row r="44" spans="1:4" s="19" customFormat="1"/>
    <row r="45" spans="1:4" s="19" customFormat="1"/>
    <row r="46" spans="1:4" s="19" customFormat="1"/>
    <row r="47" spans="1:4" s="19" customFormat="1"/>
    <row r="48" spans="1:4" s="19" customFormat="1"/>
    <row r="49" spans="1:3" s="19" customFormat="1" ht="27" customHeight="1"/>
    <row r="50" spans="1:3" s="19" customFormat="1"/>
    <row r="51" spans="1:3" s="19" customFormat="1"/>
    <row r="52" spans="1:3" s="16" customFormat="1">
      <c r="A52" s="20"/>
      <c r="B52" s="20"/>
      <c r="C52" s="21"/>
    </row>
    <row r="53" spans="1:3" s="16" customFormat="1">
      <c r="C53" s="15"/>
    </row>
    <row r="54" spans="1:3" s="16" customFormat="1">
      <c r="C54" s="15"/>
    </row>
    <row r="55" spans="1:3" s="16" customFormat="1">
      <c r="C55" s="15"/>
    </row>
    <row r="56" spans="1:3" s="16" customFormat="1">
      <c r="C56" s="15"/>
    </row>
    <row r="57" spans="1:3" s="16" customFormat="1">
      <c r="C57" s="15"/>
    </row>
    <row r="58" spans="1:3" s="16" customFormat="1">
      <c r="C58" s="15"/>
    </row>
    <row r="59" spans="1:3" s="16" customFormat="1">
      <c r="C59" s="15"/>
    </row>
    <row r="60" spans="1:3" s="16" customFormat="1">
      <c r="C60" s="15"/>
    </row>
    <row r="61" spans="1:3" s="16" customFormat="1">
      <c r="C61" s="15"/>
    </row>
    <row r="62" spans="1:3" s="16" customFormat="1">
      <c r="C62" s="15"/>
    </row>
    <row r="63" spans="1:3" s="16" customFormat="1">
      <c r="C63" s="15"/>
    </row>
    <row r="64" spans="1:3" s="16" customFormat="1">
      <c r="C64" s="15"/>
    </row>
    <row r="65" spans="3:3" s="16" customFormat="1">
      <c r="C65" s="15"/>
    </row>
    <row r="66" spans="3:3" s="16" customFormat="1">
      <c r="C66" s="15"/>
    </row>
    <row r="67" spans="3:3" s="16" customFormat="1">
      <c r="C67" s="15"/>
    </row>
    <row r="68" spans="3:3" s="16" customFormat="1">
      <c r="C68" s="15"/>
    </row>
    <row r="69" spans="3:3" s="16" customFormat="1">
      <c r="C69" s="15"/>
    </row>
    <row r="70" spans="3:3" s="16" customFormat="1">
      <c r="C70" s="15"/>
    </row>
    <row r="71" spans="3:3" s="16" customFormat="1">
      <c r="C71" s="15"/>
    </row>
    <row r="72" spans="3:3" s="16" customFormat="1">
      <c r="C72" s="15"/>
    </row>
    <row r="73" spans="3:3" s="16" customFormat="1">
      <c r="C73" s="15"/>
    </row>
    <row r="74" spans="3:3" s="16" customFormat="1">
      <c r="C74" s="15"/>
    </row>
    <row r="75" spans="3:3" s="16" customFormat="1">
      <c r="C75" s="15"/>
    </row>
    <row r="76" spans="3:3" s="16" customFormat="1">
      <c r="C76" s="15"/>
    </row>
    <row r="77" spans="3:3" s="16" customFormat="1">
      <c r="C77" s="15"/>
    </row>
    <row r="78" spans="3:3" s="16" customFormat="1">
      <c r="C78" s="15"/>
    </row>
    <row r="79" spans="3:3" s="16" customFormat="1">
      <c r="C79" s="15"/>
    </row>
    <row r="80" spans="3:3" s="16" customFormat="1">
      <c r="C80" s="15"/>
    </row>
    <row r="81" spans="3:3" s="16" customFormat="1">
      <c r="C81" s="15"/>
    </row>
    <row r="82" spans="3:3" s="16" customFormat="1">
      <c r="C82" s="15"/>
    </row>
    <row r="83" spans="3:3" s="16" customFormat="1">
      <c r="C83" s="15"/>
    </row>
    <row r="84" spans="3:3" s="16" customFormat="1">
      <c r="C84" s="15"/>
    </row>
    <row r="85" spans="3:3" s="16" customFormat="1">
      <c r="C85" s="15"/>
    </row>
    <row r="86" spans="3:3" s="16" customFormat="1">
      <c r="C86" s="15"/>
    </row>
    <row r="87" spans="3:3" s="16" customFormat="1">
      <c r="C87" s="15"/>
    </row>
    <row r="88" spans="3:3" s="16" customFormat="1">
      <c r="C88" s="15"/>
    </row>
    <row r="89" spans="3:3" s="16" customFormat="1">
      <c r="C89" s="15"/>
    </row>
    <row r="90" spans="3:3" s="16" customFormat="1">
      <c r="C90" s="15"/>
    </row>
    <row r="91" spans="3:3" s="16" customFormat="1">
      <c r="C91" s="15"/>
    </row>
    <row r="92" spans="3:3" s="16" customFormat="1">
      <c r="C92" s="15"/>
    </row>
    <row r="93" spans="3:3" s="16" customFormat="1">
      <c r="C93" s="15"/>
    </row>
    <row r="94" spans="3:3" s="16" customFormat="1">
      <c r="C94" s="15"/>
    </row>
    <row r="95" spans="3:3" s="16" customFormat="1">
      <c r="C95" s="15"/>
    </row>
    <row r="96" spans="3:3" s="16" customFormat="1">
      <c r="C96" s="15"/>
    </row>
    <row r="97" spans="3:3" s="16" customFormat="1">
      <c r="C97" s="15"/>
    </row>
    <row r="98" spans="3:3" s="16" customFormat="1">
      <c r="C98" s="15"/>
    </row>
    <row r="99" spans="3:3" s="16" customFormat="1">
      <c r="C99" s="15"/>
    </row>
    <row r="100" spans="3:3" s="16" customFormat="1">
      <c r="C100" s="15"/>
    </row>
    <row r="101" spans="3:3" s="16" customFormat="1">
      <c r="C101" s="15"/>
    </row>
    <row r="102" spans="3:3" s="16" customFormat="1">
      <c r="C102" s="15"/>
    </row>
  </sheetData>
  <mergeCells count="11">
    <mergeCell ref="A3:C3"/>
    <mergeCell ref="A7:C7"/>
    <mergeCell ref="A8:C8"/>
    <mergeCell ref="A6:C6"/>
    <mergeCell ref="A4:C4"/>
    <mergeCell ref="A5:C5"/>
    <mergeCell ref="A13:C13"/>
    <mergeCell ref="A11:C11"/>
    <mergeCell ref="A12:C12"/>
    <mergeCell ref="A9:C9"/>
    <mergeCell ref="A10:C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3" tint="-0.499984740745262"/>
  </sheetPr>
  <dimension ref="A1:AL938"/>
  <sheetViews>
    <sheetView workbookViewId="0">
      <selection activeCell="I5" sqref="I5:K5"/>
    </sheetView>
  </sheetViews>
  <sheetFormatPr defaultColWidth="11.125" defaultRowHeight="12.75" outlineLevelRow="1"/>
  <cols>
    <col min="1" max="1" width="36.25" style="13" customWidth="1"/>
    <col min="2" max="2" width="33.75" style="13" customWidth="1"/>
    <col min="3" max="3" width="29.75" style="13" customWidth="1"/>
    <col min="4" max="4" width="52.5" style="13" customWidth="1"/>
    <col min="5" max="5" width="59.625" style="13" customWidth="1"/>
    <col min="6" max="6" width="36" style="13" customWidth="1"/>
    <col min="7" max="7" width="38.125" style="13" customWidth="1"/>
    <col min="8" max="8" width="11.125" style="13" customWidth="1"/>
    <col min="9" max="9" width="37.625" style="13" customWidth="1"/>
    <col min="10" max="10" width="13.625" style="13" customWidth="1"/>
    <col min="11" max="12" width="11.125" style="13" customWidth="1"/>
    <col min="13" max="13" width="51.125" style="13" customWidth="1"/>
    <col min="14" max="17" width="11.125" style="13" customWidth="1"/>
    <col min="18" max="16384" width="11.125" style="13"/>
  </cols>
  <sheetData>
    <row r="1" spans="1:34" s="86" customFormat="1" ht="23.65" customHeight="1">
      <c r="A1" s="210" t="s">
        <v>629</v>
      </c>
      <c r="B1" s="210"/>
      <c r="C1" s="210"/>
      <c r="D1" s="210"/>
      <c r="E1" s="54"/>
      <c r="F1" s="92"/>
      <c r="G1" s="92"/>
      <c r="H1" s="93"/>
      <c r="I1" s="93"/>
      <c r="J1" s="93"/>
      <c r="K1" s="93"/>
      <c r="L1" s="93"/>
      <c r="M1" s="93"/>
      <c r="N1" s="93"/>
      <c r="O1" s="93"/>
      <c r="P1" s="93"/>
      <c r="Q1" s="93"/>
      <c r="R1" s="94"/>
      <c r="S1" s="94"/>
      <c r="T1" s="94"/>
      <c r="U1" s="94"/>
      <c r="V1" s="94"/>
      <c r="W1" s="94"/>
      <c r="X1" s="94"/>
      <c r="Y1" s="94"/>
      <c r="Z1" s="94"/>
      <c r="AA1" s="85"/>
      <c r="AB1" s="85"/>
      <c r="AC1" s="85"/>
      <c r="AD1" s="85"/>
      <c r="AE1" s="85"/>
      <c r="AF1" s="85"/>
      <c r="AG1" s="85"/>
      <c r="AH1" s="85"/>
    </row>
    <row r="2" spans="1:34" ht="20.25">
      <c r="A2" s="501" t="s">
        <v>511</v>
      </c>
      <c r="B2" s="576"/>
      <c r="C2" s="577"/>
      <c r="D2" s="578"/>
      <c r="E2" s="51"/>
      <c r="F2" s="51"/>
      <c r="G2" s="51"/>
      <c r="H2" s="51"/>
      <c r="I2" s="51"/>
      <c r="J2" s="51"/>
      <c r="K2" s="51"/>
      <c r="L2" s="51"/>
      <c r="M2" s="51"/>
      <c r="N2" s="51"/>
      <c r="O2" s="51"/>
      <c r="P2" s="51"/>
      <c r="Q2" s="52"/>
      <c r="R2" s="2"/>
      <c r="S2" s="2"/>
      <c r="T2" s="2"/>
      <c r="U2" s="2"/>
      <c r="V2" s="2"/>
      <c r="W2" s="2"/>
      <c r="X2" s="2"/>
      <c r="Y2" s="2"/>
      <c r="Z2" s="2"/>
    </row>
    <row r="3" spans="1:34" ht="14.25" outlineLevel="1">
      <c r="A3" s="555" t="s">
        <v>1149</v>
      </c>
      <c r="B3" s="555" t="s">
        <v>56</v>
      </c>
      <c r="C3" s="555" t="s">
        <v>1149</v>
      </c>
      <c r="D3" s="554" t="s">
        <v>56</v>
      </c>
      <c r="E3" s="51"/>
      <c r="F3" s="51"/>
      <c r="G3" s="51"/>
      <c r="H3" s="51"/>
      <c r="I3" s="51"/>
      <c r="J3" s="51"/>
      <c r="K3" s="51"/>
      <c r="L3" s="51"/>
      <c r="M3" s="51"/>
      <c r="N3" s="51"/>
      <c r="O3" s="51"/>
      <c r="P3" s="51"/>
      <c r="Q3" s="52"/>
      <c r="R3" s="2"/>
      <c r="S3" s="2"/>
      <c r="T3" s="2"/>
      <c r="U3" s="2"/>
      <c r="V3" s="2"/>
      <c r="W3" s="2"/>
      <c r="X3" s="2"/>
      <c r="Y3" s="2"/>
      <c r="Z3" s="2"/>
    </row>
    <row r="4" spans="1:34" s="14" customFormat="1" ht="15" outlineLevel="1">
      <c r="A4" s="320">
        <v>2204.62</v>
      </c>
      <c r="B4" s="321" t="s">
        <v>445</v>
      </c>
      <c r="C4" s="321">
        <v>1</v>
      </c>
      <c r="D4" s="321" t="s">
        <v>37</v>
      </c>
      <c r="E4" s="2"/>
      <c r="F4" s="13"/>
      <c r="G4" s="13"/>
      <c r="H4" s="13"/>
      <c r="I4" s="13"/>
      <c r="J4" s="53"/>
      <c r="K4" s="2"/>
      <c r="L4" s="2"/>
      <c r="M4" s="2"/>
      <c r="N4" s="52"/>
      <c r="O4" s="52"/>
      <c r="P4" s="52"/>
      <c r="Q4" s="52"/>
      <c r="R4" s="2"/>
      <c r="S4" s="2"/>
      <c r="T4" s="2"/>
      <c r="U4" s="2"/>
      <c r="V4" s="2"/>
      <c r="W4" s="2"/>
      <c r="X4" s="2"/>
      <c r="Y4" s="2"/>
      <c r="Z4" s="2"/>
      <c r="AA4" s="13"/>
      <c r="AB4" s="13"/>
      <c r="AC4" s="13"/>
      <c r="AD4" s="13"/>
      <c r="AE4" s="13"/>
      <c r="AF4" s="13"/>
      <c r="AG4" s="13"/>
      <c r="AH4" s="13"/>
    </row>
    <row r="5" spans="1:34" s="14" customFormat="1" ht="15" outlineLevel="1">
      <c r="A5" s="322">
        <v>2000</v>
      </c>
      <c r="B5" s="321" t="s">
        <v>445</v>
      </c>
      <c r="C5" s="318">
        <v>1</v>
      </c>
      <c r="D5" s="318" t="s">
        <v>42</v>
      </c>
      <c r="E5" s="52"/>
      <c r="F5" s="13"/>
      <c r="G5" s="13"/>
      <c r="H5" s="13"/>
      <c r="I5" s="13"/>
      <c r="J5" s="52"/>
      <c r="K5" s="52"/>
      <c r="L5" s="52"/>
      <c r="M5" s="52"/>
      <c r="N5" s="52"/>
      <c r="O5" s="52"/>
      <c r="P5" s="52"/>
      <c r="Q5" s="52"/>
      <c r="R5" s="52"/>
      <c r="S5" s="52"/>
      <c r="T5" s="52"/>
      <c r="U5" s="52"/>
      <c r="V5" s="52"/>
      <c r="W5" s="52"/>
      <c r="X5" s="52"/>
      <c r="Y5" s="52"/>
      <c r="Z5" s="52"/>
      <c r="AA5" s="13"/>
      <c r="AB5" s="13"/>
      <c r="AC5" s="13"/>
      <c r="AD5" s="13"/>
      <c r="AE5" s="13"/>
      <c r="AF5" s="13"/>
      <c r="AG5" s="13"/>
      <c r="AH5" s="13"/>
    </row>
    <row r="6" spans="1:34" s="14" customFormat="1" ht="15" outlineLevel="1">
      <c r="A6" s="322">
        <v>1000</v>
      </c>
      <c r="B6" s="318" t="s">
        <v>43</v>
      </c>
      <c r="C6" s="318">
        <v>1</v>
      </c>
      <c r="D6" s="318" t="s">
        <v>44</v>
      </c>
      <c r="E6" s="54"/>
      <c r="F6" s="13"/>
      <c r="G6" s="13"/>
      <c r="H6" s="13"/>
      <c r="I6" s="13"/>
      <c r="J6" s="54"/>
      <c r="K6" s="54"/>
      <c r="L6" s="54"/>
      <c r="M6" s="54"/>
      <c r="N6" s="54"/>
      <c r="O6" s="54"/>
      <c r="P6" s="54"/>
      <c r="Q6" s="52"/>
      <c r="R6" s="52"/>
      <c r="S6" s="52"/>
      <c r="T6" s="52"/>
      <c r="U6" s="52"/>
      <c r="V6" s="52"/>
      <c r="W6" s="52"/>
      <c r="X6" s="52"/>
      <c r="Y6" s="52"/>
      <c r="Z6" s="52"/>
      <c r="AA6" s="13"/>
      <c r="AB6" s="13"/>
      <c r="AC6" s="13"/>
      <c r="AD6" s="13"/>
      <c r="AE6" s="13"/>
      <c r="AF6" s="13"/>
      <c r="AG6" s="13"/>
      <c r="AH6" s="13"/>
    </row>
    <row r="7" spans="1:34" s="14" customFormat="1" ht="15" outlineLevel="1">
      <c r="A7" s="322">
        <v>1000</v>
      </c>
      <c r="B7" s="318" t="s">
        <v>46</v>
      </c>
      <c r="C7" s="318">
        <v>1</v>
      </c>
      <c r="D7" s="318" t="s">
        <v>37</v>
      </c>
      <c r="E7" s="54"/>
      <c r="F7" s="52"/>
      <c r="G7" s="52"/>
      <c r="H7" s="52"/>
      <c r="I7" s="55"/>
      <c r="J7" s="54"/>
      <c r="K7" s="54"/>
      <c r="L7" s="54"/>
      <c r="M7" s="54"/>
      <c r="N7" s="54"/>
      <c r="O7" s="54"/>
      <c r="P7" s="54"/>
      <c r="Q7" s="52"/>
      <c r="R7" s="52"/>
      <c r="S7" s="52"/>
      <c r="T7" s="52"/>
      <c r="U7" s="52"/>
      <c r="V7" s="52"/>
      <c r="W7" s="52"/>
      <c r="X7" s="52"/>
      <c r="Y7" s="52"/>
      <c r="Z7" s="52"/>
      <c r="AA7" s="13"/>
      <c r="AB7" s="13"/>
      <c r="AC7" s="13"/>
      <c r="AD7" s="13"/>
      <c r="AE7" s="13"/>
      <c r="AF7" s="13"/>
      <c r="AG7" s="13"/>
      <c r="AH7" s="13"/>
    </row>
    <row r="8" spans="1:34" s="14" customFormat="1" ht="15" outlineLevel="1">
      <c r="A8" s="323">
        <v>1000000</v>
      </c>
      <c r="B8" s="318" t="s">
        <v>436</v>
      </c>
      <c r="C8" s="318">
        <v>1</v>
      </c>
      <c r="D8" s="318" t="s">
        <v>37</v>
      </c>
      <c r="E8" s="54"/>
      <c r="F8" s="52"/>
      <c r="G8" s="52"/>
      <c r="H8" s="52"/>
      <c r="I8" s="55"/>
      <c r="J8" s="54"/>
      <c r="K8" s="54"/>
      <c r="L8" s="54"/>
      <c r="M8" s="54"/>
      <c r="N8" s="54"/>
      <c r="O8" s="54"/>
      <c r="P8" s="54"/>
      <c r="Q8" s="52"/>
      <c r="R8" s="52"/>
      <c r="S8" s="52"/>
      <c r="T8" s="52"/>
      <c r="U8" s="52"/>
      <c r="V8" s="52"/>
      <c r="W8" s="52"/>
      <c r="X8" s="52"/>
      <c r="Y8" s="52"/>
      <c r="Z8" s="52"/>
      <c r="AA8" s="13"/>
      <c r="AB8" s="13"/>
      <c r="AC8" s="13"/>
      <c r="AD8" s="13"/>
      <c r="AE8" s="13"/>
      <c r="AF8" s="13"/>
      <c r="AG8" s="13"/>
      <c r="AH8" s="13"/>
    </row>
    <row r="9" spans="1:34" s="14" customFormat="1" ht="15" outlineLevel="1">
      <c r="A9" s="324">
        <v>0.1</v>
      </c>
      <c r="B9" s="318" t="s">
        <v>48</v>
      </c>
      <c r="C9" s="318">
        <v>1</v>
      </c>
      <c r="D9" s="318" t="s">
        <v>47</v>
      </c>
      <c r="E9" s="54"/>
      <c r="F9" s="54"/>
      <c r="G9" s="54"/>
      <c r="H9" s="54"/>
      <c r="I9" s="54"/>
      <c r="J9" s="54"/>
      <c r="K9" s="54"/>
      <c r="L9" s="54"/>
      <c r="M9" s="54"/>
      <c r="N9" s="54"/>
      <c r="O9" s="54"/>
      <c r="P9" s="54"/>
      <c r="Q9" s="52"/>
      <c r="R9" s="52"/>
      <c r="S9" s="52"/>
      <c r="T9" s="52"/>
      <c r="U9" s="52"/>
      <c r="V9" s="52"/>
      <c r="W9" s="52"/>
      <c r="X9" s="52"/>
      <c r="Y9" s="52"/>
      <c r="Z9" s="52"/>
      <c r="AA9" s="13"/>
      <c r="AB9" s="13"/>
      <c r="AC9" s="13"/>
      <c r="AD9" s="13"/>
      <c r="AE9" s="13"/>
      <c r="AF9" s="13"/>
      <c r="AG9" s="13"/>
      <c r="AH9" s="13"/>
    </row>
    <row r="10" spans="1:34" s="14" customFormat="1" ht="15" outlineLevel="1">
      <c r="A10" s="324">
        <v>0.13850000000000001</v>
      </c>
      <c r="B10" s="318" t="s">
        <v>49</v>
      </c>
      <c r="C10" s="318">
        <v>1</v>
      </c>
      <c r="D10" s="318" t="s">
        <v>50</v>
      </c>
      <c r="E10" s="54"/>
      <c r="F10" s="54"/>
      <c r="G10" s="54"/>
      <c r="H10" s="54"/>
      <c r="I10" s="54"/>
      <c r="J10" s="54"/>
      <c r="K10" s="54"/>
      <c r="L10" s="54"/>
      <c r="M10" s="54"/>
      <c r="N10" s="54"/>
      <c r="O10" s="54"/>
      <c r="P10" s="54"/>
      <c r="Q10" s="52"/>
      <c r="R10" s="52"/>
      <c r="S10" s="52"/>
      <c r="T10" s="52"/>
      <c r="U10" s="52"/>
      <c r="V10" s="52"/>
      <c r="W10" s="52"/>
      <c r="X10" s="52"/>
      <c r="Y10" s="52"/>
      <c r="Z10" s="52"/>
      <c r="AA10" s="13"/>
      <c r="AB10" s="13"/>
      <c r="AC10" s="13"/>
      <c r="AD10" s="13"/>
      <c r="AE10" s="13"/>
      <c r="AF10" s="13"/>
      <c r="AG10" s="13"/>
      <c r="AH10" s="13"/>
    </row>
    <row r="11" spans="1:34" s="14" customFormat="1" ht="20.25">
      <c r="A11" s="517" t="s">
        <v>1</v>
      </c>
      <c r="B11" s="532"/>
      <c r="C11" s="532"/>
      <c r="D11" s="533"/>
      <c r="E11" s="54"/>
      <c r="F11" s="54"/>
      <c r="G11" s="54"/>
      <c r="H11" s="54"/>
      <c r="I11" s="54"/>
      <c r="J11" s="54"/>
      <c r="K11" s="54"/>
      <c r="L11" s="54"/>
      <c r="M11" s="54"/>
      <c r="N11" s="54"/>
      <c r="O11" s="54"/>
      <c r="P11" s="54"/>
      <c r="Q11" s="52"/>
      <c r="R11" s="52"/>
      <c r="S11" s="52"/>
      <c r="T11" s="52"/>
      <c r="U11" s="52"/>
      <c r="V11" s="52"/>
      <c r="W11" s="52"/>
      <c r="X11" s="52"/>
      <c r="Y11" s="52"/>
      <c r="Z11" s="52"/>
      <c r="AA11" s="13"/>
      <c r="AB11" s="13"/>
      <c r="AC11" s="13"/>
      <c r="AD11" s="13"/>
      <c r="AE11" s="13"/>
      <c r="AF11" s="13"/>
      <c r="AG11" s="13"/>
      <c r="AH11" s="13"/>
    </row>
    <row r="12" spans="1:34" s="14" customFormat="1" ht="14.25" outlineLevel="1">
      <c r="A12" s="555" t="s">
        <v>38</v>
      </c>
      <c r="B12" s="555" t="s">
        <v>39</v>
      </c>
      <c r="C12" s="555" t="s">
        <v>40</v>
      </c>
      <c r="D12" s="554" t="s">
        <v>41</v>
      </c>
      <c r="E12" s="54"/>
      <c r="F12" s="54"/>
      <c r="G12" s="54"/>
      <c r="H12" s="54"/>
      <c r="I12" s="54"/>
      <c r="J12" s="54"/>
      <c r="K12" s="54"/>
      <c r="L12" s="54"/>
      <c r="M12" s="54"/>
      <c r="N12" s="54"/>
      <c r="O12" s="54"/>
      <c r="P12" s="54"/>
      <c r="Q12" s="52"/>
      <c r="R12" s="52"/>
      <c r="S12" s="52"/>
      <c r="T12" s="52"/>
      <c r="U12" s="52"/>
      <c r="V12" s="52"/>
      <c r="W12" s="52"/>
      <c r="X12" s="52"/>
      <c r="Y12" s="52"/>
      <c r="Z12" s="52"/>
      <c r="AA12" s="13"/>
      <c r="AB12" s="13"/>
      <c r="AC12" s="13"/>
      <c r="AD12" s="13"/>
      <c r="AE12" s="13"/>
      <c r="AF12" s="13"/>
      <c r="AG12" s="13"/>
      <c r="AH12" s="13"/>
    </row>
    <row r="13" spans="1:34" s="14" customFormat="1" ht="18" customHeight="1" outlineLevel="1">
      <c r="A13" s="317" t="s">
        <v>1150</v>
      </c>
      <c r="B13" s="318" t="s">
        <v>643</v>
      </c>
      <c r="C13" s="306">
        <v>1</v>
      </c>
      <c r="D13" s="1157" t="s">
        <v>673</v>
      </c>
      <c r="E13" s="54"/>
      <c r="F13" s="54"/>
      <c r="G13" s="54"/>
      <c r="H13" s="54"/>
      <c r="I13" s="54"/>
      <c r="J13" s="54"/>
      <c r="K13" s="54"/>
      <c r="L13" s="54"/>
      <c r="M13" s="54"/>
      <c r="N13" s="54"/>
      <c r="O13" s="54"/>
      <c r="P13" s="54"/>
      <c r="Q13" s="52"/>
      <c r="R13" s="52"/>
      <c r="S13" s="52"/>
      <c r="T13" s="52"/>
      <c r="U13" s="52"/>
      <c r="V13" s="52"/>
      <c r="W13" s="52"/>
      <c r="X13" s="52"/>
      <c r="Y13" s="52"/>
      <c r="Z13" s="52"/>
      <c r="AA13" s="13"/>
      <c r="AB13" s="13"/>
      <c r="AC13" s="13"/>
      <c r="AD13" s="13"/>
      <c r="AE13" s="13"/>
      <c r="AF13" s="13"/>
      <c r="AG13" s="13"/>
      <c r="AH13" s="13"/>
    </row>
    <row r="14" spans="1:34" s="14" customFormat="1" ht="18" outlineLevel="1">
      <c r="A14" s="319" t="s">
        <v>45</v>
      </c>
      <c r="B14" s="306" t="s">
        <v>644</v>
      </c>
      <c r="C14" s="833">
        <v>28</v>
      </c>
      <c r="D14" s="1158"/>
      <c r="E14" s="54"/>
      <c r="F14" s="54"/>
      <c r="G14" s="54"/>
      <c r="H14" s="54"/>
      <c r="I14" s="54"/>
      <c r="J14" s="54"/>
      <c r="K14" s="54"/>
      <c r="L14" s="54"/>
      <c r="M14" s="54"/>
      <c r="N14" s="54"/>
      <c r="O14" s="54"/>
      <c r="P14" s="54"/>
      <c r="Q14" s="52"/>
      <c r="R14" s="52"/>
      <c r="S14" s="52"/>
      <c r="T14" s="52"/>
      <c r="U14" s="52"/>
      <c r="V14" s="52"/>
      <c r="W14" s="52"/>
      <c r="X14" s="52"/>
      <c r="Y14" s="52"/>
      <c r="Z14" s="52"/>
      <c r="AA14" s="13"/>
      <c r="AB14" s="13"/>
      <c r="AC14" s="13"/>
      <c r="AD14" s="13"/>
      <c r="AE14" s="13"/>
      <c r="AF14" s="13"/>
      <c r="AG14" s="13"/>
      <c r="AH14" s="13"/>
    </row>
    <row r="15" spans="1:34" s="14" customFormat="1" ht="18" outlineLevel="1">
      <c r="A15" s="317" t="s">
        <v>1151</v>
      </c>
      <c r="B15" s="306" t="s">
        <v>645</v>
      </c>
      <c r="C15" s="833">
        <v>265</v>
      </c>
      <c r="D15" s="1158"/>
      <c r="E15" s="54"/>
      <c r="F15" s="54"/>
      <c r="G15" s="54"/>
      <c r="H15" s="54"/>
      <c r="I15" s="54"/>
      <c r="J15" s="54"/>
      <c r="K15" s="54"/>
      <c r="L15" s="54"/>
      <c r="M15" s="54"/>
      <c r="N15" s="54"/>
      <c r="O15" s="54"/>
      <c r="P15" s="54"/>
      <c r="Q15" s="52"/>
      <c r="R15" s="52"/>
      <c r="S15" s="52"/>
      <c r="T15" s="52"/>
      <c r="U15" s="52"/>
      <c r="V15" s="52"/>
      <c r="W15" s="52"/>
      <c r="X15" s="52"/>
      <c r="Y15" s="52"/>
      <c r="Z15" s="52"/>
      <c r="AA15" s="13"/>
      <c r="AB15" s="13"/>
      <c r="AC15" s="13"/>
      <c r="AD15" s="13"/>
      <c r="AE15" s="13"/>
      <c r="AF15" s="13"/>
      <c r="AG15" s="13"/>
      <c r="AH15" s="13"/>
    </row>
    <row r="16" spans="1:34" s="14" customFormat="1" ht="15" outlineLevel="1">
      <c r="A16" s="317" t="s">
        <v>465</v>
      </c>
      <c r="B16" s="306" t="s">
        <v>723</v>
      </c>
      <c r="C16" s="814">
        <v>1300</v>
      </c>
      <c r="D16" s="1159"/>
      <c r="E16" s="54"/>
      <c r="F16" s="54"/>
      <c r="G16" s="54"/>
      <c r="H16" s="54"/>
      <c r="I16" s="54"/>
      <c r="J16" s="54"/>
      <c r="K16" s="54"/>
      <c r="L16" s="54"/>
      <c r="M16" s="54"/>
      <c r="N16" s="54"/>
      <c r="O16" s="54"/>
      <c r="P16" s="54"/>
      <c r="Q16" s="52"/>
      <c r="R16" s="52"/>
      <c r="S16" s="52"/>
      <c r="T16" s="52"/>
      <c r="U16" s="52"/>
      <c r="V16" s="52"/>
      <c r="W16" s="52"/>
      <c r="X16" s="52"/>
      <c r="Y16" s="52"/>
      <c r="Z16" s="52"/>
      <c r="AA16" s="13"/>
      <c r="AB16" s="13"/>
      <c r="AC16" s="13"/>
      <c r="AD16" s="13"/>
      <c r="AE16" s="13"/>
      <c r="AF16" s="13"/>
      <c r="AG16" s="13"/>
      <c r="AH16" s="13"/>
    </row>
    <row r="17" spans="1:26">
      <c r="A17" s="829"/>
      <c r="B17" s="66"/>
      <c r="C17" s="66"/>
      <c r="D17" s="66"/>
      <c r="E17" s="52"/>
      <c r="F17" s="52"/>
      <c r="G17" s="52"/>
      <c r="H17" s="52"/>
      <c r="I17" s="52"/>
      <c r="J17" s="52"/>
      <c r="K17" s="52"/>
      <c r="L17" s="52"/>
      <c r="M17" s="52"/>
      <c r="N17" s="52"/>
      <c r="O17" s="52"/>
      <c r="P17" s="52"/>
      <c r="Q17" s="52"/>
      <c r="R17" s="52"/>
      <c r="S17" s="52"/>
      <c r="T17" s="52"/>
      <c r="U17" s="52"/>
      <c r="V17" s="52"/>
      <c r="W17" s="52"/>
      <c r="X17" s="52"/>
      <c r="Y17" s="52"/>
      <c r="Z17" s="52"/>
    </row>
    <row r="18" spans="1:26">
      <c r="A18" s="55"/>
      <c r="B18" s="55"/>
      <c r="C18" s="197"/>
      <c r="D18" s="66"/>
      <c r="E18" s="67"/>
      <c r="F18" s="52"/>
      <c r="G18" s="52"/>
      <c r="H18" s="52"/>
      <c r="I18" s="52"/>
      <c r="J18" s="52"/>
      <c r="K18" s="52"/>
      <c r="L18" s="52"/>
      <c r="M18" s="52"/>
      <c r="N18" s="52"/>
      <c r="O18" s="52"/>
      <c r="P18" s="52"/>
      <c r="Q18" s="52"/>
      <c r="R18" s="52"/>
      <c r="S18" s="52"/>
      <c r="T18" s="52"/>
      <c r="U18" s="52"/>
      <c r="V18" s="52"/>
      <c r="W18" s="52"/>
      <c r="X18" s="52"/>
      <c r="Y18" s="52"/>
      <c r="Z18" s="52"/>
    </row>
    <row r="38" spans="1:26">
      <c r="A38" s="830"/>
      <c r="B38" s="830"/>
      <c r="C38" s="830"/>
      <c r="D38" s="830"/>
      <c r="E38" s="830"/>
    </row>
    <row r="39" spans="1:26">
      <c r="A39" s="830"/>
      <c r="B39" s="830"/>
      <c r="C39" s="830"/>
      <c r="D39" s="830"/>
      <c r="E39" s="830"/>
    </row>
    <row r="40" spans="1:26" s="195" customFormat="1">
      <c r="A40" s="219"/>
      <c r="B40" s="220"/>
      <c r="C40" s="831"/>
      <c r="D40" s="220"/>
      <c r="E40" s="887"/>
      <c r="F40" s="888"/>
      <c r="G40" s="194"/>
      <c r="H40" s="194"/>
      <c r="I40" s="194"/>
      <c r="J40" s="194"/>
      <c r="K40" s="194"/>
      <c r="L40" s="194"/>
      <c r="M40" s="194"/>
      <c r="N40" s="194"/>
      <c r="O40" s="194"/>
      <c r="P40" s="194"/>
      <c r="Q40" s="194"/>
      <c r="R40" s="194"/>
      <c r="S40" s="194"/>
      <c r="T40" s="194"/>
      <c r="U40" s="194"/>
      <c r="V40" s="194"/>
      <c r="W40" s="194"/>
      <c r="X40" s="194"/>
      <c r="Y40" s="194"/>
      <c r="Z40" s="194"/>
    </row>
    <row r="46" spans="1:26">
      <c r="A46" s="55"/>
      <c r="B46" s="55"/>
      <c r="C46" s="197"/>
      <c r="D46" s="66"/>
      <c r="E46" s="67"/>
      <c r="F46" s="52"/>
      <c r="G46" s="52"/>
      <c r="H46" s="52"/>
      <c r="I46" s="52"/>
      <c r="J46" s="52"/>
      <c r="K46" s="52"/>
      <c r="L46" s="52"/>
      <c r="M46" s="52"/>
      <c r="N46" s="52"/>
      <c r="O46" s="52"/>
      <c r="P46" s="52"/>
      <c r="Q46" s="52"/>
      <c r="R46" s="52"/>
      <c r="S46" s="52"/>
      <c r="T46" s="52"/>
      <c r="U46" s="52"/>
      <c r="V46" s="52"/>
      <c r="W46" s="52"/>
      <c r="X46" s="52"/>
      <c r="Y46" s="52"/>
      <c r="Z46" s="52"/>
    </row>
    <row r="47" spans="1:26">
      <c r="A47" s="56"/>
      <c r="B47" s="55"/>
      <c r="C47" s="832"/>
      <c r="D47" s="66"/>
      <c r="E47" s="67"/>
      <c r="F47" s="52"/>
      <c r="G47" s="52"/>
      <c r="H47" s="52"/>
      <c r="I47" s="2"/>
      <c r="J47" s="2"/>
      <c r="K47" s="2"/>
      <c r="L47" s="2"/>
      <c r="M47" s="2"/>
      <c r="N47" s="2"/>
      <c r="O47" s="2"/>
      <c r="P47" s="2"/>
      <c r="Q47" s="2"/>
      <c r="R47" s="2"/>
      <c r="S47" s="2"/>
      <c r="T47" s="2"/>
      <c r="U47" s="2"/>
      <c r="V47" s="2"/>
      <c r="W47" s="2"/>
      <c r="X47" s="2"/>
      <c r="Y47" s="2"/>
      <c r="Z47" s="2"/>
    </row>
    <row r="75" spans="1:26" ht="14.25">
      <c r="A75" s="182"/>
      <c r="B75" s="183"/>
      <c r="C75" s="183"/>
      <c r="D75" s="184"/>
      <c r="E75" s="185"/>
      <c r="F75" s="52"/>
      <c r="G75" s="52"/>
      <c r="H75" s="52"/>
      <c r="I75" s="2"/>
      <c r="J75" s="2"/>
      <c r="K75" s="2"/>
      <c r="L75" s="2"/>
      <c r="M75" s="2"/>
      <c r="N75" s="2"/>
      <c r="O75" s="2"/>
      <c r="P75" s="2"/>
      <c r="Q75" s="2"/>
      <c r="R75" s="2"/>
      <c r="S75" s="2"/>
      <c r="T75" s="2"/>
      <c r="U75" s="2"/>
      <c r="V75" s="2"/>
      <c r="W75" s="2"/>
      <c r="X75" s="2"/>
      <c r="Y75" s="2"/>
      <c r="Z75" s="2"/>
    </row>
    <row r="76" spans="1:26">
      <c r="A76" s="56"/>
      <c r="B76" s="56"/>
      <c r="C76" s="56"/>
      <c r="D76" s="56"/>
      <c r="E76" s="67"/>
      <c r="F76" s="52"/>
      <c r="G76" s="52"/>
      <c r="H76" s="52"/>
      <c r="I76" s="2"/>
      <c r="J76" s="2"/>
      <c r="K76" s="2"/>
      <c r="L76" s="2"/>
      <c r="M76" s="2"/>
      <c r="N76" s="2"/>
      <c r="O76" s="2"/>
      <c r="P76" s="2"/>
      <c r="Q76" s="2"/>
      <c r="R76" s="2"/>
      <c r="S76" s="2"/>
      <c r="T76" s="2"/>
      <c r="U76" s="2"/>
      <c r="V76" s="2"/>
      <c r="W76" s="2"/>
      <c r="X76" s="2"/>
      <c r="Y76" s="2"/>
      <c r="Z76" s="2"/>
    </row>
    <row r="90" spans="1:38" s="105" customFormat="1" ht="14.25">
      <c r="A90" s="56"/>
      <c r="B90" s="106"/>
      <c r="C90" s="107"/>
      <c r="D90" s="104"/>
      <c r="I90" s="102"/>
      <c r="J90" s="102"/>
      <c r="K90" s="102"/>
      <c r="L90" s="102"/>
      <c r="M90" s="102"/>
      <c r="N90" s="102"/>
      <c r="O90" s="102"/>
      <c r="P90" s="102"/>
      <c r="Q90" s="102"/>
      <c r="R90" s="102"/>
      <c r="S90" s="102"/>
      <c r="T90" s="102"/>
      <c r="U90" s="102"/>
      <c r="V90" s="102"/>
      <c r="W90" s="102"/>
      <c r="X90" s="102"/>
      <c r="Y90" s="102"/>
      <c r="Z90" s="102"/>
      <c r="AA90" s="102"/>
      <c r="AB90" s="102"/>
      <c r="AC90" s="102"/>
      <c r="AD90" s="102"/>
      <c r="AE90" s="102"/>
      <c r="AF90" s="102"/>
      <c r="AG90" s="102"/>
      <c r="AH90" s="102"/>
      <c r="AI90" s="102"/>
      <c r="AJ90" s="102"/>
      <c r="AK90" s="102"/>
      <c r="AL90" s="102"/>
    </row>
    <row r="134" spans="1:26">
      <c r="F134" s="2"/>
      <c r="G134" s="2"/>
      <c r="H134" s="2"/>
      <c r="I134" s="2"/>
      <c r="J134" s="2"/>
      <c r="K134" s="2"/>
      <c r="L134" s="2"/>
      <c r="M134" s="2"/>
      <c r="N134" s="2"/>
      <c r="O134" s="2"/>
      <c r="P134" s="2"/>
      <c r="Q134" s="2"/>
      <c r="R134" s="2"/>
      <c r="S134" s="2"/>
      <c r="T134" s="2"/>
      <c r="U134" s="2"/>
      <c r="V134" s="2"/>
      <c r="W134" s="2"/>
      <c r="X134" s="2"/>
      <c r="Y134" s="2"/>
      <c r="Z134" s="2"/>
    </row>
    <row r="135" spans="1:26">
      <c r="F135" s="2"/>
      <c r="G135" s="2"/>
      <c r="H135" s="2"/>
      <c r="I135" s="2"/>
      <c r="J135" s="2"/>
      <c r="K135" s="2"/>
      <c r="L135" s="2"/>
      <c r="M135" s="2"/>
      <c r="N135" s="2"/>
      <c r="O135" s="2"/>
      <c r="P135" s="2"/>
      <c r="Q135" s="2"/>
      <c r="R135" s="2"/>
      <c r="S135" s="2"/>
      <c r="T135" s="2"/>
      <c r="U135" s="2"/>
      <c r="V135" s="2"/>
      <c r="W135" s="2"/>
      <c r="X135" s="2"/>
      <c r="Y135" s="2"/>
      <c r="Z135" s="2"/>
    </row>
    <row r="136" spans="1:26">
      <c r="F136" s="2"/>
      <c r="G136" s="2"/>
      <c r="H136" s="2"/>
      <c r="I136" s="2"/>
      <c r="J136" s="2"/>
      <c r="K136" s="2"/>
      <c r="L136" s="2"/>
      <c r="M136" s="2"/>
      <c r="N136" s="2"/>
      <c r="O136" s="2"/>
      <c r="P136" s="2"/>
      <c r="Q136" s="2"/>
      <c r="R136" s="2"/>
      <c r="S136" s="2"/>
      <c r="T136" s="2"/>
      <c r="U136" s="2"/>
      <c r="V136" s="2"/>
      <c r="W136" s="2"/>
      <c r="X136" s="2"/>
      <c r="Y136" s="2"/>
      <c r="Z136" s="2"/>
    </row>
    <row r="137" spans="1:26">
      <c r="F137" s="2"/>
      <c r="G137" s="2"/>
      <c r="H137" s="2"/>
      <c r="I137" s="2"/>
      <c r="J137" s="2"/>
      <c r="K137" s="2"/>
      <c r="L137" s="2"/>
      <c r="M137" s="2"/>
      <c r="N137" s="2"/>
      <c r="O137" s="2"/>
      <c r="P137" s="2"/>
      <c r="Q137" s="2"/>
      <c r="R137" s="2"/>
      <c r="S137" s="2"/>
      <c r="T137" s="2"/>
      <c r="U137" s="2"/>
      <c r="V137" s="2"/>
      <c r="W137" s="2"/>
      <c r="X137" s="2"/>
      <c r="Y137" s="2"/>
      <c r="Z137" s="2"/>
    </row>
    <row r="138" spans="1:26">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sheetData>
  <mergeCells count="1">
    <mergeCell ref="D13:D16"/>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tabColor theme="3"/>
  </sheetPr>
  <dimension ref="A1:BM997"/>
  <sheetViews>
    <sheetView topLeftCell="A47" workbookViewId="0">
      <selection activeCell="B60" sqref="B60"/>
    </sheetView>
  </sheetViews>
  <sheetFormatPr defaultColWidth="11.125" defaultRowHeight="15" customHeight="1" outlineLevelRow="2"/>
  <cols>
    <col min="1" max="1" width="45.25" style="1" customWidth="1"/>
    <col min="2" max="4" width="16.125" style="1" customWidth="1"/>
    <col min="5" max="5" width="50.5" style="1" customWidth="1"/>
    <col min="6" max="8" width="16.125" style="1" customWidth="1"/>
    <col min="9" max="9" width="11.125" style="2"/>
    <col min="10" max="10" width="14" style="2" bestFit="1" customWidth="1"/>
    <col min="11" max="11" width="13.125" style="2" bestFit="1" customWidth="1"/>
    <col min="12" max="47" width="11.125" style="2"/>
    <col min="48" max="16384" width="11.125" style="1"/>
  </cols>
  <sheetData>
    <row r="1" spans="1:65" s="95" customFormat="1" ht="24" customHeight="1">
      <c r="A1" s="225" t="s">
        <v>568</v>
      </c>
      <c r="B1" s="225"/>
      <c r="C1" s="225"/>
      <c r="D1" s="225"/>
      <c r="E1" s="225"/>
      <c r="F1" s="225"/>
      <c r="G1" s="225"/>
      <c r="H1" s="225"/>
      <c r="I1" s="89"/>
      <c r="J1" s="89"/>
      <c r="K1" s="89"/>
      <c r="L1" s="89"/>
      <c r="M1" s="89"/>
      <c r="N1" s="89"/>
      <c r="O1" s="89"/>
      <c r="P1" s="89"/>
      <c r="Q1" s="89"/>
      <c r="R1" s="89"/>
      <c r="S1" s="89"/>
      <c r="T1" s="163"/>
      <c r="U1" s="163"/>
      <c r="V1" s="163"/>
      <c r="W1" s="163"/>
      <c r="X1" s="163"/>
      <c r="Y1" s="163"/>
      <c r="Z1" s="163"/>
      <c r="AA1" s="163"/>
      <c r="AB1" s="163"/>
      <c r="AC1" s="163"/>
      <c r="AD1" s="163"/>
      <c r="AE1" s="163"/>
      <c r="AF1" s="163"/>
      <c r="AG1" s="163"/>
      <c r="AH1" s="163"/>
      <c r="AI1" s="163"/>
      <c r="AJ1" s="153"/>
      <c r="AK1" s="153"/>
      <c r="AL1" s="153"/>
      <c r="AM1" s="94"/>
      <c r="AN1" s="94"/>
      <c r="AO1" s="94"/>
      <c r="AP1" s="94"/>
      <c r="AQ1" s="94"/>
      <c r="AR1" s="94"/>
      <c r="AS1" s="94"/>
      <c r="AT1" s="94"/>
      <c r="AU1" s="94"/>
    </row>
    <row r="2" spans="1:65" s="41" customFormat="1" ht="20.25">
      <c r="A2" s="501" t="s">
        <v>414</v>
      </c>
      <c r="B2" s="502"/>
      <c r="C2" s="502"/>
      <c r="D2" s="502"/>
      <c r="E2" s="502"/>
      <c r="F2" s="502"/>
      <c r="G2" s="502"/>
      <c r="H2" s="503"/>
    </row>
    <row r="3" spans="1:65" s="174" customFormat="1" ht="14.65" customHeight="1" outlineLevel="1">
      <c r="A3" s="511" t="s">
        <v>64</v>
      </c>
      <c r="B3" s="518">
        <f>$F$54+$H$58+$F$61</f>
        <v>1929922.4074851121</v>
      </c>
      <c r="C3" s="204"/>
      <c r="D3" s="204"/>
      <c r="E3" s="204"/>
      <c r="F3" s="204"/>
      <c r="G3" s="204"/>
      <c r="H3" s="204"/>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05"/>
      <c r="AN3" s="205"/>
      <c r="AO3" s="205"/>
      <c r="AP3" s="205"/>
      <c r="AQ3" s="205"/>
      <c r="AR3" s="205"/>
      <c r="AS3" s="205"/>
      <c r="AT3" s="205"/>
      <c r="AU3" s="205"/>
      <c r="AV3" s="205"/>
      <c r="AW3" s="205"/>
      <c r="AX3" s="205"/>
      <c r="AY3" s="205"/>
      <c r="AZ3" s="205"/>
      <c r="BA3" s="205"/>
      <c r="BB3" s="205"/>
      <c r="BC3" s="205"/>
      <c r="BD3" s="205"/>
      <c r="BE3" s="205"/>
      <c r="BF3" s="205"/>
      <c r="BG3" s="205"/>
      <c r="BH3" s="205"/>
      <c r="BI3" s="205"/>
      <c r="BJ3" s="205"/>
      <c r="BK3" s="205"/>
      <c r="BL3" s="205"/>
      <c r="BM3" s="205"/>
    </row>
    <row r="4" spans="1:65" s="174" customFormat="1" ht="15.75" outlineLevel="1">
      <c r="A4" s="290" t="s">
        <v>66</v>
      </c>
      <c r="B4" s="291">
        <f>$G$48</f>
        <v>3420518.2063317443</v>
      </c>
      <c r="C4" s="204"/>
      <c r="D4" s="204"/>
      <c r="E4" s="204"/>
      <c r="F4" s="204"/>
      <c r="G4" s="204"/>
      <c r="H4" s="204"/>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05"/>
      <c r="AN4" s="205"/>
      <c r="AO4" s="205"/>
      <c r="AP4" s="205"/>
      <c r="AQ4" s="205"/>
      <c r="AR4" s="205"/>
      <c r="AS4" s="205"/>
      <c r="AT4" s="205"/>
      <c r="AU4" s="205"/>
      <c r="AV4" s="205"/>
      <c r="AW4" s="205"/>
      <c r="AX4" s="205"/>
      <c r="AY4" s="205"/>
      <c r="AZ4" s="205"/>
      <c r="BA4" s="205"/>
      <c r="BB4" s="205"/>
      <c r="BC4" s="205"/>
      <c r="BD4" s="205"/>
      <c r="BE4" s="205"/>
      <c r="BF4" s="205"/>
      <c r="BG4" s="205"/>
      <c r="BH4" s="205"/>
      <c r="BI4" s="205"/>
      <c r="BJ4" s="205"/>
      <c r="BK4" s="205"/>
      <c r="BL4" s="205"/>
      <c r="BM4" s="205"/>
    </row>
    <row r="5" spans="1:65" s="174" customFormat="1" ht="14.65" customHeight="1" outlineLevel="1">
      <c r="A5" s="288" t="s">
        <v>67</v>
      </c>
      <c r="B5" s="289" t="s">
        <v>63</v>
      </c>
      <c r="C5" s="204"/>
      <c r="D5" s="204"/>
      <c r="E5" s="204"/>
      <c r="F5" s="204"/>
      <c r="G5" s="204"/>
      <c r="H5" s="204"/>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05"/>
      <c r="AN5" s="205"/>
      <c r="AO5" s="205"/>
      <c r="AP5" s="205"/>
      <c r="AQ5" s="205"/>
      <c r="AR5" s="205"/>
      <c r="AS5" s="205"/>
      <c r="AT5" s="205"/>
      <c r="AU5" s="205"/>
      <c r="AV5" s="205"/>
      <c r="AW5" s="205"/>
      <c r="AX5" s="205"/>
      <c r="AY5" s="205"/>
      <c r="AZ5" s="205"/>
      <c r="BA5" s="205"/>
      <c r="BB5" s="205"/>
      <c r="BC5" s="205"/>
      <c r="BD5" s="205"/>
      <c r="BE5" s="205"/>
      <c r="BF5" s="205"/>
      <c r="BG5" s="205"/>
      <c r="BH5" s="205"/>
      <c r="BI5" s="205"/>
      <c r="BJ5" s="205"/>
      <c r="BK5" s="205"/>
      <c r="BL5" s="205"/>
      <c r="BM5" s="205"/>
    </row>
    <row r="6" spans="1:65" s="174" customFormat="1" ht="15.75" outlineLevel="1">
      <c r="A6" s="292" t="s">
        <v>585</v>
      </c>
      <c r="B6" s="293">
        <f>SUM(B3:B5)</f>
        <v>5350440.6138168564</v>
      </c>
      <c r="C6" s="204"/>
      <c r="D6" s="204"/>
      <c r="E6" s="204"/>
      <c r="F6" s="204"/>
      <c r="G6" s="204"/>
      <c r="H6" s="204"/>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05"/>
      <c r="AN6" s="205"/>
      <c r="AO6" s="205"/>
      <c r="AP6" s="205"/>
      <c r="AQ6" s="205"/>
      <c r="AR6" s="205"/>
      <c r="AS6" s="205"/>
      <c r="AT6" s="205"/>
      <c r="AU6" s="205"/>
      <c r="AV6" s="205"/>
      <c r="AW6" s="205"/>
      <c r="AX6" s="205"/>
      <c r="AY6" s="205"/>
      <c r="AZ6" s="205"/>
      <c r="BA6" s="205"/>
      <c r="BB6" s="205"/>
      <c r="BC6" s="205"/>
      <c r="BD6" s="205"/>
      <c r="BE6" s="205"/>
      <c r="BF6" s="205"/>
      <c r="BG6" s="205"/>
      <c r="BH6" s="205"/>
      <c r="BI6" s="205"/>
      <c r="BJ6" s="205"/>
      <c r="BK6" s="205"/>
      <c r="BL6" s="205"/>
      <c r="BM6" s="205"/>
    </row>
    <row r="7" spans="1:65" s="174" customFormat="1" ht="15.75" outlineLevel="1">
      <c r="A7" s="290" t="s">
        <v>584</v>
      </c>
      <c r="B7" s="291">
        <f>-$F$86</f>
        <v>-73816.230468945869</v>
      </c>
      <c r="C7" s="204"/>
      <c r="D7" s="204"/>
      <c r="E7" s="204"/>
      <c r="F7" s="204"/>
      <c r="G7" s="204"/>
      <c r="H7" s="204"/>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05"/>
      <c r="AN7" s="205"/>
      <c r="AO7" s="205"/>
      <c r="AP7" s="205"/>
      <c r="AQ7" s="205"/>
      <c r="AR7" s="205"/>
      <c r="AS7" s="205"/>
      <c r="AT7" s="205"/>
      <c r="AU7" s="205"/>
      <c r="AV7" s="205"/>
      <c r="AW7" s="205"/>
      <c r="AX7" s="205"/>
      <c r="AY7" s="205"/>
      <c r="AZ7" s="205"/>
      <c r="BA7" s="205"/>
      <c r="BB7" s="205"/>
      <c r="BC7" s="205"/>
      <c r="BD7" s="205"/>
      <c r="BE7" s="205"/>
      <c r="BF7" s="205"/>
      <c r="BG7" s="205"/>
      <c r="BH7" s="205"/>
      <c r="BI7" s="205"/>
      <c r="BJ7" s="205"/>
      <c r="BK7" s="205"/>
      <c r="BL7" s="205"/>
      <c r="BM7" s="205"/>
    </row>
    <row r="8" spans="1:65" s="212" customFormat="1" ht="19.149999999999999" customHeight="1">
      <c r="A8" s="501" t="s">
        <v>630</v>
      </c>
      <c r="B8" s="572"/>
      <c r="C8" s="572"/>
      <c r="D8" s="572"/>
      <c r="E8" s="572"/>
      <c r="F8" s="572"/>
      <c r="G8" s="572"/>
      <c r="H8" s="573"/>
    </row>
    <row r="9" spans="1:65" s="48" customFormat="1" ht="54.6" hidden="1" customHeight="1" outlineLevel="2">
      <c r="A9" s="1163" t="s">
        <v>1320</v>
      </c>
      <c r="B9" s="1163"/>
      <c r="C9" s="1163"/>
      <c r="D9" s="1163"/>
      <c r="E9" s="1163"/>
      <c r="F9" s="1163"/>
      <c r="G9" s="1163"/>
      <c r="H9" s="1163"/>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row>
    <row r="10" spans="1:65" s="48" customFormat="1" ht="61.5" hidden="1" customHeight="1" outlineLevel="2">
      <c r="A10" s="1163" t="s">
        <v>1317</v>
      </c>
      <c r="B10" s="1163"/>
      <c r="C10" s="1163"/>
      <c r="D10" s="1163"/>
      <c r="E10" s="1163"/>
      <c r="F10" s="1163"/>
      <c r="G10" s="1163"/>
      <c r="H10" s="1163"/>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row>
    <row r="11" spans="1:65" s="48" customFormat="1" ht="35.25" hidden="1" customHeight="1" outlineLevel="2">
      <c r="A11" s="1163" t="s">
        <v>1318</v>
      </c>
      <c r="B11" s="1163"/>
      <c r="C11" s="1163"/>
      <c r="D11" s="1163"/>
      <c r="E11" s="1163"/>
      <c r="F11" s="1163"/>
      <c r="G11" s="1163"/>
      <c r="H11" s="1163"/>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row>
    <row r="12" spans="1:65" s="48" customFormat="1" ht="25.15" hidden="1" customHeight="1" outlineLevel="2">
      <c r="A12" s="1163" t="s">
        <v>1336</v>
      </c>
      <c r="B12" s="1163"/>
      <c r="C12" s="1163"/>
      <c r="D12" s="1163"/>
      <c r="E12" s="1163"/>
      <c r="F12" s="1163"/>
      <c r="G12" s="1163"/>
      <c r="H12" s="1163"/>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row>
    <row r="13" spans="1:65" s="48" customFormat="1" ht="33.4" hidden="1" customHeight="1" outlineLevel="2">
      <c r="A13" s="1163" t="s">
        <v>1319</v>
      </c>
      <c r="B13" s="1163"/>
      <c r="C13" s="1163"/>
      <c r="D13" s="1163"/>
      <c r="E13" s="1163"/>
      <c r="F13" s="1163"/>
      <c r="G13" s="1163"/>
      <c r="H13" s="1163"/>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row>
    <row r="14" spans="1:65" s="48" customFormat="1" ht="12.75" hidden="1" outlineLevel="2">
      <c r="A14" s="1163" t="s">
        <v>1321</v>
      </c>
      <c r="B14" s="1163"/>
      <c r="C14" s="1163"/>
      <c r="D14" s="1163"/>
      <c r="E14" s="1163"/>
      <c r="F14" s="1163"/>
      <c r="G14" s="1163"/>
      <c r="H14" s="1163"/>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row>
    <row r="15" spans="1:65" s="48" customFormat="1" ht="12.75" hidden="1" outlineLevel="2">
      <c r="A15" s="1054" t="s">
        <v>1387</v>
      </c>
      <c r="B15" s="1049"/>
      <c r="C15" s="1049"/>
      <c r="D15" s="1049"/>
      <c r="E15" s="1049"/>
      <c r="F15" s="1049"/>
      <c r="G15" s="1049"/>
      <c r="H15" s="1049"/>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row>
    <row r="16" spans="1:65" s="212" customFormat="1" ht="21" customHeight="1" collapsed="1">
      <c r="A16" s="571" t="s">
        <v>0</v>
      </c>
      <c r="B16" s="572"/>
      <c r="C16" s="572"/>
      <c r="D16" s="572"/>
      <c r="E16" s="572"/>
      <c r="F16" s="572"/>
      <c r="G16" s="572"/>
      <c r="H16" s="573"/>
    </row>
    <row r="17" spans="1:46" s="59" customFormat="1" ht="15.75" hidden="1" outlineLevel="1">
      <c r="A17" s="1085" t="s">
        <v>53</v>
      </c>
      <c r="B17" s="1164"/>
      <c r="C17" s="1164"/>
      <c r="D17" s="1164"/>
      <c r="E17" s="1086"/>
      <c r="F17" s="43"/>
      <c r="G17" s="43"/>
      <c r="H17" s="43"/>
      <c r="I17" s="43"/>
      <c r="J17" s="43"/>
      <c r="K17" s="43"/>
      <c r="L17" s="43"/>
      <c r="M17" s="43"/>
      <c r="N17" s="43"/>
      <c r="O17" s="43"/>
      <c r="P17" s="43"/>
      <c r="Q17" s="56"/>
      <c r="R17" s="57"/>
      <c r="S17" s="57"/>
      <c r="T17" s="57"/>
      <c r="U17" s="57"/>
      <c r="V17" s="57"/>
      <c r="W17" s="57"/>
      <c r="X17" s="57"/>
      <c r="Y17" s="57"/>
      <c r="Z17" s="57"/>
      <c r="AA17" s="58"/>
      <c r="AB17" s="58"/>
      <c r="AC17" s="58"/>
      <c r="AD17" s="58"/>
      <c r="AE17" s="58"/>
      <c r="AF17" s="58"/>
      <c r="AG17" s="58"/>
      <c r="AH17" s="58"/>
    </row>
    <row r="18" spans="1:46" s="14" customFormat="1" ht="14.25" hidden="1" outlineLevel="2">
      <c r="A18" s="314" t="s">
        <v>54</v>
      </c>
      <c r="B18" s="315" t="s">
        <v>55</v>
      </c>
      <c r="C18" s="315" t="s">
        <v>56</v>
      </c>
      <c r="D18" s="315" t="s">
        <v>57</v>
      </c>
      <c r="E18" s="316" t="s">
        <v>41</v>
      </c>
      <c r="F18" s="54"/>
      <c r="G18" s="54"/>
      <c r="H18" s="54"/>
      <c r="I18" s="54"/>
      <c r="J18" s="54"/>
      <c r="K18" s="54"/>
      <c r="L18" s="54"/>
      <c r="M18" s="54"/>
      <c r="N18" s="54"/>
      <c r="O18" s="54"/>
      <c r="P18" s="54"/>
      <c r="Q18" s="52"/>
      <c r="R18" s="2"/>
      <c r="S18" s="2"/>
      <c r="T18" s="2"/>
      <c r="U18" s="2"/>
      <c r="V18" s="2"/>
      <c r="W18" s="2"/>
      <c r="X18" s="2"/>
      <c r="Y18" s="2"/>
      <c r="Z18" s="2"/>
      <c r="AA18" s="13"/>
      <c r="AB18" s="13"/>
      <c r="AC18" s="13"/>
      <c r="AD18" s="13"/>
      <c r="AE18" s="13"/>
      <c r="AF18" s="13"/>
      <c r="AG18" s="13"/>
      <c r="AH18" s="13"/>
    </row>
    <row r="19" spans="1:46" s="14" customFormat="1" ht="60" hidden="1" outlineLevel="2">
      <c r="A19" s="317" t="s">
        <v>473</v>
      </c>
      <c r="B19" s="306" t="s">
        <v>643</v>
      </c>
      <c r="C19" s="804">
        <v>0.51400000000000001</v>
      </c>
      <c r="D19" s="306" t="s">
        <v>655</v>
      </c>
      <c r="E19" s="311" t="s">
        <v>1286</v>
      </c>
      <c r="F19" s="54"/>
      <c r="G19" s="54"/>
      <c r="H19" s="60"/>
      <c r="I19" s="54"/>
      <c r="J19" s="54"/>
      <c r="K19" s="54"/>
      <c r="L19" s="54"/>
      <c r="M19" s="54"/>
      <c r="N19" s="54"/>
      <c r="O19" s="54"/>
      <c r="P19" s="54"/>
      <c r="Q19" s="52"/>
      <c r="R19" s="2"/>
      <c r="S19" s="2"/>
      <c r="T19" s="2"/>
      <c r="U19" s="2"/>
      <c r="V19" s="2"/>
      <c r="W19" s="2"/>
      <c r="X19" s="2"/>
      <c r="Y19" s="2"/>
      <c r="Z19" s="2"/>
      <c r="AA19" s="13"/>
      <c r="AB19" s="13"/>
      <c r="AC19" s="13"/>
      <c r="AD19" s="13"/>
      <c r="AE19" s="13"/>
      <c r="AF19" s="13"/>
      <c r="AG19" s="13"/>
      <c r="AH19" s="13"/>
    </row>
    <row r="20" spans="1:46" s="14" customFormat="1" ht="28.5" hidden="1" customHeight="1" outlineLevel="2">
      <c r="A20" s="317" t="s">
        <v>72</v>
      </c>
      <c r="B20" s="306" t="s">
        <v>644</v>
      </c>
      <c r="C20" s="803">
        <f>0.123/'Conversion Factors and GWPs'!A4</f>
        <v>5.5791927860583683E-5</v>
      </c>
      <c r="D20" s="306" t="s">
        <v>656</v>
      </c>
      <c r="E20" s="1166" t="s">
        <v>1279</v>
      </c>
      <c r="F20" s="54"/>
      <c r="G20" s="54"/>
      <c r="H20" s="54"/>
      <c r="I20" s="54"/>
      <c r="J20" s="54"/>
      <c r="K20" s="54"/>
      <c r="L20" s="54"/>
      <c r="M20" s="54"/>
      <c r="N20" s="54"/>
      <c r="O20" s="54"/>
      <c r="P20" s="54"/>
      <c r="Q20" s="52"/>
      <c r="R20" s="2"/>
      <c r="S20" s="2"/>
      <c r="T20" s="2"/>
      <c r="U20" s="2"/>
      <c r="V20" s="2"/>
      <c r="W20" s="2"/>
      <c r="X20" s="2"/>
      <c r="Y20" s="2"/>
      <c r="Z20" s="2"/>
      <c r="AA20" s="13"/>
      <c r="AB20" s="13"/>
      <c r="AC20" s="13"/>
      <c r="AD20" s="13"/>
      <c r="AE20" s="13"/>
      <c r="AF20" s="13"/>
      <c r="AG20" s="13"/>
      <c r="AH20" s="13"/>
    </row>
    <row r="21" spans="1:46" s="14" customFormat="1" ht="28.5" hidden="1" customHeight="1" outlineLevel="2">
      <c r="A21" s="336" t="s">
        <v>72</v>
      </c>
      <c r="B21" s="306" t="s">
        <v>645</v>
      </c>
      <c r="C21" s="803">
        <f>0.018/'Conversion Factors and GWPs'!A4</f>
        <v>8.1646723698415137E-6</v>
      </c>
      <c r="D21" s="299" t="s">
        <v>657</v>
      </c>
      <c r="E21" s="1166"/>
      <c r="F21" s="61"/>
      <c r="G21" s="54"/>
      <c r="H21" s="54"/>
      <c r="I21" s="54"/>
      <c r="J21" s="54"/>
      <c r="K21" s="54"/>
      <c r="L21" s="54"/>
      <c r="M21" s="54"/>
      <c r="N21" s="54"/>
      <c r="O21" s="54"/>
      <c r="P21" s="54"/>
      <c r="Q21" s="52"/>
      <c r="R21" s="2"/>
      <c r="S21" s="2"/>
      <c r="T21" s="2"/>
      <c r="U21" s="2"/>
      <c r="V21" s="2"/>
      <c r="W21" s="2"/>
      <c r="X21" s="2"/>
      <c r="Y21" s="2"/>
      <c r="Z21" s="2"/>
      <c r="AA21" s="13"/>
      <c r="AB21" s="13"/>
      <c r="AC21" s="13"/>
      <c r="AD21" s="13"/>
      <c r="AE21" s="13"/>
      <c r="AF21" s="13"/>
      <c r="AG21" s="13"/>
      <c r="AH21" s="13"/>
    </row>
    <row r="22" spans="1:46" s="209" customFormat="1" hidden="1" outlineLevel="2">
      <c r="A22" s="582"/>
      <c r="B22" s="426"/>
      <c r="C22" s="427"/>
      <c r="D22" s="54"/>
      <c r="E22" s="54"/>
      <c r="F22" s="54"/>
      <c r="G22" s="54"/>
      <c r="H22" s="54"/>
      <c r="I22" s="54"/>
      <c r="J22" s="54"/>
      <c r="K22" s="54"/>
      <c r="L22" s="54"/>
      <c r="M22" s="54"/>
      <c r="N22" s="54"/>
      <c r="O22" s="54"/>
      <c r="P22" s="54"/>
      <c r="Q22" s="52"/>
      <c r="R22" s="2"/>
      <c r="S22" s="2"/>
      <c r="T22" s="2"/>
      <c r="U22" s="2"/>
      <c r="V22" s="2"/>
      <c r="W22" s="2"/>
      <c r="X22" s="2"/>
      <c r="Y22" s="2"/>
      <c r="Z22" s="2"/>
      <c r="AA22" s="13"/>
      <c r="AB22" s="13"/>
      <c r="AC22" s="13"/>
      <c r="AD22" s="13"/>
      <c r="AE22" s="13"/>
      <c r="AF22" s="13"/>
      <c r="AG22" s="13"/>
      <c r="AH22" s="13"/>
    </row>
    <row r="23" spans="1:46" s="14" customFormat="1" ht="15.75" hidden="1" outlineLevel="1">
      <c r="A23" s="1087" t="s">
        <v>76</v>
      </c>
      <c r="B23" s="1165"/>
      <c r="C23" s="1165"/>
      <c r="D23" s="1165"/>
      <c r="E23" s="1088"/>
      <c r="F23" s="2"/>
      <c r="G23" s="2"/>
      <c r="H23" s="2"/>
      <c r="I23" s="2"/>
      <c r="J23" s="2"/>
      <c r="K23" s="52"/>
      <c r="L23" s="52"/>
      <c r="M23" s="52"/>
      <c r="N23" s="52"/>
      <c r="O23" s="52"/>
      <c r="P23" s="52"/>
      <c r="Q23" s="52"/>
      <c r="R23" s="2"/>
      <c r="S23" s="2"/>
      <c r="T23" s="2"/>
      <c r="U23" s="2"/>
      <c r="V23" s="2"/>
      <c r="W23" s="2"/>
      <c r="X23" s="2"/>
      <c r="Y23" s="2"/>
      <c r="Z23" s="2"/>
      <c r="AA23" s="13"/>
      <c r="AB23" s="13"/>
      <c r="AC23" s="13"/>
      <c r="AD23" s="13"/>
      <c r="AE23" s="13"/>
      <c r="AF23" s="13"/>
      <c r="AG23" s="13"/>
      <c r="AH23" s="13"/>
      <c r="AI23" s="13"/>
      <c r="AJ23" s="13"/>
      <c r="AK23" s="13"/>
      <c r="AL23" s="13"/>
      <c r="AM23" s="13"/>
      <c r="AN23" s="13"/>
      <c r="AO23" s="13"/>
      <c r="AP23" s="13"/>
      <c r="AQ23" s="13"/>
      <c r="AR23" s="13"/>
      <c r="AS23" s="13"/>
      <c r="AT23" s="13"/>
    </row>
    <row r="24" spans="1:46" s="14" customFormat="1" ht="14.25" hidden="1" outlineLevel="2">
      <c r="A24" s="528" t="s">
        <v>54</v>
      </c>
      <c r="B24" s="553" t="s">
        <v>55</v>
      </c>
      <c r="C24" s="553" t="s">
        <v>56</v>
      </c>
      <c r="D24" s="553" t="s">
        <v>57</v>
      </c>
      <c r="E24" s="556" t="s">
        <v>41</v>
      </c>
      <c r="F24" s="2"/>
      <c r="G24" s="2"/>
      <c r="H24" s="2"/>
      <c r="I24" s="2"/>
      <c r="J24" s="2"/>
      <c r="K24" s="52"/>
      <c r="L24" s="52"/>
      <c r="M24" s="52"/>
      <c r="N24" s="52"/>
      <c r="O24" s="52"/>
      <c r="P24" s="52"/>
      <c r="Q24" s="52"/>
      <c r="R24" s="2"/>
      <c r="S24" s="2"/>
      <c r="T24" s="2"/>
      <c r="U24" s="2"/>
      <c r="V24" s="2"/>
      <c r="W24" s="2"/>
      <c r="X24" s="2"/>
      <c r="Y24" s="2"/>
      <c r="Z24" s="2"/>
      <c r="AA24" s="13"/>
      <c r="AB24" s="13"/>
      <c r="AC24" s="13"/>
      <c r="AD24" s="13"/>
      <c r="AE24" s="13"/>
      <c r="AF24" s="13"/>
      <c r="AG24" s="13"/>
      <c r="AH24" s="13"/>
      <c r="AI24" s="13"/>
      <c r="AJ24" s="13"/>
      <c r="AK24" s="13"/>
      <c r="AL24" s="13"/>
      <c r="AM24" s="13"/>
      <c r="AN24" s="13"/>
      <c r="AO24" s="13"/>
      <c r="AP24" s="13"/>
      <c r="AQ24" s="13"/>
      <c r="AR24" s="13"/>
      <c r="AS24" s="13"/>
      <c r="AT24" s="13"/>
    </row>
    <row r="25" spans="1:46" s="14" customFormat="1" ht="26.25" hidden="1" customHeight="1" outlineLevel="2">
      <c r="A25" s="336" t="s">
        <v>473</v>
      </c>
      <c r="B25" s="318" t="s">
        <v>643</v>
      </c>
      <c r="C25" s="805">
        <f>53.02*'Conversion Factors and GWPs'!$A$9/'Conversion Factors and GWPs'!$A$7</f>
        <v>5.3020000000000003E-3</v>
      </c>
      <c r="D25" s="321" t="s">
        <v>658</v>
      </c>
      <c r="E25" s="1166" t="s">
        <v>395</v>
      </c>
      <c r="F25" s="2"/>
      <c r="G25" s="2"/>
      <c r="H25" s="2"/>
      <c r="I25" s="52"/>
      <c r="J25" s="52"/>
      <c r="K25" s="52"/>
      <c r="L25" s="52"/>
      <c r="M25" s="52"/>
      <c r="N25" s="52"/>
      <c r="O25" s="52"/>
      <c r="P25" s="52"/>
      <c r="Q25" s="52"/>
      <c r="R25" s="2"/>
      <c r="S25" s="2"/>
      <c r="T25" s="2"/>
      <c r="U25" s="2"/>
      <c r="V25" s="2"/>
      <c r="W25" s="2"/>
      <c r="X25" s="2"/>
      <c r="Y25" s="2"/>
      <c r="Z25" s="2"/>
      <c r="AA25" s="13"/>
      <c r="AB25" s="13"/>
      <c r="AC25" s="13"/>
      <c r="AD25" s="13"/>
      <c r="AE25" s="13"/>
      <c r="AF25" s="13"/>
      <c r="AG25" s="13"/>
      <c r="AH25" s="13"/>
      <c r="AI25" s="13"/>
      <c r="AJ25" s="13"/>
      <c r="AK25" s="13"/>
      <c r="AL25" s="13"/>
      <c r="AM25" s="13"/>
      <c r="AN25" s="13"/>
      <c r="AO25" s="13"/>
      <c r="AP25" s="13"/>
      <c r="AQ25" s="13"/>
      <c r="AR25" s="13"/>
      <c r="AS25" s="13"/>
      <c r="AT25" s="13"/>
    </row>
    <row r="26" spans="1:46" s="14" customFormat="1" ht="20.25" hidden="1" customHeight="1" outlineLevel="2">
      <c r="A26" s="317" t="s">
        <v>473</v>
      </c>
      <c r="B26" s="306" t="s">
        <v>644</v>
      </c>
      <c r="C26" s="806">
        <f>0.005*'Conversion Factors and GWPs'!$A$9/'Conversion Factors and GWPs'!$A$7</f>
        <v>4.9999999999999998E-7</v>
      </c>
      <c r="D26" s="318" t="s">
        <v>659</v>
      </c>
      <c r="E26" s="1166"/>
      <c r="F26" s="2"/>
      <c r="G26" s="2"/>
      <c r="H26" s="2"/>
      <c r="I26" s="2"/>
      <c r="J26" s="2"/>
      <c r="K26" s="2"/>
      <c r="L26" s="2"/>
      <c r="M26" s="2"/>
      <c r="N26" s="2"/>
      <c r="O26" s="2"/>
      <c r="P26" s="2"/>
      <c r="Q26" s="2"/>
      <c r="R26" s="2"/>
      <c r="S26" s="2"/>
      <c r="T26" s="2"/>
      <c r="U26" s="2"/>
      <c r="V26" s="2"/>
      <c r="W26" s="2"/>
      <c r="X26" s="2"/>
      <c r="Y26" s="2"/>
      <c r="Z26" s="2"/>
      <c r="AA26" s="13"/>
      <c r="AB26" s="13"/>
      <c r="AC26" s="13"/>
      <c r="AD26" s="13"/>
      <c r="AE26" s="13"/>
      <c r="AF26" s="13"/>
      <c r="AG26" s="13"/>
      <c r="AH26" s="13"/>
      <c r="AI26" s="13"/>
      <c r="AJ26" s="13"/>
      <c r="AK26" s="13"/>
      <c r="AL26" s="13"/>
      <c r="AM26" s="13"/>
      <c r="AN26" s="13"/>
      <c r="AO26" s="13"/>
      <c r="AP26" s="13"/>
      <c r="AQ26" s="13"/>
      <c r="AR26" s="13"/>
      <c r="AS26" s="13"/>
      <c r="AT26" s="13"/>
    </row>
    <row r="27" spans="1:46" s="14" customFormat="1" ht="21.75" hidden="1" customHeight="1" outlineLevel="2">
      <c r="A27" s="336" t="s">
        <v>640</v>
      </c>
      <c r="B27" s="306" t="s">
        <v>645</v>
      </c>
      <c r="C27" s="806">
        <f>0.0001*'Conversion Factors and GWPs'!$A$9/'Conversion Factors and GWPs'!$A$7</f>
        <v>1E-8</v>
      </c>
      <c r="D27" s="318" t="s">
        <v>660</v>
      </c>
      <c r="E27" s="1166"/>
      <c r="F27" s="64"/>
      <c r="G27" s="2"/>
      <c r="H27" s="2"/>
      <c r="I27" s="2"/>
      <c r="J27" s="2"/>
      <c r="K27" s="2"/>
      <c r="L27" s="2"/>
      <c r="M27" s="2"/>
      <c r="N27" s="2"/>
      <c r="O27" s="2"/>
      <c r="P27" s="2"/>
      <c r="Q27" s="2"/>
      <c r="R27" s="2"/>
      <c r="S27" s="2"/>
      <c r="T27" s="2"/>
      <c r="U27" s="2"/>
      <c r="V27" s="2"/>
      <c r="W27" s="2"/>
      <c r="X27" s="2"/>
      <c r="Y27" s="2"/>
      <c r="Z27" s="2"/>
      <c r="AA27" s="13"/>
      <c r="AB27" s="13"/>
      <c r="AC27" s="13"/>
      <c r="AD27" s="13"/>
      <c r="AE27" s="13"/>
      <c r="AF27" s="13"/>
      <c r="AG27" s="13"/>
      <c r="AH27" s="13"/>
      <c r="AI27" s="13"/>
      <c r="AJ27" s="13"/>
      <c r="AK27" s="13"/>
      <c r="AL27" s="13"/>
      <c r="AM27" s="13"/>
      <c r="AN27" s="13"/>
      <c r="AO27" s="13"/>
      <c r="AP27" s="13"/>
      <c r="AQ27" s="13"/>
      <c r="AR27" s="13"/>
      <c r="AS27" s="13"/>
      <c r="AT27" s="13"/>
    </row>
    <row r="28" spans="1:46" s="209" customFormat="1" ht="21.75" hidden="1" customHeight="1" outlineLevel="2">
      <c r="A28" s="582"/>
      <c r="B28" s="426"/>
      <c r="C28" s="583"/>
      <c r="D28" s="584"/>
      <c r="E28" s="2"/>
      <c r="F28" s="2"/>
      <c r="G28" s="2"/>
      <c r="H28" s="2"/>
      <c r="I28" s="2"/>
      <c r="J28" s="2"/>
      <c r="K28" s="2"/>
      <c r="L28" s="2"/>
      <c r="M28" s="2"/>
      <c r="N28" s="2"/>
      <c r="O28" s="2"/>
      <c r="P28" s="2"/>
      <c r="Q28" s="2"/>
      <c r="R28" s="2"/>
      <c r="S28" s="2"/>
      <c r="T28" s="2"/>
      <c r="U28" s="2"/>
      <c r="V28" s="2"/>
      <c r="W28" s="2"/>
      <c r="X28" s="2"/>
      <c r="Y28" s="2"/>
      <c r="Z28" s="2"/>
      <c r="AA28" s="13"/>
      <c r="AB28" s="13"/>
      <c r="AC28" s="13"/>
      <c r="AD28" s="13"/>
      <c r="AE28" s="13"/>
      <c r="AF28" s="13"/>
      <c r="AG28" s="13"/>
      <c r="AH28" s="13"/>
      <c r="AI28" s="13"/>
      <c r="AJ28" s="13"/>
      <c r="AK28" s="13"/>
      <c r="AL28" s="13"/>
      <c r="AM28" s="13"/>
      <c r="AN28" s="13"/>
      <c r="AO28" s="13"/>
      <c r="AP28" s="13"/>
      <c r="AQ28" s="13"/>
      <c r="AR28" s="13"/>
      <c r="AS28" s="13"/>
      <c r="AT28" s="13"/>
    </row>
    <row r="29" spans="1:46" s="14" customFormat="1" ht="15.75" hidden="1" outlineLevel="1" collapsed="1">
      <c r="A29" s="1160" t="s">
        <v>71</v>
      </c>
      <c r="B29" s="1161"/>
      <c r="C29" s="1161"/>
      <c r="D29" s="1161"/>
      <c r="E29" s="1162"/>
      <c r="F29" s="2"/>
      <c r="G29" s="2"/>
      <c r="H29" s="2"/>
      <c r="I29" s="2"/>
      <c r="J29" s="2"/>
      <c r="K29" s="2"/>
      <c r="L29" s="2"/>
      <c r="M29" s="2"/>
      <c r="N29" s="2"/>
      <c r="O29" s="2"/>
      <c r="P29" s="2"/>
      <c r="Q29" s="2"/>
      <c r="R29" s="2"/>
      <c r="S29" s="2"/>
      <c r="T29" s="2"/>
      <c r="U29" s="2"/>
      <c r="V29" s="2"/>
      <c r="W29" s="2"/>
      <c r="X29" s="2"/>
      <c r="Y29" s="2"/>
      <c r="Z29" s="2"/>
      <c r="AA29" s="13"/>
      <c r="AB29" s="13"/>
      <c r="AC29" s="13"/>
      <c r="AD29" s="13"/>
      <c r="AE29" s="13"/>
      <c r="AF29" s="13"/>
      <c r="AG29" s="13"/>
      <c r="AH29" s="13"/>
    </row>
    <row r="30" spans="1:46" s="14" customFormat="1" ht="14.25" hidden="1" outlineLevel="2">
      <c r="A30" s="528" t="s">
        <v>54</v>
      </c>
      <c r="B30" s="553" t="s">
        <v>55</v>
      </c>
      <c r="C30" s="553" t="s">
        <v>56</v>
      </c>
      <c r="D30" s="553" t="s">
        <v>57</v>
      </c>
      <c r="E30" s="556" t="s">
        <v>41</v>
      </c>
      <c r="F30" s="52"/>
      <c r="G30" s="52"/>
      <c r="H30" s="52"/>
      <c r="I30" s="2"/>
      <c r="J30" s="2"/>
      <c r="K30" s="2"/>
      <c r="L30" s="2"/>
      <c r="M30" s="2"/>
      <c r="N30" s="2"/>
      <c r="O30" s="2"/>
      <c r="P30" s="2"/>
      <c r="Q30" s="2"/>
      <c r="R30" s="2"/>
      <c r="S30" s="2"/>
      <c r="T30" s="2"/>
      <c r="U30" s="2"/>
      <c r="V30" s="2"/>
      <c r="W30" s="2"/>
      <c r="X30" s="2"/>
      <c r="Y30" s="2"/>
      <c r="Z30" s="2"/>
      <c r="AA30" s="13"/>
      <c r="AB30" s="13"/>
      <c r="AC30" s="13"/>
      <c r="AD30" s="13"/>
      <c r="AE30" s="13"/>
      <c r="AF30" s="13"/>
      <c r="AG30" s="13"/>
      <c r="AH30" s="13"/>
    </row>
    <row r="31" spans="1:46" s="14" customFormat="1" ht="22.9" hidden="1" customHeight="1" outlineLevel="2">
      <c r="A31" s="336" t="s">
        <v>72</v>
      </c>
      <c r="B31" s="318" t="s">
        <v>643</v>
      </c>
      <c r="C31" s="807">
        <f>73.96*'Conversion Factors and GWPs'!$A$10/'Conversion Factors and GWPs'!$A$7</f>
        <v>1.0243460000000001E-2</v>
      </c>
      <c r="D31" s="321" t="s">
        <v>661</v>
      </c>
      <c r="E31" s="1166" t="s">
        <v>446</v>
      </c>
      <c r="F31" s="54"/>
      <c r="G31" s="54"/>
      <c r="H31" s="54"/>
      <c r="I31" s="54"/>
      <c r="J31" s="54"/>
      <c r="K31" s="54"/>
      <c r="L31" s="54"/>
      <c r="M31" s="54"/>
      <c r="N31" s="54"/>
      <c r="O31" s="54"/>
      <c r="P31" s="54"/>
      <c r="Q31" s="52"/>
      <c r="R31" s="52"/>
      <c r="S31" s="52"/>
      <c r="T31" s="52"/>
      <c r="U31" s="52"/>
      <c r="V31" s="52"/>
      <c r="W31" s="52"/>
      <c r="X31" s="52"/>
      <c r="Y31" s="52"/>
      <c r="Z31" s="52"/>
      <c r="AA31" s="13"/>
      <c r="AB31" s="13"/>
      <c r="AC31" s="13"/>
      <c r="AD31" s="13"/>
      <c r="AE31" s="13"/>
      <c r="AF31" s="13"/>
      <c r="AG31" s="13"/>
      <c r="AH31" s="13"/>
    </row>
    <row r="32" spans="1:46" s="14" customFormat="1" ht="22.9" hidden="1" customHeight="1" outlineLevel="2">
      <c r="A32" s="336" t="s">
        <v>72</v>
      </c>
      <c r="B32" s="306" t="s">
        <v>644</v>
      </c>
      <c r="C32" s="808">
        <f>0.0004/'Conversion Factors and GWPs'!$A$7</f>
        <v>4.0000000000000003E-7</v>
      </c>
      <c r="D32" s="321" t="s">
        <v>662</v>
      </c>
      <c r="E32" s="1166"/>
      <c r="F32" s="54"/>
      <c r="G32" s="54"/>
      <c r="H32" s="54"/>
      <c r="I32" s="54"/>
      <c r="J32" s="54"/>
      <c r="K32" s="54"/>
      <c r="L32" s="54"/>
      <c r="M32" s="54"/>
      <c r="N32" s="54"/>
      <c r="O32" s="54"/>
      <c r="P32" s="54"/>
      <c r="Q32" s="52"/>
      <c r="R32" s="52"/>
      <c r="S32" s="52"/>
      <c r="T32" s="52"/>
      <c r="U32" s="52"/>
      <c r="V32" s="52"/>
      <c r="W32" s="52"/>
      <c r="X32" s="52"/>
      <c r="Y32" s="52"/>
      <c r="Z32" s="52"/>
      <c r="AA32" s="13"/>
      <c r="AB32" s="13"/>
      <c r="AC32" s="13"/>
      <c r="AD32" s="13"/>
      <c r="AE32" s="13"/>
      <c r="AF32" s="13"/>
      <c r="AG32" s="13"/>
      <c r="AH32" s="13"/>
    </row>
    <row r="33" spans="1:47" s="14" customFormat="1" ht="22.9" hidden="1" customHeight="1" outlineLevel="2">
      <c r="A33" s="336" t="s">
        <v>72</v>
      </c>
      <c r="B33" s="306" t="s">
        <v>645</v>
      </c>
      <c r="C33" s="809">
        <f>0.0001/'Conversion Factors and GWPs'!$A$7</f>
        <v>1.0000000000000001E-7</v>
      </c>
      <c r="D33" s="321" t="s">
        <v>663</v>
      </c>
      <c r="E33" s="1166"/>
      <c r="F33" s="63"/>
      <c r="G33" s="54"/>
      <c r="H33" s="54"/>
      <c r="I33" s="54"/>
      <c r="J33" s="54"/>
      <c r="K33" s="54"/>
      <c r="L33" s="54"/>
      <c r="M33" s="54"/>
      <c r="N33" s="54"/>
      <c r="O33" s="54"/>
      <c r="P33" s="54"/>
      <c r="Q33" s="52"/>
      <c r="R33" s="52"/>
      <c r="S33" s="52"/>
      <c r="T33" s="52"/>
      <c r="U33" s="52"/>
      <c r="V33" s="52"/>
      <c r="W33" s="52"/>
      <c r="X33" s="52"/>
      <c r="Y33" s="52"/>
      <c r="Z33" s="52"/>
      <c r="AA33" s="13"/>
      <c r="AB33" s="13"/>
      <c r="AC33" s="13"/>
      <c r="AD33" s="13"/>
      <c r="AE33" s="13"/>
      <c r="AF33" s="13"/>
      <c r="AG33" s="13"/>
      <c r="AH33" s="13"/>
    </row>
    <row r="34" spans="1:47" s="209" customFormat="1" ht="22.9" hidden="1" customHeight="1" outlineLevel="2">
      <c r="A34" s="585"/>
      <c r="B34" s="586"/>
      <c r="C34" s="587"/>
      <c r="D34" s="588"/>
      <c r="E34" s="54"/>
      <c r="F34" s="54"/>
      <c r="G34" s="54"/>
      <c r="H34" s="54"/>
      <c r="I34" s="54"/>
      <c r="J34" s="54"/>
      <c r="K34" s="54"/>
      <c r="L34" s="54"/>
      <c r="M34" s="54"/>
      <c r="N34" s="54"/>
      <c r="O34" s="54"/>
      <c r="P34" s="54"/>
      <c r="Q34" s="52"/>
      <c r="R34" s="52"/>
      <c r="S34" s="52"/>
      <c r="T34" s="52"/>
      <c r="U34" s="52"/>
      <c r="V34" s="52"/>
      <c r="W34" s="52"/>
      <c r="X34" s="52"/>
      <c r="Y34" s="52"/>
      <c r="Z34" s="52"/>
      <c r="AA34" s="13"/>
      <c r="AB34" s="13"/>
      <c r="AC34" s="13"/>
      <c r="AD34" s="13"/>
      <c r="AE34" s="13"/>
      <c r="AF34" s="13"/>
      <c r="AG34" s="13"/>
      <c r="AH34" s="13"/>
    </row>
    <row r="35" spans="1:47" s="101" customFormat="1" ht="15" hidden="1" customHeight="1" outlineLevel="1" collapsed="1">
      <c r="A35" s="506" t="s">
        <v>432</v>
      </c>
      <c r="B35" s="507"/>
      <c r="C35" s="507"/>
      <c r="D35" s="791"/>
      <c r="E35" s="792"/>
      <c r="F35" s="100"/>
      <c r="G35" s="100"/>
      <c r="H35" s="100"/>
      <c r="I35" s="100"/>
      <c r="J35" s="100"/>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row>
    <row r="36" spans="1:47" s="101" customFormat="1" ht="14.25" hidden="1" outlineLevel="2">
      <c r="A36" s="528" t="s">
        <v>55</v>
      </c>
      <c r="B36" s="553" t="s">
        <v>56</v>
      </c>
      <c r="C36" s="553" t="s">
        <v>57</v>
      </c>
      <c r="D36" s="1168" t="s">
        <v>41</v>
      </c>
      <c r="E36" s="1168"/>
      <c r="F36" s="102"/>
      <c r="G36" s="102"/>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row>
    <row r="37" spans="1:47" s="101" customFormat="1" ht="22.15" hidden="1" customHeight="1" outlineLevel="2">
      <c r="A37" s="287" t="s">
        <v>664</v>
      </c>
      <c r="B37" s="801">
        <f>0.005592888</f>
        <v>5.5928879999999999E-3</v>
      </c>
      <c r="C37" s="287" t="s">
        <v>651</v>
      </c>
      <c r="D37" s="1167" t="s">
        <v>1358</v>
      </c>
      <c r="E37" s="1167"/>
      <c r="F37" s="103"/>
      <c r="G37" s="103"/>
      <c r="H37" s="103"/>
      <c r="I37" s="103"/>
      <c r="J37" s="103"/>
      <c r="K37" s="103"/>
      <c r="L37" s="102"/>
      <c r="M37" s="102"/>
      <c r="N37" s="102"/>
      <c r="O37" s="102"/>
      <c r="P37" s="102"/>
      <c r="Q37" s="102"/>
      <c r="R37" s="102"/>
      <c r="S37" s="102"/>
      <c r="T37" s="102"/>
      <c r="U37" s="102"/>
      <c r="V37" s="102"/>
      <c r="W37" s="102"/>
      <c r="X37" s="102"/>
      <c r="Y37" s="102"/>
      <c r="Z37" s="100"/>
      <c r="AA37" s="100"/>
      <c r="AB37" s="100"/>
      <c r="AC37" s="100"/>
      <c r="AD37" s="100"/>
      <c r="AE37" s="100"/>
      <c r="AF37" s="100"/>
      <c r="AG37" s="100"/>
      <c r="AH37" s="100"/>
      <c r="AI37" s="100"/>
      <c r="AJ37" s="100"/>
      <c r="AK37" s="100"/>
      <c r="AL37" s="100"/>
      <c r="AM37" s="100"/>
      <c r="AN37" s="100"/>
      <c r="AO37" s="100"/>
      <c r="AP37" s="100"/>
      <c r="AQ37" s="100"/>
      <c r="AR37" s="100"/>
    </row>
    <row r="38" spans="1:47" s="101" customFormat="1" ht="22.15" hidden="1" customHeight="1" outlineLevel="2">
      <c r="A38" s="287" t="s">
        <v>521</v>
      </c>
      <c r="B38" s="802">
        <f>0.001/'Conversion Factors and GWPs'!$A$7</f>
        <v>9.9999999999999995E-7</v>
      </c>
      <c r="C38" s="287" t="s">
        <v>665</v>
      </c>
      <c r="D38" s="1167"/>
      <c r="E38" s="1167"/>
      <c r="F38" s="103"/>
      <c r="G38" s="103"/>
      <c r="H38" s="103"/>
      <c r="I38" s="103"/>
      <c r="J38" s="103"/>
      <c r="K38" s="103"/>
      <c r="L38" s="102"/>
      <c r="M38" s="102"/>
      <c r="N38" s="102"/>
      <c r="O38" s="102"/>
      <c r="P38" s="102"/>
      <c r="Q38" s="102"/>
      <c r="R38" s="102"/>
      <c r="S38" s="102"/>
      <c r="T38" s="102"/>
      <c r="U38" s="102"/>
      <c r="V38" s="102"/>
      <c r="W38" s="102"/>
      <c r="X38" s="102"/>
      <c r="Y38" s="102"/>
      <c r="Z38" s="100"/>
      <c r="AA38" s="100"/>
      <c r="AB38" s="100"/>
      <c r="AC38" s="100"/>
      <c r="AD38" s="100"/>
      <c r="AE38" s="100"/>
      <c r="AF38" s="100"/>
      <c r="AG38" s="100"/>
      <c r="AH38" s="100"/>
      <c r="AI38" s="100"/>
      <c r="AJ38" s="100"/>
      <c r="AK38" s="100"/>
      <c r="AL38" s="100"/>
      <c r="AM38" s="100"/>
      <c r="AN38" s="100"/>
      <c r="AO38" s="100"/>
      <c r="AP38" s="100"/>
      <c r="AQ38" s="100"/>
      <c r="AR38" s="100"/>
    </row>
    <row r="39" spans="1:47" s="101" customFormat="1" ht="22.15" hidden="1" customHeight="1" outlineLevel="2">
      <c r="A39" s="287" t="s">
        <v>650</v>
      </c>
      <c r="B39" s="802">
        <f>0.0001/'Conversion Factors and GWPs'!$A$7</f>
        <v>1.0000000000000001E-7</v>
      </c>
      <c r="C39" s="287" t="s">
        <v>666</v>
      </c>
      <c r="D39" s="1167"/>
      <c r="E39" s="1167"/>
      <c r="F39" s="103"/>
      <c r="G39" s="103"/>
      <c r="H39" s="103"/>
      <c r="I39" s="103"/>
      <c r="J39" s="103"/>
      <c r="K39" s="103"/>
      <c r="L39" s="102"/>
      <c r="M39" s="102"/>
      <c r="N39" s="102"/>
      <c r="O39" s="102"/>
      <c r="P39" s="102"/>
      <c r="Q39" s="102"/>
      <c r="R39" s="102"/>
      <c r="S39" s="102"/>
      <c r="T39" s="102"/>
      <c r="U39" s="102"/>
      <c r="V39" s="102"/>
      <c r="W39" s="102"/>
      <c r="X39" s="102"/>
      <c r="Y39" s="102"/>
      <c r="Z39" s="100"/>
      <c r="AA39" s="100"/>
      <c r="AB39" s="100"/>
      <c r="AC39" s="100"/>
      <c r="AD39" s="100"/>
      <c r="AE39" s="100"/>
      <c r="AF39" s="100"/>
      <c r="AG39" s="100"/>
      <c r="AH39" s="100"/>
      <c r="AI39" s="100"/>
      <c r="AJ39" s="100"/>
      <c r="AK39" s="100"/>
      <c r="AL39" s="100"/>
      <c r="AM39" s="100"/>
      <c r="AN39" s="100"/>
      <c r="AO39" s="100"/>
      <c r="AP39" s="100"/>
      <c r="AQ39" s="100"/>
      <c r="AR39" s="100"/>
    </row>
    <row r="40" spans="1:47" s="212" customFormat="1" ht="14.65" hidden="1" customHeight="1" outlineLevel="1"/>
    <row r="41" spans="1:47" s="212" customFormat="1" ht="20.65" customHeight="1" collapsed="1">
      <c r="A41" s="571" t="s">
        <v>631</v>
      </c>
      <c r="B41" s="572"/>
      <c r="C41" s="572"/>
      <c r="D41" s="572"/>
      <c r="E41" s="572"/>
      <c r="F41" s="572"/>
      <c r="G41" s="572"/>
      <c r="H41" s="573"/>
    </row>
    <row r="42" spans="1:47" ht="14.65" customHeight="1" outlineLevel="1">
      <c r="A42" s="506" t="s">
        <v>159</v>
      </c>
      <c r="B42" s="507"/>
      <c r="C42" s="507"/>
      <c r="D42" s="1161"/>
      <c r="E42" s="1161"/>
      <c r="F42" s="1161"/>
      <c r="G42" s="1162"/>
      <c r="H42" s="2"/>
      <c r="AU42" s="1"/>
    </row>
    <row r="43" spans="1:47" ht="42.75" outlineLevel="2">
      <c r="A43" s="361" t="s">
        <v>75</v>
      </c>
      <c r="B43" s="361" t="s">
        <v>474</v>
      </c>
      <c r="C43" s="361" t="s">
        <v>1152</v>
      </c>
      <c r="D43" s="361" t="s">
        <v>1105</v>
      </c>
      <c r="E43" s="361" t="s">
        <v>1106</v>
      </c>
      <c r="F43" s="361" t="s">
        <v>1107</v>
      </c>
      <c r="G43" s="361" t="s">
        <v>1108</v>
      </c>
      <c r="H43" s="2"/>
      <c r="J43" s="108"/>
      <c r="AU43" s="1"/>
    </row>
    <row r="44" spans="1:47" ht="14.65" customHeight="1" outlineLevel="2">
      <c r="A44" s="329" t="s">
        <v>555</v>
      </c>
      <c r="B44" s="847">
        <f>51647554+268952+892141+3920430937+1</f>
        <v>3973239585</v>
      </c>
      <c r="C44" s="331">
        <f>SUM(B44:B44)-'On-Road Data'!F91-'Railways Data'!B48</f>
        <v>3911556352.5352502</v>
      </c>
      <c r="D44" s="332">
        <f>((C44/'Conversion Factors and GWPs'!$A$6)*'Stationary Energy Data'!$C$19)</f>
        <v>2010539.9652031185</v>
      </c>
      <c r="E44" s="332">
        <f>(C44/'Conversion Factors and GWPs'!$A$6)*'Stationary Energy Data'!$C$20</f>
        <v>218.2332698432545</v>
      </c>
      <c r="F44" s="332">
        <f>(C44/'Conversion Factors and GWPs'!$A$6)*'Stationary Energy Data'!$C$21</f>
        <v>31.936576074622607</v>
      </c>
      <c r="G44" s="327">
        <f>D44+E44*'Conversion Factors and GWPs'!$C$14+F44*'Conversion Factors and GWPs'!$C$15</f>
        <v>2025113.6894185047</v>
      </c>
      <c r="H44" s="2"/>
      <c r="J44" s="98"/>
      <c r="AU44" s="1"/>
    </row>
    <row r="45" spans="1:47" ht="14.65" customHeight="1" outlineLevel="2">
      <c r="A45" s="329" t="s">
        <v>692</v>
      </c>
      <c r="B45" s="847">
        <v>735688762</v>
      </c>
      <c r="C45" s="331">
        <f>SUM(B45:B45)</f>
        <v>735688762</v>
      </c>
      <c r="D45" s="332">
        <f>((C45/'Conversion Factors and GWPs'!$A$6)*'Stationary Energy Data'!$C$19)</f>
        <v>378144.02366800001</v>
      </c>
      <c r="E45" s="332">
        <f>(C45/'Conversion Factors and GWPs'!$A$6)*'Stationary Energy Data'!$C$20</f>
        <v>41.045494337346121</v>
      </c>
      <c r="F45" s="332">
        <f>(C45/'Conversion Factors and GWPs'!$A$6)*'Stationary Energy Data'!$C$21</f>
        <v>6.0066577079043091</v>
      </c>
      <c r="G45" s="327">
        <f>D45+E45*'Conversion Factors and GWPs'!$C$14+F45*'Conversion Factors and GWPs'!$C$15</f>
        <v>380885.06180204032</v>
      </c>
      <c r="H45" s="2"/>
      <c r="J45" s="98"/>
      <c r="AU45" s="1"/>
    </row>
    <row r="46" spans="1:47" ht="14.65" customHeight="1" outlineLevel="2">
      <c r="A46" s="329" t="s">
        <v>65</v>
      </c>
      <c r="B46" s="847">
        <v>933509367</v>
      </c>
      <c r="C46" s="331">
        <f>SUM(B46:B46)-'On-Road Data'!E91</f>
        <v>925467942</v>
      </c>
      <c r="D46" s="332">
        <f>((C46/'Conversion Factors and GWPs'!$A$6)*'Stationary Energy Data'!$C$19)</f>
        <v>475690.52218800003</v>
      </c>
      <c r="E46" s="926">
        <f>(C46/'Conversion Factors and GWPs'!$A$6)*'Stationary Energy Data'!$C$20</f>
        <v>51.633640657346845</v>
      </c>
      <c r="F46" s="926">
        <f>(C46/'Conversion Factors and GWPs'!$A$6)*'Stationary Energy Data'!$C$21</f>
        <v>7.5561425352214888</v>
      </c>
      <c r="G46" s="327">
        <f>D46+E46*'Conversion Factors and GWPs'!$C$14+F46*'Conversion Factors and GWPs'!$C$15</f>
        <v>479138.64189823944</v>
      </c>
      <c r="H46" s="2"/>
      <c r="J46" s="97"/>
      <c r="AU46" s="1"/>
    </row>
    <row r="47" spans="1:47" ht="14.65" customHeight="1" outlineLevel="2">
      <c r="A47" s="329" t="s">
        <v>1045</v>
      </c>
      <c r="B47" s="847">
        <v>1034101064</v>
      </c>
      <c r="C47" s="331">
        <f>B47</f>
        <v>1034101064</v>
      </c>
      <c r="D47" s="332">
        <f>((C47/'Conversion Factors and GWPs'!$A$6)*'Stationary Energy Data'!$C$19)</f>
        <v>531527.94689600007</v>
      </c>
      <c r="E47" s="332">
        <f>(C47/'Conversion Factors and GWPs'!$A$6)*'Stationary Energy Data'!$C$20</f>
        <v>57.694491963240829</v>
      </c>
      <c r="F47" s="332">
        <f>(C47/'Conversion Factors and GWPs'!$A$6)*'Stationary Energy Data'!$C$21</f>
        <v>8.4430963848645106</v>
      </c>
      <c r="G47" s="327">
        <f>D47+E47*'Conversion Factors and GWPs'!$C$14+F47*'Conversion Factors and GWPs'!$C$15</f>
        <v>535380.81321295991</v>
      </c>
      <c r="H47" s="2"/>
      <c r="J47" s="97"/>
      <c r="AU47" s="1"/>
    </row>
    <row r="48" spans="1:47" ht="14.65" customHeight="1" outlineLevel="2">
      <c r="A48" s="333" t="s">
        <v>401</v>
      </c>
      <c r="B48" s="334">
        <f>SUM(B44:B47)</f>
        <v>6676538778</v>
      </c>
      <c r="C48" s="334">
        <f>SUM(C44:C47)</f>
        <v>6606814120.5352497</v>
      </c>
      <c r="D48" s="334">
        <f>SUM(D44:D47)</f>
        <v>3395902.4579551183</v>
      </c>
      <c r="E48" s="334">
        <f t="shared" ref="E48:G48" si="0">SUM(E44:E47)</f>
        <v>368.60689680118827</v>
      </c>
      <c r="F48" s="334">
        <f t="shared" si="0"/>
        <v>53.942472702612918</v>
      </c>
      <c r="G48" s="334">
        <f t="shared" si="0"/>
        <v>3420518.2063317443</v>
      </c>
      <c r="H48" s="2"/>
      <c r="AU48" s="1"/>
    </row>
    <row r="49" spans="1:47" ht="42.75" outlineLevel="2">
      <c r="A49" s="361" t="s">
        <v>76</v>
      </c>
      <c r="B49" s="361" t="s">
        <v>475</v>
      </c>
      <c r="C49" s="361" t="s">
        <v>1105</v>
      </c>
      <c r="D49" s="361" t="s">
        <v>1106</v>
      </c>
      <c r="E49" s="361" t="s">
        <v>1107</v>
      </c>
      <c r="F49" s="361" t="s">
        <v>1108</v>
      </c>
      <c r="G49" s="2"/>
      <c r="H49" s="2"/>
    </row>
    <row r="50" spans="1:47" ht="14.65" customHeight="1" outlineLevel="2">
      <c r="A50" s="329" t="s">
        <v>555</v>
      </c>
      <c r="B50" s="847">
        <v>102658444</v>
      </c>
      <c r="C50" s="926">
        <f>B50*'Stationary Energy Data'!$C$25</f>
        <v>544295.07008800004</v>
      </c>
      <c r="D50" s="926">
        <f>B50*'Stationary Energy Data'!$C$26</f>
        <v>51.329221999999994</v>
      </c>
      <c r="E50" s="926">
        <f>B50*'Stationary Energy Data'!$C$27</f>
        <v>1.0265844399999999</v>
      </c>
      <c r="F50" s="332">
        <f>C50+D50*'Conversion Factors and GWPs'!$C$14+E50*'Conversion Factors and GWPs'!$C$15</f>
        <v>546004.33318060008</v>
      </c>
      <c r="G50" s="2"/>
      <c r="H50" s="2"/>
    </row>
    <row r="51" spans="1:47" ht="14.65" customHeight="1" outlineLevel="2">
      <c r="A51" s="329" t="s">
        <v>692</v>
      </c>
      <c r="B51" s="847">
        <v>64254707</v>
      </c>
      <c r="C51" s="332">
        <f>B51*'Stationary Energy Data'!$C$25</f>
        <v>340678.45651400002</v>
      </c>
      <c r="D51" s="332">
        <f>B51*'Stationary Energy Data'!$C$26</f>
        <v>32.127353499999998</v>
      </c>
      <c r="E51" s="332">
        <f>B51*'Stationary Energy Data'!$C$27</f>
        <v>0.64254707</v>
      </c>
      <c r="F51" s="332">
        <f>C51+D51*'Conversion Factors and GWPs'!$C$14+E51*'Conversion Factors and GWPs'!$C$15</f>
        <v>341748.29738554999</v>
      </c>
      <c r="G51" s="1034"/>
      <c r="H51" s="2"/>
    </row>
    <row r="52" spans="1:47" ht="14.65" customHeight="1" outlineLevel="2">
      <c r="A52" s="329" t="s">
        <v>65</v>
      </c>
      <c r="B52" s="847">
        <v>143588762</v>
      </c>
      <c r="C52" s="332">
        <f>B52*'Stationary Energy Data'!$C$25</f>
        <v>761307.61612400005</v>
      </c>
      <c r="D52" s="332">
        <f>B52*'Stationary Energy Data'!$C$26</f>
        <v>71.794381000000001</v>
      </c>
      <c r="E52" s="332">
        <f>B52*'Stationary Energy Data'!$C$27</f>
        <v>1.4358876199999999</v>
      </c>
      <c r="F52" s="332">
        <f>C52+D52*'Conversion Factors and GWPs'!$C$14+E52*'Conversion Factors and GWPs'!$C$15</f>
        <v>763698.36901130015</v>
      </c>
      <c r="G52" s="2"/>
      <c r="H52" s="2"/>
    </row>
    <row r="53" spans="1:47" ht="14.65" customHeight="1" outlineLevel="2">
      <c r="A53" s="329" t="s">
        <v>1045</v>
      </c>
      <c r="B53" s="847">
        <v>48926063</v>
      </c>
      <c r="C53" s="332">
        <f>B53*'Stationary Energy Data'!$C$25</f>
        <v>259405.98602600003</v>
      </c>
      <c r="D53" s="332">
        <f>B53*'Stationary Energy Data'!$C$26</f>
        <v>24.4630315</v>
      </c>
      <c r="E53" s="332">
        <f>B53*'Stationary Energy Data'!$C$27</f>
        <v>0.48926063000000003</v>
      </c>
      <c r="F53" s="332">
        <f>C53+D53*'Conversion Factors and GWPs'!$C$14+E53*'Conversion Factors and GWPs'!$C$15</f>
        <v>260220.60497495002</v>
      </c>
      <c r="G53" s="2"/>
      <c r="H53" s="2"/>
    </row>
    <row r="54" spans="1:47" ht="14.65" customHeight="1" outlineLevel="2">
      <c r="A54" s="359" t="s">
        <v>162</v>
      </c>
      <c r="B54" s="360">
        <f>SUM(B50:B53)</f>
        <v>359427976</v>
      </c>
      <c r="C54" s="360">
        <f t="shared" ref="C54:F54" si="1">SUM(C50:C53)</f>
        <v>1905687.1287519999</v>
      </c>
      <c r="D54" s="360">
        <f t="shared" si="1"/>
        <v>179.71398799999997</v>
      </c>
      <c r="E54" s="360">
        <f t="shared" si="1"/>
        <v>3.5942797599999996</v>
      </c>
      <c r="F54" s="360">
        <f t="shared" si="1"/>
        <v>1911671.6045524001</v>
      </c>
      <c r="G54" s="2"/>
      <c r="H54" s="2"/>
    </row>
    <row r="55" spans="1:47" ht="33" outlineLevel="2">
      <c r="A55" s="361" t="s">
        <v>432</v>
      </c>
      <c r="B55" s="361" t="s">
        <v>433</v>
      </c>
      <c r="C55" s="361" t="s">
        <v>435</v>
      </c>
      <c r="D55" s="361" t="s">
        <v>434</v>
      </c>
      <c r="E55" s="361" t="s">
        <v>1105</v>
      </c>
      <c r="F55" s="361" t="s">
        <v>1106</v>
      </c>
      <c r="G55" s="361" t="s">
        <v>1107</v>
      </c>
      <c r="H55" s="361" t="s">
        <v>1108</v>
      </c>
    </row>
    <row r="56" spans="1:47" ht="14.65" customHeight="1" outlineLevel="2">
      <c r="A56" s="329" t="s">
        <v>62</v>
      </c>
      <c r="B56" s="1035">
        <v>646642.66</v>
      </c>
      <c r="C56" s="330">
        <v>0</v>
      </c>
      <c r="D56" s="332">
        <f>SUM(B56:C56)</f>
        <v>646642.66</v>
      </c>
      <c r="E56" s="927">
        <f>D56*'Stationary Energy Data'!$B$37</f>
        <v>3616.5999734020802</v>
      </c>
      <c r="F56" s="355">
        <f>D56*'Stationary Energy Data'!$B$38</f>
        <v>0.64664266000000004</v>
      </c>
      <c r="G56" s="884">
        <f>D56*'Stationary Energy Data'!$B$39</f>
        <v>6.4664266000000012E-2</v>
      </c>
      <c r="H56" s="928">
        <f>E56+F56*'Conversion Factors and GWPs'!$C$14+G56*'Conversion Factors and GWPs'!$C$15</f>
        <v>3651.8419983720801</v>
      </c>
      <c r="I56" s="108"/>
    </row>
    <row r="57" spans="1:47" ht="14.65" customHeight="1" outlineLevel="2">
      <c r="A57" s="329" t="s">
        <v>65</v>
      </c>
      <c r="B57" s="1035">
        <v>795.85</v>
      </c>
      <c r="C57" s="330">
        <v>0</v>
      </c>
      <c r="D57" s="332">
        <f>SUM(B57:C57)</f>
        <v>795.85</v>
      </c>
      <c r="E57" s="332">
        <f>D57*'Stationary Energy Data'!$B$37</f>
        <v>4.4510999148000003</v>
      </c>
      <c r="F57" s="355">
        <f>D57*'Stationary Energy Data'!$B$38</f>
        <v>7.9584999999999996E-4</v>
      </c>
      <c r="G57" s="362">
        <f>D57*'Stationary Energy Data'!$B$39</f>
        <v>7.9585000000000005E-5</v>
      </c>
      <c r="H57" s="297">
        <f>E57+F57*'Conversion Factors and GWPs'!$C$14+G57*'Conversion Factors and GWPs'!$C$15</f>
        <v>4.494473739800001</v>
      </c>
    </row>
    <row r="58" spans="1:47" ht="14.65" customHeight="1" outlineLevel="2">
      <c r="A58" s="333" t="s">
        <v>485</v>
      </c>
      <c r="B58" s="334">
        <f>SUM(B56:B57)</f>
        <v>647438.51</v>
      </c>
      <c r="C58" s="334">
        <f t="shared" ref="C58:H58" si="2">SUM(C56:C57)</f>
        <v>0</v>
      </c>
      <c r="D58" s="334">
        <f t="shared" si="2"/>
        <v>647438.51</v>
      </c>
      <c r="E58" s="334">
        <f t="shared" si="2"/>
        <v>3621.0510733168803</v>
      </c>
      <c r="F58" s="335">
        <f t="shared" si="2"/>
        <v>0.64743851000000008</v>
      </c>
      <c r="G58" s="328">
        <f t="shared" si="2"/>
        <v>6.4743851000000005E-2</v>
      </c>
      <c r="H58" s="846">
        <f t="shared" si="2"/>
        <v>3656.3364721118801</v>
      </c>
    </row>
    <row r="59" spans="1:47" s="81" customFormat="1" ht="33" outlineLevel="2">
      <c r="A59" s="361" t="s">
        <v>158</v>
      </c>
      <c r="B59" s="361" t="s">
        <v>402</v>
      </c>
      <c r="C59" s="361" t="s">
        <v>1105</v>
      </c>
      <c r="D59" s="361" t="s">
        <v>1106</v>
      </c>
      <c r="E59" s="361" t="s">
        <v>1107</v>
      </c>
      <c r="F59" s="361" t="s">
        <v>1108</v>
      </c>
      <c r="G59" s="75"/>
      <c r="H59" s="75"/>
      <c r="I59" s="75"/>
      <c r="J59" s="75"/>
      <c r="K59" s="99"/>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row>
    <row r="60" spans="1:47" ht="14.65" customHeight="1" outlineLevel="2">
      <c r="A60" s="329" t="s">
        <v>62</v>
      </c>
      <c r="B60" s="330">
        <v>1419535</v>
      </c>
      <c r="C60" s="332">
        <f>B60*'Stationary Energy Data'!$C$31</f>
        <v>14540.949991100002</v>
      </c>
      <c r="D60" s="332">
        <f>B60*'Stationary Energy Data'!$C$32</f>
        <v>0.56781400000000004</v>
      </c>
      <c r="E60" s="332">
        <f>B60*'Stationary Energy Data'!$C$33</f>
        <v>0.14195350000000001</v>
      </c>
      <c r="F60" s="332">
        <f>C60+D60*'Conversion Factors and GWPs'!$C$14+E60*'Conversion Factors and GWPs'!$C$15</f>
        <v>14594.466460600002</v>
      </c>
      <c r="G60" s="2"/>
      <c r="H60" s="2"/>
    </row>
    <row r="61" spans="1:47" ht="14.65" customHeight="1" outlineLevel="2">
      <c r="A61" s="333" t="s">
        <v>429</v>
      </c>
      <c r="B61" s="334">
        <f>SUM(B60)</f>
        <v>1419535</v>
      </c>
      <c r="C61" s="334">
        <f t="shared" ref="C61:F61" si="3">SUM(C60)</f>
        <v>14540.949991100002</v>
      </c>
      <c r="D61" s="334">
        <f t="shared" si="3"/>
        <v>0.56781400000000004</v>
      </c>
      <c r="E61" s="334">
        <f t="shared" si="3"/>
        <v>0.14195350000000001</v>
      </c>
      <c r="F61" s="334">
        <f t="shared" si="3"/>
        <v>14594.466460600002</v>
      </c>
      <c r="G61" s="2"/>
      <c r="H61" s="2"/>
    </row>
    <row r="62" spans="1:47" ht="14.65" customHeight="1" outlineLevel="2">
      <c r="A62" s="2"/>
      <c r="B62" s="2"/>
      <c r="C62" s="2"/>
      <c r="D62" s="2"/>
      <c r="E62" s="2"/>
      <c r="F62" s="2"/>
      <c r="G62" s="2"/>
      <c r="H62" s="2"/>
    </row>
    <row r="63" spans="1:47" s="2" customFormat="1" ht="15.75" outlineLevel="1">
      <c r="A63" s="1160" t="s">
        <v>479</v>
      </c>
      <c r="B63" s="1161"/>
      <c r="C63" s="1161"/>
      <c r="D63" s="1161"/>
      <c r="E63" s="1161"/>
      <c r="F63" s="1162"/>
    </row>
    <row r="64" spans="1:47" s="2" customFormat="1" ht="42.75" outlineLevel="2">
      <c r="A64" s="528" t="s">
        <v>514</v>
      </c>
      <c r="B64" s="553" t="s">
        <v>474</v>
      </c>
      <c r="C64" s="553" t="s">
        <v>1105</v>
      </c>
      <c r="D64" s="553" t="s">
        <v>1106</v>
      </c>
      <c r="E64" s="553" t="s">
        <v>1107</v>
      </c>
      <c r="F64" s="556" t="s">
        <v>1108</v>
      </c>
    </row>
    <row r="65" spans="1:7" s="2" customFormat="1" outlineLevel="2">
      <c r="A65" s="329" t="s">
        <v>555</v>
      </c>
      <c r="B65" s="330">
        <v>16188440</v>
      </c>
      <c r="C65" s="354">
        <f>(B65/'Conversion Factors and GWPs'!$A$6)*'Stationary Energy Data'!$C$19</f>
        <v>8320.8581599999998</v>
      </c>
      <c r="D65" s="357">
        <f>(B65/'Conversion Factors and GWPs'!$A$6)*'Stationary Energy Data'!$C$20</f>
        <v>0.90318427665538736</v>
      </c>
      <c r="E65" s="358">
        <f>(B65/'Conversion Factors and GWPs'!$A$6)*'Stationary Energy Data'!$C$21</f>
        <v>0.13217330877883715</v>
      </c>
      <c r="F65" s="354">
        <f>C65+(D65*'Conversion Factors and GWPs'!$C$14)+('Stationary Energy Data'!E65*'Conversion Factors and GWPs'!$C$15)</f>
        <v>8381.1732465727437</v>
      </c>
    </row>
    <row r="66" spans="1:7" s="2" customFormat="1" outlineLevel="2">
      <c r="A66" s="329" t="s">
        <v>65</v>
      </c>
      <c r="B66" s="330">
        <v>35062275</v>
      </c>
      <c r="C66" s="332">
        <f>(B66/'Conversion Factors and GWPs'!$A$6)*'Stationary Energy Data'!$C$19</f>
        <v>18022.00935</v>
      </c>
      <c r="D66" s="355">
        <f>(B66/'Conversion Factors and GWPs'!$A$6)*'Stationary Energy Data'!$C$20</f>
        <v>1.9561919174279467</v>
      </c>
      <c r="E66" s="356">
        <f>(B66/'Conversion Factors and GWPs'!$A$6)*'Stationary Energy Data'!$C$21</f>
        <v>0.28627198791628489</v>
      </c>
      <c r="F66" s="332">
        <f>C66+(D66*'Conversion Factors and GWPs'!$C$14)+('Stationary Energy Data'!E66*'Conversion Factors and GWPs'!$C$15)</f>
        <v>18152.644800485799</v>
      </c>
    </row>
    <row r="67" spans="1:7" s="2" customFormat="1" outlineLevel="2">
      <c r="A67" s="333" t="s">
        <v>480</v>
      </c>
      <c r="B67" s="334">
        <f>SUM(B65:B66)</f>
        <v>51250715</v>
      </c>
      <c r="C67" s="334">
        <f t="shared" ref="C67:F67" si="4">SUM(C65:C66)</f>
        <v>26342.86751</v>
      </c>
      <c r="D67" s="334">
        <f t="shared" si="4"/>
        <v>2.859376194083334</v>
      </c>
      <c r="E67" s="334">
        <f t="shared" si="4"/>
        <v>0.41844529669512204</v>
      </c>
      <c r="F67" s="334">
        <f t="shared" si="4"/>
        <v>26533.818047058543</v>
      </c>
    </row>
    <row r="68" spans="1:7" s="2" customFormat="1" ht="42.75" outlineLevel="2">
      <c r="A68" s="314" t="s">
        <v>674</v>
      </c>
      <c r="B68" s="315" t="s">
        <v>474</v>
      </c>
      <c r="C68" s="315" t="s">
        <v>1105</v>
      </c>
      <c r="D68" s="315" t="s">
        <v>1106</v>
      </c>
      <c r="E68" s="315" t="s">
        <v>1107</v>
      </c>
      <c r="F68" s="316" t="s">
        <v>1108</v>
      </c>
    </row>
    <row r="69" spans="1:7" s="2" customFormat="1" outlineLevel="2">
      <c r="A69" s="329" t="s">
        <v>62</v>
      </c>
      <c r="B69" s="330">
        <v>0</v>
      </c>
      <c r="C69" s="332">
        <f>(B69/'Conversion Factors and GWPs'!$A$6)*'Stationary Energy Data'!$C$19</f>
        <v>0</v>
      </c>
      <c r="D69" s="332">
        <f>(B69/'Conversion Factors and GWPs'!$A$6)*'Stationary Energy Data'!$C$20</f>
        <v>0</v>
      </c>
      <c r="E69" s="332">
        <f>(B69/'Conversion Factors and GWPs'!$A$6)*'Stationary Energy Data'!$C$21</f>
        <v>0</v>
      </c>
      <c r="F69" s="332">
        <f>C69+(D69*'Conversion Factors and GWPs'!$C$14)+('Stationary Energy Data'!E69*'Conversion Factors and GWPs'!$C$15)</f>
        <v>0</v>
      </c>
    </row>
    <row r="70" spans="1:7" s="2" customFormat="1" outlineLevel="2">
      <c r="A70" s="329" t="s">
        <v>65</v>
      </c>
      <c r="B70" s="330">
        <v>0</v>
      </c>
      <c r="C70" s="332">
        <f>(B70/'Conversion Factors and GWPs'!$A$6)*'Stationary Energy Data'!$C$19</f>
        <v>0</v>
      </c>
      <c r="D70" s="332">
        <f>(B70/'Conversion Factors and GWPs'!$A$6)*'Stationary Energy Data'!$C$20</f>
        <v>0</v>
      </c>
      <c r="E70" s="332">
        <f>(B70/'Conversion Factors and GWPs'!$A$6)*'Stationary Energy Data'!$C$21</f>
        <v>0</v>
      </c>
      <c r="F70" s="332">
        <f>C70+(D70*'Conversion Factors and GWPs'!$C$14)+('Stationary Energy Data'!E70*'Conversion Factors and GWPs'!$C$15)</f>
        <v>0</v>
      </c>
    </row>
    <row r="71" spans="1:7" s="2" customFormat="1" outlineLevel="2">
      <c r="A71" s="333" t="s">
        <v>672</v>
      </c>
      <c r="B71" s="334">
        <f>SUM(B69:B70)</f>
        <v>0</v>
      </c>
      <c r="C71" s="334">
        <f>SUM(C69:C70)</f>
        <v>0</v>
      </c>
      <c r="D71" s="334">
        <f>SUM(D69:D70)</f>
        <v>0</v>
      </c>
      <c r="E71" s="334">
        <f>SUM(E69:E70)</f>
        <v>0</v>
      </c>
      <c r="F71" s="334">
        <f>SUM(F69:F70)</f>
        <v>0</v>
      </c>
      <c r="G71" s="98"/>
    </row>
    <row r="72" spans="1:7" s="2" customFormat="1" ht="42.75" outlineLevel="2">
      <c r="A72" s="314" t="s">
        <v>477</v>
      </c>
      <c r="B72" s="315" t="s">
        <v>474</v>
      </c>
      <c r="C72" s="315" t="s">
        <v>1105</v>
      </c>
      <c r="D72" s="315" t="s">
        <v>1106</v>
      </c>
      <c r="E72" s="315" t="s">
        <v>1107</v>
      </c>
      <c r="F72" s="316" t="s">
        <v>1108</v>
      </c>
    </row>
    <row r="73" spans="1:7" s="2" customFormat="1" outlineLevel="2">
      <c r="A73" s="329" t="s">
        <v>693</v>
      </c>
      <c r="B73" s="330">
        <v>49870639</v>
      </c>
      <c r="C73" s="332">
        <f>(B73/'Conversion Factors and GWPs'!$A$6)*'Stationary Energy Data'!$C$19</f>
        <v>25633.508446000003</v>
      </c>
      <c r="D73" s="332">
        <f>(B73/'Conversion Factors and GWPs'!$A$6)*'Stationary Energy Data'!$C$20</f>
        <v>2.7823790934492112</v>
      </c>
      <c r="E73" s="332">
        <f>(B73/'Conversion Factors and GWPs'!$A$6)*'Stationary Energy Data'!$C$21</f>
        <v>0.40717742830964065</v>
      </c>
      <c r="F73" s="332">
        <f>C73+(D73*'Conversion Factors and GWPs'!$C$14)+('Stationary Energy Data'!E73*'Conversion Factors and GWPs'!$C$15)</f>
        <v>25819.317079118639</v>
      </c>
      <c r="G73" s="198"/>
    </row>
    <row r="74" spans="1:7" s="2" customFormat="1" outlineLevel="2">
      <c r="A74" s="329" t="s">
        <v>65</v>
      </c>
      <c r="B74" s="330">
        <v>16948085</v>
      </c>
      <c r="C74" s="332">
        <f>(B74/'Conversion Factors and GWPs'!$A$6)*'Stationary Energy Data'!$C$19</f>
        <v>8711.3156899999994</v>
      </c>
      <c r="D74" s="332">
        <f>(B74/'Conversion Factors and GWPs'!$A$6)*'Stationary Energy Data'!$C$20</f>
        <v>0.94556633569504034</v>
      </c>
      <c r="E74" s="332">
        <f>(B74/'Conversion Factors and GWPs'!$A$6)*'Stationary Energy Data'!$C$21</f>
        <v>0.13837556132122542</v>
      </c>
      <c r="F74" s="332">
        <f>C74+(D74*'Conversion Factors and GWPs'!$C$14)+('Stationary Energy Data'!E74*'Conversion Factors and GWPs'!$C$15)</f>
        <v>8774.4610711495843</v>
      </c>
      <c r="G74" s="198"/>
    </row>
    <row r="75" spans="1:7" s="2" customFormat="1" outlineLevel="2">
      <c r="A75" s="333" t="s">
        <v>481</v>
      </c>
      <c r="B75" s="334">
        <f>SUM(B73:B74)</f>
        <v>66818724</v>
      </c>
      <c r="C75" s="334">
        <f>SUM(C73:C74)</f>
        <v>34344.824136000003</v>
      </c>
      <c r="D75" s="334">
        <f>SUM(D73:D74)</f>
        <v>3.7279454291442518</v>
      </c>
      <c r="E75" s="334">
        <f>SUM(E73:E74)</f>
        <v>0.54555298963086607</v>
      </c>
      <c r="F75" s="334">
        <f>SUM(F73:F74)</f>
        <v>34593.778150268219</v>
      </c>
      <c r="G75" s="98"/>
    </row>
    <row r="76" spans="1:7" s="2" customFormat="1" ht="57" outlineLevel="2">
      <c r="A76" s="314" t="s">
        <v>478</v>
      </c>
      <c r="B76" s="789" t="s">
        <v>1303</v>
      </c>
      <c r="C76" s="315" t="s">
        <v>1304</v>
      </c>
      <c r="D76" s="315" t="s">
        <v>1105</v>
      </c>
      <c r="E76" s="315" t="s">
        <v>1106</v>
      </c>
      <c r="F76" s="315" t="s">
        <v>1107</v>
      </c>
      <c r="G76" s="316" t="s">
        <v>1108</v>
      </c>
    </row>
    <row r="77" spans="1:7" s="2" customFormat="1" outlineLevel="2">
      <c r="A77" s="329" t="s">
        <v>555</v>
      </c>
      <c r="B77" s="330">
        <v>1049.5740000000001</v>
      </c>
      <c r="C77" s="330">
        <v>1607697</v>
      </c>
      <c r="D77" s="332">
        <f>(C77/'Conversion Factors and GWPs'!$A$6)*'Stationary Energy Data'!$C$19</f>
        <v>826.35625799999991</v>
      </c>
      <c r="E77" s="332">
        <f>(C77/'Conversion Factors and GWPs'!$A$6)*'Stationary Energy Data'!$C$20</f>
        <v>8.96965150456768E-2</v>
      </c>
      <c r="F77" s="332">
        <f>(C77/'Conversion Factors and GWPs'!$A$6)*'Stationary Energy Data'!$C$21</f>
        <v>1.3126319274977091E-2</v>
      </c>
      <c r="G77" s="332">
        <f>D77+(E77*'Conversion Factors and GWPs'!$C$14)+('Stationary Energy Data'!F77*'Conversion Factors and GWPs'!$C$15)</f>
        <v>832.34623502914781</v>
      </c>
    </row>
    <row r="78" spans="1:7" s="2" customFormat="1" outlineLevel="2">
      <c r="A78" s="329" t="s">
        <v>65</v>
      </c>
      <c r="B78" s="330">
        <v>6182.15</v>
      </c>
      <c r="C78" s="330">
        <v>9465508</v>
      </c>
      <c r="D78" s="332">
        <f>(C78/'Conversion Factors and GWPs'!$A$6)*'Stationary Energy Data'!$C$19</f>
        <v>4865.2711120000004</v>
      </c>
      <c r="E78" s="332">
        <f>(C78/'Conversion Factors and GWPs'!$A$6)*'Stationary Energy Data'!$C$20</f>
        <v>0.52809893949977771</v>
      </c>
      <c r="F78" s="332">
        <f>(C78/'Conversion Factors and GWPs'!$A$6)*'Stationary Energy Data'!$C$21</f>
        <v>7.7282771634113803E-2</v>
      </c>
      <c r="G78" s="332">
        <f>D78+(E78*'Conversion Factors and GWPs'!$C$14)+('Stationary Energy Data'!F78*'Conversion Factors and GWPs'!$C$15)</f>
        <v>4900.537816789034</v>
      </c>
    </row>
    <row r="79" spans="1:7" s="161" customFormat="1" ht="13.5" customHeight="1" outlineLevel="2">
      <c r="A79" s="333" t="s">
        <v>482</v>
      </c>
      <c r="B79" s="334">
        <f t="shared" ref="B79:G79" si="5">SUM(B77:B78)</f>
        <v>7231.7240000000002</v>
      </c>
      <c r="C79" s="334">
        <f t="shared" si="5"/>
        <v>11073205</v>
      </c>
      <c r="D79" s="334">
        <f t="shared" si="5"/>
        <v>5691.6273700000002</v>
      </c>
      <c r="E79" s="334">
        <f t="shared" si="5"/>
        <v>0.61779545454545448</v>
      </c>
      <c r="F79" s="334">
        <f t="shared" si="5"/>
        <v>9.0409090909090897E-2</v>
      </c>
      <c r="G79" s="334">
        <f t="shared" si="5"/>
        <v>5732.8840518181814</v>
      </c>
    </row>
    <row r="80" spans="1:7" s="2" customFormat="1" ht="42.75" outlineLevel="2">
      <c r="A80" s="314" t="s">
        <v>520</v>
      </c>
      <c r="B80" s="315" t="s">
        <v>474</v>
      </c>
      <c r="C80" s="315" t="s">
        <v>1105</v>
      </c>
      <c r="D80" s="315" t="s">
        <v>1106</v>
      </c>
      <c r="E80" s="315" t="s">
        <v>1107</v>
      </c>
      <c r="F80" s="316" t="s">
        <v>1108</v>
      </c>
    </row>
    <row r="81" spans="1:6" s="2" customFormat="1" outlineLevel="2">
      <c r="A81" s="329" t="s">
        <v>555</v>
      </c>
      <c r="B81" s="330">
        <v>11539454.439999999</v>
      </c>
      <c r="C81" s="332">
        <f>(B81/'Conversion Factors and GWPs'!$A$6)*'Stationary Energy Data'!$C$19</f>
        <v>5931.2795821600002</v>
      </c>
      <c r="D81" s="332">
        <f>(B81/'Conversion Factors and GWPs'!$A$6)*'Stationary Energy Data'!$C$20</f>
        <v>0.64380840966697206</v>
      </c>
      <c r="E81" s="332">
        <f>(B81/'Conversion Factors and GWPs'!$A$6)*'Stationary Energy Data'!$C$21</f>
        <v>9.4215864829312976E-2</v>
      </c>
      <c r="F81" s="332">
        <f>C81+(D81*'Conversion Factors and GWPs'!$C$14)+('Stationary Energy Data'!E81*'Conversion Factors and GWPs'!$C$15)</f>
        <v>5974.2734218104433</v>
      </c>
    </row>
    <row r="82" spans="1:6" s="2" customFormat="1" outlineLevel="2">
      <c r="A82" s="329" t="s">
        <v>65</v>
      </c>
      <c r="B82" s="330">
        <v>1895746.31</v>
      </c>
      <c r="C82" s="332">
        <f>(B82/'Conversion Factors and GWPs'!$A$6)*'Stationary Energy Data'!$C$19</f>
        <v>974.41360334000001</v>
      </c>
      <c r="D82" s="332">
        <f>(B82/'Conversion Factors and GWPs'!$A$6)*'Stationary Energy Data'!$C$20</f>
        <v>0.10576734136948771</v>
      </c>
      <c r="E82" s="332">
        <f>(B82/'Conversion Factors and GWPs'!$A$6)*'Stationary Energy Data'!$C$21</f>
        <v>1.5478147517486005E-2</v>
      </c>
      <c r="F82" s="332">
        <f>C82+(D82*'Conversion Factors and GWPs'!$C$14)+('Stationary Energy Data'!E82*'Conversion Factors and GWPs'!$C$15)</f>
        <v>981.47679799047944</v>
      </c>
    </row>
    <row r="83" spans="1:6" s="161" customFormat="1" outlineLevel="2">
      <c r="A83" s="333" t="s">
        <v>483</v>
      </c>
      <c r="B83" s="334">
        <f>SUM(B81:B82)</f>
        <v>13435200.75</v>
      </c>
      <c r="C83" s="334">
        <f>SUM(C81:C82)</f>
        <v>6905.6931855000003</v>
      </c>
      <c r="D83" s="334">
        <f>SUM(D81:D82)</f>
        <v>0.74957575103645979</v>
      </c>
      <c r="E83" s="334">
        <f>SUM(E81:E82)</f>
        <v>0.10969401234679899</v>
      </c>
      <c r="F83" s="334">
        <f>SUM(F81:F82)</f>
        <v>6955.7502198009224</v>
      </c>
    </row>
    <row r="84" spans="1:6" s="161" customFormat="1" ht="30" outlineLevel="2">
      <c r="A84" s="810" t="s">
        <v>515</v>
      </c>
      <c r="B84" s="811">
        <f>B67+C79+B71</f>
        <v>62323920</v>
      </c>
      <c r="C84" s="811">
        <f>C67+D79+C71</f>
        <v>32034.494879999998</v>
      </c>
      <c r="D84" s="811">
        <f t="shared" ref="D84:F84" si="6">D67+E79+D71</f>
        <v>3.4771716486287882</v>
      </c>
      <c r="E84" s="811">
        <f t="shared" si="6"/>
        <v>0.50885438760421298</v>
      </c>
      <c r="F84" s="811">
        <f t="shared" si="6"/>
        <v>32266.702098876725</v>
      </c>
    </row>
    <row r="85" spans="1:6" s="161" customFormat="1" ht="30" outlineLevel="2">
      <c r="A85" s="810" t="s">
        <v>516</v>
      </c>
      <c r="B85" s="811">
        <f>B75+B83</f>
        <v>80253924.75</v>
      </c>
      <c r="C85" s="811">
        <f>C75+C83</f>
        <v>41250.517321500003</v>
      </c>
      <c r="D85" s="811">
        <f>D75+D83</f>
        <v>4.4775211801807115</v>
      </c>
      <c r="E85" s="811">
        <f>E75+E83</f>
        <v>0.65524700197766506</v>
      </c>
      <c r="F85" s="811">
        <f>F75+F83</f>
        <v>41549.528370069143</v>
      </c>
    </row>
    <row r="86" spans="1:6" s="161" customFormat="1" outlineLevel="2">
      <c r="A86" s="848" t="s">
        <v>484</v>
      </c>
      <c r="B86" s="849">
        <f>SUM(B84:B85)</f>
        <v>142577844.75</v>
      </c>
      <c r="C86" s="849">
        <f t="shared" ref="C86:F86" si="7">SUM(C84:C85)</f>
        <v>73285.012201500009</v>
      </c>
      <c r="D86" s="849">
        <f t="shared" si="7"/>
        <v>7.9546928288094998</v>
      </c>
      <c r="E86" s="849">
        <f t="shared" si="7"/>
        <v>1.1641013895818779</v>
      </c>
      <c r="F86" s="849">
        <f t="shared" si="7"/>
        <v>73816.230468945869</v>
      </c>
    </row>
    <row r="87" spans="1:6" s="2" customFormat="1" ht="12.75" outlineLevel="1"/>
    <row r="88" spans="1:6" s="2" customFormat="1" ht="12.75"/>
    <row r="89" spans="1:6" s="2" customFormat="1" ht="12.75"/>
    <row r="90" spans="1:6" s="2" customFormat="1" ht="12.75"/>
    <row r="91" spans="1:6" s="2" customFormat="1" ht="12.75"/>
    <row r="92" spans="1:6" s="2" customFormat="1" ht="12.75"/>
    <row r="93" spans="1:6" s="2" customFormat="1" ht="12.75"/>
    <row r="94" spans="1:6" s="2" customFormat="1" ht="12.75"/>
    <row r="95" spans="1:6" s="2" customFormat="1" ht="12.75"/>
    <row r="96" spans="1:6" s="2" customFormat="1" ht="12.75"/>
    <row r="97" spans="1:8" s="2" customFormat="1" ht="12.75"/>
    <row r="98" spans="1:8" s="2" customFormat="1" ht="12.75"/>
    <row r="99" spans="1:8" s="2" customFormat="1" ht="12.75"/>
    <row r="100" spans="1:8" s="2" customFormat="1" ht="12.75"/>
    <row r="101" spans="1:8" ht="12.75">
      <c r="A101" s="2"/>
      <c r="B101" s="2"/>
      <c r="C101" s="2"/>
      <c r="D101" s="2"/>
      <c r="E101" s="2"/>
      <c r="F101" s="2"/>
      <c r="G101" s="2"/>
      <c r="H101" s="2"/>
    </row>
    <row r="102" spans="1:8" ht="12.75">
      <c r="A102" s="2"/>
      <c r="B102" s="2"/>
      <c r="C102" s="2"/>
      <c r="D102" s="2"/>
      <c r="E102" s="2"/>
      <c r="F102" s="2"/>
      <c r="G102" s="2"/>
      <c r="H102" s="2"/>
    </row>
    <row r="103" spans="1:8" ht="12.75">
      <c r="A103" s="2"/>
      <c r="B103" s="2"/>
      <c r="C103" s="2"/>
      <c r="D103" s="2"/>
      <c r="E103" s="2"/>
      <c r="F103" s="2"/>
      <c r="G103" s="2"/>
      <c r="H103" s="2"/>
    </row>
    <row r="104" spans="1:8" ht="12.75">
      <c r="A104" s="2"/>
      <c r="B104" s="2"/>
      <c r="C104" s="2"/>
      <c r="D104" s="2"/>
      <c r="E104" s="2"/>
      <c r="F104" s="2"/>
      <c r="G104" s="2"/>
      <c r="H104" s="2"/>
    </row>
    <row r="105" spans="1:8" ht="12.75">
      <c r="A105" s="2"/>
      <c r="B105" s="2"/>
      <c r="C105" s="2"/>
      <c r="D105" s="2"/>
      <c r="E105" s="2"/>
      <c r="F105" s="2"/>
      <c r="G105" s="2"/>
      <c r="H105" s="2"/>
    </row>
    <row r="106" spans="1:8" ht="12.75">
      <c r="A106" s="2"/>
      <c r="B106" s="2"/>
      <c r="C106" s="2"/>
      <c r="D106" s="2"/>
      <c r="E106" s="2"/>
      <c r="F106" s="2"/>
      <c r="G106" s="2"/>
      <c r="H106" s="2"/>
    </row>
    <row r="107" spans="1:8" ht="12.75">
      <c r="A107" s="2"/>
      <c r="B107" s="2"/>
      <c r="C107" s="2"/>
      <c r="D107" s="2"/>
      <c r="E107" s="2"/>
      <c r="F107" s="2"/>
      <c r="G107" s="2"/>
      <c r="H107" s="2"/>
    </row>
    <row r="108" spans="1:8" ht="12.75">
      <c r="A108" s="2"/>
      <c r="B108" s="2"/>
      <c r="C108" s="2"/>
      <c r="D108" s="2"/>
      <c r="E108" s="2"/>
      <c r="F108" s="2"/>
      <c r="G108" s="2"/>
      <c r="H108" s="2"/>
    </row>
    <row r="109" spans="1:8" ht="12.75">
      <c r="A109" s="2"/>
      <c r="B109" s="2"/>
      <c r="C109" s="2"/>
      <c r="D109" s="2"/>
      <c r="E109" s="2"/>
      <c r="F109" s="2"/>
      <c r="G109" s="2"/>
      <c r="H109" s="2"/>
    </row>
    <row r="110" spans="1:8" ht="12.75">
      <c r="A110" s="2"/>
      <c r="B110" s="2"/>
      <c r="C110" s="2"/>
      <c r="D110" s="2"/>
      <c r="E110" s="2"/>
      <c r="F110" s="2"/>
      <c r="G110" s="2"/>
      <c r="H110" s="2"/>
    </row>
    <row r="111" spans="1:8" ht="12.75">
      <c r="A111" s="2"/>
      <c r="B111" s="2"/>
      <c r="C111" s="2"/>
      <c r="D111" s="2"/>
      <c r="E111" s="2"/>
      <c r="F111" s="2"/>
      <c r="G111" s="2"/>
      <c r="H111" s="2"/>
    </row>
    <row r="112" spans="1:8" ht="12.75">
      <c r="A112" s="2"/>
      <c r="B112" s="2"/>
      <c r="C112" s="2"/>
      <c r="D112" s="2"/>
      <c r="E112" s="2"/>
      <c r="F112" s="2"/>
      <c r="G112" s="2"/>
      <c r="H112" s="2"/>
    </row>
    <row r="113" spans="1:8" ht="12.75">
      <c r="A113" s="2"/>
      <c r="B113" s="2"/>
      <c r="C113" s="2"/>
      <c r="D113" s="2"/>
      <c r="E113" s="2"/>
      <c r="F113" s="2"/>
      <c r="G113" s="2"/>
      <c r="H113" s="2"/>
    </row>
    <row r="114" spans="1:8" ht="12.75">
      <c r="A114" s="2"/>
      <c r="B114" s="2"/>
      <c r="C114" s="2"/>
      <c r="D114" s="2"/>
      <c r="E114" s="2"/>
      <c r="F114" s="2"/>
      <c r="G114" s="2"/>
      <c r="H114" s="2"/>
    </row>
    <row r="115" spans="1:8" ht="12.75">
      <c r="A115" s="2"/>
      <c r="B115" s="2"/>
      <c r="C115" s="2"/>
      <c r="D115" s="2"/>
      <c r="E115" s="2"/>
      <c r="F115" s="2"/>
      <c r="G115" s="2"/>
      <c r="H115" s="2"/>
    </row>
    <row r="116" spans="1:8" ht="12.75">
      <c r="A116" s="2"/>
      <c r="B116" s="2"/>
      <c r="C116" s="2"/>
      <c r="D116" s="2"/>
      <c r="E116" s="2"/>
      <c r="F116" s="2"/>
      <c r="G116" s="2"/>
      <c r="H116" s="2"/>
    </row>
    <row r="117" spans="1:8" ht="12.75">
      <c r="A117" s="2"/>
      <c r="B117" s="2"/>
      <c r="C117" s="2"/>
      <c r="D117" s="2"/>
      <c r="E117" s="2"/>
      <c r="F117" s="2"/>
      <c r="G117" s="2"/>
      <c r="H117" s="2"/>
    </row>
    <row r="118" spans="1:8" ht="12.75">
      <c r="A118" s="2"/>
      <c r="B118" s="2"/>
      <c r="C118" s="2"/>
      <c r="D118" s="2"/>
      <c r="E118" s="2"/>
      <c r="F118" s="2"/>
      <c r="G118" s="2"/>
      <c r="H118" s="2"/>
    </row>
    <row r="119" spans="1:8" ht="12.75">
      <c r="A119" s="2"/>
      <c r="B119" s="2"/>
      <c r="C119" s="2"/>
      <c r="D119" s="2"/>
      <c r="E119" s="2"/>
      <c r="F119" s="2"/>
      <c r="G119" s="2"/>
      <c r="H119" s="2"/>
    </row>
    <row r="120" spans="1:8" ht="12.75">
      <c r="A120" s="2"/>
      <c r="B120" s="2"/>
      <c r="C120" s="2"/>
      <c r="D120" s="2"/>
      <c r="E120" s="2"/>
      <c r="F120" s="2"/>
      <c r="G120" s="2"/>
      <c r="H120" s="2"/>
    </row>
    <row r="121" spans="1:8" ht="12.75">
      <c r="A121" s="2"/>
      <c r="B121" s="2"/>
      <c r="C121" s="2"/>
      <c r="D121" s="2"/>
      <c r="E121" s="2"/>
      <c r="F121" s="2"/>
      <c r="G121" s="2"/>
      <c r="H121" s="2"/>
    </row>
    <row r="122" spans="1:8" ht="12.75">
      <c r="A122" s="2"/>
      <c r="B122" s="2"/>
      <c r="C122" s="2"/>
      <c r="D122" s="2"/>
      <c r="E122" s="2"/>
      <c r="F122" s="2"/>
      <c r="G122" s="2"/>
      <c r="H122" s="2"/>
    </row>
    <row r="123" spans="1:8" ht="12.75">
      <c r="A123" s="2"/>
      <c r="B123" s="2"/>
      <c r="C123" s="2"/>
      <c r="D123" s="2"/>
      <c r="E123" s="2"/>
      <c r="F123" s="2"/>
      <c r="G123" s="2"/>
      <c r="H123" s="2"/>
    </row>
    <row r="124" spans="1:8" ht="12.75">
      <c r="A124" s="2"/>
      <c r="B124" s="2"/>
      <c r="C124" s="2"/>
      <c r="D124" s="2"/>
      <c r="E124" s="2"/>
      <c r="F124" s="2"/>
      <c r="G124" s="2"/>
      <c r="H124" s="2"/>
    </row>
    <row r="125" spans="1:8" ht="12.75">
      <c r="A125" s="2"/>
      <c r="B125" s="2"/>
      <c r="C125" s="2"/>
      <c r="D125" s="2"/>
      <c r="E125" s="2"/>
      <c r="F125" s="2"/>
      <c r="G125" s="2"/>
      <c r="H125" s="2"/>
    </row>
    <row r="126" spans="1:8" ht="12.75">
      <c r="A126" s="2"/>
      <c r="B126" s="2"/>
      <c r="C126" s="2"/>
      <c r="D126" s="2"/>
      <c r="E126" s="2"/>
      <c r="F126" s="2"/>
      <c r="G126" s="2"/>
      <c r="H126" s="2"/>
    </row>
    <row r="127" spans="1:8" ht="12.75">
      <c r="A127" s="2"/>
      <c r="B127" s="2"/>
      <c r="C127" s="2"/>
      <c r="D127" s="2"/>
      <c r="E127" s="2"/>
      <c r="F127" s="2"/>
      <c r="G127" s="2"/>
      <c r="H127" s="2"/>
    </row>
    <row r="128" spans="1:8" ht="12.75">
      <c r="A128" s="2"/>
      <c r="B128" s="2"/>
      <c r="C128" s="2"/>
      <c r="D128" s="2"/>
      <c r="E128" s="2"/>
      <c r="F128" s="2"/>
      <c r="G128" s="2"/>
      <c r="H128" s="2"/>
    </row>
    <row r="129" spans="1:8" ht="12.75">
      <c r="A129" s="2"/>
      <c r="B129" s="2"/>
      <c r="C129" s="2"/>
      <c r="D129" s="2"/>
      <c r="E129" s="2"/>
      <c r="F129" s="2"/>
      <c r="G129" s="2"/>
      <c r="H129" s="2"/>
    </row>
    <row r="130" spans="1:8" ht="12.75">
      <c r="A130" s="2"/>
      <c r="B130" s="2"/>
      <c r="C130" s="2"/>
      <c r="D130" s="2"/>
      <c r="E130" s="2"/>
      <c r="F130" s="2"/>
      <c r="G130" s="2"/>
      <c r="H130" s="2"/>
    </row>
    <row r="131" spans="1:8" ht="12.75">
      <c r="A131" s="2"/>
      <c r="B131" s="2"/>
      <c r="C131" s="2"/>
      <c r="D131" s="2"/>
      <c r="E131" s="2"/>
      <c r="F131" s="2"/>
      <c r="G131" s="2"/>
      <c r="H131" s="2"/>
    </row>
    <row r="132" spans="1:8" ht="12.75">
      <c r="A132" s="2"/>
      <c r="B132" s="2"/>
      <c r="C132" s="2"/>
      <c r="D132" s="2"/>
      <c r="E132" s="2"/>
      <c r="F132" s="2"/>
      <c r="G132" s="2"/>
      <c r="H132" s="2"/>
    </row>
    <row r="133" spans="1:8" ht="12.75">
      <c r="A133" s="2"/>
      <c r="B133" s="2"/>
      <c r="C133" s="2"/>
      <c r="D133" s="2"/>
      <c r="E133" s="2"/>
      <c r="F133" s="2"/>
      <c r="G133" s="2"/>
      <c r="H133" s="2"/>
    </row>
    <row r="134" spans="1:8" ht="12.75">
      <c r="A134" s="2"/>
      <c r="B134" s="2"/>
      <c r="C134" s="2"/>
      <c r="D134" s="2"/>
      <c r="E134" s="2"/>
      <c r="F134" s="2"/>
      <c r="G134" s="2"/>
      <c r="H134" s="2"/>
    </row>
    <row r="135" spans="1:8" ht="12.75">
      <c r="A135" s="2"/>
      <c r="B135" s="2"/>
      <c r="C135" s="2"/>
      <c r="D135" s="2"/>
      <c r="E135" s="2"/>
      <c r="F135" s="2"/>
      <c r="G135" s="2"/>
      <c r="H135" s="2"/>
    </row>
    <row r="136" spans="1:8" ht="12.75">
      <c r="A136" s="2"/>
      <c r="B136" s="2"/>
      <c r="C136" s="2"/>
      <c r="D136" s="2"/>
      <c r="E136" s="2"/>
      <c r="F136" s="2"/>
      <c r="G136" s="2"/>
      <c r="H136" s="2"/>
    </row>
    <row r="137" spans="1:8" ht="12.75">
      <c r="A137" s="2"/>
      <c r="B137" s="2"/>
      <c r="C137" s="2"/>
      <c r="D137" s="2"/>
      <c r="E137" s="2"/>
      <c r="F137" s="2"/>
      <c r="G137" s="2"/>
      <c r="H137" s="2"/>
    </row>
    <row r="138" spans="1:8" ht="12.75">
      <c r="A138" s="2"/>
      <c r="B138" s="2"/>
      <c r="C138" s="2"/>
      <c r="D138" s="2"/>
      <c r="E138" s="2"/>
      <c r="F138" s="2"/>
      <c r="G138" s="2"/>
      <c r="H138" s="2"/>
    </row>
    <row r="139" spans="1:8" ht="12.75">
      <c r="A139" s="2"/>
      <c r="B139" s="2"/>
      <c r="C139" s="2"/>
      <c r="D139" s="2"/>
      <c r="E139" s="2"/>
      <c r="F139" s="2"/>
      <c r="G139" s="2"/>
      <c r="H139" s="2"/>
    </row>
    <row r="140" spans="1:8" ht="12.75">
      <c r="A140" s="2"/>
      <c r="B140" s="2"/>
      <c r="C140" s="2"/>
      <c r="D140" s="2"/>
      <c r="E140" s="2"/>
      <c r="F140" s="2"/>
      <c r="G140" s="2"/>
      <c r="H140" s="2"/>
    </row>
    <row r="141" spans="1:8" ht="12.75">
      <c r="A141" s="2"/>
      <c r="B141" s="2"/>
      <c r="C141" s="2"/>
      <c r="D141" s="2"/>
      <c r="E141" s="2"/>
      <c r="F141" s="2"/>
      <c r="G141" s="2"/>
      <c r="H141" s="2"/>
    </row>
    <row r="142" spans="1:8" ht="12.75">
      <c r="A142" s="2"/>
      <c r="B142" s="2"/>
      <c r="C142" s="2"/>
      <c r="D142" s="2"/>
      <c r="E142" s="2"/>
      <c r="F142" s="2"/>
      <c r="G142" s="2"/>
      <c r="H142" s="2"/>
    </row>
    <row r="143" spans="1:8" ht="12.75">
      <c r="A143" s="2"/>
      <c r="B143" s="2"/>
      <c r="C143" s="2"/>
      <c r="D143" s="2"/>
      <c r="E143" s="2"/>
      <c r="F143" s="2"/>
      <c r="G143" s="2"/>
      <c r="H143" s="2"/>
    </row>
    <row r="144" spans="1:8" ht="12.75">
      <c r="A144" s="2"/>
      <c r="B144" s="2"/>
      <c r="C144" s="2"/>
      <c r="D144" s="2"/>
      <c r="E144" s="2"/>
      <c r="F144" s="2"/>
      <c r="G144" s="2"/>
      <c r="H144" s="2"/>
    </row>
    <row r="145" spans="1:8" ht="12.75">
      <c r="A145" s="2"/>
      <c r="B145" s="2"/>
      <c r="C145" s="2"/>
      <c r="D145" s="2"/>
      <c r="E145" s="2"/>
      <c r="F145" s="2"/>
      <c r="G145" s="2"/>
      <c r="H145" s="2"/>
    </row>
    <row r="146" spans="1:8" ht="12.75">
      <c r="A146" s="2"/>
      <c r="B146" s="2"/>
      <c r="C146" s="2"/>
      <c r="D146" s="2"/>
      <c r="E146" s="2"/>
      <c r="F146" s="2"/>
      <c r="G146" s="2"/>
      <c r="H146" s="2"/>
    </row>
    <row r="147" spans="1:8" ht="12.75">
      <c r="A147" s="2"/>
      <c r="B147" s="2"/>
      <c r="C147" s="2"/>
      <c r="D147" s="2"/>
      <c r="E147" s="2"/>
      <c r="F147" s="2"/>
      <c r="G147" s="2"/>
      <c r="H147" s="2"/>
    </row>
    <row r="148" spans="1:8" ht="12.75">
      <c r="A148" s="2"/>
      <c r="B148" s="2"/>
      <c r="C148" s="2"/>
      <c r="D148" s="2"/>
      <c r="E148" s="2"/>
      <c r="F148" s="2"/>
      <c r="G148" s="2"/>
      <c r="H148" s="2"/>
    </row>
    <row r="149" spans="1:8" ht="12.75">
      <c r="A149" s="2"/>
      <c r="B149" s="2"/>
      <c r="C149" s="2"/>
      <c r="D149" s="2"/>
      <c r="E149" s="2"/>
      <c r="F149" s="2"/>
      <c r="G149" s="2"/>
      <c r="H149" s="2"/>
    </row>
    <row r="150" spans="1:8" ht="12.75">
      <c r="A150" s="2"/>
      <c r="B150" s="2"/>
      <c r="C150" s="2"/>
      <c r="D150" s="2"/>
      <c r="E150" s="2"/>
      <c r="F150" s="2"/>
      <c r="G150" s="2"/>
      <c r="H150" s="2"/>
    </row>
    <row r="151" spans="1:8" ht="12.75">
      <c r="A151" s="2"/>
      <c r="B151" s="2"/>
      <c r="C151" s="2"/>
      <c r="D151" s="2"/>
      <c r="E151" s="2"/>
      <c r="F151" s="2"/>
      <c r="G151" s="2"/>
      <c r="H151" s="2"/>
    </row>
    <row r="152" spans="1:8" ht="12.75">
      <c r="A152" s="2"/>
      <c r="B152" s="2"/>
      <c r="C152" s="2"/>
      <c r="D152" s="2"/>
      <c r="E152" s="2"/>
      <c r="F152" s="2"/>
      <c r="G152" s="2"/>
      <c r="H152" s="2"/>
    </row>
    <row r="153" spans="1:8" ht="12.75">
      <c r="A153" s="2"/>
      <c r="B153" s="2"/>
      <c r="C153" s="2"/>
      <c r="D153" s="2"/>
      <c r="E153" s="2"/>
      <c r="F153" s="2"/>
      <c r="G153" s="2"/>
      <c r="H153" s="2"/>
    </row>
    <row r="154" spans="1:8" ht="12.75">
      <c r="A154" s="2"/>
      <c r="B154" s="2"/>
      <c r="C154" s="2"/>
      <c r="D154" s="2"/>
      <c r="E154" s="2"/>
      <c r="F154" s="2"/>
      <c r="G154" s="2"/>
      <c r="H154" s="2"/>
    </row>
    <row r="155" spans="1:8" ht="12.75">
      <c r="A155" s="2"/>
      <c r="B155" s="2"/>
      <c r="C155" s="2"/>
      <c r="D155" s="2"/>
      <c r="E155" s="2"/>
      <c r="F155" s="2"/>
      <c r="G155" s="2"/>
      <c r="H155" s="2"/>
    </row>
    <row r="156" spans="1:8" ht="12.75">
      <c r="A156" s="2"/>
      <c r="B156" s="2"/>
      <c r="C156" s="2"/>
      <c r="D156" s="2"/>
      <c r="E156" s="2"/>
      <c r="F156" s="2"/>
      <c r="G156" s="2"/>
      <c r="H156" s="2"/>
    </row>
    <row r="157" spans="1:8" ht="12.75">
      <c r="A157" s="2"/>
      <c r="B157" s="2"/>
      <c r="C157" s="2"/>
      <c r="D157" s="2"/>
      <c r="E157" s="2"/>
      <c r="F157" s="2"/>
      <c r="G157" s="2"/>
      <c r="H157" s="2"/>
    </row>
    <row r="158" spans="1:8" ht="12.75">
      <c r="A158" s="2"/>
      <c r="B158" s="2"/>
      <c r="C158" s="2"/>
      <c r="D158" s="2"/>
      <c r="E158" s="2"/>
      <c r="F158" s="2"/>
      <c r="G158" s="2"/>
      <c r="H158" s="2"/>
    </row>
    <row r="159" spans="1:8" ht="12.75">
      <c r="A159" s="2"/>
      <c r="B159" s="2"/>
      <c r="C159" s="2"/>
      <c r="D159" s="2"/>
      <c r="E159" s="2"/>
      <c r="F159" s="2"/>
      <c r="G159" s="2"/>
      <c r="H159" s="2"/>
    </row>
    <row r="160" spans="1:8" ht="12.75">
      <c r="A160" s="2"/>
      <c r="B160" s="2"/>
      <c r="C160" s="2"/>
      <c r="D160" s="2"/>
      <c r="E160" s="2"/>
      <c r="F160" s="2"/>
      <c r="G160" s="2"/>
      <c r="H160" s="2"/>
    </row>
    <row r="161" spans="1:8" ht="12.75">
      <c r="A161" s="2"/>
      <c r="B161" s="2"/>
      <c r="C161" s="2"/>
      <c r="D161" s="2"/>
      <c r="E161" s="2"/>
      <c r="F161" s="2"/>
      <c r="G161" s="2"/>
      <c r="H161" s="2"/>
    </row>
    <row r="162" spans="1:8" ht="12.75">
      <c r="A162" s="2"/>
      <c r="B162" s="2"/>
      <c r="C162" s="2"/>
      <c r="D162" s="2"/>
      <c r="E162" s="2"/>
      <c r="F162" s="2"/>
      <c r="G162" s="2"/>
      <c r="H162" s="2"/>
    </row>
    <row r="163" spans="1:8" ht="12.75">
      <c r="A163" s="2"/>
      <c r="B163" s="2"/>
      <c r="C163" s="2"/>
      <c r="D163" s="2"/>
      <c r="E163" s="2"/>
      <c r="F163" s="2"/>
      <c r="G163" s="2"/>
      <c r="H163" s="2"/>
    </row>
    <row r="164" spans="1:8" ht="12.75">
      <c r="A164" s="2"/>
      <c r="B164" s="2"/>
      <c r="C164" s="2"/>
      <c r="D164" s="2"/>
      <c r="E164" s="2"/>
      <c r="F164" s="2"/>
      <c r="G164" s="2"/>
      <c r="H164" s="2"/>
    </row>
    <row r="165" spans="1:8" ht="12.75">
      <c r="A165" s="2"/>
      <c r="B165" s="2"/>
      <c r="C165" s="2"/>
      <c r="D165" s="2"/>
      <c r="E165" s="2"/>
      <c r="F165" s="2"/>
      <c r="G165" s="2"/>
      <c r="H165" s="2"/>
    </row>
    <row r="166" spans="1:8" ht="12.75">
      <c r="A166" s="2"/>
      <c r="B166" s="2"/>
      <c r="C166" s="2"/>
      <c r="D166" s="2"/>
      <c r="E166" s="2"/>
      <c r="F166" s="2"/>
      <c r="G166" s="2"/>
      <c r="H166" s="2"/>
    </row>
    <row r="167" spans="1:8" ht="12.75">
      <c r="A167" s="2"/>
      <c r="B167" s="2"/>
      <c r="C167" s="2"/>
      <c r="D167" s="2"/>
      <c r="E167" s="2"/>
      <c r="F167" s="2"/>
      <c r="G167" s="2"/>
      <c r="H167" s="2"/>
    </row>
    <row r="168" spans="1:8" ht="12.75">
      <c r="A168" s="2"/>
      <c r="B168" s="2"/>
      <c r="C168" s="2"/>
      <c r="D168" s="2"/>
      <c r="E168" s="2"/>
      <c r="F168" s="2"/>
      <c r="G168" s="2"/>
      <c r="H168" s="2"/>
    </row>
    <row r="169" spans="1:8" ht="12.75">
      <c r="A169" s="2"/>
      <c r="B169" s="2"/>
      <c r="C169" s="2"/>
      <c r="D169" s="2"/>
      <c r="E169" s="2"/>
      <c r="F169" s="2"/>
      <c r="G169" s="2"/>
      <c r="H169" s="2"/>
    </row>
    <row r="170" spans="1:8" ht="12.75">
      <c r="A170" s="2"/>
      <c r="B170" s="2"/>
      <c r="C170" s="2"/>
      <c r="D170" s="2"/>
      <c r="E170" s="2"/>
      <c r="F170" s="2"/>
      <c r="G170" s="2"/>
      <c r="H170" s="2"/>
    </row>
    <row r="171" spans="1:8" ht="12.75">
      <c r="A171" s="2"/>
      <c r="B171" s="2"/>
      <c r="C171" s="2"/>
      <c r="D171" s="2"/>
      <c r="E171" s="2"/>
      <c r="F171" s="2"/>
      <c r="G171" s="2"/>
      <c r="H171" s="2"/>
    </row>
    <row r="172" spans="1:8" ht="12.75">
      <c r="A172" s="2"/>
      <c r="B172" s="2"/>
      <c r="C172" s="2"/>
      <c r="D172" s="2"/>
      <c r="E172" s="2"/>
      <c r="F172" s="2"/>
      <c r="G172" s="2"/>
      <c r="H172" s="2"/>
    </row>
    <row r="173" spans="1:8" ht="12.75">
      <c r="A173" s="2"/>
      <c r="B173" s="2"/>
      <c r="C173" s="2"/>
      <c r="D173" s="2"/>
      <c r="E173" s="2"/>
      <c r="F173" s="2"/>
      <c r="G173" s="2"/>
      <c r="H173" s="2"/>
    </row>
    <row r="174" spans="1:8" ht="12.75">
      <c r="A174" s="2"/>
      <c r="B174" s="2"/>
      <c r="C174" s="2"/>
      <c r="D174" s="2"/>
      <c r="E174" s="2"/>
      <c r="F174" s="2"/>
      <c r="G174" s="2"/>
      <c r="H174" s="2"/>
    </row>
    <row r="175" spans="1:8" ht="12.75">
      <c r="A175" s="2"/>
      <c r="B175" s="2"/>
      <c r="C175" s="2"/>
      <c r="D175" s="2"/>
      <c r="E175" s="2"/>
      <c r="F175" s="2"/>
      <c r="G175" s="2"/>
      <c r="H175" s="2"/>
    </row>
    <row r="176" spans="1:8" ht="12.75">
      <c r="A176" s="2"/>
      <c r="B176" s="2"/>
      <c r="C176" s="2"/>
      <c r="D176" s="2"/>
      <c r="E176" s="2"/>
      <c r="F176" s="2"/>
      <c r="G176" s="2"/>
      <c r="H176" s="2"/>
    </row>
    <row r="177" spans="1:8" ht="12.75">
      <c r="A177" s="2"/>
      <c r="B177" s="2"/>
      <c r="C177" s="2"/>
      <c r="D177" s="2"/>
      <c r="E177" s="2"/>
      <c r="F177" s="2"/>
      <c r="G177" s="2"/>
      <c r="H177" s="2"/>
    </row>
    <row r="178" spans="1:8" ht="12.75">
      <c r="A178" s="2"/>
      <c r="B178" s="2"/>
      <c r="C178" s="2"/>
      <c r="D178" s="2"/>
      <c r="E178" s="2"/>
      <c r="F178" s="2"/>
      <c r="G178" s="2"/>
      <c r="H178" s="2"/>
    </row>
    <row r="179" spans="1:8" ht="12.75">
      <c r="A179" s="2"/>
      <c r="B179" s="2"/>
      <c r="C179" s="2"/>
      <c r="D179" s="2"/>
      <c r="E179" s="2"/>
      <c r="F179" s="2"/>
      <c r="G179" s="2"/>
      <c r="H179" s="2"/>
    </row>
    <row r="180" spans="1:8" ht="12.75">
      <c r="A180" s="2"/>
      <c r="B180" s="2"/>
      <c r="C180" s="2"/>
      <c r="D180" s="2"/>
      <c r="E180" s="2"/>
      <c r="F180" s="2"/>
      <c r="G180" s="2"/>
      <c r="H180" s="2"/>
    </row>
    <row r="181" spans="1:8" ht="12.75">
      <c r="A181" s="2"/>
      <c r="B181" s="2"/>
      <c r="C181" s="2"/>
      <c r="D181" s="2"/>
      <c r="E181" s="2"/>
      <c r="F181" s="2"/>
      <c r="G181" s="2"/>
      <c r="H181" s="2"/>
    </row>
    <row r="182" spans="1:8" ht="12.75">
      <c r="A182" s="2"/>
      <c r="B182" s="2"/>
      <c r="C182" s="2"/>
      <c r="D182" s="2"/>
      <c r="E182" s="2"/>
      <c r="F182" s="2"/>
      <c r="G182" s="2"/>
      <c r="H182" s="2"/>
    </row>
    <row r="183" spans="1:8" ht="12.75">
      <c r="A183" s="2"/>
      <c r="B183" s="2"/>
      <c r="C183" s="2"/>
      <c r="D183" s="2"/>
      <c r="E183" s="2"/>
      <c r="F183" s="2"/>
      <c r="G183" s="2"/>
      <c r="H183" s="2"/>
    </row>
    <row r="184" spans="1:8" ht="12.75">
      <c r="A184" s="2"/>
      <c r="B184" s="2"/>
      <c r="C184" s="2"/>
      <c r="D184" s="2"/>
      <c r="E184" s="2"/>
      <c r="F184" s="2"/>
      <c r="G184" s="2"/>
      <c r="H184" s="2"/>
    </row>
    <row r="185" spans="1:8" ht="12.75">
      <c r="A185" s="2"/>
      <c r="B185" s="2"/>
      <c r="C185" s="2"/>
      <c r="D185" s="2"/>
      <c r="E185" s="2"/>
      <c r="F185" s="2"/>
      <c r="G185" s="2"/>
      <c r="H185" s="2"/>
    </row>
    <row r="186" spans="1:8" ht="12.75">
      <c r="A186" s="2"/>
      <c r="B186" s="2"/>
      <c r="C186" s="2"/>
      <c r="D186" s="2"/>
      <c r="E186" s="2"/>
      <c r="F186" s="2"/>
      <c r="G186" s="2"/>
      <c r="H186" s="2"/>
    </row>
    <row r="187" spans="1:8" ht="12.75">
      <c r="A187" s="2"/>
      <c r="B187" s="2"/>
      <c r="C187" s="2"/>
      <c r="D187" s="2"/>
      <c r="E187" s="2"/>
      <c r="F187" s="2"/>
      <c r="G187" s="2"/>
      <c r="H187" s="2"/>
    </row>
    <row r="188" spans="1:8" ht="12.75">
      <c r="A188" s="2"/>
      <c r="B188" s="2"/>
      <c r="C188" s="2"/>
      <c r="D188" s="2"/>
      <c r="E188" s="2"/>
      <c r="F188" s="2"/>
      <c r="G188" s="2"/>
      <c r="H188" s="2"/>
    </row>
    <row r="189" spans="1:8" ht="12.75">
      <c r="A189" s="2"/>
      <c r="B189" s="2"/>
      <c r="C189" s="2"/>
      <c r="D189" s="2"/>
      <c r="E189" s="2"/>
      <c r="F189" s="2"/>
      <c r="G189" s="2"/>
      <c r="H189" s="2"/>
    </row>
    <row r="190" spans="1:8" ht="12.75">
      <c r="A190" s="2"/>
      <c r="B190" s="2"/>
      <c r="C190" s="2"/>
      <c r="D190" s="2"/>
      <c r="E190" s="2"/>
      <c r="F190" s="2"/>
      <c r="G190" s="2"/>
      <c r="H190" s="2"/>
    </row>
    <row r="191" spans="1:8" ht="12.75">
      <c r="A191" s="2"/>
      <c r="B191" s="2"/>
      <c r="C191" s="2"/>
      <c r="D191" s="2"/>
      <c r="E191" s="2"/>
      <c r="F191" s="2"/>
      <c r="G191" s="2"/>
      <c r="H191" s="2"/>
    </row>
    <row r="192" spans="1:8" ht="12.75">
      <c r="A192" s="2"/>
      <c r="B192" s="2"/>
      <c r="C192" s="2"/>
      <c r="D192" s="2"/>
      <c r="E192" s="2"/>
      <c r="F192" s="2"/>
      <c r="G192" s="2"/>
      <c r="H192" s="2"/>
    </row>
    <row r="193" spans="1:8" ht="12.75">
      <c r="A193" s="2"/>
      <c r="B193" s="2"/>
      <c r="C193" s="2"/>
      <c r="D193" s="2"/>
      <c r="E193" s="2"/>
      <c r="F193" s="2"/>
      <c r="G193" s="2"/>
      <c r="H193" s="2"/>
    </row>
    <row r="194" spans="1:8" ht="12.75">
      <c r="A194" s="2"/>
      <c r="B194" s="2"/>
      <c r="C194" s="2"/>
      <c r="D194" s="2"/>
      <c r="E194" s="2"/>
      <c r="F194" s="2"/>
      <c r="G194" s="2"/>
      <c r="H194" s="2"/>
    </row>
    <row r="195" spans="1:8" ht="12.75">
      <c r="A195" s="2"/>
      <c r="B195" s="2"/>
      <c r="C195" s="2"/>
      <c r="D195" s="2"/>
      <c r="E195" s="2"/>
      <c r="F195" s="2"/>
      <c r="G195" s="2"/>
      <c r="H195" s="2"/>
    </row>
    <row r="196" spans="1:8" ht="12.75">
      <c r="A196" s="2"/>
      <c r="B196" s="2"/>
      <c r="C196" s="2"/>
      <c r="D196" s="2"/>
      <c r="E196" s="2"/>
      <c r="F196" s="2"/>
      <c r="G196" s="2"/>
      <c r="H196" s="2"/>
    </row>
    <row r="197" spans="1:8" ht="12.75">
      <c r="A197" s="2"/>
      <c r="B197" s="2"/>
      <c r="C197" s="2"/>
      <c r="D197" s="2"/>
      <c r="E197" s="2"/>
      <c r="F197" s="2"/>
      <c r="G197" s="2"/>
      <c r="H197" s="2"/>
    </row>
    <row r="198" spans="1:8" ht="12.75">
      <c r="A198" s="2"/>
      <c r="B198" s="2"/>
      <c r="C198" s="2"/>
      <c r="D198" s="2"/>
      <c r="E198" s="2"/>
      <c r="F198" s="2"/>
      <c r="G198" s="2"/>
      <c r="H198" s="2"/>
    </row>
    <row r="199" spans="1:8" ht="12.75">
      <c r="A199" s="2"/>
      <c r="B199" s="2"/>
      <c r="C199" s="2"/>
      <c r="D199" s="2"/>
      <c r="E199" s="2"/>
      <c r="F199" s="2"/>
      <c r="G199" s="2"/>
      <c r="H199" s="2"/>
    </row>
    <row r="200" spans="1:8" ht="12.75">
      <c r="A200" s="2"/>
      <c r="B200" s="2"/>
      <c r="C200" s="2"/>
      <c r="D200" s="2"/>
      <c r="E200" s="2"/>
      <c r="F200" s="2"/>
      <c r="G200" s="2"/>
      <c r="H200" s="2"/>
    </row>
    <row r="201" spans="1:8" ht="12.75">
      <c r="A201" s="2"/>
      <c r="B201" s="2"/>
      <c r="C201" s="2"/>
      <c r="D201" s="2"/>
      <c r="E201" s="2"/>
      <c r="F201" s="2"/>
      <c r="G201" s="2"/>
      <c r="H201" s="2"/>
    </row>
    <row r="202" spans="1:8" ht="12.75">
      <c r="A202" s="2"/>
      <c r="B202" s="2"/>
      <c r="C202" s="2"/>
      <c r="D202" s="2"/>
      <c r="E202" s="2"/>
      <c r="F202" s="2"/>
      <c r="G202" s="2"/>
      <c r="H202" s="2"/>
    </row>
    <row r="203" spans="1:8" ht="12.75">
      <c r="A203" s="2"/>
      <c r="B203" s="2"/>
      <c r="C203" s="2"/>
      <c r="D203" s="2"/>
      <c r="E203" s="2"/>
      <c r="F203" s="2"/>
      <c r="G203" s="2"/>
      <c r="H203" s="2"/>
    </row>
    <row r="204" spans="1:8" ht="12.75">
      <c r="A204" s="2"/>
      <c r="B204" s="2"/>
      <c r="C204" s="2"/>
      <c r="D204" s="2"/>
      <c r="E204" s="2"/>
      <c r="F204" s="2"/>
      <c r="G204" s="2"/>
      <c r="H204" s="2"/>
    </row>
    <row r="205" spans="1:8" ht="12.75">
      <c r="A205" s="2"/>
      <c r="B205" s="2"/>
      <c r="C205" s="2"/>
      <c r="D205" s="2"/>
      <c r="E205" s="2"/>
      <c r="F205" s="2"/>
      <c r="G205" s="2"/>
      <c r="H205" s="2"/>
    </row>
    <row r="206" spans="1:8" ht="12.75"/>
    <row r="207" spans="1:8" ht="12.75"/>
    <row r="208" spans="1: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sheetData>
  <mergeCells count="16">
    <mergeCell ref="A12:H12"/>
    <mergeCell ref="A9:H9"/>
    <mergeCell ref="A10:H10"/>
    <mergeCell ref="A11:H11"/>
    <mergeCell ref="D37:E39"/>
    <mergeCell ref="D36:E36"/>
    <mergeCell ref="A63:F63"/>
    <mergeCell ref="D42:G42"/>
    <mergeCell ref="A13:H13"/>
    <mergeCell ref="A29:E29"/>
    <mergeCell ref="A17:E17"/>
    <mergeCell ref="A23:E23"/>
    <mergeCell ref="E31:E33"/>
    <mergeCell ref="E20:E21"/>
    <mergeCell ref="E25:E27"/>
    <mergeCell ref="A14:H1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Workbook Intro</vt:lpstr>
      <vt:lpstr>Visual Summary</vt:lpstr>
      <vt:lpstr>Emission Summary</vt:lpstr>
      <vt:lpstr>Benchmarking</vt:lpstr>
      <vt:lpstr>Year-to-Year Comparisons</vt:lpstr>
      <vt:lpstr>Inventory Data Checklist</vt:lpstr>
      <vt:lpstr>Community Indicators</vt:lpstr>
      <vt:lpstr>Conversion Factors and GWPs</vt:lpstr>
      <vt:lpstr>Stationary Energy Data</vt:lpstr>
      <vt:lpstr>Fugitive Emissions Data</vt:lpstr>
      <vt:lpstr>On-Road Data</vt:lpstr>
      <vt:lpstr>Transit Data</vt:lpstr>
      <vt:lpstr>Railways Data</vt:lpstr>
      <vt:lpstr>Aviation Data</vt:lpstr>
      <vt:lpstr>Off-Road</vt:lpstr>
      <vt:lpstr>Waste_Recycling Data</vt:lpstr>
      <vt:lpstr>Wastewater Data</vt:lpstr>
      <vt:lpstr>IPPU</vt:lpstr>
      <vt:lpstr>Consumption-Based Data</vt:lpstr>
      <vt:lpstr>GPC Table 4.1</vt:lpstr>
      <vt:lpstr>GPC Table 4.2</vt:lpstr>
      <vt:lpstr>GPC Table 4.3</vt:lpstr>
      <vt:lpstr>GPC Table 4.4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Ferguson</dc:creator>
  <cp:lastModifiedBy>Hillary Dobos</cp:lastModifiedBy>
  <dcterms:created xsi:type="dcterms:W3CDTF">2017-08-12T22:48:06Z</dcterms:created>
  <dcterms:modified xsi:type="dcterms:W3CDTF">2021-06-01T19:44:08Z</dcterms:modified>
</cp:coreProperties>
</file>