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OneDrive\Documents\NIST-NIH\Abstracts and Papers\Data in Brief - Biomat\Figure 4\Figure 4E\"/>
    </mc:Choice>
  </mc:AlternateContent>
  <bookViews>
    <workbookView xWindow="0" yWindow="0" windowWidth="24000" windowHeight="14235"/>
  </bookViews>
  <sheets>
    <sheet name="Percent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8" i="2" l="1"/>
  <c r="AO48" i="2"/>
  <c r="AN48" i="2"/>
  <c r="AP25" i="2"/>
  <c r="AO25" i="2"/>
  <c r="AN25" i="2"/>
  <c r="AP2" i="2"/>
  <c r="AO2" i="2"/>
  <c r="AN2" i="2"/>
  <c r="AB2" i="2"/>
  <c r="AB25" i="2" s="1"/>
  <c r="AB48" i="2" s="1"/>
  <c r="AA2" i="2"/>
  <c r="AA25" i="2" s="1"/>
  <c r="AA48" i="2" s="1"/>
  <c r="Z2" i="2"/>
  <c r="Z25" i="2" s="1"/>
  <c r="Z48" i="2" s="1"/>
  <c r="N48" i="2"/>
  <c r="M48" i="2"/>
  <c r="L48" i="2"/>
  <c r="M25" i="2"/>
  <c r="N25" i="2"/>
  <c r="L25" i="2"/>
  <c r="Q3" i="2"/>
  <c r="M49" i="2" l="1"/>
  <c r="F54" i="2" l="1"/>
  <c r="G55" i="2"/>
  <c r="AJ55" i="2" s="1"/>
  <c r="G54" i="2"/>
  <c r="F55" i="2"/>
  <c r="E55" i="2"/>
  <c r="AH55" i="2" s="1"/>
  <c r="E54" i="2"/>
  <c r="D55" i="2"/>
  <c r="D54" i="2"/>
  <c r="C55" i="2"/>
  <c r="C54" i="2"/>
  <c r="B55" i="2"/>
  <c r="B54" i="2"/>
  <c r="G32" i="2"/>
  <c r="AJ32" i="2" s="1"/>
  <c r="G31" i="2"/>
  <c r="F32" i="2"/>
  <c r="F31" i="2"/>
  <c r="E32" i="2"/>
  <c r="E31" i="2"/>
  <c r="D32" i="2"/>
  <c r="D31" i="2"/>
  <c r="C32" i="2"/>
  <c r="AF32" i="2"/>
  <c r="C31" i="2"/>
  <c r="B32" i="2"/>
  <c r="AE32" i="2"/>
  <c r="B31" i="2"/>
  <c r="G9" i="2"/>
  <c r="AJ9" i="2" s="1"/>
  <c r="G8" i="2"/>
  <c r="F9" i="2"/>
  <c r="AI9" i="2"/>
  <c r="F8" i="2"/>
  <c r="E9" i="2"/>
  <c r="AH9" i="2"/>
  <c r="E8" i="2"/>
  <c r="D9" i="2"/>
  <c r="AG9" i="2" s="1"/>
  <c r="D8" i="2"/>
  <c r="C9" i="2"/>
  <c r="AF9" i="2"/>
  <c r="C8" i="2"/>
  <c r="B9" i="2"/>
  <c r="B8" i="2"/>
  <c r="Q44" i="2" l="1"/>
  <c r="P68" i="2" l="1"/>
  <c r="P67" i="2"/>
  <c r="Z53" i="2" s="1"/>
  <c r="P66" i="2"/>
  <c r="Z52" i="2" s="1"/>
  <c r="P65" i="2"/>
  <c r="P64" i="2"/>
  <c r="P63" i="2"/>
  <c r="Z51" i="2" s="1"/>
  <c r="P62" i="2"/>
  <c r="P61" i="2"/>
  <c r="P60" i="2"/>
  <c r="P59" i="2"/>
  <c r="P58" i="2"/>
  <c r="P57" i="2"/>
  <c r="P56" i="2"/>
  <c r="P55" i="2"/>
  <c r="P54" i="2"/>
  <c r="P53" i="2"/>
  <c r="Z49" i="2" s="1"/>
  <c r="P52" i="2"/>
  <c r="P51" i="2"/>
  <c r="P50" i="2"/>
  <c r="P49" i="2"/>
  <c r="X48" i="2"/>
  <c r="W48" i="2"/>
  <c r="V48" i="2"/>
  <c r="U48" i="2"/>
  <c r="T48" i="2"/>
  <c r="S48" i="2"/>
  <c r="R48" i="2"/>
  <c r="Q48" i="2"/>
  <c r="P48" i="2"/>
  <c r="P45" i="2"/>
  <c r="V44" i="2"/>
  <c r="U44" i="2"/>
  <c r="T44" i="2"/>
  <c r="S44" i="2"/>
  <c r="R44" i="2"/>
  <c r="P44" i="2"/>
  <c r="Z30" i="2" s="1"/>
  <c r="P43" i="2"/>
  <c r="Z29" i="2" s="1"/>
  <c r="V42" i="2"/>
  <c r="U42" i="2"/>
  <c r="T42" i="2"/>
  <c r="S42" i="2"/>
  <c r="R42" i="2"/>
  <c r="Q42" i="2"/>
  <c r="P42" i="2"/>
  <c r="P41" i="2"/>
  <c r="V40" i="2"/>
  <c r="U40" i="2"/>
  <c r="T40" i="2"/>
  <c r="S40" i="2"/>
  <c r="R40" i="2"/>
  <c r="Q40" i="2"/>
  <c r="P40" i="2"/>
  <c r="Z28" i="2" s="1"/>
  <c r="P39" i="2"/>
  <c r="P38" i="2"/>
  <c r="P37" i="2"/>
  <c r="P36" i="2"/>
  <c r="V35" i="2"/>
  <c r="U35" i="2"/>
  <c r="T35" i="2"/>
  <c r="S35" i="2"/>
  <c r="R35" i="2"/>
  <c r="Q35" i="2"/>
  <c r="P35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Z26" i="2" s="1"/>
  <c r="V29" i="2"/>
  <c r="U29" i="2"/>
  <c r="T29" i="2"/>
  <c r="S29" i="2"/>
  <c r="R29" i="2"/>
  <c r="Q29" i="2"/>
  <c r="P29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26" i="2"/>
  <c r="U26" i="2"/>
  <c r="T26" i="2"/>
  <c r="S26" i="2"/>
  <c r="R26" i="2"/>
  <c r="Q26" i="2"/>
  <c r="P26" i="2"/>
  <c r="X25" i="2"/>
  <c r="W25" i="2"/>
  <c r="V25" i="2"/>
  <c r="U25" i="2"/>
  <c r="T25" i="2"/>
  <c r="S25" i="2"/>
  <c r="R25" i="2"/>
  <c r="Q25" i="2"/>
  <c r="P25" i="2"/>
  <c r="Q19" i="2"/>
  <c r="P22" i="2"/>
  <c r="V21" i="2"/>
  <c r="U21" i="2"/>
  <c r="T21" i="2"/>
  <c r="S21" i="2"/>
  <c r="R21" i="2"/>
  <c r="Q21" i="2"/>
  <c r="P21" i="2"/>
  <c r="Z7" i="2" s="1"/>
  <c r="P20" i="2"/>
  <c r="V19" i="2"/>
  <c r="U19" i="2"/>
  <c r="T19" i="2"/>
  <c r="S19" i="2"/>
  <c r="R19" i="2"/>
  <c r="P19" i="2"/>
  <c r="P18" i="2"/>
  <c r="V17" i="2"/>
  <c r="U17" i="2"/>
  <c r="T17" i="2"/>
  <c r="S17" i="2"/>
  <c r="R17" i="2"/>
  <c r="Q17" i="2"/>
  <c r="P17" i="2"/>
  <c r="Z5" i="2" s="1"/>
  <c r="P16" i="2"/>
  <c r="P15" i="2"/>
  <c r="P14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Z3" i="2" s="1"/>
  <c r="Z6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4" i="2"/>
  <c r="U4" i="2"/>
  <c r="T4" i="2"/>
  <c r="S4" i="2"/>
  <c r="R4" i="2"/>
  <c r="Q4" i="2"/>
  <c r="P4" i="2"/>
  <c r="V3" i="2"/>
  <c r="U3" i="2"/>
  <c r="T3" i="2"/>
  <c r="S3" i="2"/>
  <c r="R3" i="2"/>
  <c r="P3" i="2"/>
  <c r="X2" i="2"/>
  <c r="W2" i="2"/>
  <c r="V2" i="2"/>
  <c r="U2" i="2"/>
  <c r="T2" i="2"/>
  <c r="S2" i="2"/>
  <c r="R2" i="2"/>
  <c r="Q2" i="2"/>
  <c r="P2" i="2"/>
  <c r="X19" i="2" l="1"/>
  <c r="AB6" i="2" s="1"/>
  <c r="X8" i="2"/>
  <c r="AB4" i="2" s="1"/>
  <c r="W31" i="2"/>
  <c r="AA27" i="2" s="1"/>
  <c r="X26" i="2"/>
  <c r="W29" i="2"/>
  <c r="W30" i="2"/>
  <c r="AA26" i="2" s="1"/>
  <c r="X30" i="2"/>
  <c r="AB26" i="2" s="1"/>
  <c r="X29" i="2"/>
  <c r="X12" i="2"/>
  <c r="W12" i="2"/>
  <c r="W8" i="2"/>
  <c r="AA4" i="2" s="1"/>
  <c r="X6" i="2"/>
  <c r="W11" i="2"/>
  <c r="X44" i="2"/>
  <c r="AB30" i="2" s="1"/>
  <c r="W3" i="2"/>
  <c r="W7" i="2"/>
  <c r="AA3" i="2" s="1"/>
  <c r="W9" i="2"/>
  <c r="W17" i="2"/>
  <c r="AA5" i="2" s="1"/>
  <c r="X28" i="2"/>
  <c r="X31" i="2"/>
  <c r="AB27" i="2" s="1"/>
  <c r="X33" i="2"/>
  <c r="W35" i="2"/>
  <c r="X42" i="2"/>
  <c r="AB29" i="2" s="1"/>
  <c r="X4" i="2"/>
  <c r="W6" i="2"/>
  <c r="W10" i="2"/>
  <c r="X10" i="2"/>
  <c r="X21" i="2"/>
  <c r="AB7" i="2" s="1"/>
  <c r="X27" i="2"/>
  <c r="W28" i="2"/>
  <c r="X3" i="2"/>
  <c r="W4" i="2"/>
  <c r="X5" i="2"/>
  <c r="X9" i="2"/>
  <c r="X17" i="2"/>
  <c r="AB5" i="2" s="1"/>
  <c r="X32" i="2"/>
  <c r="W34" i="2"/>
  <c r="X35" i="2"/>
  <c r="X40" i="2"/>
  <c r="AB28" i="2" s="1"/>
  <c r="W32" i="2"/>
  <c r="W40" i="2"/>
  <c r="AA28" i="2" s="1"/>
  <c r="W33" i="2"/>
  <c r="W42" i="2"/>
  <c r="AA29" i="2" s="1"/>
  <c r="X34" i="2"/>
  <c r="W26" i="2"/>
  <c r="W44" i="2"/>
  <c r="AA30" i="2" s="1"/>
  <c r="W27" i="2"/>
  <c r="W5" i="2"/>
  <c r="X7" i="2"/>
  <c r="AB3" i="2" s="1"/>
  <c r="W21" i="2"/>
  <c r="AA7" i="2" s="1"/>
  <c r="W19" i="2"/>
  <c r="AA6" i="2" s="1"/>
  <c r="X11" i="2"/>
  <c r="AJ30" i="2"/>
  <c r="AJ44" i="2"/>
  <c r="AI44" i="2"/>
  <c r="AH44" i="2"/>
  <c r="AG44" i="2"/>
  <c r="AF44" i="2"/>
  <c r="AE44" i="2"/>
  <c r="AJ42" i="2"/>
  <c r="AI42" i="2"/>
  <c r="AH42" i="2"/>
  <c r="AG42" i="2"/>
  <c r="AF42" i="2"/>
  <c r="AE42" i="2"/>
  <c r="AJ21" i="2"/>
  <c r="AI21" i="2"/>
  <c r="AH21" i="2"/>
  <c r="AG21" i="2"/>
  <c r="AF21" i="2"/>
  <c r="AE21" i="2"/>
  <c r="AJ19" i="2"/>
  <c r="AI19" i="2"/>
  <c r="AH19" i="2"/>
  <c r="AG19" i="2"/>
  <c r="AF19" i="2"/>
  <c r="AE19" i="2"/>
  <c r="AD68" i="2"/>
  <c r="AD67" i="2"/>
  <c r="AD66" i="2"/>
  <c r="AD65" i="2"/>
  <c r="AD45" i="2"/>
  <c r="AD44" i="2"/>
  <c r="AD43" i="2"/>
  <c r="AD42" i="2"/>
  <c r="AD22" i="2"/>
  <c r="AD21" i="2"/>
  <c r="AD20" i="2"/>
  <c r="AD19" i="2"/>
  <c r="H68" i="2"/>
  <c r="I67" i="2" s="1"/>
  <c r="N53" i="2" s="1"/>
  <c r="H67" i="2"/>
  <c r="M53" i="2" s="1"/>
  <c r="H66" i="2"/>
  <c r="I65" i="2" s="1"/>
  <c r="N52" i="2" s="1"/>
  <c r="H65" i="2"/>
  <c r="M52" i="2" s="1"/>
  <c r="H45" i="2"/>
  <c r="I44" i="2" s="1"/>
  <c r="N30" i="2" s="1"/>
  <c r="H44" i="2"/>
  <c r="M30" i="2" s="1"/>
  <c r="H43" i="2"/>
  <c r="I42" i="2" s="1"/>
  <c r="N29" i="2" s="1"/>
  <c r="H42" i="2"/>
  <c r="M29" i="2" s="1"/>
  <c r="H22" i="2"/>
  <c r="I21" i="2" s="1"/>
  <c r="N7" i="2" s="1"/>
  <c r="H21" i="2"/>
  <c r="M7" i="2" s="1"/>
  <c r="H20" i="2"/>
  <c r="I19" i="2" s="1"/>
  <c r="N6" i="2" s="1"/>
  <c r="H19" i="2"/>
  <c r="M6" i="2" s="1"/>
  <c r="AK44" i="2" l="1"/>
  <c r="AL44" i="2"/>
  <c r="AL21" i="2"/>
  <c r="AK21" i="2"/>
  <c r="AL19" i="2"/>
  <c r="AL42" i="2"/>
  <c r="AK19" i="2"/>
  <c r="AK42" i="2"/>
  <c r="AO6" i="2" l="1"/>
  <c r="AT6" i="2" s="1"/>
  <c r="AO29" i="2"/>
  <c r="AU6" i="2" s="1"/>
  <c r="AP29" i="2"/>
  <c r="AX6" i="2" s="1"/>
  <c r="AP6" i="2"/>
  <c r="AW6" i="2" s="1"/>
  <c r="AN53" i="2" l="1"/>
  <c r="AN52" i="2"/>
  <c r="AP30" i="2"/>
  <c r="AX7" i="2" s="1"/>
  <c r="AO30" i="2"/>
  <c r="AU7" i="2" s="1"/>
  <c r="AN30" i="2"/>
  <c r="AN29" i="2"/>
  <c r="AP7" i="2"/>
  <c r="AW7" i="2" s="1"/>
  <c r="AO7" i="2"/>
  <c r="AT7" i="2" s="1"/>
  <c r="AN7" i="2"/>
  <c r="AS7" i="2" s="1"/>
  <c r="AN6" i="2"/>
  <c r="H41" i="2"/>
  <c r="I40" i="2" s="1"/>
  <c r="N28" i="2" s="1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H32" i="2"/>
  <c r="I31" i="2" s="1"/>
  <c r="N27" i="2" s="1"/>
  <c r="H31" i="2"/>
  <c r="I30" i="2"/>
  <c r="N26" i="2" s="1"/>
  <c r="H30" i="2"/>
  <c r="I29" i="2"/>
  <c r="H29" i="2"/>
  <c r="I28" i="2"/>
  <c r="H28" i="2"/>
  <c r="I27" i="2"/>
  <c r="H27" i="2"/>
  <c r="I26" i="2"/>
  <c r="H26" i="2"/>
  <c r="H64" i="2"/>
  <c r="H61" i="2"/>
  <c r="H60" i="2"/>
  <c r="H57" i="2"/>
  <c r="I56" i="2"/>
  <c r="H55" i="2"/>
  <c r="H52" i="2"/>
  <c r="I51" i="2"/>
  <c r="I49" i="2"/>
  <c r="H63" i="2"/>
  <c r="M51" i="2" s="1"/>
  <c r="I62" i="2"/>
  <c r="H62" i="2"/>
  <c r="I61" i="2"/>
  <c r="I59" i="2"/>
  <c r="H59" i="2"/>
  <c r="I58" i="2"/>
  <c r="H58" i="2"/>
  <c r="I57" i="2"/>
  <c r="H54" i="2"/>
  <c r="M50" i="2" s="1"/>
  <c r="H53" i="2"/>
  <c r="I52" i="2"/>
  <c r="H51" i="2"/>
  <c r="I50" i="2"/>
  <c r="H50" i="2"/>
  <c r="H49" i="2"/>
  <c r="AF26" i="2"/>
  <c r="AG26" i="2"/>
  <c r="AH26" i="2"/>
  <c r="AI26" i="2"/>
  <c r="AJ26" i="2"/>
  <c r="AF27" i="2"/>
  <c r="AG27" i="2"/>
  <c r="AH27" i="2"/>
  <c r="AI27" i="2"/>
  <c r="AJ27" i="2"/>
  <c r="AF28" i="2"/>
  <c r="AG28" i="2"/>
  <c r="AH28" i="2"/>
  <c r="AI28" i="2"/>
  <c r="AJ28" i="2"/>
  <c r="AF29" i="2"/>
  <c r="AG29" i="2"/>
  <c r="AH29" i="2"/>
  <c r="AI29" i="2"/>
  <c r="AJ29" i="2"/>
  <c r="AF30" i="2"/>
  <c r="AG30" i="2"/>
  <c r="AH30" i="2"/>
  <c r="AI30" i="2"/>
  <c r="AF31" i="2"/>
  <c r="AG31" i="2"/>
  <c r="AH31" i="2"/>
  <c r="AI31" i="2"/>
  <c r="AJ31" i="2"/>
  <c r="AF33" i="2"/>
  <c r="AG33" i="2"/>
  <c r="AH33" i="2"/>
  <c r="AI33" i="2"/>
  <c r="AJ33" i="2"/>
  <c r="AF34" i="2"/>
  <c r="AG34" i="2"/>
  <c r="AH34" i="2"/>
  <c r="AI34" i="2"/>
  <c r="AJ34" i="2"/>
  <c r="AF35" i="2"/>
  <c r="AG35" i="2"/>
  <c r="AH35" i="2"/>
  <c r="AI35" i="2"/>
  <c r="AJ35" i="2"/>
  <c r="AF40" i="2"/>
  <c r="AG40" i="2"/>
  <c r="AH40" i="2"/>
  <c r="AI40" i="2"/>
  <c r="AJ40" i="2"/>
  <c r="AE27" i="2"/>
  <c r="AE28" i="2"/>
  <c r="AE29" i="2"/>
  <c r="AE30" i="2"/>
  <c r="AE31" i="2"/>
  <c r="AE33" i="2"/>
  <c r="AE34" i="2"/>
  <c r="AE35" i="2"/>
  <c r="AE40" i="2"/>
  <c r="AE26" i="2"/>
  <c r="AF3" i="2"/>
  <c r="AG3" i="2"/>
  <c r="AH3" i="2"/>
  <c r="AI3" i="2"/>
  <c r="AJ3" i="2"/>
  <c r="AF4" i="2"/>
  <c r="AG4" i="2"/>
  <c r="AH4" i="2"/>
  <c r="AI4" i="2"/>
  <c r="AJ4" i="2"/>
  <c r="AF5" i="2"/>
  <c r="AG5" i="2"/>
  <c r="AH5" i="2"/>
  <c r="AI5" i="2"/>
  <c r="AJ5" i="2"/>
  <c r="AF6" i="2"/>
  <c r="AG6" i="2"/>
  <c r="AH6" i="2"/>
  <c r="AI6" i="2"/>
  <c r="AJ6" i="2"/>
  <c r="AF7" i="2"/>
  <c r="AG7" i="2"/>
  <c r="AH7" i="2"/>
  <c r="AI7" i="2"/>
  <c r="AJ7" i="2"/>
  <c r="AF8" i="2"/>
  <c r="AG8" i="2"/>
  <c r="AH8" i="2"/>
  <c r="AI8" i="2"/>
  <c r="AJ8" i="2"/>
  <c r="AF10" i="2"/>
  <c r="AG10" i="2"/>
  <c r="AH10" i="2"/>
  <c r="AI10" i="2"/>
  <c r="AJ10" i="2"/>
  <c r="AF11" i="2"/>
  <c r="AG11" i="2"/>
  <c r="AH11" i="2"/>
  <c r="AI11" i="2"/>
  <c r="AJ11" i="2"/>
  <c r="AF12" i="2"/>
  <c r="AG12" i="2"/>
  <c r="AH12" i="2"/>
  <c r="AI12" i="2"/>
  <c r="AJ12" i="2"/>
  <c r="AF17" i="2"/>
  <c r="AG17" i="2"/>
  <c r="AH17" i="2"/>
  <c r="AI17" i="2"/>
  <c r="AJ17" i="2"/>
  <c r="AE4" i="2"/>
  <c r="AE5" i="2"/>
  <c r="AE6" i="2"/>
  <c r="AE7" i="2"/>
  <c r="AE8" i="2"/>
  <c r="AE10" i="2"/>
  <c r="AE11" i="2"/>
  <c r="AE12" i="2"/>
  <c r="AE17" i="2"/>
  <c r="AE3" i="2"/>
  <c r="AD64" i="2"/>
  <c r="AD63" i="2"/>
  <c r="AN51" i="2" s="1"/>
  <c r="AD62" i="2"/>
  <c r="AD61" i="2"/>
  <c r="AD60" i="2"/>
  <c r="AD59" i="2"/>
  <c r="AD58" i="2"/>
  <c r="AD57" i="2"/>
  <c r="AD56" i="2"/>
  <c r="AD55" i="2"/>
  <c r="AD54" i="2"/>
  <c r="AD53" i="2"/>
  <c r="AN49" i="2" s="1"/>
  <c r="AD52" i="2"/>
  <c r="AD51" i="2"/>
  <c r="AD50" i="2"/>
  <c r="AD49" i="2"/>
  <c r="AL48" i="2"/>
  <c r="AK48" i="2"/>
  <c r="AJ48" i="2"/>
  <c r="AI48" i="2"/>
  <c r="AH48" i="2"/>
  <c r="AG48" i="2"/>
  <c r="AF48" i="2"/>
  <c r="AE48" i="2"/>
  <c r="AD48" i="2"/>
  <c r="AD41" i="2"/>
  <c r="AD40" i="2"/>
  <c r="AN28" i="2" s="1"/>
  <c r="AD39" i="2"/>
  <c r="AD38" i="2"/>
  <c r="AD37" i="2"/>
  <c r="AD36" i="2"/>
  <c r="AD35" i="2"/>
  <c r="AD34" i="2"/>
  <c r="AD33" i="2"/>
  <c r="AD32" i="2"/>
  <c r="AD31" i="2"/>
  <c r="AD30" i="2"/>
  <c r="AN26" i="2" s="1"/>
  <c r="AD29" i="2"/>
  <c r="AD28" i="2"/>
  <c r="AD27" i="2"/>
  <c r="AD26" i="2"/>
  <c r="AL25" i="2"/>
  <c r="AK25" i="2"/>
  <c r="AJ25" i="2"/>
  <c r="AI25" i="2"/>
  <c r="AH25" i="2"/>
  <c r="AG25" i="2"/>
  <c r="AF25" i="2"/>
  <c r="AE25" i="2"/>
  <c r="AD25" i="2"/>
  <c r="AD18" i="2"/>
  <c r="AD17" i="2"/>
  <c r="AN5" i="2" s="1"/>
  <c r="AD16" i="2"/>
  <c r="AD15" i="2"/>
  <c r="AD14" i="2"/>
  <c r="AD13" i="2"/>
  <c r="AD12" i="2"/>
  <c r="AD11" i="2"/>
  <c r="AD10" i="2"/>
  <c r="AD9" i="2"/>
  <c r="AD8" i="2"/>
  <c r="AD7" i="2"/>
  <c r="AN3" i="2" s="1"/>
  <c r="AD6" i="2"/>
  <c r="AD5" i="2"/>
  <c r="AD4" i="2"/>
  <c r="AD3" i="2"/>
  <c r="AL2" i="2"/>
  <c r="AK2" i="2"/>
  <c r="AJ2" i="2"/>
  <c r="AI2" i="2"/>
  <c r="AH2" i="2"/>
  <c r="AG2" i="2"/>
  <c r="AF2" i="2"/>
  <c r="AE2" i="2"/>
  <c r="AD2" i="2"/>
  <c r="H18" i="2"/>
  <c r="H17" i="2"/>
  <c r="M5" i="2" s="1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H9" i="2"/>
  <c r="I8" i="2" s="1"/>
  <c r="N4" i="2" s="1"/>
  <c r="H8" i="2"/>
  <c r="M4" i="2" s="1"/>
  <c r="I7" i="2"/>
  <c r="N3" i="2" s="1"/>
  <c r="H7" i="2"/>
  <c r="M3" i="2" s="1"/>
  <c r="I6" i="2"/>
  <c r="H6" i="2"/>
  <c r="I5" i="2"/>
  <c r="H5" i="2"/>
  <c r="I4" i="2"/>
  <c r="H4" i="2"/>
  <c r="I3" i="2"/>
  <c r="H3" i="2"/>
  <c r="M28" i="2" l="1"/>
  <c r="M26" i="2"/>
  <c r="M27" i="2"/>
  <c r="AJ54" i="2"/>
  <c r="Q53" i="2"/>
  <c r="T67" i="2"/>
  <c r="T65" i="2"/>
  <c r="T63" i="2"/>
  <c r="S58" i="2"/>
  <c r="V57" i="2"/>
  <c r="R57" i="2"/>
  <c r="U56" i="2"/>
  <c r="Q56" i="2"/>
  <c r="T55" i="2"/>
  <c r="U54" i="2"/>
  <c r="Q54" i="2"/>
  <c r="U53" i="2"/>
  <c r="S52" i="2"/>
  <c r="V51" i="2"/>
  <c r="R51" i="2"/>
  <c r="U50" i="2"/>
  <c r="Q50" i="2"/>
  <c r="U49" i="2"/>
  <c r="Q49" i="2"/>
  <c r="S67" i="2"/>
  <c r="S65" i="2"/>
  <c r="S63" i="2"/>
  <c r="V58" i="2"/>
  <c r="R58" i="2"/>
  <c r="U57" i="2"/>
  <c r="Q57" i="2"/>
  <c r="T56" i="2"/>
  <c r="S55" i="2"/>
  <c r="T54" i="2"/>
  <c r="T53" i="2"/>
  <c r="V52" i="2"/>
  <c r="R52" i="2"/>
  <c r="U51" i="2"/>
  <c r="Q51" i="2"/>
  <c r="T50" i="2"/>
  <c r="T49" i="2"/>
  <c r="V67" i="2"/>
  <c r="R67" i="2"/>
  <c r="V65" i="2"/>
  <c r="R65" i="2"/>
  <c r="V63" i="2"/>
  <c r="R63" i="2"/>
  <c r="U58" i="2"/>
  <c r="Q58" i="2"/>
  <c r="T57" i="2"/>
  <c r="S56" i="2"/>
  <c r="V55" i="2"/>
  <c r="R55" i="2"/>
  <c r="S54" i="2"/>
  <c r="S53" i="2"/>
  <c r="U52" i="2"/>
  <c r="Q52" i="2"/>
  <c r="T51" i="2"/>
  <c r="S50" i="2"/>
  <c r="S49" i="2"/>
  <c r="U67" i="2"/>
  <c r="Q67" i="2"/>
  <c r="U65" i="2"/>
  <c r="Q65" i="2"/>
  <c r="U63" i="2"/>
  <c r="Q63" i="2"/>
  <c r="T58" i="2"/>
  <c r="S57" i="2"/>
  <c r="V56" i="2"/>
  <c r="R56" i="2"/>
  <c r="U55" i="2"/>
  <c r="Q55" i="2"/>
  <c r="V54" i="2"/>
  <c r="R54" i="2"/>
  <c r="V53" i="2"/>
  <c r="R53" i="2"/>
  <c r="T52" i="2"/>
  <c r="S51" i="2"/>
  <c r="V50" i="2"/>
  <c r="R50" i="2"/>
  <c r="V49" i="2"/>
  <c r="R49" i="2"/>
  <c r="AE57" i="2"/>
  <c r="AF56" i="2"/>
  <c r="AK30" i="2"/>
  <c r="AG49" i="2"/>
  <c r="AJ65" i="2"/>
  <c r="AI65" i="2"/>
  <c r="AE67" i="2"/>
  <c r="AJ67" i="2"/>
  <c r="AH65" i="2"/>
  <c r="AG67" i="2"/>
  <c r="AF67" i="2"/>
  <c r="AI67" i="2"/>
  <c r="AG65" i="2"/>
  <c r="AH67" i="2"/>
  <c r="AF65" i="2"/>
  <c r="AE65" i="2"/>
  <c r="I54" i="2"/>
  <c r="N50" i="2" s="1"/>
  <c r="I63" i="2"/>
  <c r="N51" i="2" s="1"/>
  <c r="I53" i="2"/>
  <c r="N49" i="2" s="1"/>
  <c r="H56" i="2"/>
  <c r="I60" i="2"/>
  <c r="AE56" i="2"/>
  <c r="AE54" i="2"/>
  <c r="AL11" i="2"/>
  <c r="AF52" i="2"/>
  <c r="AG58" i="2"/>
  <c r="AG50" i="2"/>
  <c r="AG52" i="2"/>
  <c r="AF58" i="2"/>
  <c r="AF50" i="2"/>
  <c r="AH52" i="2"/>
  <c r="AF63" i="2"/>
  <c r="AG56" i="2"/>
  <c r="AE53" i="2"/>
  <c r="AJ57" i="2"/>
  <c r="AF54" i="2"/>
  <c r="AJ51" i="2"/>
  <c r="AF49" i="2"/>
  <c r="AJ63" i="2"/>
  <c r="AI57" i="2"/>
  <c r="AJ53" i="2"/>
  <c r="AI51" i="2"/>
  <c r="AH57" i="2"/>
  <c r="AH63" i="2"/>
  <c r="AI56" i="2"/>
  <c r="AH53" i="2"/>
  <c r="AI50" i="2"/>
  <c r="AI63" i="2"/>
  <c r="AI53" i="2"/>
  <c r="AJ50" i="2"/>
  <c r="AE58" i="2"/>
  <c r="AG63" i="2"/>
  <c r="AH56" i="2"/>
  <c r="AG53" i="2"/>
  <c r="AH50" i="2"/>
  <c r="AL35" i="2"/>
  <c r="AE52" i="2"/>
  <c r="AJ58" i="2"/>
  <c r="AG57" i="2"/>
  <c r="AI54" i="2"/>
  <c r="AF53" i="2"/>
  <c r="AH51" i="2"/>
  <c r="AJ49" i="2"/>
  <c r="AL12" i="2"/>
  <c r="AL10" i="2"/>
  <c r="AK27" i="2"/>
  <c r="AL3" i="2"/>
  <c r="AL29" i="2"/>
  <c r="AL27" i="2"/>
  <c r="AE49" i="2"/>
  <c r="AE51" i="2"/>
  <c r="AI58" i="2"/>
  <c r="AF57" i="2"/>
  <c r="AH54" i="2"/>
  <c r="AJ52" i="2"/>
  <c r="AG51" i="2"/>
  <c r="AI49" i="2"/>
  <c r="AL31" i="2"/>
  <c r="AE63" i="2"/>
  <c r="AE50" i="2"/>
  <c r="AH58" i="2"/>
  <c r="AJ56" i="2"/>
  <c r="AG54" i="2"/>
  <c r="AI52" i="2"/>
  <c r="AF51" i="2"/>
  <c r="AH49" i="2"/>
  <c r="AL28" i="2"/>
  <c r="AL34" i="2"/>
  <c r="AK35" i="2"/>
  <c r="AL33" i="2"/>
  <c r="AK10" i="2"/>
  <c r="AK8" i="2"/>
  <c r="AL5" i="2"/>
  <c r="AK3" i="2"/>
  <c r="AL7" i="2"/>
  <c r="AL4" i="2"/>
  <c r="AK34" i="2"/>
  <c r="AL30" i="2"/>
  <c r="AL26" i="2"/>
  <c r="AK40" i="2"/>
  <c r="AK29" i="2"/>
  <c r="AL40" i="2"/>
  <c r="AK26" i="2"/>
  <c r="AL17" i="2"/>
  <c r="AL8" i="2"/>
  <c r="AK11" i="2"/>
  <c r="AL6" i="2"/>
  <c r="AK28" i="2"/>
  <c r="AK31" i="2"/>
  <c r="AK33" i="2"/>
  <c r="AK12" i="2"/>
  <c r="AK5" i="2"/>
  <c r="AK7" i="2"/>
  <c r="AK17" i="2"/>
  <c r="AK4" i="2"/>
  <c r="AK6" i="2"/>
  <c r="I17" i="2"/>
  <c r="N5" i="2" s="1"/>
  <c r="AO26" i="2" l="1"/>
  <c r="AU3" i="2" s="1"/>
  <c r="AL67" i="2"/>
  <c r="AP53" i="2" s="1"/>
  <c r="AY7" i="2" s="1"/>
  <c r="AK67" i="2"/>
  <c r="AO53" i="2" s="1"/>
  <c r="AV7" i="2" s="1"/>
  <c r="W51" i="2"/>
  <c r="X58" i="2"/>
  <c r="AP28" i="2"/>
  <c r="AX5" i="2" s="1"/>
  <c r="W58" i="2"/>
  <c r="X55" i="2"/>
  <c r="W65" i="2"/>
  <c r="AA52" i="2" s="1"/>
  <c r="W55" i="2"/>
  <c r="X49" i="2"/>
  <c r="W49" i="2"/>
  <c r="X54" i="2"/>
  <c r="AB50" i="2" s="1"/>
  <c r="W54" i="2"/>
  <c r="AA50" i="2" s="1"/>
  <c r="X56" i="2"/>
  <c r="AP26" i="2"/>
  <c r="AX3" i="2" s="1"/>
  <c r="W56" i="2"/>
  <c r="X53" i="2"/>
  <c r="AB49" i="2" s="1"/>
  <c r="AP4" i="2"/>
  <c r="AW4" i="2" s="1"/>
  <c r="AP27" i="2"/>
  <c r="AX4" i="2" s="1"/>
  <c r="AP5" i="2"/>
  <c r="AW5" i="2" s="1"/>
  <c r="AO28" i="2"/>
  <c r="AU5" i="2" s="1"/>
  <c r="AO4" i="2"/>
  <c r="AT4" i="2" s="1"/>
  <c r="X50" i="2"/>
  <c r="W53" i="2"/>
  <c r="AA49" i="2" s="1"/>
  <c r="X51" i="2"/>
  <c r="X57" i="2"/>
  <c r="X65" i="2"/>
  <c r="AB52" i="2" s="1"/>
  <c r="AO5" i="2"/>
  <c r="AT5" i="2" s="1"/>
  <c r="W52" i="2"/>
  <c r="X52" i="2"/>
  <c r="AO3" i="2"/>
  <c r="AT3" i="2" s="1"/>
  <c r="AO27" i="2"/>
  <c r="AU4" i="2" s="1"/>
  <c r="AP3" i="2"/>
  <c r="AW3" i="2" s="1"/>
  <c r="W63" i="2"/>
  <c r="AA51" i="2" s="1"/>
  <c r="X67" i="2"/>
  <c r="AB53" i="2" s="1"/>
  <c r="W67" i="2"/>
  <c r="AA53" i="2" s="1"/>
  <c r="W57" i="2"/>
  <c r="X63" i="2"/>
  <c r="AB51" i="2" s="1"/>
  <c r="W50" i="2"/>
  <c r="AL65" i="2"/>
  <c r="AK65" i="2"/>
  <c r="AK50" i="2"/>
  <c r="AK58" i="2"/>
  <c r="AL63" i="2"/>
  <c r="AK57" i="2"/>
  <c r="AK54" i="2"/>
  <c r="AK49" i="2"/>
  <c r="AK52" i="2"/>
  <c r="AL51" i="2"/>
  <c r="AL52" i="2"/>
  <c r="AL54" i="2"/>
  <c r="AL50" i="2"/>
  <c r="AK53" i="2"/>
  <c r="AL56" i="2"/>
  <c r="AL58" i="2"/>
  <c r="AK56" i="2"/>
  <c r="AL49" i="2"/>
  <c r="AK63" i="2"/>
  <c r="AK51" i="2"/>
  <c r="AL53" i="2"/>
  <c r="AL57" i="2"/>
  <c r="AP51" i="2" l="1"/>
  <c r="AY5" i="2" s="1"/>
  <c r="AP50" i="2"/>
  <c r="AY4" i="2" s="1"/>
  <c r="AP49" i="2"/>
  <c r="AY3" i="2" s="1"/>
  <c r="AO51" i="2"/>
  <c r="AV5" i="2" s="1"/>
  <c r="AO49" i="2"/>
  <c r="AV3" i="2" s="1"/>
  <c r="AO50" i="2"/>
  <c r="AV4" i="2" s="1"/>
  <c r="AO52" i="2"/>
  <c r="AP52" i="2"/>
  <c r="AY6" i="2" l="1"/>
  <c r="AV6" i="2"/>
</calcChain>
</file>

<file path=xl/sharedStrings.xml><?xml version="1.0" encoding="utf-8"?>
<sst xmlns="http://schemas.openxmlformats.org/spreadsheetml/2006/main" count="143" uniqueCount="55">
  <si>
    <t>Var</t>
  </si>
  <si>
    <t>Voronoi Fiber Diameter</t>
  </si>
  <si>
    <t>Voronoi Fiber Diameter_Corr</t>
  </si>
  <si>
    <t>Medial Fiber Diameter</t>
  </si>
  <si>
    <t>Medial Fiber Diameter_Corr</t>
  </si>
  <si>
    <t>Mean Histogram Fiber Diameter</t>
  </si>
  <si>
    <t>Stand Deviation of Histogram Mean</t>
  </si>
  <si>
    <t>Modal Histogram Fiber Diameter</t>
  </si>
  <si>
    <t>Median Histogram Fiber Diameter</t>
  </si>
  <si>
    <t>Weighted Fiber Diameter Average</t>
  </si>
  <si>
    <t>Mean Pore Size</t>
  </si>
  <si>
    <t>Percent Porosity</t>
  </si>
  <si>
    <t>Intersection Density (100x100px)</t>
  </si>
  <si>
    <t>Characteristic Length</t>
  </si>
  <si>
    <t>BoneJ Mean</t>
  </si>
  <si>
    <t>BoneJ SD</t>
  </si>
  <si>
    <t>53 gauge</t>
  </si>
  <si>
    <t>50 gauge</t>
  </si>
  <si>
    <t>Mean</t>
  </si>
  <si>
    <t>SD</t>
  </si>
  <si>
    <t>48 Gauge</t>
  </si>
  <si>
    <t>Super Pixel</t>
  </si>
  <si>
    <t>Histogram</t>
  </si>
  <si>
    <t>BoneJ</t>
  </si>
  <si>
    <t>Human</t>
  </si>
  <si>
    <t>50 Gauge</t>
  </si>
  <si>
    <t>53 Gauge</t>
  </si>
  <si>
    <t>Human SD</t>
  </si>
  <si>
    <t>Prc</t>
  </si>
  <si>
    <t>Prc SD</t>
  </si>
  <si>
    <t>Percent Error 48 Gauge</t>
  </si>
  <si>
    <t>Percent Error 50 Gauge</t>
  </si>
  <si>
    <t>Percent Error 53 Gauge</t>
  </si>
  <si>
    <t>Absolute Error 48 Gauge</t>
  </si>
  <si>
    <t>Absolute Error 50 Gauge</t>
  </si>
  <si>
    <t>Absolute Error 53 Gauge</t>
  </si>
  <si>
    <t>Overall % Error Summary Table</t>
  </si>
  <si>
    <t>48g_m08</t>
  </si>
  <si>
    <t>48g_m07</t>
  </si>
  <si>
    <t>48g_m05</t>
  </si>
  <si>
    <t>48g_m04</t>
  </si>
  <si>
    <t>48g_m02</t>
  </si>
  <si>
    <t>48g_m01</t>
  </si>
  <si>
    <t>50g_m10</t>
  </si>
  <si>
    <t>50g_m08</t>
  </si>
  <si>
    <t>50g_m06</t>
  </si>
  <si>
    <t>50g_m04</t>
  </si>
  <si>
    <t>50g_m02</t>
  </si>
  <si>
    <t>50g_m03</t>
  </si>
  <si>
    <t>53g_m04</t>
  </si>
  <si>
    <t>48g_m03</t>
  </si>
  <si>
    <t>48g_2_m04</t>
  </si>
  <si>
    <r>
      <t>Real Diameter (</t>
    </r>
    <r>
      <rPr>
        <sz val="11"/>
        <color theme="1"/>
        <rFont val="Calibri"/>
        <family val="2"/>
      </rPr>
      <t>µm)</t>
    </r>
  </si>
  <si>
    <t>Summary Table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</si>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</sst>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Times New Roman"/>
      <family val="1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5" fontId="4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Percents!$AT$2</c:f>
              <c:strCache>
                <c:ptCount val="1"/>
                <c:pt idx="0">
                  <c:v>48 Gauge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Percents!$AW$3:$AW$7</c:f>
                <c:numCache>
                  <c:formatCode>General</c:formatCode>
                  <c:ptCount val="5"/>
                  <c:pt idx="0">
                    <c:v>8.4295528349361808E-3</c:v>
                  </c:pt>
                  <c:pt idx="1">
                    <c:v>8.9858009716054475E-3</c:v>
                  </c:pt>
                  <c:pt idx="2">
                    <c:v>0.11639555684826057</c:v>
                  </c:pt>
                  <c:pt idx="3">
                    <c:v>4.4211105580320388E-3</c:v>
                  </c:pt>
                  <c:pt idx="4">
                    <c:v>3.3157979079148797E-3</c:v>
                  </c:pt>
                </c:numCache>
              </c:numRef>
            </c:plus>
            <c:minus>
              <c:numRef>
                <c:f>Percents!$AW$3:$AW$7</c:f>
                <c:numCache>
                  <c:formatCode>General</c:formatCode>
                  <c:ptCount val="5"/>
                  <c:pt idx="0">
                    <c:v>8.4295528349361808E-3</c:v>
                  </c:pt>
                  <c:pt idx="1">
                    <c:v>8.9858009716054475E-3</c:v>
                  </c:pt>
                  <c:pt idx="2">
                    <c:v>0.11639555684826057</c:v>
                  </c:pt>
                  <c:pt idx="3">
                    <c:v>4.4211105580320388E-3</c:v>
                  </c:pt>
                  <c:pt idx="4">
                    <c:v>3.3157979079148797E-3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Percents!$AS$3:$AS$7</c:f>
              <c:strCache>
                <c:ptCount val="5"/>
                <c:pt idx="0">
                  <c:v>Super Pixel</c:v>
                </c:pt>
                <c:pt idx="1">
                  <c:v>Histogram</c:v>
                </c:pt>
                <c:pt idx="2">
                  <c:v>BoneJ</c:v>
                </c:pt>
                <c:pt idx="3">
                  <c:v>Human</c:v>
                </c:pt>
                <c:pt idx="4">
                  <c:v>Prc</c:v>
                </c:pt>
              </c:strCache>
            </c:strRef>
          </c:cat>
          <c:val>
            <c:numRef>
              <c:f>Percents!$AT$3:$AT$7</c:f>
              <c:numCache>
                <c:formatCode>0.00%</c:formatCode>
                <c:ptCount val="5"/>
                <c:pt idx="0">
                  <c:v>7.3217427042317818E-2</c:v>
                </c:pt>
                <c:pt idx="1">
                  <c:v>1.9755072277270212E-2</c:v>
                </c:pt>
                <c:pt idx="2">
                  <c:v>0.54555377554214279</c:v>
                </c:pt>
                <c:pt idx="3">
                  <c:v>5.0079354866383432E-3</c:v>
                </c:pt>
                <c:pt idx="4">
                  <c:v>5.0615536396001991E-3</c:v>
                </c:pt>
              </c:numCache>
            </c:numRef>
          </c:val>
        </c:ser>
        <c:ser>
          <c:idx val="1"/>
          <c:order val="1"/>
          <c:tx>
            <c:strRef>
              <c:f>Percents!$AU$2</c:f>
              <c:strCache>
                <c:ptCount val="1"/>
                <c:pt idx="0">
                  <c:v>50 Gauge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Percents!$AX$3:$AX$7</c:f>
                <c:numCache>
                  <c:formatCode>General</c:formatCode>
                  <c:ptCount val="5"/>
                  <c:pt idx="0">
                    <c:v>4.1642174577308295E-2</c:v>
                  </c:pt>
                  <c:pt idx="1">
                    <c:v>7.0973211399986908E-3</c:v>
                  </c:pt>
                  <c:pt idx="2">
                    <c:v>0.42384922479396475</c:v>
                  </c:pt>
                  <c:pt idx="3">
                    <c:v>5.7516694492991301E-3</c:v>
                  </c:pt>
                  <c:pt idx="4">
                    <c:v>1.5964331079395166E-2</c:v>
                  </c:pt>
                </c:numCache>
              </c:numRef>
            </c:plus>
            <c:minus>
              <c:numRef>
                <c:f>Percents!$AX$3:$AX$7</c:f>
                <c:numCache>
                  <c:formatCode>General</c:formatCode>
                  <c:ptCount val="5"/>
                  <c:pt idx="0">
                    <c:v>4.1642174577308295E-2</c:v>
                  </c:pt>
                  <c:pt idx="1">
                    <c:v>7.0973211399986908E-3</c:v>
                  </c:pt>
                  <c:pt idx="2">
                    <c:v>0.42384922479396475</c:v>
                  </c:pt>
                  <c:pt idx="3">
                    <c:v>5.7516694492991301E-3</c:v>
                  </c:pt>
                  <c:pt idx="4">
                    <c:v>1.5964331079395166E-2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Percents!$AS$3:$AS$7</c:f>
              <c:strCache>
                <c:ptCount val="5"/>
                <c:pt idx="0">
                  <c:v>Super Pixel</c:v>
                </c:pt>
                <c:pt idx="1">
                  <c:v>Histogram</c:v>
                </c:pt>
                <c:pt idx="2">
                  <c:v>BoneJ</c:v>
                </c:pt>
                <c:pt idx="3">
                  <c:v>Human</c:v>
                </c:pt>
                <c:pt idx="4">
                  <c:v>Prc</c:v>
                </c:pt>
              </c:strCache>
            </c:strRef>
          </c:cat>
          <c:val>
            <c:numRef>
              <c:f>Percents!$AU$3:$AU$7</c:f>
              <c:numCache>
                <c:formatCode>0.00%</c:formatCode>
                <c:ptCount val="5"/>
                <c:pt idx="0">
                  <c:v>0.10663326162565916</c:v>
                </c:pt>
                <c:pt idx="1">
                  <c:v>9.9289121083343448E-3</c:v>
                </c:pt>
                <c:pt idx="2">
                  <c:v>0.75853080723835908</c:v>
                </c:pt>
                <c:pt idx="3">
                  <c:v>1.1943285638166533E-2</c:v>
                </c:pt>
                <c:pt idx="4">
                  <c:v>1.2391646198032456E-2</c:v>
                </c:pt>
              </c:numCache>
            </c:numRef>
          </c:val>
        </c:ser>
        <c:ser>
          <c:idx val="2"/>
          <c:order val="2"/>
          <c:tx>
            <c:strRef>
              <c:f>Percents!$AV$2</c:f>
              <c:strCache>
                <c:ptCount val="1"/>
                <c:pt idx="0">
                  <c:v>53 Gauge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Percents!$AY$3:$AY$7</c:f>
                <c:numCache>
                  <c:formatCode>General</c:formatCode>
                  <c:ptCount val="5"/>
                  <c:pt idx="0">
                    <c:v>2.2287209491543378E-2</c:v>
                  </c:pt>
                  <c:pt idx="1">
                    <c:v>7.8636902998339558E-3</c:v>
                  </c:pt>
                  <c:pt idx="2">
                    <c:v>8.4378866951611467E-2</c:v>
                  </c:pt>
                  <c:pt idx="3">
                    <c:v>4.397682822318975E-3</c:v>
                  </c:pt>
                  <c:pt idx="4">
                    <c:v>6.9172908170932841E-3</c:v>
                  </c:pt>
                </c:numCache>
              </c:numRef>
            </c:plus>
            <c:minus>
              <c:numRef>
                <c:f>Percents!$AY$3:$AY$7</c:f>
                <c:numCache>
                  <c:formatCode>General</c:formatCode>
                  <c:ptCount val="5"/>
                  <c:pt idx="0">
                    <c:v>2.2287209491543378E-2</c:v>
                  </c:pt>
                  <c:pt idx="1">
                    <c:v>7.8636902998339558E-3</c:v>
                  </c:pt>
                  <c:pt idx="2">
                    <c:v>8.4378866951611467E-2</c:v>
                  </c:pt>
                  <c:pt idx="3">
                    <c:v>4.397682822318975E-3</c:v>
                  </c:pt>
                  <c:pt idx="4">
                    <c:v>6.9172908170932841E-3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Percents!$AS$3:$AS$7</c:f>
              <c:strCache>
                <c:ptCount val="5"/>
                <c:pt idx="0">
                  <c:v>Super Pixel</c:v>
                </c:pt>
                <c:pt idx="1">
                  <c:v>Histogram</c:v>
                </c:pt>
                <c:pt idx="2">
                  <c:v>BoneJ</c:v>
                </c:pt>
                <c:pt idx="3">
                  <c:v>Human</c:v>
                </c:pt>
                <c:pt idx="4">
                  <c:v>Prc</c:v>
                </c:pt>
              </c:strCache>
            </c:strRef>
          </c:cat>
          <c:val>
            <c:numRef>
              <c:f>Percents!$AV$3:$AV$7</c:f>
              <c:numCache>
                <c:formatCode>0.00%</c:formatCode>
                <c:ptCount val="5"/>
                <c:pt idx="0">
                  <c:v>4.8217680950718995E-2</c:v>
                </c:pt>
                <c:pt idx="1">
                  <c:v>2.688963344102752E-2</c:v>
                </c:pt>
                <c:pt idx="2">
                  <c:v>0.55420186522854964</c:v>
                </c:pt>
                <c:pt idx="3">
                  <c:v>1.4586574129472384E-2</c:v>
                </c:pt>
                <c:pt idx="4">
                  <c:v>2.6375094730964128E-2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axId val="114846624"/>
        <c:axId val="320526592"/>
      </c:barChart>
      <c:catAx>
        <c:axId val="11484662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20526592"/>
        <c:crossesAt val="1.0000000000000002E-3"/>
        <c:auto val="1"/>
        <c:lblAlgn val="ctr"/>
        <c:lblOffset val="100"/>
        <c:noMultiLvlLbl val="0"/>
      </c:catAx>
      <c:valAx>
        <c:axId val="320526592"/>
        <c:scaling>
          <c:logBase val="10"/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8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 Percent Error </a:t>
                </a:r>
                <a:br>
                  <a:rPr lang="en-US" sz="48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</a:br>
                <a:r>
                  <a:rPr lang="en-US" sz="48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(Log Scale)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17173191892680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148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13684747739867"/>
          <c:y val="0.91391525712063759"/>
          <c:w val="0.60194852726742487"/>
          <c:h val="7.3739063867016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126296</xdr:colOff>
      <xdr:row>13</xdr:row>
      <xdr:rowOff>31664</xdr:rowOff>
    </xdr:from>
    <xdr:to>
      <xdr:col>65</xdr:col>
      <xdr:colOff>513480</xdr:colOff>
      <xdr:row>56</xdr:row>
      <xdr:rowOff>69764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0.22428</cdr:x>
      <cdr:y>0.58222</cdr:y>
    </cdr:from>
    <cdr:to>
      <cdr:x>0.98428</cdr:x>
      <cdr:y>0.58222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108130" y="5029113"/>
          <a:ext cx="10532274" cy="0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E205"/>
  <sheetViews>
    <sheetView tabSelected="1" zoomScale="40" zoomScaleNormal="40" workbookViewId="0">
      <selection activeCell="U53" sqref="U53"/>
    </sheetView>
  </sheetViews>
  <sheetFormatPr defaultRowHeight="15" x14ac:dyDescent="0.25"/>
  <cols>
    <col min="1" max="1" width="32.85546875" bestFit="1" customWidth="1"/>
    <col min="12" max="12" width="13.140625" bestFit="1" customWidth="1"/>
    <col min="30" max="30" width="32.85546875" bestFit="1" customWidth="1"/>
  </cols>
  <sheetData>
    <row r="1" spans="1:51" ht="31.5" x14ac:dyDescent="0.5">
      <c r="A1" s="11" t="s">
        <v>20</v>
      </c>
      <c r="B1" s="11"/>
      <c r="C1" s="11"/>
      <c r="D1" s="11"/>
      <c r="E1" s="11"/>
      <c r="F1" s="11"/>
      <c r="G1" s="11"/>
      <c r="K1" t="s">
        <v>52</v>
      </c>
      <c r="L1" s="10" t="s">
        <v>53</v>
      </c>
      <c r="M1" s="10"/>
      <c r="N1" s="10"/>
      <c r="P1" s="9" t="s">
        <v>33</v>
      </c>
      <c r="Z1" s="10" t="s">
        <v>53</v>
      </c>
      <c r="AA1" s="10"/>
      <c r="AB1" s="10"/>
      <c r="AD1" s="9" t="s">
        <v>30</v>
      </c>
      <c r="AN1" s="10" t="s">
        <v>53</v>
      </c>
      <c r="AO1" s="10"/>
      <c r="AP1" s="10"/>
      <c r="AS1" s="9" t="s">
        <v>36</v>
      </c>
    </row>
    <row r="2" spans="1:51" x14ac:dyDescent="0.25">
      <c r="A2" t="s">
        <v>0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18</v>
      </c>
      <c r="I2" t="s">
        <v>19</v>
      </c>
      <c r="K2">
        <v>31.084</v>
      </c>
      <c r="L2" t="s">
        <v>54</v>
      </c>
      <c r="M2" t="s">
        <v>18</v>
      </c>
      <c r="N2" t="s">
        <v>19</v>
      </c>
      <c r="P2" t="str">
        <f>A2</f>
        <v>Var</v>
      </c>
      <c r="Q2" t="str">
        <f>B2</f>
        <v>48g_m08</v>
      </c>
      <c r="R2" t="str">
        <f t="shared" ref="R2" si="0">C2</f>
        <v>48g_m07</v>
      </c>
      <c r="S2" t="str">
        <f t="shared" ref="S2" si="1">D2</f>
        <v>48g_m05</v>
      </c>
      <c r="T2" t="str">
        <f t="shared" ref="T2" si="2">E2</f>
        <v>48g_m04</v>
      </c>
      <c r="U2" t="str">
        <f t="shared" ref="U2" si="3">F2</f>
        <v>48g_m02</v>
      </c>
      <c r="V2" t="str">
        <f t="shared" ref="V2" si="4">G2</f>
        <v>48g_m01</v>
      </c>
      <c r="W2" t="str">
        <f t="shared" ref="W2" si="5">H2</f>
        <v>Mean</v>
      </c>
      <c r="X2" t="str">
        <f t="shared" ref="X2" si="6">I2</f>
        <v>SD</v>
      </c>
      <c r="Z2" t="str">
        <f>$L$2</f>
        <v>Algorithm</v>
      </c>
      <c r="AA2" t="str">
        <f>$M$2</f>
        <v>Mean</v>
      </c>
      <c r="AB2" t="str">
        <f>$N$2</f>
        <v>SD</v>
      </c>
      <c r="AD2" t="str">
        <f>A2</f>
        <v>Var</v>
      </c>
      <c r="AE2" t="str">
        <f t="shared" ref="AE2" si="7">B2</f>
        <v>48g_m08</v>
      </c>
      <c r="AF2" t="str">
        <f t="shared" ref="AF2" si="8">C2</f>
        <v>48g_m07</v>
      </c>
      <c r="AG2" t="str">
        <f t="shared" ref="AG2" si="9">D2</f>
        <v>48g_m05</v>
      </c>
      <c r="AH2" t="str">
        <f t="shared" ref="AH2" si="10">E2</f>
        <v>48g_m04</v>
      </c>
      <c r="AI2" t="str">
        <f t="shared" ref="AI2" si="11">F2</f>
        <v>48g_m02</v>
      </c>
      <c r="AJ2" t="str">
        <f t="shared" ref="AJ2" si="12">G2</f>
        <v>48g_m01</v>
      </c>
      <c r="AK2" t="str">
        <f t="shared" ref="AK2" si="13">H2</f>
        <v>Mean</v>
      </c>
      <c r="AL2" t="str">
        <f t="shared" ref="AL2" si="14">I2</f>
        <v>SD</v>
      </c>
      <c r="AN2" t="str">
        <f>$L$2</f>
        <v>Algorithm</v>
      </c>
      <c r="AO2" t="str">
        <f>$M$2</f>
        <v>Mean</v>
      </c>
      <c r="AP2" t="str">
        <f>$N$2</f>
        <v>SD</v>
      </c>
      <c r="AT2" t="s">
        <v>20</v>
      </c>
      <c r="AU2" t="s">
        <v>25</v>
      </c>
      <c r="AV2" t="s">
        <v>26</v>
      </c>
      <c r="AW2" t="s">
        <v>19</v>
      </c>
      <c r="AX2" t="s">
        <v>19</v>
      </c>
      <c r="AY2" t="s">
        <v>19</v>
      </c>
    </row>
    <row r="3" spans="1:51" x14ac:dyDescent="0.25">
      <c r="A3" t="s">
        <v>1</v>
      </c>
      <c r="B3">
        <v>23.930524454148472</v>
      </c>
      <c r="C3">
        <v>24.676002183406112</v>
      </c>
      <c r="D3">
        <v>23.560190829694324</v>
      </c>
      <c r="E3">
        <v>23.921141921397378</v>
      </c>
      <c r="F3">
        <v>24.097972270742357</v>
      </c>
      <c r="G3">
        <v>23.429646288209607</v>
      </c>
      <c r="H3">
        <f>AVERAGE(B3:G3)</f>
        <v>23.935912991266374</v>
      </c>
      <c r="I3">
        <f>STDEV(B3:G3)</f>
        <v>0.44084363680198729</v>
      </c>
      <c r="K3" s="1"/>
      <c r="L3" t="s">
        <v>21</v>
      </c>
      <c r="M3">
        <f>H7</f>
        <v>28.808109497816591</v>
      </c>
      <c r="N3">
        <f>I7</f>
        <v>0.2620242203211563</v>
      </c>
      <c r="P3" t="str">
        <f t="shared" ref="P3:P22" si="15">A3</f>
        <v>Voronoi Fiber Diameter</v>
      </c>
      <c r="Q3">
        <f>ABS(B3-K2)</f>
        <v>7.1534755458515278</v>
      </c>
      <c r="R3">
        <f>ABS(C3-K2)</f>
        <v>6.4079978165938876</v>
      </c>
      <c r="S3">
        <f>ABS(D3-K2)</f>
        <v>7.5238091703056753</v>
      </c>
      <c r="T3">
        <f>ABS(E3-K2)</f>
        <v>7.1628580786026212</v>
      </c>
      <c r="U3">
        <f>ABS(F3-K2)</f>
        <v>6.9860277292576427</v>
      </c>
      <c r="V3">
        <f>ABS(G3-K2)</f>
        <v>7.6543537117903924</v>
      </c>
      <c r="W3">
        <f>AVERAGE(Q3:V3)</f>
        <v>7.1480870087336248</v>
      </c>
      <c r="X3">
        <f>STDEV(Q3:V3)</f>
        <v>0.44084363680198729</v>
      </c>
      <c r="Z3" t="str">
        <f>P7</f>
        <v>Super Pixel</v>
      </c>
      <c r="AA3" s="4">
        <f>W7</f>
        <v>2.2758905021834068</v>
      </c>
      <c r="AB3" s="4">
        <f>X7</f>
        <v>0.26202422032115541</v>
      </c>
      <c r="AD3" t="str">
        <f t="shared" ref="AD3:AD18" si="16">A3</f>
        <v>Voronoi Fiber Diameter</v>
      </c>
      <c r="AE3" s="1">
        <f t="shared" ref="AE3:AJ8" si="17">ABS(B3-$K$2)/$K$2</f>
        <v>0.23013368761586436</v>
      </c>
      <c r="AF3" s="1">
        <f t="shared" si="17"/>
        <v>0.2061510042656636</v>
      </c>
      <c r="AG3" s="1">
        <f t="shared" si="17"/>
        <v>0.24204765056960736</v>
      </c>
      <c r="AH3" s="1">
        <f t="shared" si="17"/>
        <v>0.23043553206159509</v>
      </c>
      <c r="AI3" s="1">
        <f t="shared" si="17"/>
        <v>0.22474674202990744</v>
      </c>
      <c r="AJ3" s="1">
        <f t="shared" si="17"/>
        <v>0.24624738488580597</v>
      </c>
      <c r="AK3" s="1">
        <f>AVERAGE(AE3:AJ3)</f>
        <v>0.22996033357140733</v>
      </c>
      <c r="AL3" s="1">
        <f>STDEV(AE3:AJ3)</f>
        <v>1.418233293018876E-2</v>
      </c>
      <c r="AN3" t="str">
        <f>AD7</f>
        <v>Super Pixel</v>
      </c>
      <c r="AO3" s="3">
        <f>AK7</f>
        <v>7.3217427042317818E-2</v>
      </c>
      <c r="AP3" s="3">
        <f>AL7</f>
        <v>8.4295528349361808E-3</v>
      </c>
      <c r="AS3" t="s">
        <v>21</v>
      </c>
      <c r="AT3" s="2">
        <f>AO3</f>
        <v>7.3217427042317818E-2</v>
      </c>
      <c r="AU3" s="2">
        <f>AO26</f>
        <v>0.10663326162565916</v>
      </c>
      <c r="AV3" s="2">
        <f>AO49</f>
        <v>4.8217680950718995E-2</v>
      </c>
      <c r="AW3" s="2">
        <f>AP3</f>
        <v>8.4295528349361808E-3</v>
      </c>
      <c r="AX3" s="2">
        <f>AP26</f>
        <v>4.1642174577308295E-2</v>
      </c>
      <c r="AY3" s="2">
        <f>AP49</f>
        <v>2.2287209491543378E-2</v>
      </c>
    </row>
    <row r="4" spans="1:51" x14ac:dyDescent="0.25">
      <c r="A4" t="s">
        <v>2</v>
      </c>
      <c r="B4">
        <v>26.973629475982531</v>
      </c>
      <c r="C4">
        <v>26.793695633187774</v>
      </c>
      <c r="D4">
        <v>27.042657641921398</v>
      </c>
      <c r="E4">
        <v>27.697814410480348</v>
      </c>
      <c r="F4">
        <v>26.248912008733623</v>
      </c>
      <c r="G4">
        <v>25.165086681222704</v>
      </c>
      <c r="H4">
        <f t="shared" ref="H4:H8" si="18">AVERAGE(B4:G4)</f>
        <v>26.653632641921394</v>
      </c>
      <c r="I4">
        <f t="shared" ref="I4:I7" si="19">STDEV(B4:G4)</f>
        <v>0.86524441631111859</v>
      </c>
      <c r="K4" s="1"/>
      <c r="L4" t="s">
        <v>22</v>
      </c>
      <c r="M4">
        <f>H8</f>
        <v>31.525266666666667</v>
      </c>
      <c r="N4">
        <f>I8</f>
        <v>1.4239051674939873</v>
      </c>
      <c r="P4" t="str">
        <f t="shared" si="15"/>
        <v>Voronoi Fiber Diameter_Corr</v>
      </c>
      <c r="Q4">
        <f>ABS(B4-K2)</f>
        <v>4.1103705240174691</v>
      </c>
      <c r="R4">
        <f>ABS(C4-K2)</f>
        <v>4.2903043668122258</v>
      </c>
      <c r="S4">
        <f>ABS(D4-K2)</f>
        <v>4.0413423580786016</v>
      </c>
      <c r="T4">
        <f>ABS(E4-K2)</f>
        <v>3.386185589519652</v>
      </c>
      <c r="U4">
        <f>ABS(F4-K2)</f>
        <v>4.8350879912663771</v>
      </c>
      <c r="V4">
        <f>ABS(G4-K2)</f>
        <v>5.918913318777296</v>
      </c>
      <c r="W4">
        <f t="shared" ref="W4:W12" si="20">AVERAGE(Q4:V4)</f>
        <v>4.4303673580786036</v>
      </c>
      <c r="X4">
        <f t="shared" ref="X4:X12" si="21">STDEV(Q4:V4)</f>
        <v>0.86524441631112092</v>
      </c>
      <c r="Z4" t="s">
        <v>22</v>
      </c>
      <c r="AA4" s="4">
        <f>W8</f>
        <v>0.61406666666666732</v>
      </c>
      <c r="AB4" s="4">
        <f>X8</f>
        <v>0.27931463740138368</v>
      </c>
      <c r="AD4" t="str">
        <f t="shared" si="16"/>
        <v>Voronoi Fiber Diameter_Corr</v>
      </c>
      <c r="AE4" s="1">
        <f t="shared" si="17"/>
        <v>0.13223428529203027</v>
      </c>
      <c r="AF4" s="1">
        <f t="shared" si="17"/>
        <v>0.13802291747562173</v>
      </c>
      <c r="AG4" s="1">
        <f t="shared" si="17"/>
        <v>0.13001358763603788</v>
      </c>
      <c r="AH4" s="1">
        <f t="shared" si="17"/>
        <v>0.10893661013768022</v>
      </c>
      <c r="AI4" s="1">
        <f t="shared" si="17"/>
        <v>0.15554909249988344</v>
      </c>
      <c r="AJ4" s="1">
        <f t="shared" si="17"/>
        <v>0.19041671981653893</v>
      </c>
      <c r="AK4" s="1">
        <f t="shared" ref="AK4:AK8" si="22">AVERAGE(AE4:AJ4)</f>
        <v>0.14252886880963209</v>
      </c>
      <c r="AL4" s="1">
        <f t="shared" ref="AL4:AL8" si="23">STDEV(AE4:AJ4)</f>
        <v>2.7835684477902366E-2</v>
      </c>
      <c r="AN4" t="s">
        <v>22</v>
      </c>
      <c r="AO4" s="3">
        <f>AK8</f>
        <v>1.9755072277270212E-2</v>
      </c>
      <c r="AP4" s="3">
        <f>AL8</f>
        <v>8.9858009716054475E-3</v>
      </c>
      <c r="AS4" t="s">
        <v>22</v>
      </c>
      <c r="AT4" s="2">
        <f>AO4</f>
        <v>1.9755072277270212E-2</v>
      </c>
      <c r="AU4" s="2">
        <f>AO27</f>
        <v>9.9289121083343448E-3</v>
      </c>
      <c r="AV4" s="2">
        <f>AO50</f>
        <v>2.688963344102752E-2</v>
      </c>
      <c r="AW4" s="2">
        <f>AP4</f>
        <v>8.9858009716054475E-3</v>
      </c>
      <c r="AX4" s="2">
        <f>AP27</f>
        <v>7.0973211399986908E-3</v>
      </c>
      <c r="AY4" s="2">
        <f>AP50</f>
        <v>7.8636902998339558E-3</v>
      </c>
    </row>
    <row r="5" spans="1:51" x14ac:dyDescent="0.25">
      <c r="A5" t="s">
        <v>3</v>
      </c>
      <c r="B5">
        <v>30.196560262008731</v>
      </c>
      <c r="C5">
        <v>31.088730131004365</v>
      </c>
      <c r="D5">
        <v>30.176140611353709</v>
      </c>
      <c r="E5">
        <v>30.813455240174669</v>
      </c>
      <c r="F5">
        <v>30.991877947598251</v>
      </c>
      <c r="G5">
        <v>32.508755240174672</v>
      </c>
      <c r="H5">
        <f t="shared" si="18"/>
        <v>30.962586572052402</v>
      </c>
      <c r="I5">
        <f t="shared" si="19"/>
        <v>0.85263608220101361</v>
      </c>
      <c r="K5" s="1"/>
      <c r="L5" t="s">
        <v>14</v>
      </c>
      <c r="M5">
        <f>H17</f>
        <v>48.041993558951965</v>
      </c>
      <c r="N5">
        <f>I17</f>
        <v>15.003866665658453</v>
      </c>
      <c r="P5" t="str">
        <f t="shared" si="15"/>
        <v>Medial Fiber Diameter</v>
      </c>
      <c r="Q5">
        <f>ABS(B5-K2)</f>
        <v>0.88743973799126863</v>
      </c>
      <c r="R5">
        <f>ABS(C5-K2)</f>
        <v>4.7301310043650346E-3</v>
      </c>
      <c r="S5">
        <f>ABS(D5-K2)</f>
        <v>0.90785938864629045</v>
      </c>
      <c r="T5">
        <f>ABS(E5-K2)</f>
        <v>0.27054475982533077</v>
      </c>
      <c r="U5">
        <f>ABS(F5-K2)</f>
        <v>9.2122052401748533E-2</v>
      </c>
      <c r="V5">
        <f>ABS(G5-K2)</f>
        <v>1.4247552401746724</v>
      </c>
      <c r="W5">
        <f t="shared" si="20"/>
        <v>0.59790855167394596</v>
      </c>
      <c r="X5">
        <f t="shared" si="21"/>
        <v>0.56185780216748382</v>
      </c>
      <c r="Z5" t="str">
        <f>P17</f>
        <v>BoneJ Mean</v>
      </c>
      <c r="AA5" s="4">
        <f>W17</f>
        <v>16.957993558951966</v>
      </c>
      <c r="AB5" s="4">
        <f>X17</f>
        <v>3.6180394890713181</v>
      </c>
      <c r="AD5" t="str">
        <f t="shared" si="16"/>
        <v>Medial Fiber Diameter</v>
      </c>
      <c r="AE5" s="1">
        <f t="shared" si="17"/>
        <v>2.8549727769632886E-2</v>
      </c>
      <c r="AF5" s="1">
        <f t="shared" si="17"/>
        <v>1.5217253263302775E-4</v>
      </c>
      <c r="AG5" s="1">
        <f t="shared" si="17"/>
        <v>2.9206646140982194E-2</v>
      </c>
      <c r="AH5" s="1">
        <f t="shared" si="17"/>
        <v>8.7036661892076553E-3</v>
      </c>
      <c r="AI5" s="1">
        <f t="shared" si="17"/>
        <v>2.9636485781028353E-3</v>
      </c>
      <c r="AJ5" s="1">
        <f t="shared" si="17"/>
        <v>4.5835646640544084E-2</v>
      </c>
      <c r="AK5" s="1">
        <f t="shared" si="22"/>
        <v>1.9235251308517113E-2</v>
      </c>
      <c r="AL5" s="1">
        <f t="shared" si="23"/>
        <v>1.8075466547660655E-2</v>
      </c>
      <c r="AN5" t="str">
        <f>AD17</f>
        <v>BoneJ Mean</v>
      </c>
      <c r="AO5" s="3">
        <f>AK17</f>
        <v>0.54555377554214279</v>
      </c>
      <c r="AP5" s="3">
        <f>AL17</f>
        <v>0.11639555684826057</v>
      </c>
      <c r="AS5" t="s">
        <v>23</v>
      </c>
      <c r="AT5" s="2">
        <f>AO5</f>
        <v>0.54555377554214279</v>
      </c>
      <c r="AU5" s="2">
        <f>AO28</f>
        <v>0.75853080723835908</v>
      </c>
      <c r="AV5" s="2">
        <f>AO51</f>
        <v>0.55420186522854964</v>
      </c>
      <c r="AW5" s="2">
        <f>AP5</f>
        <v>0.11639555684826057</v>
      </c>
      <c r="AX5" s="2">
        <f>AP28</f>
        <v>0.42384922479396475</v>
      </c>
      <c r="AY5" s="2">
        <f>AP51</f>
        <v>8.4378866951611467E-2</v>
      </c>
    </row>
    <row r="6" spans="1:51" x14ac:dyDescent="0.25">
      <c r="A6" t="s">
        <v>4</v>
      </c>
      <c r="B6">
        <v>38.609003056768557</v>
      </c>
      <c r="C6">
        <v>38.788554366812228</v>
      </c>
      <c r="D6">
        <v>43.914131659388644</v>
      </c>
      <c r="E6">
        <v>47.717198908296943</v>
      </c>
      <c r="F6">
        <v>39.512842794759827</v>
      </c>
      <c r="G6">
        <v>38.667880349344976</v>
      </c>
      <c r="H6">
        <f t="shared" si="18"/>
        <v>41.201601855895198</v>
      </c>
      <c r="I6">
        <f t="shared" si="19"/>
        <v>3.7848868263458284</v>
      </c>
      <c r="K6" s="1"/>
      <c r="L6" t="s">
        <v>27</v>
      </c>
      <c r="M6">
        <f>H19</f>
        <v>31.135133333333332</v>
      </c>
      <c r="N6">
        <f>I19</f>
        <v>0.62361174709197964</v>
      </c>
      <c r="P6" t="str">
        <f t="shared" si="15"/>
        <v>Medial Fiber Diameter_Corr</v>
      </c>
      <c r="Q6">
        <f>ABS(B6-K2)</f>
        <v>7.5250030567685577</v>
      </c>
      <c r="R6">
        <f>ABS(C6-K2)</f>
        <v>7.7045543668122285</v>
      </c>
      <c r="S6">
        <f>ABS(D6-K2)</f>
        <v>12.830131659388645</v>
      </c>
      <c r="T6">
        <f>ABS(E6-K2)</f>
        <v>16.633198908296944</v>
      </c>
      <c r="U6">
        <f>ABS(F6-K2)</f>
        <v>8.4288427947598272</v>
      </c>
      <c r="V6">
        <f>ABS(G6-K2)</f>
        <v>7.5838803493449767</v>
      </c>
      <c r="W6">
        <f t="shared" si="20"/>
        <v>10.117601855895197</v>
      </c>
      <c r="X6">
        <f t="shared" si="21"/>
        <v>3.7848868263458262</v>
      </c>
      <c r="Z6" t="str">
        <f>P20</f>
        <v>Human SD</v>
      </c>
      <c r="AA6" s="4">
        <f>W19</f>
        <v>0.15566666666666626</v>
      </c>
      <c r="AB6" s="4">
        <f>X19</f>
        <v>0.13742580058586787</v>
      </c>
      <c r="AD6" t="str">
        <f t="shared" si="16"/>
        <v>Medial Fiber Diameter_Corr</v>
      </c>
      <c r="AE6" s="1">
        <f t="shared" si="17"/>
        <v>0.24208605896179894</v>
      </c>
      <c r="AF6" s="1">
        <f t="shared" si="17"/>
        <v>0.247862384725654</v>
      </c>
      <c r="AG6" s="1">
        <f t="shared" si="17"/>
        <v>0.41275677710039393</v>
      </c>
      <c r="AH6" s="1">
        <f t="shared" si="17"/>
        <v>0.53510484198613251</v>
      </c>
      <c r="AI6" s="1">
        <f t="shared" si="17"/>
        <v>0.27116338935657663</v>
      </c>
      <c r="AJ6" s="1">
        <f t="shared" si="17"/>
        <v>0.24398019396940474</v>
      </c>
      <c r="AK6" s="1">
        <f t="shared" si="22"/>
        <v>0.32549227434999345</v>
      </c>
      <c r="AL6" s="1">
        <f t="shared" si="23"/>
        <v>0.12176318447901921</v>
      </c>
      <c r="AN6" t="str">
        <f>AD20</f>
        <v>Human SD</v>
      </c>
      <c r="AO6" s="3">
        <f>AK19</f>
        <v>5.0079354866383432E-3</v>
      </c>
      <c r="AP6" s="3">
        <f>AL19</f>
        <v>4.4211105580320388E-3</v>
      </c>
      <c r="AS6" t="s">
        <v>24</v>
      </c>
      <c r="AT6" s="2">
        <f>AO6</f>
        <v>5.0079354866383432E-3</v>
      </c>
      <c r="AU6" s="2">
        <f>AO29</f>
        <v>1.1943285638166533E-2</v>
      </c>
      <c r="AV6" s="2">
        <f>AO52</f>
        <v>1.4586574129472384E-2</v>
      </c>
      <c r="AW6" s="2">
        <f>AP6</f>
        <v>4.4211105580320388E-3</v>
      </c>
      <c r="AX6" s="2">
        <f>AP29</f>
        <v>5.7516694492991301E-3</v>
      </c>
      <c r="AY6" s="2">
        <f>AP52</f>
        <v>4.397682822318975E-3</v>
      </c>
    </row>
    <row r="7" spans="1:51" x14ac:dyDescent="0.25">
      <c r="A7" t="s">
        <v>21</v>
      </c>
      <c r="B7">
        <v>28.585094541484715</v>
      </c>
      <c r="C7">
        <v>28.941212882096067</v>
      </c>
      <c r="D7">
        <v>28.609399126637555</v>
      </c>
      <c r="E7">
        <v>29.25563449781659</v>
      </c>
      <c r="F7">
        <v>28.62039497816594</v>
      </c>
      <c r="G7">
        <v>28.836920960698688</v>
      </c>
      <c r="H7">
        <f t="shared" si="18"/>
        <v>28.808109497816591</v>
      </c>
      <c r="I7">
        <f t="shared" si="19"/>
        <v>0.2620242203211563</v>
      </c>
      <c r="K7" s="1"/>
      <c r="L7" t="s">
        <v>28</v>
      </c>
      <c r="M7">
        <f>H21</f>
        <v>31.107666666666663</v>
      </c>
      <c r="N7">
        <f>I21</f>
        <v>0.73609397045033143</v>
      </c>
      <c r="P7" t="str">
        <f t="shared" si="15"/>
        <v>Super Pixel</v>
      </c>
      <c r="Q7">
        <f>ABS(B7-K2)</f>
        <v>2.498905458515285</v>
      </c>
      <c r="R7">
        <f>ABS(C7-K2)</f>
        <v>2.1427871179039322</v>
      </c>
      <c r="S7">
        <f>ABS(D7-K2)</f>
        <v>2.4746008733624443</v>
      </c>
      <c r="T7">
        <f>ABS(E7-K2)</f>
        <v>1.8283655021834093</v>
      </c>
      <c r="U7">
        <f>ABS(F7-K2)</f>
        <v>2.4636050218340593</v>
      </c>
      <c r="V7">
        <f>ABS(G7-K2)</f>
        <v>2.2470790393013118</v>
      </c>
      <c r="W7">
        <f t="shared" si="20"/>
        <v>2.2758905021834068</v>
      </c>
      <c r="X7">
        <f t="shared" si="21"/>
        <v>0.26202422032115541</v>
      </c>
      <c r="Z7" t="str">
        <f>P21</f>
        <v>Prc</v>
      </c>
      <c r="AA7" s="4">
        <f>W21</f>
        <v>0.15733333333333258</v>
      </c>
      <c r="AB7" s="4">
        <f>X21</f>
        <v>0.10306826216962611</v>
      </c>
      <c r="AD7" t="str">
        <f t="shared" si="16"/>
        <v>Super Pixel</v>
      </c>
      <c r="AE7" s="1">
        <f t="shared" si="17"/>
        <v>8.0392017067149824E-2</v>
      </c>
      <c r="AF7" s="1">
        <f t="shared" si="17"/>
        <v>6.8935372471494408E-2</v>
      </c>
      <c r="AG7" s="1">
        <f t="shared" si="17"/>
        <v>7.9610116888509982E-2</v>
      </c>
      <c r="AH7" s="1">
        <f t="shared" si="17"/>
        <v>5.8820148699762237E-2</v>
      </c>
      <c r="AI7" s="1">
        <f t="shared" si="17"/>
        <v>7.9256370538993023E-2</v>
      </c>
      <c r="AJ7" s="1">
        <f t="shared" si="17"/>
        <v>7.2290536587997417E-2</v>
      </c>
      <c r="AK7" s="1">
        <f t="shared" si="22"/>
        <v>7.3217427042317818E-2</v>
      </c>
      <c r="AL7" s="1">
        <f t="shared" si="23"/>
        <v>8.4295528349361808E-3</v>
      </c>
      <c r="AN7" t="str">
        <f>AD21</f>
        <v>Prc</v>
      </c>
      <c r="AO7" s="3">
        <f>AK21</f>
        <v>5.0615536396001991E-3</v>
      </c>
      <c r="AP7" s="3">
        <f>AL21</f>
        <v>3.3157979079148797E-3</v>
      </c>
      <c r="AS7" t="str">
        <f>AN7</f>
        <v>Prc</v>
      </c>
      <c r="AT7" s="2">
        <f>AO7</f>
        <v>5.0615536396001991E-3</v>
      </c>
      <c r="AU7" s="2">
        <f>AO30</f>
        <v>1.2391646198032456E-2</v>
      </c>
      <c r="AV7" s="2">
        <f>AO53</f>
        <v>2.6375094730964128E-2</v>
      </c>
      <c r="AW7" s="2">
        <f>AP7</f>
        <v>3.3157979079148797E-3</v>
      </c>
      <c r="AX7" s="2">
        <f>AP30</f>
        <v>1.5964331079395166E-2</v>
      </c>
      <c r="AY7" s="2">
        <f>AP53</f>
        <v>6.9172908170932841E-3</v>
      </c>
    </row>
    <row r="8" spans="1:51" x14ac:dyDescent="0.25">
      <c r="A8" t="s">
        <v>5</v>
      </c>
      <c r="B8">
        <f>2*15.862</f>
        <v>31.724</v>
      </c>
      <c r="C8">
        <f>2*15.968</f>
        <v>31.936</v>
      </c>
      <c r="D8">
        <f>2*15.2828</f>
        <v>30.5656</v>
      </c>
      <c r="E8">
        <f>2*15.977</f>
        <v>31.954000000000001</v>
      </c>
      <c r="F8">
        <f>15.598*2</f>
        <v>31.196000000000002</v>
      </c>
      <c r="G8">
        <f>15.888*2</f>
        <v>31.776</v>
      </c>
      <c r="H8">
        <f t="shared" si="18"/>
        <v>31.525266666666667</v>
      </c>
      <c r="I8">
        <f>H9</f>
        <v>1.4239051674939873</v>
      </c>
      <c r="K8" s="1"/>
      <c r="P8" t="str">
        <f t="shared" si="15"/>
        <v>Mean Histogram Fiber Diameter</v>
      </c>
      <c r="Q8">
        <f>ABS(B8-K2)</f>
        <v>0.64000000000000057</v>
      </c>
      <c r="R8">
        <f>ABS(C8-K2)</f>
        <v>0.85200000000000031</v>
      </c>
      <c r="S8">
        <f>ABS(D8-K2)</f>
        <v>0.51839999999999975</v>
      </c>
      <c r="T8">
        <f>ABS(E8-K2)</f>
        <v>0.87000000000000099</v>
      </c>
      <c r="U8">
        <f>ABS(F8-K2)</f>
        <v>0.11200000000000188</v>
      </c>
      <c r="V8">
        <f>ABS(G8-K2)</f>
        <v>0.69200000000000017</v>
      </c>
      <c r="W8">
        <f t="shared" si="20"/>
        <v>0.61406666666666732</v>
      </c>
      <c r="X8">
        <f t="shared" si="21"/>
        <v>0.27931463740138368</v>
      </c>
      <c r="AA8" s="4"/>
      <c r="AB8" s="4"/>
      <c r="AD8" t="str">
        <f t="shared" si="16"/>
        <v>Mean Histogram Fiber Diameter</v>
      </c>
      <c r="AE8" s="1">
        <f t="shared" si="17"/>
        <v>2.0589370737356859E-2</v>
      </c>
      <c r="AF8" s="1">
        <f t="shared" si="17"/>
        <v>2.7409599794106301E-2</v>
      </c>
      <c r="AG8" s="1">
        <f t="shared" si="17"/>
        <v>1.6677390297259034E-2</v>
      </c>
      <c r="AH8" s="1">
        <f t="shared" si="17"/>
        <v>2.7988675846094487E-2</v>
      </c>
      <c r="AI8" s="1">
        <f t="shared" si="17"/>
        <v>3.6031398790375073E-3</v>
      </c>
      <c r="AJ8" s="1">
        <f t="shared" si="17"/>
        <v>2.2262257109767088E-2</v>
      </c>
      <c r="AK8" s="1">
        <f t="shared" si="22"/>
        <v>1.9755072277270212E-2</v>
      </c>
      <c r="AL8" s="1">
        <f t="shared" si="23"/>
        <v>8.9858009716054475E-3</v>
      </c>
    </row>
    <row r="9" spans="1:51" x14ac:dyDescent="0.25">
      <c r="A9" t="s">
        <v>6</v>
      </c>
      <c r="B9">
        <f>2*1.658/2.355</f>
        <v>1.4080679405520169</v>
      </c>
      <c r="C9">
        <f>2*1.8683/2.355</f>
        <v>1.5866666666666667</v>
      </c>
      <c r="D9">
        <f>2*1.4786/2.355</f>
        <v>1.2557112526539278</v>
      </c>
      <c r="E9">
        <f>2.4036*2/2.355</f>
        <v>2.0412738853503183</v>
      </c>
      <c r="F9">
        <f>1.1029*2/2.355</f>
        <v>0.93664543524416133</v>
      </c>
      <c r="G9">
        <f>1.2031*2/2.355</f>
        <v>1.0217409766454353</v>
      </c>
      <c r="H9">
        <f>SQRT((B9^2+C9^2+D9^2+E9^2+F9^2+G9^2)/6)</f>
        <v>1.4239051674939873</v>
      </c>
      <c r="K9" s="1"/>
      <c r="P9" t="str">
        <f t="shared" si="15"/>
        <v>Stand Deviation of Histogram Mean</v>
      </c>
      <c r="Q9">
        <f>ABS(B9-K2)</f>
        <v>29.675932059447984</v>
      </c>
      <c r="R9">
        <f>ABS(C9-K2)</f>
        <v>29.497333333333334</v>
      </c>
      <c r="S9">
        <f>ABS(D9-K2)</f>
        <v>29.828288747346072</v>
      </c>
      <c r="T9">
        <f>ABS(E9-K2)</f>
        <v>29.042726114649682</v>
      </c>
      <c r="U9">
        <f>ABS(F9-K2)</f>
        <v>30.147354564755837</v>
      </c>
      <c r="V9">
        <f>ABS(G9-K2)</f>
        <v>30.062259023354564</v>
      </c>
      <c r="W9">
        <f t="shared" si="20"/>
        <v>29.70898230714791</v>
      </c>
      <c r="X9">
        <f t="shared" si="21"/>
        <v>0.40521441784783779</v>
      </c>
      <c r="AA9" s="4"/>
      <c r="AB9" s="4"/>
      <c r="AD9" t="str">
        <f t="shared" si="16"/>
        <v>Stand Deviation of Histogram Mean</v>
      </c>
      <c r="AE9" s="1"/>
      <c r="AF9" s="1">
        <f t="shared" ref="AF9:AJ12" si="24">ABS(C9-$K$2)/$K$2</f>
        <v>0.9489555183803029</v>
      </c>
      <c r="AG9" s="1">
        <f t="shared" si="24"/>
        <v>0.95960264918755867</v>
      </c>
      <c r="AH9" s="1">
        <f t="shared" si="24"/>
        <v>0.93433039874693358</v>
      </c>
      <c r="AI9" s="1">
        <f t="shared" si="24"/>
        <v>0.96986728106922648</v>
      </c>
      <c r="AJ9" s="1">
        <f t="shared" si="24"/>
        <v>0.9671296816160907</v>
      </c>
      <c r="AK9" s="1"/>
      <c r="AL9" s="1"/>
    </row>
    <row r="10" spans="1:51" x14ac:dyDescent="0.25">
      <c r="A10" t="s">
        <v>7</v>
      </c>
      <c r="B10">
        <v>31.441048034934497</v>
      </c>
      <c r="C10">
        <v>31.441048034934497</v>
      </c>
      <c r="D10">
        <v>31.441048034934497</v>
      </c>
      <c r="E10">
        <v>31.441048034934497</v>
      </c>
      <c r="F10">
        <v>31.441048034934497</v>
      </c>
      <c r="G10">
        <v>31.441048034934497</v>
      </c>
      <c r="H10">
        <f t="shared" ref="H10:H17" si="25">AVERAGE(B10:G10)</f>
        <v>31.4410480349345</v>
      </c>
      <c r="I10">
        <f t="shared" ref="I10:I16" si="26">STDEV(B10:G10)</f>
        <v>3.891802844472395E-15</v>
      </c>
      <c r="K10" s="1"/>
      <c r="P10" t="str">
        <f t="shared" si="15"/>
        <v>Modal Histogram Fiber Diameter</v>
      </c>
      <c r="Q10">
        <f>ABS(B10-K2)</f>
        <v>0.35704803493449688</v>
      </c>
      <c r="R10">
        <f>ABS(C10-K2)</f>
        <v>0.35704803493449688</v>
      </c>
      <c r="S10">
        <f>ABS(D10-K2)</f>
        <v>0.35704803493449688</v>
      </c>
      <c r="T10">
        <f>ABS(E10-K2)</f>
        <v>0.35704803493449688</v>
      </c>
      <c r="U10">
        <f>ABS(F10-K2)</f>
        <v>0.35704803493449688</v>
      </c>
      <c r="V10">
        <f>ABS(G10-K2)</f>
        <v>0.35704803493449688</v>
      </c>
      <c r="W10">
        <f t="shared" si="20"/>
        <v>0.35704803493449688</v>
      </c>
      <c r="X10">
        <f t="shared" si="21"/>
        <v>0</v>
      </c>
      <c r="AA10" s="4"/>
      <c r="AB10" s="4"/>
      <c r="AD10" t="str">
        <f t="shared" si="16"/>
        <v>Modal Histogram Fiber Diameter</v>
      </c>
      <c r="AE10" s="1">
        <f>ABS(B10-$K$2)/$K$2</f>
        <v>1.1486553691111082E-2</v>
      </c>
      <c r="AF10" s="1">
        <f t="shared" si="24"/>
        <v>1.1486553691111082E-2</v>
      </c>
      <c r="AG10" s="1">
        <f t="shared" si="24"/>
        <v>1.1486553691111082E-2</v>
      </c>
      <c r="AH10" s="1">
        <f t="shared" si="24"/>
        <v>1.1486553691111082E-2</v>
      </c>
      <c r="AI10" s="1">
        <f t="shared" si="24"/>
        <v>1.1486553691111082E-2</v>
      </c>
      <c r="AJ10" s="1">
        <f t="shared" si="24"/>
        <v>1.1486553691111082E-2</v>
      </c>
      <c r="AK10" s="1">
        <f t="shared" ref="AK10:AK12" si="27">AVERAGE(AE10:AJ10)</f>
        <v>1.1486553691111082E-2</v>
      </c>
      <c r="AL10" s="1">
        <f t="shared" ref="AL10:AL12" si="28">STDEV(AE10:AJ10)</f>
        <v>0</v>
      </c>
      <c r="AT10" s="5"/>
      <c r="AU10" s="5"/>
    </row>
    <row r="11" spans="1:51" x14ac:dyDescent="0.25">
      <c r="A11" t="s">
        <v>8</v>
      </c>
      <c r="B11">
        <v>31.441048034934497</v>
      </c>
      <c r="C11">
        <v>31.441048034934497</v>
      </c>
      <c r="D11">
        <v>31.441048034934497</v>
      </c>
      <c r="E11">
        <v>31.441048034934497</v>
      </c>
      <c r="F11">
        <v>31.441048034934497</v>
      </c>
      <c r="G11">
        <v>31.441048034934497</v>
      </c>
      <c r="H11">
        <f t="shared" si="25"/>
        <v>31.4410480349345</v>
      </c>
      <c r="I11">
        <f t="shared" si="26"/>
        <v>3.891802844472395E-15</v>
      </c>
      <c r="K11" s="1"/>
      <c r="P11" t="str">
        <f t="shared" si="15"/>
        <v>Median Histogram Fiber Diameter</v>
      </c>
      <c r="Q11">
        <f>ABS(B11-K2)</f>
        <v>0.35704803493449688</v>
      </c>
      <c r="R11">
        <f>ABS(C11-K2)</f>
        <v>0.35704803493449688</v>
      </c>
      <c r="S11">
        <f>ABS(D11-K2)</f>
        <v>0.35704803493449688</v>
      </c>
      <c r="T11">
        <f>ABS(E11-K2)</f>
        <v>0.35704803493449688</v>
      </c>
      <c r="U11">
        <f>ABS(F11-K2)</f>
        <v>0.35704803493449688</v>
      </c>
      <c r="V11">
        <f>ABS(G11-K2)</f>
        <v>0.35704803493449688</v>
      </c>
      <c r="W11">
        <f t="shared" si="20"/>
        <v>0.35704803493449688</v>
      </c>
      <c r="X11">
        <f t="shared" si="21"/>
        <v>0</v>
      </c>
      <c r="AA11" s="4"/>
      <c r="AB11" s="4"/>
      <c r="AD11" t="str">
        <f t="shared" si="16"/>
        <v>Median Histogram Fiber Diameter</v>
      </c>
      <c r="AE11" s="1">
        <f>ABS(B11-$K$2)/$K$2</f>
        <v>1.1486553691111082E-2</v>
      </c>
      <c r="AF11" s="1">
        <f t="shared" si="24"/>
        <v>1.1486553691111082E-2</v>
      </c>
      <c r="AG11" s="1">
        <f t="shared" si="24"/>
        <v>1.1486553691111082E-2</v>
      </c>
      <c r="AH11" s="1">
        <f t="shared" si="24"/>
        <v>1.1486553691111082E-2</v>
      </c>
      <c r="AI11" s="1">
        <f t="shared" si="24"/>
        <v>1.1486553691111082E-2</v>
      </c>
      <c r="AJ11" s="1">
        <f t="shared" si="24"/>
        <v>1.1486553691111082E-2</v>
      </c>
      <c r="AK11" s="1">
        <f t="shared" si="27"/>
        <v>1.1486553691111082E-2</v>
      </c>
      <c r="AL11" s="1">
        <f t="shared" si="28"/>
        <v>0</v>
      </c>
      <c r="AT11" s="5"/>
      <c r="AU11" s="5"/>
    </row>
    <row r="12" spans="1:51" x14ac:dyDescent="0.25">
      <c r="A12" t="s">
        <v>9</v>
      </c>
      <c r="B12">
        <v>32.244704148471612</v>
      </c>
      <c r="C12">
        <v>33.250193449781655</v>
      </c>
      <c r="D12">
        <v>32.714057423580783</v>
      </c>
      <c r="E12">
        <v>33.321458515283837</v>
      </c>
      <c r="F12">
        <v>32.572499344978162</v>
      </c>
      <c r="G12">
        <v>32.050986026200867</v>
      </c>
      <c r="H12">
        <f t="shared" si="25"/>
        <v>32.692316484716152</v>
      </c>
      <c r="I12">
        <f t="shared" si="26"/>
        <v>0.5164371750276997</v>
      </c>
      <c r="K12" s="1"/>
      <c r="P12" t="str">
        <f t="shared" si="15"/>
        <v>Weighted Fiber Diameter Average</v>
      </c>
      <c r="Q12">
        <f>ABS(B12-K2)</f>
        <v>1.1607041484716127</v>
      </c>
      <c r="R12">
        <f>ABS(C12-K2)</f>
        <v>2.1661934497816553</v>
      </c>
      <c r="S12">
        <f>ABS(D12-K2)</f>
        <v>1.6300574235807836</v>
      </c>
      <c r="T12">
        <f>ABS(E12-K2)</f>
        <v>2.2374585152838371</v>
      </c>
      <c r="U12">
        <f>ABS(F12-K2)</f>
        <v>1.4884993449781625</v>
      </c>
      <c r="V12">
        <f>ABS(G12-K2)</f>
        <v>0.9669860262008676</v>
      </c>
      <c r="W12">
        <f t="shared" si="20"/>
        <v>1.6083164847161531</v>
      </c>
      <c r="X12">
        <f t="shared" si="21"/>
        <v>0.51643717502769992</v>
      </c>
      <c r="AA12" s="4"/>
      <c r="AB12" s="4"/>
      <c r="AD12" t="str">
        <f t="shared" si="16"/>
        <v>Weighted Fiber Diameter Average</v>
      </c>
      <c r="AE12" s="1">
        <f>ABS(B12-$K$2)/$K$2</f>
        <v>3.7340887545734551E-2</v>
      </c>
      <c r="AF12" s="1">
        <f t="shared" si="24"/>
        <v>6.9688375041232001E-2</v>
      </c>
      <c r="AG12" s="1">
        <f t="shared" si="24"/>
        <v>5.2440400964508548E-2</v>
      </c>
      <c r="AH12" s="1">
        <f t="shared" si="24"/>
        <v>7.1981035750992059E-2</v>
      </c>
      <c r="AI12" s="1">
        <f t="shared" si="24"/>
        <v>4.7886351337606568E-2</v>
      </c>
      <c r="AJ12" s="1">
        <f t="shared" si="24"/>
        <v>3.1108802798895496E-2</v>
      </c>
      <c r="AK12" s="1">
        <f t="shared" si="27"/>
        <v>5.1740975573161534E-2</v>
      </c>
      <c r="AL12" s="1">
        <f t="shared" si="28"/>
        <v>1.6614244467497756E-2</v>
      </c>
      <c r="AT12" s="5"/>
      <c r="AU12" s="5"/>
    </row>
    <row r="13" spans="1:51" x14ac:dyDescent="0.25">
      <c r="A13" t="s">
        <v>10</v>
      </c>
      <c r="B13">
        <v>3355.297632969432</v>
      </c>
      <c r="C13">
        <v>5614.0985652838417</v>
      </c>
      <c r="D13">
        <v>2558.461812445415</v>
      </c>
      <c r="E13">
        <v>4259.5590582969435</v>
      </c>
      <c r="F13">
        <v>3224.447325327511</v>
      </c>
      <c r="G13">
        <v>6193.4770742358078</v>
      </c>
      <c r="H13">
        <f t="shared" si="25"/>
        <v>4200.8902447598257</v>
      </c>
      <c r="I13">
        <f t="shared" si="26"/>
        <v>1437.8484520407626</v>
      </c>
      <c r="K13" s="1"/>
      <c r="P13" t="str">
        <f t="shared" si="15"/>
        <v>Mean Pore Size</v>
      </c>
      <c r="AA13" s="4"/>
      <c r="AB13" s="4"/>
      <c r="AD13" t="str">
        <f t="shared" si="16"/>
        <v>Mean Pore Size</v>
      </c>
      <c r="AE13" s="1"/>
      <c r="AF13" s="1"/>
      <c r="AG13" s="1"/>
      <c r="AH13" s="1"/>
      <c r="AI13" s="1"/>
      <c r="AJ13" s="1"/>
      <c r="AK13" s="1"/>
      <c r="AL13" s="1"/>
      <c r="AT13" s="5"/>
      <c r="AU13" s="5"/>
    </row>
    <row r="14" spans="1:51" x14ac:dyDescent="0.25">
      <c r="A14" t="s">
        <v>11</v>
      </c>
      <c r="B14">
        <v>11.384045633187773</v>
      </c>
      <c r="C14">
        <v>14.035246506550218</v>
      </c>
      <c r="D14">
        <v>11.193270524017466</v>
      </c>
      <c r="E14">
        <v>15.593028602620087</v>
      </c>
      <c r="F14">
        <v>9.2127065502183392</v>
      </c>
      <c r="G14">
        <v>8.8478246724890823</v>
      </c>
      <c r="H14">
        <f t="shared" si="25"/>
        <v>11.711020414847161</v>
      </c>
      <c r="I14">
        <f t="shared" si="26"/>
        <v>2.6565561909298649</v>
      </c>
      <c r="K14" s="1"/>
      <c r="P14" t="str">
        <f t="shared" si="15"/>
        <v>Percent Porosity</v>
      </c>
      <c r="AA14" s="4"/>
      <c r="AB14" s="4"/>
      <c r="AD14" t="str">
        <f t="shared" si="16"/>
        <v>Percent Porosity</v>
      </c>
      <c r="AE14" s="1"/>
      <c r="AF14" s="1"/>
      <c r="AG14" s="1"/>
      <c r="AH14" s="1"/>
      <c r="AI14" s="1"/>
      <c r="AJ14" s="1"/>
      <c r="AK14" s="1"/>
      <c r="AL14" s="1"/>
      <c r="AT14" s="5"/>
      <c r="AU14" s="5"/>
    </row>
    <row r="15" spans="1:51" x14ac:dyDescent="0.25">
      <c r="A15" t="s">
        <v>12</v>
      </c>
      <c r="B15">
        <v>0.63162838427947599</v>
      </c>
      <c r="C15">
        <v>0.5263565502183406</v>
      </c>
      <c r="D15">
        <v>0.87726157205240174</v>
      </c>
      <c r="E15">
        <v>0.83632270742358072</v>
      </c>
      <c r="F15">
        <v>0.50296310043668124</v>
      </c>
      <c r="G15">
        <v>0.30411746724890826</v>
      </c>
      <c r="H15">
        <f t="shared" si="25"/>
        <v>0.61310829694323143</v>
      </c>
      <c r="I15">
        <f t="shared" si="26"/>
        <v>0.21683070914444097</v>
      </c>
      <c r="K15" s="1"/>
      <c r="P15" t="str">
        <f t="shared" si="15"/>
        <v>Intersection Density (100x100px)</v>
      </c>
      <c r="AA15" s="4"/>
      <c r="AB15" s="4"/>
      <c r="AD15" t="str">
        <f t="shared" si="16"/>
        <v>Intersection Density (100x100px)</v>
      </c>
      <c r="AE15" s="1"/>
      <c r="AF15" s="1"/>
      <c r="AG15" s="1"/>
      <c r="AH15" s="1"/>
      <c r="AI15" s="1"/>
      <c r="AJ15" s="1"/>
      <c r="AK15" s="1"/>
      <c r="AL15" s="1"/>
    </row>
    <row r="16" spans="1:51" x14ac:dyDescent="0.25">
      <c r="A16" t="s">
        <v>13</v>
      </c>
      <c r="B16">
        <v>100.19711331877728</v>
      </c>
      <c r="C16">
        <v>103.03493449781659</v>
      </c>
      <c r="D16">
        <v>77.906113755458506</v>
      </c>
      <c r="E16">
        <v>77.590313318777291</v>
      </c>
      <c r="F16">
        <v>105.93454847161571</v>
      </c>
      <c r="G16">
        <v>144.89838733624453</v>
      </c>
      <c r="H16">
        <f t="shared" si="25"/>
        <v>101.59356844978164</v>
      </c>
      <c r="I16">
        <f t="shared" si="26"/>
        <v>24.639118637387785</v>
      </c>
      <c r="K16" s="1"/>
      <c r="P16" t="str">
        <f t="shared" si="15"/>
        <v>Characteristic Length</v>
      </c>
      <c r="AA16" s="4"/>
      <c r="AB16" s="4"/>
      <c r="AD16" t="str">
        <f t="shared" si="16"/>
        <v>Characteristic Length</v>
      </c>
      <c r="AE16" s="1"/>
      <c r="AF16" s="1"/>
      <c r="AG16" s="1"/>
      <c r="AH16" s="1"/>
      <c r="AI16" s="1"/>
      <c r="AJ16" s="1"/>
      <c r="AK16" s="1"/>
      <c r="AL16" s="1"/>
    </row>
    <row r="17" spans="1:42" x14ac:dyDescent="0.25">
      <c r="A17" t="s">
        <v>14</v>
      </c>
      <c r="B17">
        <v>48.284418995633189</v>
      </c>
      <c r="C17">
        <v>46.633056550218342</v>
      </c>
      <c r="D17">
        <v>51.601687336244538</v>
      </c>
      <c r="E17">
        <v>51.876107423580784</v>
      </c>
      <c r="F17">
        <v>47.813282096069869</v>
      </c>
      <c r="G17">
        <v>42.04340895196507</v>
      </c>
      <c r="H17">
        <f t="shared" si="25"/>
        <v>48.041993558951965</v>
      </c>
      <c r="I17">
        <f>H18</f>
        <v>15.003866665658453</v>
      </c>
      <c r="K17" s="1"/>
      <c r="P17" t="str">
        <f t="shared" si="15"/>
        <v>BoneJ Mean</v>
      </c>
      <c r="Q17">
        <f>ABS(B17-K2)</f>
        <v>17.200418995633189</v>
      </c>
      <c r="R17">
        <f>ABS(C17-K2)</f>
        <v>15.549056550218342</v>
      </c>
      <c r="S17">
        <f>ABS(D17-K2)</f>
        <v>20.517687336244538</v>
      </c>
      <c r="T17">
        <f>ABS(E17-K2)</f>
        <v>20.792107423580784</v>
      </c>
      <c r="U17">
        <f>ABS(F17-K2)</f>
        <v>16.72928209606987</v>
      </c>
      <c r="V17">
        <f>ABS(G17-K2)</f>
        <v>10.95940895196507</v>
      </c>
      <c r="W17">
        <f t="shared" ref="W17" si="29">AVERAGE(Q17:V17)</f>
        <v>16.957993558951966</v>
      </c>
      <c r="X17">
        <f t="shared" ref="X17" si="30">STDEV(Q17:V17)</f>
        <v>3.6180394890713181</v>
      </c>
      <c r="AA17" s="4"/>
      <c r="AB17" s="4"/>
      <c r="AD17" t="str">
        <f t="shared" si="16"/>
        <v>BoneJ Mean</v>
      </c>
      <c r="AE17" s="1">
        <f t="shared" ref="AE17:AJ17" si="31">ABS(B17-$K$2)/$K$2</f>
        <v>0.55335281802963554</v>
      </c>
      <c r="AF17" s="1">
        <f t="shared" si="31"/>
        <v>0.5002270155133941</v>
      </c>
      <c r="AG17" s="1">
        <f t="shared" si="31"/>
        <v>0.66007229881110985</v>
      </c>
      <c r="AH17" s="1">
        <f t="shared" si="31"/>
        <v>0.66890063774227204</v>
      </c>
      <c r="AI17" s="1">
        <f t="shared" si="31"/>
        <v>0.53819592382157611</v>
      </c>
      <c r="AJ17" s="1">
        <f t="shared" si="31"/>
        <v>0.35257395933486907</v>
      </c>
      <c r="AK17" s="1">
        <f t="shared" ref="AK17" si="32">AVERAGE(AE17:AJ17)</f>
        <v>0.54555377554214279</v>
      </c>
      <c r="AL17" s="1">
        <f t="shared" ref="AL17" si="33">STDEV(AE17:AJ17)</f>
        <v>0.11639555684826057</v>
      </c>
    </row>
    <row r="18" spans="1:42" x14ac:dyDescent="0.25">
      <c r="A18" t="s">
        <v>15</v>
      </c>
      <c r="B18">
        <v>15.050305676855896</v>
      </c>
      <c r="C18">
        <v>14.264184497816595</v>
      </c>
      <c r="D18">
        <v>16.811515283842795</v>
      </c>
      <c r="E18">
        <v>17.055566593886461</v>
      </c>
      <c r="F18">
        <v>14.350668340611353</v>
      </c>
      <c r="G18">
        <v>11.885131441048035</v>
      </c>
      <c r="H18">
        <f>SQRT((B18^2+C18^2+D18^2+E18^2+F18^2+G18^2)/6)</f>
        <v>15.003866665658453</v>
      </c>
      <c r="K18" s="1"/>
      <c r="P18" t="str">
        <f t="shared" si="15"/>
        <v>BoneJ SD</v>
      </c>
      <c r="AA18" s="4"/>
      <c r="AB18" s="4"/>
      <c r="AD18" t="str">
        <f t="shared" si="16"/>
        <v>BoneJ SD</v>
      </c>
      <c r="AE18" s="1"/>
      <c r="AF18" s="1"/>
      <c r="AG18" s="1"/>
      <c r="AH18" s="1"/>
      <c r="AI18" s="1"/>
      <c r="AJ18" s="1"/>
    </row>
    <row r="19" spans="1:42" x14ac:dyDescent="0.25">
      <c r="A19" t="s">
        <v>24</v>
      </c>
      <c r="B19">
        <v>31.3748</v>
      </c>
      <c r="C19">
        <v>30.880800000000001</v>
      </c>
      <c r="D19">
        <v>31.413599999999999</v>
      </c>
      <c r="E19">
        <v>31.018799999999999</v>
      </c>
      <c r="F19">
        <v>31.056000000000001</v>
      </c>
      <c r="G19">
        <v>31.066800000000001</v>
      </c>
      <c r="H19">
        <f t="shared" ref="H19" si="34">AVERAGE(B19:G19)</f>
        <v>31.135133333333332</v>
      </c>
      <c r="I19">
        <f>H20</f>
        <v>0.62361174709197964</v>
      </c>
      <c r="K19" s="1"/>
      <c r="P19" t="str">
        <f t="shared" si="15"/>
        <v>Human</v>
      </c>
      <c r="Q19">
        <f>ABS(B19-K2)</f>
        <v>0.29080000000000084</v>
      </c>
      <c r="R19">
        <f>ABS(C19-K2)</f>
        <v>0.20319999999999894</v>
      </c>
      <c r="S19">
        <f>ABS(D19-K2)</f>
        <v>0.32959999999999923</v>
      </c>
      <c r="T19">
        <f>ABS(E19-K2)</f>
        <v>6.5200000000000813E-2</v>
      </c>
      <c r="U19">
        <f>ABS(F19-K2)</f>
        <v>2.7999999999998693E-2</v>
      </c>
      <c r="V19">
        <f>ABS(G19-K2)</f>
        <v>1.7199999999998994E-2</v>
      </c>
      <c r="W19">
        <f t="shared" ref="W19" si="35">AVERAGE(Q19:V19)</f>
        <v>0.15566666666666626</v>
      </c>
      <c r="X19">
        <f t="shared" ref="X19" si="36">STDEV(Q19:V19)</f>
        <v>0.13742580058586787</v>
      </c>
      <c r="AA19" s="4"/>
      <c r="AB19" s="4"/>
      <c r="AD19" t="str">
        <f>A19</f>
        <v>Human</v>
      </c>
      <c r="AE19" s="1">
        <f t="shared" ref="AE19:AJ19" si="37">ABS(B19-$K$2)/$K$2</f>
        <v>9.355295328786541E-3</v>
      </c>
      <c r="AF19" s="1">
        <f t="shared" si="37"/>
        <v>6.5371252091107621E-3</v>
      </c>
      <c r="AG19" s="1">
        <f t="shared" si="37"/>
        <v>1.0603525929738747E-2</v>
      </c>
      <c r="AH19" s="1">
        <f t="shared" si="37"/>
        <v>2.0975421438682541E-3</v>
      </c>
      <c r="AI19" s="1">
        <f t="shared" si="37"/>
        <v>9.0078496975931968E-4</v>
      </c>
      <c r="AJ19" s="1">
        <f t="shared" si="37"/>
        <v>5.5333933856643272E-4</v>
      </c>
      <c r="AK19" s="1">
        <f t="shared" ref="AK19" si="38">AVERAGE(AE19:AJ19)</f>
        <v>5.0079354866383432E-3</v>
      </c>
      <c r="AL19" s="1">
        <f t="shared" ref="AL19" si="39">STDEV(AE19:AJ19)</f>
        <v>4.4211105580320388E-3</v>
      </c>
    </row>
    <row r="20" spans="1:42" x14ac:dyDescent="0.25">
      <c r="A20" t="s">
        <v>27</v>
      </c>
      <c r="B20">
        <v>0.5872685359640285</v>
      </c>
      <c r="C20">
        <v>0.610231650004051</v>
      </c>
      <c r="D20">
        <v>0.59077547906685046</v>
      </c>
      <c r="E20">
        <v>0.59907790255803395</v>
      </c>
      <c r="F20">
        <v>0.76217889413619067</v>
      </c>
      <c r="G20">
        <v>0.57206293360084082</v>
      </c>
      <c r="H20">
        <f>SQRT((B20^2+C20^2+D20^2+E20^2+F20^2+G20^2)/6)</f>
        <v>0.62361174709197964</v>
      </c>
      <c r="K20" s="1"/>
      <c r="P20" t="str">
        <f t="shared" si="15"/>
        <v>Human SD</v>
      </c>
      <c r="AA20" s="4"/>
      <c r="AB20" s="4"/>
      <c r="AD20" t="str">
        <f t="shared" ref="AD20:AD22" si="40">A20</f>
        <v>Human SD</v>
      </c>
      <c r="AK20" s="1"/>
      <c r="AL20" s="1"/>
    </row>
    <row r="21" spans="1:42" x14ac:dyDescent="0.25">
      <c r="A21" t="s">
        <v>28</v>
      </c>
      <c r="B21">
        <v>31.38</v>
      </c>
      <c r="C21">
        <v>30.931999999999999</v>
      </c>
      <c r="D21">
        <v>31.077000000000002</v>
      </c>
      <c r="E21">
        <v>31.331</v>
      </c>
      <c r="F21">
        <v>30.946000000000002</v>
      </c>
      <c r="G21">
        <v>30.98</v>
      </c>
      <c r="H21">
        <f t="shared" ref="H21" si="41">AVERAGE(B21:G21)</f>
        <v>31.107666666666663</v>
      </c>
      <c r="I21">
        <f>H22</f>
        <v>0.73609397045033143</v>
      </c>
      <c r="K21" s="1"/>
      <c r="P21" t="str">
        <f t="shared" si="15"/>
        <v>Prc</v>
      </c>
      <c r="Q21">
        <f>ABS(B21-K2)</f>
        <v>0.29599999999999937</v>
      </c>
      <c r="R21">
        <f>ABS(C21-K2)</f>
        <v>0.15200000000000102</v>
      </c>
      <c r="S21">
        <f>ABS(D21-K2)</f>
        <v>6.9999999999978968E-3</v>
      </c>
      <c r="T21">
        <f>ABS(E21-K2)</f>
        <v>0.24699999999999989</v>
      </c>
      <c r="U21">
        <f>ABS(F21-K2)</f>
        <v>0.13799999999999812</v>
      </c>
      <c r="V21">
        <f>ABS(G21-K2)</f>
        <v>0.1039999999999992</v>
      </c>
      <c r="W21">
        <f t="shared" ref="W21" si="42">AVERAGE(Q21:V21)</f>
        <v>0.15733333333333258</v>
      </c>
      <c r="X21">
        <f t="shared" ref="X21" si="43">STDEV(Q21:V21)</f>
        <v>0.10306826216962611</v>
      </c>
      <c r="AA21" s="4"/>
      <c r="AB21" s="4"/>
      <c r="AD21" t="str">
        <f t="shared" si="40"/>
        <v>Prc</v>
      </c>
      <c r="AE21" s="1">
        <f t="shared" ref="AE21:AJ21" si="44">ABS(B21-$K$2)/$K$2</f>
        <v>9.5225839660275178E-3</v>
      </c>
      <c r="AF21" s="1">
        <f t="shared" si="44"/>
        <v>4.8899755501222823E-3</v>
      </c>
      <c r="AG21" s="1">
        <f t="shared" si="44"/>
        <v>2.2519624243977278E-4</v>
      </c>
      <c r="AH21" s="1">
        <f t="shared" si="44"/>
        <v>7.946210268948652E-3</v>
      </c>
      <c r="AI21" s="1">
        <f t="shared" si="44"/>
        <v>4.439583065242508E-3</v>
      </c>
      <c r="AJ21" s="1">
        <f t="shared" si="44"/>
        <v>3.3457727448204608E-3</v>
      </c>
      <c r="AK21" s="1">
        <f>AVERAGE(AE21:AJ21)</f>
        <v>5.0615536396001991E-3</v>
      </c>
      <c r="AL21" s="1">
        <f>STDEV(AE21:AJ21)</f>
        <v>3.3157979079148797E-3</v>
      </c>
    </row>
    <row r="22" spans="1:42" x14ac:dyDescent="0.25">
      <c r="A22" t="s">
        <v>29</v>
      </c>
      <c r="B22">
        <v>0.75600000000000001</v>
      </c>
      <c r="C22">
        <v>0.86299999999999999</v>
      </c>
      <c r="D22">
        <v>0.65</v>
      </c>
      <c r="E22">
        <v>0.57799999999999996</v>
      </c>
      <c r="F22">
        <v>0.76600000000000001</v>
      </c>
      <c r="G22">
        <v>0.76900000000000002</v>
      </c>
      <c r="H22">
        <f>SQRT((B22^2+C22^2+D22^2+E22^2+F22^2+G22^2)/6)</f>
        <v>0.73609397045033143</v>
      </c>
      <c r="K22" s="1"/>
      <c r="P22" t="str">
        <f t="shared" si="15"/>
        <v>Prc SD</v>
      </c>
      <c r="AA22" s="4"/>
      <c r="AB22" s="4"/>
      <c r="AD22" t="str">
        <f t="shared" si="40"/>
        <v>Prc SD</v>
      </c>
    </row>
    <row r="23" spans="1:42" x14ac:dyDescent="0.25">
      <c r="AA23" s="4"/>
      <c r="AB23" s="4"/>
    </row>
    <row r="24" spans="1:42" ht="31.5" x14ac:dyDescent="0.5">
      <c r="A24" s="11" t="s">
        <v>17</v>
      </c>
      <c r="B24" s="11"/>
      <c r="C24" s="11"/>
      <c r="D24" s="11"/>
      <c r="E24" s="11"/>
      <c r="K24" t="s">
        <v>52</v>
      </c>
      <c r="L24" s="10" t="s">
        <v>53</v>
      </c>
      <c r="M24" s="10"/>
      <c r="N24" s="10"/>
      <c r="P24" s="9" t="s">
        <v>34</v>
      </c>
      <c r="Z24" s="10" t="s">
        <v>53</v>
      </c>
      <c r="AA24" s="10"/>
      <c r="AB24" s="10"/>
      <c r="AD24" s="9" t="s">
        <v>31</v>
      </c>
      <c r="AN24" s="10" t="s">
        <v>53</v>
      </c>
      <c r="AO24" s="10"/>
      <c r="AP24" s="10"/>
    </row>
    <row r="25" spans="1:42" x14ac:dyDescent="0.25">
      <c r="A25" t="s">
        <v>0</v>
      </c>
      <c r="B25" t="s">
        <v>43</v>
      </c>
      <c r="C25" t="s">
        <v>44</v>
      </c>
      <c r="D25" t="s">
        <v>45</v>
      </c>
      <c r="E25" t="s">
        <v>46</v>
      </c>
      <c r="F25" t="s">
        <v>47</v>
      </c>
      <c r="G25" t="s">
        <v>48</v>
      </c>
      <c r="H25" t="s">
        <v>18</v>
      </c>
      <c r="I25" t="s">
        <v>19</v>
      </c>
      <c r="K25">
        <v>25.649000000000001</v>
      </c>
      <c r="L25" t="str">
        <f>L2</f>
        <v>Algorithm</v>
      </c>
      <c r="M25" t="str">
        <f t="shared" ref="M25:N25" si="45">M2</f>
        <v>Mean</v>
      </c>
      <c r="N25" t="str">
        <f t="shared" si="45"/>
        <v>SD</v>
      </c>
      <c r="P25" t="str">
        <f>A25</f>
        <v>Var</v>
      </c>
      <c r="Q25" t="str">
        <f>B25</f>
        <v>50g_m10</v>
      </c>
      <c r="R25" t="str">
        <f t="shared" ref="R25" si="46">C25</f>
        <v>50g_m08</v>
      </c>
      <c r="S25" t="str">
        <f t="shared" ref="S25" si="47">D25</f>
        <v>50g_m06</v>
      </c>
      <c r="T25" t="str">
        <f t="shared" ref="T25" si="48">E25</f>
        <v>50g_m04</v>
      </c>
      <c r="U25" t="str">
        <f t="shared" ref="U25" si="49">F25</f>
        <v>50g_m02</v>
      </c>
      <c r="V25" t="str">
        <f t="shared" ref="V25" si="50">G25</f>
        <v>50g_m03</v>
      </c>
      <c r="W25" t="str">
        <f t="shared" ref="W25" si="51">H25</f>
        <v>Mean</v>
      </c>
      <c r="X25" t="str">
        <f t="shared" ref="X25" si="52">I25</f>
        <v>SD</v>
      </c>
      <c r="Z25" t="str">
        <f>Z2</f>
        <v>Algorithm</v>
      </c>
      <c r="AA25" t="str">
        <f t="shared" ref="AA25:AB25" si="53">AA2</f>
        <v>Mean</v>
      </c>
      <c r="AB25" t="str">
        <f t="shared" si="53"/>
        <v>SD</v>
      </c>
      <c r="AD25" t="str">
        <f>A25</f>
        <v>Var</v>
      </c>
      <c r="AE25" t="str">
        <f t="shared" ref="AE25" si="54">B25</f>
        <v>50g_m10</v>
      </c>
      <c r="AF25" t="str">
        <f t="shared" ref="AF25" si="55">C25</f>
        <v>50g_m08</v>
      </c>
      <c r="AG25" t="str">
        <f t="shared" ref="AG25" si="56">D25</f>
        <v>50g_m06</v>
      </c>
      <c r="AH25" t="str">
        <f t="shared" ref="AH25" si="57">E25</f>
        <v>50g_m04</v>
      </c>
      <c r="AI25" t="str">
        <f t="shared" ref="AI25" si="58">F25</f>
        <v>50g_m02</v>
      </c>
      <c r="AJ25" t="str">
        <f t="shared" ref="AJ25" si="59">G25</f>
        <v>50g_m03</v>
      </c>
      <c r="AK25" t="str">
        <f t="shared" ref="AK25" si="60">H25</f>
        <v>Mean</v>
      </c>
      <c r="AL25" t="str">
        <f t="shared" ref="AL25" si="61">I25</f>
        <v>SD</v>
      </c>
      <c r="AN25" t="str">
        <f>$L$2</f>
        <v>Algorithm</v>
      </c>
      <c r="AO25" t="str">
        <f>$M$2</f>
        <v>Mean</v>
      </c>
      <c r="AP25" t="str">
        <f>$N$2</f>
        <v>SD</v>
      </c>
    </row>
    <row r="26" spans="1:42" x14ac:dyDescent="0.25">
      <c r="A26" t="s">
        <v>1</v>
      </c>
      <c r="B26">
        <v>19.987278132678135</v>
      </c>
      <c r="C26">
        <v>18.201028501228503</v>
      </c>
      <c r="D26">
        <v>20.096367567567569</v>
      </c>
      <c r="E26">
        <v>18.746086486486487</v>
      </c>
      <c r="F26">
        <v>19.050128746928749</v>
      </c>
      <c r="G26">
        <v>10.11747665847666</v>
      </c>
      <c r="H26">
        <f>AVERAGE(B26:G26)</f>
        <v>17.699727682227685</v>
      </c>
      <c r="I26">
        <f>STDEV(B26:G26)</f>
        <v>3.7851566066533691</v>
      </c>
      <c r="L26" t="s">
        <v>21</v>
      </c>
      <c r="M26">
        <f>H30</f>
        <v>22.91396347256347</v>
      </c>
      <c r="N26">
        <f>I30</f>
        <v>1.0680801357333798</v>
      </c>
      <c r="P26" t="str">
        <f t="shared" ref="P26:P45" si="62">A26</f>
        <v>Voronoi Fiber Diameter</v>
      </c>
      <c r="Q26">
        <f>ABS(B26-K25)</f>
        <v>5.6617218673218659</v>
      </c>
      <c r="R26">
        <f>ABS(C26-K25)</f>
        <v>7.4479714987714978</v>
      </c>
      <c r="S26">
        <f>ABS(D26-K25)</f>
        <v>5.5526324324324321</v>
      </c>
      <c r="T26">
        <f>ABS(E26-K25)</f>
        <v>6.9029135135135142</v>
      </c>
      <c r="U26">
        <f>ABS(F26-K25)</f>
        <v>6.5988712530712519</v>
      </c>
      <c r="V26">
        <f>ABS(G26-K25)</f>
        <v>15.531523341523341</v>
      </c>
      <c r="W26">
        <f>AVERAGE(Q26:V26)</f>
        <v>7.9492723177723166</v>
      </c>
      <c r="X26">
        <f>STDEV(Q26:V26)</f>
        <v>3.7851566066533646</v>
      </c>
      <c r="Z26" t="str">
        <f>P30</f>
        <v>Super Pixel</v>
      </c>
      <c r="AA26" s="4">
        <f>W30</f>
        <v>2.7350365274365322</v>
      </c>
      <c r="AB26" s="4">
        <f>X30</f>
        <v>1.0680801357333796</v>
      </c>
      <c r="AD26" t="str">
        <f t="shared" ref="AD26:AD41" si="63">A26</f>
        <v>Voronoi Fiber Diameter</v>
      </c>
      <c r="AE26" s="1">
        <f>ABS(B26-$K$25)/$K$25</f>
        <v>0.22073850315107277</v>
      </c>
      <c r="AF26" s="1">
        <f>ABS(C26-$K$25)/$K$25</f>
        <v>0.29038058009167989</v>
      </c>
      <c r="AG26" s="1">
        <f>ABS(D26-$K$25)/$K$25</f>
        <v>0.21648533792477023</v>
      </c>
      <c r="AH26" s="1">
        <f>ABS(E26-$K$25)/$K$25</f>
        <v>0.26912992761953736</v>
      </c>
      <c r="AI26" s="1">
        <f>ABS(F26-$K$25)/$K$25</f>
        <v>0.257275966044339</v>
      </c>
      <c r="AJ26" s="1">
        <f>ABS(G26-$K$25)/$K$25</f>
        <v>0.60554108704134046</v>
      </c>
      <c r="AK26" s="1">
        <f>AVERAGE(AE26:AJ26)</f>
        <v>0.3099252336454566</v>
      </c>
      <c r="AL26" s="1">
        <f>STDEV(AE26:AJ26)</f>
        <v>0.14757521176862121</v>
      </c>
      <c r="AN26" t="str">
        <f>AD30</f>
        <v>Super Pixel</v>
      </c>
      <c r="AO26" s="3">
        <f>AK30</f>
        <v>0.10663326162565916</v>
      </c>
      <c r="AP26" s="3">
        <f>AL30</f>
        <v>4.1642174577308295E-2</v>
      </c>
    </row>
    <row r="27" spans="1:42" x14ac:dyDescent="0.25">
      <c r="A27" t="s">
        <v>2</v>
      </c>
      <c r="B27">
        <v>19.987278132678135</v>
      </c>
      <c r="C27">
        <v>20.156382800982801</v>
      </c>
      <c r="D27">
        <v>21.690399017199017</v>
      </c>
      <c r="E27">
        <v>20.976529238329242</v>
      </c>
      <c r="F27">
        <v>22.897332186732189</v>
      </c>
      <c r="G27">
        <v>10.706651597051598</v>
      </c>
      <c r="H27">
        <f t="shared" ref="H27:H31" si="64">AVERAGE(B27:G27)</f>
        <v>19.402428828828828</v>
      </c>
      <c r="I27">
        <f t="shared" ref="I27:I30" si="65">STDEV(B27:G27)</f>
        <v>4.3921290083097428</v>
      </c>
      <c r="K27" s="1"/>
      <c r="L27" t="s">
        <v>22</v>
      </c>
      <c r="M27">
        <f>H31</f>
        <v>25.455666666666669</v>
      </c>
      <c r="N27">
        <f>I31</f>
        <v>1.2081813256093756</v>
      </c>
      <c r="P27" t="str">
        <f t="shared" si="62"/>
        <v>Voronoi Fiber Diameter_Corr</v>
      </c>
      <c r="Q27">
        <f>ABS(B27-K25)</f>
        <v>5.6617218673218659</v>
      </c>
      <c r="R27">
        <f>ABS(C27-K25)</f>
        <v>5.4926171990172001</v>
      </c>
      <c r="S27">
        <f>ABS(D27-K25)</f>
        <v>3.9586009828009843</v>
      </c>
      <c r="T27">
        <f>ABS(E27-K25)</f>
        <v>4.672470761670759</v>
      </c>
      <c r="U27">
        <f>ABS(F27-K25)</f>
        <v>2.7516678132678116</v>
      </c>
      <c r="V27">
        <f>ABS(G27-K25)</f>
        <v>14.942348402948403</v>
      </c>
      <c r="W27">
        <f t="shared" ref="W27:W35" si="66">AVERAGE(Q27:V27)</f>
        <v>6.24657117117117</v>
      </c>
      <c r="X27">
        <f t="shared" ref="X27:X35" si="67">STDEV(Q27:V27)</f>
        <v>4.3921290083097366</v>
      </c>
      <c r="Z27" t="s">
        <v>22</v>
      </c>
      <c r="AA27" s="4">
        <f>W31</f>
        <v>0.25466666666666765</v>
      </c>
      <c r="AB27" s="4">
        <f>X31</f>
        <v>0.18203918991982637</v>
      </c>
      <c r="AD27" t="str">
        <f t="shared" si="63"/>
        <v>Voronoi Fiber Diameter_Corr</v>
      </c>
      <c r="AE27" s="1">
        <f>ABS(B27-$K$25)/$K$25</f>
        <v>0.22073850315107277</v>
      </c>
      <c r="AF27" s="1">
        <f>ABS(C27-$K$25)/$K$25</f>
        <v>0.21414547152002808</v>
      </c>
      <c r="AG27" s="1">
        <f>ABS(D27-$K$25)/$K$25</f>
        <v>0.15433743938558947</v>
      </c>
      <c r="AH27" s="1">
        <f>ABS(E27-$K$25)/$K$25</f>
        <v>0.18216970492692733</v>
      </c>
      <c r="AI27" s="1">
        <f>ABS(F27-$K$25)/$K$25</f>
        <v>0.1072816801149289</v>
      </c>
      <c r="AJ27" s="1">
        <f>ABS(G27-$K$25)/$K$25</f>
        <v>0.58257040831800078</v>
      </c>
      <c r="AK27" s="1">
        <f t="shared" ref="AK27:AK31" si="68">AVERAGE(AE27:AJ27)</f>
        <v>0.24354053456942451</v>
      </c>
      <c r="AL27" s="1">
        <f t="shared" ref="AL27:AL31" si="69">STDEV(AE27:AJ27)</f>
        <v>0.17123977575382029</v>
      </c>
      <c r="AN27" t="s">
        <v>22</v>
      </c>
      <c r="AO27" s="3">
        <f>AK31</f>
        <v>9.9289121083343448E-3</v>
      </c>
      <c r="AP27" s="3">
        <f>AL31</f>
        <v>7.0973211399986908E-3</v>
      </c>
    </row>
    <row r="28" spans="1:42" x14ac:dyDescent="0.25">
      <c r="A28" t="s">
        <v>3</v>
      </c>
      <c r="B28">
        <v>24.608889926289926</v>
      </c>
      <c r="C28">
        <v>23.787089434889435</v>
      </c>
      <c r="D28">
        <v>26.545040294840295</v>
      </c>
      <c r="E28">
        <v>24.370269287469288</v>
      </c>
      <c r="F28">
        <v>23.520602457002457</v>
      </c>
      <c r="G28">
        <v>12.772693857493858</v>
      </c>
      <c r="H28">
        <f t="shared" si="64"/>
        <v>22.600764209664206</v>
      </c>
      <c r="I28">
        <f t="shared" si="65"/>
        <v>4.9308309185922603</v>
      </c>
      <c r="K28" s="1"/>
      <c r="L28" t="s">
        <v>14</v>
      </c>
      <c r="M28">
        <f>H40</f>
        <v>45.104556674856674</v>
      </c>
      <c r="N28">
        <f>I40</f>
        <v>19.108630740413158</v>
      </c>
      <c r="P28" t="str">
        <f t="shared" si="62"/>
        <v>Medial Fiber Diameter</v>
      </c>
      <c r="Q28">
        <f>ABS(B28-K25)</f>
        <v>1.0401100737100748</v>
      </c>
      <c r="R28">
        <f>ABS(C28-K25)</f>
        <v>1.8619105651105663</v>
      </c>
      <c r="S28">
        <f>ABS(D28-K25)</f>
        <v>0.89604029484029368</v>
      </c>
      <c r="T28">
        <f>ABS(E28-K25)</f>
        <v>1.278730712530713</v>
      </c>
      <c r="U28">
        <f>ABS(F28-K25)</f>
        <v>2.1283975429975435</v>
      </c>
      <c r="V28">
        <f>ABS(G28-K25)</f>
        <v>12.876306142506143</v>
      </c>
      <c r="W28">
        <f t="shared" si="66"/>
        <v>3.3469158886158894</v>
      </c>
      <c r="X28">
        <f t="shared" si="67"/>
        <v>4.6926504354535679</v>
      </c>
      <c r="Z28" t="str">
        <f>P40</f>
        <v>BoneJ Mean</v>
      </c>
      <c r="AA28" s="4">
        <f>W40</f>
        <v>19.455556674856677</v>
      </c>
      <c r="AB28" s="4">
        <f>X40</f>
        <v>10.871308766740393</v>
      </c>
      <c r="AD28" t="str">
        <f t="shared" si="63"/>
        <v>Medial Fiber Diameter</v>
      </c>
      <c r="AE28" s="1">
        <f>ABS(B28-$K$25)/$K$25</f>
        <v>4.0551681301808057E-2</v>
      </c>
      <c r="AF28" s="1">
        <f>ABS(C28-$K$25)/$K$25</f>
        <v>7.2591935947232497E-2</v>
      </c>
      <c r="AG28" s="1">
        <f>ABS(D28-$K$25)/$K$25</f>
        <v>3.4934706804955112E-2</v>
      </c>
      <c r="AH28" s="1">
        <f>ABS(E28-$K$25)/$K$25</f>
        <v>4.985499288591029E-2</v>
      </c>
      <c r="AI28" s="1">
        <f>ABS(F28-$K$25)/$K$25</f>
        <v>8.2981696869177876E-2</v>
      </c>
      <c r="AJ28" s="1">
        <f>ABS(G28-$K$25)/$K$25</f>
        <v>0.50201981139639529</v>
      </c>
      <c r="AK28" s="1">
        <f t="shared" si="68"/>
        <v>0.13048913753424651</v>
      </c>
      <c r="AL28" s="1">
        <f t="shared" si="69"/>
        <v>0.18295646752129005</v>
      </c>
      <c r="AN28" t="str">
        <f>AD40</f>
        <v>BoneJ Mean</v>
      </c>
      <c r="AO28" s="3">
        <f>AK40</f>
        <v>0.75853080723835908</v>
      </c>
      <c r="AP28" s="3">
        <f>AL40</f>
        <v>0.42384922479396475</v>
      </c>
    </row>
    <row r="29" spans="1:42" x14ac:dyDescent="0.25">
      <c r="A29" t="s">
        <v>4</v>
      </c>
      <c r="B29">
        <v>29.513351842751845</v>
      </c>
      <c r="C29">
        <v>29.121306633906634</v>
      </c>
      <c r="D29">
        <v>31.188551842751842</v>
      </c>
      <c r="E29">
        <v>38.30590909090909</v>
      </c>
      <c r="F29">
        <v>35.196771990171996</v>
      </c>
      <c r="G29">
        <v>14.417926289926291</v>
      </c>
      <c r="H29">
        <f t="shared" si="64"/>
        <v>29.623969615069615</v>
      </c>
      <c r="I29">
        <f t="shared" si="65"/>
        <v>8.2506821159415189</v>
      </c>
      <c r="K29" s="1"/>
      <c r="L29" t="s">
        <v>27</v>
      </c>
      <c r="M29">
        <f>H42</f>
        <v>25.34266666666667</v>
      </c>
      <c r="N29">
        <f>I42</f>
        <v>0.74239054561748175</v>
      </c>
      <c r="P29" t="str">
        <f t="shared" si="62"/>
        <v>Medial Fiber Diameter_Corr</v>
      </c>
      <c r="Q29">
        <f>ABS(B29-K25)</f>
        <v>3.8643518427518444</v>
      </c>
      <c r="R29">
        <f>ABS(C29-K25)</f>
        <v>3.4723066339066335</v>
      </c>
      <c r="S29">
        <f>ABS(D29-K25)</f>
        <v>5.5395518427518411</v>
      </c>
      <c r="T29">
        <f>ABS(E29-K25)</f>
        <v>12.656909090909089</v>
      </c>
      <c r="U29">
        <f>ABS(F29-K25)</f>
        <v>9.5477719901719951</v>
      </c>
      <c r="V29">
        <f>ABS(G29-K25)</f>
        <v>11.23107371007371</v>
      </c>
      <c r="W29">
        <f t="shared" si="66"/>
        <v>7.7186608517608519</v>
      </c>
      <c r="X29">
        <f t="shared" si="67"/>
        <v>3.9422005395188231</v>
      </c>
      <c r="Z29" t="str">
        <f>P43</f>
        <v>Human SD</v>
      </c>
      <c r="AA29" s="4">
        <f>W42</f>
        <v>0.30633333333333351</v>
      </c>
      <c r="AB29" s="4">
        <f>X42</f>
        <v>0.14752456970507327</v>
      </c>
      <c r="AD29" t="str">
        <f t="shared" si="63"/>
        <v>Medial Fiber Diameter_Corr</v>
      </c>
      <c r="AE29" s="1">
        <f>ABS(B29-$K$25)/$K$25</f>
        <v>0.15066286571608423</v>
      </c>
      <c r="AF29" s="1">
        <f>ABS(C29-$K$25)/$K$25</f>
        <v>0.13537785620907769</v>
      </c>
      <c r="AG29" s="1">
        <f>ABS(D29-$K$25)/$K$25</f>
        <v>0.21597535353237324</v>
      </c>
      <c r="AH29" s="1">
        <f>ABS(E29-$K$25)/$K$25</f>
        <v>0.49346598662361452</v>
      </c>
      <c r="AI29" s="1">
        <f>ABS(F29-$K$25)/$K$25</f>
        <v>0.37224733869437382</v>
      </c>
      <c r="AJ29" s="1">
        <f>ABS(G29-$K$25)/$K$25</f>
        <v>0.43787569535162035</v>
      </c>
      <c r="AK29" s="1">
        <f t="shared" si="68"/>
        <v>0.30093418268785727</v>
      </c>
      <c r="AL29" s="1">
        <f t="shared" si="69"/>
        <v>0.15369802095671647</v>
      </c>
      <c r="AN29" t="str">
        <f>AD43</f>
        <v>Human SD</v>
      </c>
      <c r="AO29" s="3">
        <f>AK42</f>
        <v>1.1943285638166533E-2</v>
      </c>
      <c r="AP29" s="3">
        <f>AL42</f>
        <v>5.7516694492991301E-3</v>
      </c>
    </row>
    <row r="30" spans="1:42" x14ac:dyDescent="0.25">
      <c r="A30" t="s">
        <v>21</v>
      </c>
      <c r="B30">
        <v>22.298084029484031</v>
      </c>
      <c r="C30">
        <v>21.971736117936118</v>
      </c>
      <c r="D30">
        <v>24.117719901719902</v>
      </c>
      <c r="E30">
        <v>24.147600491400492</v>
      </c>
      <c r="F30">
        <v>23.208967567567569</v>
      </c>
      <c r="G30">
        <v>21.739672727272701</v>
      </c>
      <c r="H30">
        <f t="shared" si="64"/>
        <v>22.91396347256347</v>
      </c>
      <c r="I30">
        <f t="shared" si="65"/>
        <v>1.0680801357333798</v>
      </c>
      <c r="K30" s="1"/>
      <c r="L30" t="s">
        <v>28</v>
      </c>
      <c r="M30">
        <f>H44</f>
        <v>25.378833333333333</v>
      </c>
      <c r="N30">
        <f>I44</f>
        <v>0.95999565971241074</v>
      </c>
      <c r="P30" t="str">
        <f t="shared" si="62"/>
        <v>Super Pixel</v>
      </c>
      <c r="Q30">
        <f>ABS(B30-K25)</f>
        <v>3.3509159705159703</v>
      </c>
      <c r="R30">
        <f>ABS(C30-K25)</f>
        <v>3.6772638820638832</v>
      </c>
      <c r="S30">
        <f>ABS(D30-K25)</f>
        <v>1.5312800982800994</v>
      </c>
      <c r="T30">
        <f>ABS(E30-K25)</f>
        <v>1.5013995085995084</v>
      </c>
      <c r="U30">
        <f>ABS(F30-K25)</f>
        <v>2.4400324324324316</v>
      </c>
      <c r="V30">
        <f>ABS(G30-K25)</f>
        <v>3.9093272727272996</v>
      </c>
      <c r="W30">
        <f t="shared" si="66"/>
        <v>2.7350365274365322</v>
      </c>
      <c r="X30">
        <f t="shared" si="67"/>
        <v>1.0680801357333796</v>
      </c>
      <c r="Z30" t="str">
        <f>P44</f>
        <v>Prc</v>
      </c>
      <c r="AA30" s="4">
        <f>W44</f>
        <v>0.31783333333333452</v>
      </c>
      <c r="AB30" s="4">
        <f>X44</f>
        <v>0.40946912785540657</v>
      </c>
      <c r="AD30" t="str">
        <f t="shared" si="63"/>
        <v>Super Pixel</v>
      </c>
      <c r="AE30" s="1">
        <f>ABS(B30-$K$25)/$K$25</f>
        <v>0.13064509222644041</v>
      </c>
      <c r="AF30" s="1">
        <f>ABS(C30-$K$25)/$K$25</f>
        <v>0.14336870373363028</v>
      </c>
      <c r="AG30" s="1">
        <f>ABS(D30-$K$25)/$K$25</f>
        <v>5.970135671098676E-2</v>
      </c>
      <c r="AH30" s="1">
        <f>ABS(E30-$K$25)/$K$25</f>
        <v>5.8536376022437851E-2</v>
      </c>
      <c r="AI30" s="1">
        <f>ABS(F30-$K$25)/$K$25</f>
        <v>9.5131678912722978E-2</v>
      </c>
      <c r="AJ30" s="1">
        <f>ABS(G30-$K$25)/$K$25</f>
        <v>0.15241636214773674</v>
      </c>
      <c r="AK30" s="1">
        <f>AVERAGE(AE30:AJ30)</f>
        <v>0.10663326162565916</v>
      </c>
      <c r="AL30" s="1">
        <f t="shared" si="69"/>
        <v>4.1642174577308295E-2</v>
      </c>
      <c r="AN30" t="str">
        <f>AD44</f>
        <v>Prc</v>
      </c>
      <c r="AO30" s="3">
        <f>AK44</f>
        <v>1.2391646198032456E-2</v>
      </c>
      <c r="AP30" s="3">
        <f>AL44</f>
        <v>1.5964331079395166E-2</v>
      </c>
    </row>
    <row r="31" spans="1:42" x14ac:dyDescent="0.25">
      <c r="A31" t="s">
        <v>5</v>
      </c>
      <c r="B31">
        <f>2*12.851</f>
        <v>25.702000000000002</v>
      </c>
      <c r="C31">
        <f>2*12.745</f>
        <v>25.49</v>
      </c>
      <c r="D31">
        <f>2*12.644</f>
        <v>25.288</v>
      </c>
      <c r="E31">
        <f>12.689*2</f>
        <v>25.378</v>
      </c>
      <c r="F31">
        <f>2*12.548</f>
        <v>25.096</v>
      </c>
      <c r="G31">
        <f>12.89*2</f>
        <v>25.78</v>
      </c>
      <c r="H31">
        <f t="shared" si="64"/>
        <v>25.455666666666669</v>
      </c>
      <c r="I31">
        <f>H32</f>
        <v>1.2081813256093756</v>
      </c>
      <c r="K31" s="1"/>
      <c r="P31" t="str">
        <f t="shared" si="62"/>
        <v>Mean Histogram Fiber Diameter</v>
      </c>
      <c r="Q31">
        <f>ABS(B31-K25)</f>
        <v>5.3000000000000824E-2</v>
      </c>
      <c r="R31">
        <f>ABS(C31-K25)</f>
        <v>0.15900000000000247</v>
      </c>
      <c r="S31">
        <f>ABS(D31-K25)</f>
        <v>0.36100000000000065</v>
      </c>
      <c r="T31">
        <f>ABS(E31-K25)</f>
        <v>0.2710000000000008</v>
      </c>
      <c r="U31">
        <f>ABS(F31-K25)</f>
        <v>0.55300000000000082</v>
      </c>
      <c r="V31">
        <f>ABS(G31-K25)</f>
        <v>0.13100000000000023</v>
      </c>
      <c r="W31">
        <f t="shared" si="66"/>
        <v>0.25466666666666765</v>
      </c>
      <c r="X31">
        <f t="shared" si="67"/>
        <v>0.18203918991982637</v>
      </c>
      <c r="AD31" t="str">
        <f t="shared" si="63"/>
        <v>Mean Histogram Fiber Diameter</v>
      </c>
      <c r="AE31" s="1">
        <f>ABS(B31-$K$25)/$K$25</f>
        <v>2.0663573628601824E-3</v>
      </c>
      <c r="AF31" s="1">
        <f>ABS(C31-$K$25)/$K$25</f>
        <v>6.1990720885805473E-3</v>
      </c>
      <c r="AG31" s="1">
        <f>ABS(D31-$K$25)/$K$25</f>
        <v>1.4074622792311616E-2</v>
      </c>
      <c r="AH31" s="1">
        <f>ABS(E31-$K$25)/$K$25</f>
        <v>1.0565714062926461E-2</v>
      </c>
      <c r="AI31" s="1">
        <f>ABS(F31-$K$25)/$K$25</f>
        <v>2.1560294748333299E-2</v>
      </c>
      <c r="AJ31" s="1">
        <f>ABS(G31-$K$25)/$K$25</f>
        <v>5.1074115949939656E-3</v>
      </c>
      <c r="AK31" s="1">
        <f t="shared" si="68"/>
        <v>9.9289121083343448E-3</v>
      </c>
      <c r="AL31" s="1">
        <f t="shared" si="69"/>
        <v>7.0973211399986908E-3</v>
      </c>
    </row>
    <row r="32" spans="1:42" x14ac:dyDescent="0.25">
      <c r="A32" t="s">
        <v>6</v>
      </c>
      <c r="B32">
        <f>1.7026*2/2.355</f>
        <v>1.4459447983014861</v>
      </c>
      <c r="C32">
        <f>(2/2.355)*0.95241</f>
        <v>0.80884076433121022</v>
      </c>
      <c r="D32">
        <f>(2/2.355)*1.8585</f>
        <v>1.5783439490445861</v>
      </c>
      <c r="E32">
        <f>(2/2.355)*1.4477</f>
        <v>1.2294692144373673</v>
      </c>
      <c r="F32">
        <f>(2/2.355)*1.2288</f>
        <v>1.0435668789808916</v>
      </c>
      <c r="G32">
        <f>(2/2.355)*1.1303</f>
        <v>0.95991507430997891</v>
      </c>
      <c r="H32">
        <f>SQRT((B32^2+C32^2+D32^2+E32^2+F32^2+G32^2)/6)</f>
        <v>1.2081813256093756</v>
      </c>
      <c r="K32" s="1"/>
      <c r="P32" t="str">
        <f t="shared" si="62"/>
        <v>Stand Deviation of Histogram Mean</v>
      </c>
      <c r="Q32">
        <f>ABS(B32-K25)</f>
        <v>24.203055201698515</v>
      </c>
      <c r="R32">
        <f>ABS(C32-K25)</f>
        <v>24.840159235668789</v>
      </c>
      <c r="S32">
        <f>ABS(D32-K25)</f>
        <v>24.070656050955414</v>
      </c>
      <c r="T32">
        <f>ABS(E32-K25)</f>
        <v>24.419530785562635</v>
      </c>
      <c r="U32">
        <f>ABS(F32-K25)</f>
        <v>24.605433121019111</v>
      </c>
      <c r="V32">
        <f>ABS(G32-K25)</f>
        <v>24.689084925690022</v>
      </c>
      <c r="W32">
        <f t="shared" si="66"/>
        <v>24.471319886765745</v>
      </c>
      <c r="X32">
        <f t="shared" si="67"/>
        <v>0.29550972865971969</v>
      </c>
      <c r="AD32" t="str">
        <f t="shared" si="63"/>
        <v>Stand Deviation of Histogram Mean</v>
      </c>
      <c r="AE32" s="1">
        <f>ABS(B32-$K$25)/$K$25</f>
        <v>0.94362568527812052</v>
      </c>
      <c r="AF32" s="1">
        <f>ABS(C32-$K$25)/$K$25</f>
        <v>0.96846501757061831</v>
      </c>
      <c r="AG32" s="1"/>
      <c r="AH32" s="1"/>
      <c r="AI32" s="1"/>
      <c r="AJ32" s="1">
        <f>ABS(G32-$K$25)/$K$25</f>
        <v>0.96257495129205894</v>
      </c>
      <c r="AK32" s="1"/>
      <c r="AL32" s="1"/>
    </row>
    <row r="33" spans="1:42" x14ac:dyDescent="0.25">
      <c r="A33" t="s">
        <v>7</v>
      </c>
      <c r="B33">
        <v>25.552825552825553</v>
      </c>
      <c r="C33">
        <v>25.552825552825553</v>
      </c>
      <c r="D33">
        <v>25.552825552825553</v>
      </c>
      <c r="E33">
        <v>25.552825552825553</v>
      </c>
      <c r="F33">
        <v>25.552825552825553</v>
      </c>
      <c r="G33">
        <v>25.552825552825553</v>
      </c>
      <c r="H33">
        <f t="shared" ref="H33:H40" si="70">AVERAGE(B33:G33)</f>
        <v>25.552825552825553</v>
      </c>
      <c r="I33">
        <f t="shared" ref="I33:I39" si="71">STDEV(B33:G33)</f>
        <v>0</v>
      </c>
      <c r="K33" s="1"/>
      <c r="P33" t="str">
        <f t="shared" si="62"/>
        <v>Modal Histogram Fiber Diameter</v>
      </c>
      <c r="Q33">
        <f>ABS(B33-K25)</f>
        <v>9.6174447174448119E-2</v>
      </c>
      <c r="R33">
        <f>ABS(C33-K25)</f>
        <v>9.6174447174448119E-2</v>
      </c>
      <c r="S33">
        <f>ABS(D33-K25)</f>
        <v>9.6174447174448119E-2</v>
      </c>
      <c r="T33">
        <f>ABS(E33-K25)</f>
        <v>9.6174447174448119E-2</v>
      </c>
      <c r="U33">
        <f>ABS(F33-K25)</f>
        <v>9.6174447174448119E-2</v>
      </c>
      <c r="V33">
        <f>ABS(G33-K25)</f>
        <v>9.6174447174448119E-2</v>
      </c>
      <c r="W33">
        <f t="shared" si="66"/>
        <v>9.6174447174448119E-2</v>
      </c>
      <c r="X33">
        <f t="shared" si="67"/>
        <v>0</v>
      </c>
      <c r="AD33" t="str">
        <f t="shared" si="63"/>
        <v>Modal Histogram Fiber Diameter</v>
      </c>
      <c r="AE33" s="1">
        <f>ABS(B33-$K$25)/$K$25</f>
        <v>3.7496373026023673E-3</v>
      </c>
      <c r="AF33" s="1">
        <f>ABS(C33-$K$25)/$K$25</f>
        <v>3.7496373026023673E-3</v>
      </c>
      <c r="AG33" s="1">
        <f>ABS(D33-$K$25)/$K$25</f>
        <v>3.7496373026023673E-3</v>
      </c>
      <c r="AH33" s="1">
        <f>ABS(E33-$K$25)/$K$25</f>
        <v>3.7496373026023673E-3</v>
      </c>
      <c r="AI33" s="1">
        <f>ABS(F33-$K$25)/$K$25</f>
        <v>3.7496373026023673E-3</v>
      </c>
      <c r="AJ33" s="1">
        <f>ABS(G33-$K$25)/$K$25</f>
        <v>3.7496373026023673E-3</v>
      </c>
      <c r="AK33" s="1">
        <f t="shared" ref="AK33:AK35" si="72">AVERAGE(AE33:AJ33)</f>
        <v>3.7496373026023673E-3</v>
      </c>
      <c r="AL33" s="1">
        <f t="shared" ref="AL33:AL35" si="73">STDEV(AE33:AJ33)</f>
        <v>0</v>
      </c>
    </row>
    <row r="34" spans="1:42" x14ac:dyDescent="0.25">
      <c r="A34" t="s">
        <v>8</v>
      </c>
      <c r="B34">
        <v>25.552825552825553</v>
      </c>
      <c r="C34">
        <v>25.552825552825553</v>
      </c>
      <c r="D34">
        <v>25.552825552825553</v>
      </c>
      <c r="E34">
        <v>24.570024570024572</v>
      </c>
      <c r="F34">
        <v>25.552825552825553</v>
      </c>
      <c r="G34">
        <v>25.552825552825553</v>
      </c>
      <c r="H34">
        <f t="shared" si="70"/>
        <v>25.389025389025392</v>
      </c>
      <c r="I34">
        <f t="shared" si="71"/>
        <v>0.40122682109470498</v>
      </c>
      <c r="K34" s="1"/>
      <c r="P34" t="str">
        <f t="shared" si="62"/>
        <v>Median Histogram Fiber Diameter</v>
      </c>
      <c r="Q34">
        <f>ABS(B34-K25)</f>
        <v>9.6174447174448119E-2</v>
      </c>
      <c r="R34">
        <f>ABS(C34-K25)</f>
        <v>9.6174447174448119E-2</v>
      </c>
      <c r="S34">
        <f>ABS(D34-K25)</f>
        <v>9.6174447174448119E-2</v>
      </c>
      <c r="T34">
        <f>ABS(E34-K25)</f>
        <v>1.0789754299754293</v>
      </c>
      <c r="U34">
        <f>ABS(F34-K25)</f>
        <v>9.6174447174448119E-2</v>
      </c>
      <c r="V34">
        <f>ABS(G34-K25)</f>
        <v>9.6174447174448119E-2</v>
      </c>
      <c r="W34">
        <f t="shared" si="66"/>
        <v>0.25997461097461166</v>
      </c>
      <c r="X34">
        <f t="shared" si="67"/>
        <v>0.40122682109470503</v>
      </c>
      <c r="AD34" t="str">
        <f t="shared" si="63"/>
        <v>Median Histogram Fiber Diameter</v>
      </c>
      <c r="AE34" s="1">
        <f>ABS(B34-$K$25)/$K$25</f>
        <v>3.7496373026023673E-3</v>
      </c>
      <c r="AF34" s="1">
        <f>ABS(C34-$K$25)/$K$25</f>
        <v>3.7496373026023673E-3</v>
      </c>
      <c r="AG34" s="1">
        <f>ABS(D34-$K$25)/$K$25</f>
        <v>3.7496373026023673E-3</v>
      </c>
      <c r="AH34" s="1">
        <f>ABS(E34-$K$25)/$K$25</f>
        <v>4.2066958944809905E-2</v>
      </c>
      <c r="AI34" s="1">
        <f>ABS(F34-$K$25)/$K$25</f>
        <v>3.7496373026023673E-3</v>
      </c>
      <c r="AJ34" s="1">
        <f>ABS(G34-$K$25)/$K$25</f>
        <v>3.7496373026023673E-3</v>
      </c>
      <c r="AK34" s="1">
        <f t="shared" si="72"/>
        <v>1.0135857576303623E-2</v>
      </c>
      <c r="AL34" s="1">
        <f t="shared" si="73"/>
        <v>1.5642981055585207E-2</v>
      </c>
    </row>
    <row r="35" spans="1:42" x14ac:dyDescent="0.25">
      <c r="A35" t="s">
        <v>9</v>
      </c>
      <c r="B35">
        <v>26.26457886977887</v>
      </c>
      <c r="C35">
        <v>27.631570024570024</v>
      </c>
      <c r="D35">
        <v>26.344689926289927</v>
      </c>
      <c r="E35">
        <v>26.800570515970517</v>
      </c>
      <c r="F35">
        <v>26.670837346437349</v>
      </c>
      <c r="G35">
        <v>27.649619164619168</v>
      </c>
      <c r="H35">
        <f t="shared" si="70"/>
        <v>26.89364430794431</v>
      </c>
      <c r="I35">
        <f t="shared" si="71"/>
        <v>0.6117862794575103</v>
      </c>
      <c r="K35" s="1"/>
      <c r="P35" t="str">
        <f t="shared" si="62"/>
        <v>Weighted Fiber Diameter Average</v>
      </c>
      <c r="Q35">
        <f>ABS(B35-K25)</f>
        <v>0.61557886977886866</v>
      </c>
      <c r="R35">
        <f>ABS(C35-K25)</f>
        <v>1.9825700245700233</v>
      </c>
      <c r="S35">
        <f>ABS(D35-K25)</f>
        <v>0.69568992628992632</v>
      </c>
      <c r="T35">
        <f>ABS(E35-K25)</f>
        <v>1.1515705159705156</v>
      </c>
      <c r="U35">
        <f>ABS(F35-K25)</f>
        <v>1.0218373464373478</v>
      </c>
      <c r="V35">
        <f>ABS(G35-K25)</f>
        <v>2.0006191646191667</v>
      </c>
      <c r="W35">
        <f t="shared" si="66"/>
        <v>1.2446443079443081</v>
      </c>
      <c r="X35">
        <f t="shared" si="67"/>
        <v>0.6117862794575103</v>
      </c>
      <c r="AD35" t="str">
        <f t="shared" si="63"/>
        <v>Weighted Fiber Diameter Average</v>
      </c>
      <c r="AE35" s="1">
        <f>ABS(B35-$K$25)/$K$25</f>
        <v>2.4000111886579151E-2</v>
      </c>
      <c r="AF35" s="1">
        <f>ABS(C35-$K$25)/$K$25</f>
        <v>7.7296191842567863E-2</v>
      </c>
      <c r="AG35" s="1">
        <f>ABS(D35-$K$25)/$K$25</f>
        <v>2.7123471725600465E-2</v>
      </c>
      <c r="AH35" s="1">
        <f>ABS(E35-$K$25)/$K$25</f>
        <v>4.4897287066572401E-2</v>
      </c>
      <c r="AI35" s="1">
        <f>ABS(F35-$K$25)/$K$25</f>
        <v>3.9839266499175317E-2</v>
      </c>
      <c r="AJ35" s="1">
        <f>ABS(G35-$K$25)/$K$25</f>
        <v>7.7999889454527141E-2</v>
      </c>
      <c r="AK35" s="1">
        <f t="shared" si="72"/>
        <v>4.852603641250372E-2</v>
      </c>
      <c r="AL35" s="1">
        <f t="shared" si="73"/>
        <v>2.3852246850072534E-2</v>
      </c>
    </row>
    <row r="36" spans="1:42" x14ac:dyDescent="0.25">
      <c r="A36" t="s">
        <v>10</v>
      </c>
      <c r="B36">
        <v>4754.0540540540542</v>
      </c>
      <c r="C36">
        <v>5961.1123518427521</v>
      </c>
      <c r="D36">
        <v>7820.7309582309581</v>
      </c>
      <c r="E36">
        <v>2001.7608515970517</v>
      </c>
      <c r="F36">
        <v>3547.2017474201475</v>
      </c>
      <c r="G36">
        <v>2466.3390663390664</v>
      </c>
      <c r="H36">
        <f t="shared" si="70"/>
        <v>4425.1998382473384</v>
      </c>
      <c r="I36">
        <f t="shared" si="71"/>
        <v>2212.5947041735362</v>
      </c>
      <c r="K36" s="1"/>
      <c r="P36" t="str">
        <f t="shared" si="62"/>
        <v>Mean Pore Size</v>
      </c>
      <c r="AD36" t="str">
        <f t="shared" si="63"/>
        <v>Mean Pore Size</v>
      </c>
      <c r="AE36" s="1"/>
      <c r="AF36" s="1"/>
      <c r="AG36" s="1"/>
      <c r="AH36" s="1"/>
      <c r="AI36" s="1"/>
      <c r="AJ36" s="1"/>
      <c r="AK36" s="1"/>
      <c r="AL36" s="1"/>
    </row>
    <row r="37" spans="1:42" x14ac:dyDescent="0.25">
      <c r="A37" t="s">
        <v>11</v>
      </c>
      <c r="B37">
        <v>8.4893823095823091</v>
      </c>
      <c r="C37">
        <v>11.709327764127766</v>
      </c>
      <c r="D37">
        <v>11.172472727272728</v>
      </c>
      <c r="E37">
        <v>8.5789749385749392</v>
      </c>
      <c r="F37">
        <v>8.5512899262899271</v>
      </c>
      <c r="G37">
        <v>9.9093980343980341</v>
      </c>
      <c r="H37">
        <f t="shared" si="70"/>
        <v>9.7351409500409503</v>
      </c>
      <c r="I37">
        <f t="shared" si="71"/>
        <v>1.4341436071039806</v>
      </c>
      <c r="K37" s="1"/>
      <c r="P37" t="str">
        <f t="shared" si="62"/>
        <v>Percent Porosity</v>
      </c>
      <c r="AD37" t="str">
        <f t="shared" si="63"/>
        <v>Percent Porosity</v>
      </c>
      <c r="AE37" s="1"/>
      <c r="AF37" s="1"/>
      <c r="AG37" s="1"/>
      <c r="AH37" s="1"/>
      <c r="AI37" s="1"/>
      <c r="AJ37" s="1"/>
      <c r="AK37" s="1"/>
      <c r="AL37" s="1"/>
    </row>
    <row r="38" spans="1:42" x14ac:dyDescent="0.25">
      <c r="A38" t="s">
        <v>12</v>
      </c>
      <c r="B38">
        <v>0.285187714987715</v>
      </c>
      <c r="C38">
        <v>0.29396265356265361</v>
      </c>
      <c r="D38">
        <v>0.21059999999999998</v>
      </c>
      <c r="E38">
        <v>0.63180049140049144</v>
      </c>
      <c r="F38">
        <v>0.60547567567567573</v>
      </c>
      <c r="G38">
        <v>0.48701277641277646</v>
      </c>
      <c r="H38">
        <f t="shared" si="70"/>
        <v>0.41900655200655201</v>
      </c>
      <c r="I38">
        <f t="shared" si="71"/>
        <v>0.17980744694316417</v>
      </c>
      <c r="K38" s="1"/>
      <c r="P38" t="str">
        <f t="shared" si="62"/>
        <v>Intersection Density (100x100px)</v>
      </c>
      <c r="AD38" t="str">
        <f t="shared" si="63"/>
        <v>Intersection Density (100x100px)</v>
      </c>
      <c r="AE38" s="1"/>
      <c r="AF38" s="1"/>
      <c r="AG38" s="1"/>
      <c r="AH38" s="1"/>
      <c r="AI38" s="1"/>
      <c r="AJ38" s="1"/>
      <c r="AK38" s="1"/>
      <c r="AL38" s="1"/>
    </row>
    <row r="39" spans="1:42" x14ac:dyDescent="0.25">
      <c r="A39" t="s">
        <v>13</v>
      </c>
      <c r="B39">
        <v>99.066339066339069</v>
      </c>
      <c r="C39">
        <v>93.058051105651103</v>
      </c>
      <c r="D39">
        <v>121.5448402948403</v>
      </c>
      <c r="E39">
        <v>61.805555773955774</v>
      </c>
      <c r="F39">
        <v>55.407185749385754</v>
      </c>
      <c r="G39">
        <v>71.463355282555284</v>
      </c>
      <c r="H39">
        <f t="shared" si="70"/>
        <v>83.724221212121208</v>
      </c>
      <c r="I39">
        <f t="shared" si="71"/>
        <v>25.240885142423377</v>
      </c>
      <c r="K39" s="1"/>
      <c r="P39" t="str">
        <f t="shared" si="62"/>
        <v>Characteristic Length</v>
      </c>
      <c r="AD39" t="str">
        <f t="shared" si="63"/>
        <v>Characteristic Length</v>
      </c>
      <c r="AE39" s="1"/>
      <c r="AF39" s="1"/>
      <c r="AG39" s="1"/>
      <c r="AH39" s="1"/>
      <c r="AI39" s="1"/>
      <c r="AJ39" s="1"/>
      <c r="AK39" s="1"/>
      <c r="AL39" s="1"/>
    </row>
    <row r="40" spans="1:42" x14ac:dyDescent="0.25">
      <c r="A40" t="s">
        <v>14</v>
      </c>
      <c r="B40">
        <v>35.279483046683048</v>
      </c>
      <c r="C40">
        <v>63.333659950859946</v>
      </c>
      <c r="D40">
        <v>36.37951203931204</v>
      </c>
      <c r="E40">
        <v>47.201250122850126</v>
      </c>
      <c r="F40">
        <v>37.89234201474202</v>
      </c>
      <c r="G40">
        <v>50.541092874692872</v>
      </c>
      <c r="H40">
        <f t="shared" si="70"/>
        <v>45.104556674856674</v>
      </c>
      <c r="I40">
        <f>H41</f>
        <v>19.108630740413158</v>
      </c>
      <c r="K40" s="1"/>
      <c r="P40" t="str">
        <f t="shared" si="62"/>
        <v>BoneJ Mean</v>
      </c>
      <c r="Q40">
        <f>ABS(B40-K25)</f>
        <v>9.6304830466830467</v>
      </c>
      <c r="R40">
        <f>ABS(C40-K25)</f>
        <v>37.684659950859945</v>
      </c>
      <c r="S40">
        <f>ABS(D40-K25)</f>
        <v>10.730512039312039</v>
      </c>
      <c r="T40">
        <f>ABS(E40-K25)</f>
        <v>21.552250122850126</v>
      </c>
      <c r="U40">
        <f>ABS(F40-K25)</f>
        <v>12.243342014742019</v>
      </c>
      <c r="V40">
        <f>ABS(G40-K25)</f>
        <v>24.892092874692871</v>
      </c>
      <c r="W40">
        <f t="shared" ref="W40" si="74">AVERAGE(Q40:V40)</f>
        <v>19.455556674856677</v>
      </c>
      <c r="X40">
        <f t="shared" ref="X40" si="75">STDEV(Q40:V40)</f>
        <v>10.871308766740393</v>
      </c>
      <c r="AD40" t="str">
        <f t="shared" si="63"/>
        <v>BoneJ Mean</v>
      </c>
      <c r="AE40" s="1">
        <f>ABS(B40-$K$25)/$K$25</f>
        <v>0.37547206700779939</v>
      </c>
      <c r="AF40" s="1">
        <f>ABS(C40-$K$25)/$K$25</f>
        <v>1.4692448029498204</v>
      </c>
      <c r="AG40" s="1">
        <f>ABS(D40-$K$25)/$K$25</f>
        <v>0.4183598596168287</v>
      </c>
      <c r="AH40" s="1">
        <f>ABS(E40-$K$25)/$K$25</f>
        <v>0.84027642882179132</v>
      </c>
      <c r="AI40" s="1">
        <f>ABS(F40-$K$25)/$K$25</f>
        <v>0.47734188524862642</v>
      </c>
      <c r="AJ40" s="1">
        <f>ABS(G40-$K$25)/$K$25</f>
        <v>0.97048979978528871</v>
      </c>
      <c r="AK40" s="1">
        <f t="shared" ref="AK40" si="76">AVERAGE(AE40:AJ40)</f>
        <v>0.75853080723835908</v>
      </c>
      <c r="AL40" s="1">
        <f t="shared" ref="AL40" si="77">STDEV(AE40:AJ40)</f>
        <v>0.42384922479396475</v>
      </c>
    </row>
    <row r="41" spans="1:42" x14ac:dyDescent="0.25">
      <c r="A41" t="s">
        <v>15</v>
      </c>
      <c r="B41">
        <v>10.660685995085995</v>
      </c>
      <c r="C41">
        <v>27.502154791154791</v>
      </c>
      <c r="D41">
        <v>11.989604422604424</v>
      </c>
      <c r="E41">
        <v>17.395507125307123</v>
      </c>
      <c r="F41">
        <v>11.275961179361179</v>
      </c>
      <c r="G41">
        <v>27.337122850122849</v>
      </c>
      <c r="H41">
        <f>SQRT((B41^2+C41^2+D41^2+E41^2+F41^2+G41^2)/6)</f>
        <v>19.108630740413158</v>
      </c>
      <c r="K41" s="1"/>
      <c r="P41" t="str">
        <f t="shared" si="62"/>
        <v>BoneJ SD</v>
      </c>
      <c r="AD41" t="str">
        <f t="shared" si="63"/>
        <v>BoneJ SD</v>
      </c>
    </row>
    <row r="42" spans="1:42" x14ac:dyDescent="0.25">
      <c r="A42" t="s">
        <v>24</v>
      </c>
      <c r="B42">
        <v>25.2456</v>
      </c>
      <c r="C42">
        <v>25.3048</v>
      </c>
      <c r="D42">
        <v>25.430400000000002</v>
      </c>
      <c r="E42">
        <v>25.120799999999999</v>
      </c>
      <c r="F42">
        <v>25.428000000000001</v>
      </c>
      <c r="G42">
        <v>25.526400000000002</v>
      </c>
      <c r="H42">
        <f t="shared" ref="H42" si="78">AVERAGE(B42:G42)</f>
        <v>25.34266666666667</v>
      </c>
      <c r="I42">
        <f>H43</f>
        <v>0.74239054561748175</v>
      </c>
      <c r="K42" s="1"/>
      <c r="P42" t="str">
        <f t="shared" si="62"/>
        <v>Human</v>
      </c>
      <c r="Q42">
        <f>ABS(B42-K25)</f>
        <v>0.40340000000000131</v>
      </c>
      <c r="R42">
        <f>ABS(C42-K25)</f>
        <v>0.34420000000000073</v>
      </c>
      <c r="S42">
        <f>ABS(D42-K25)</f>
        <v>0.21859999999999857</v>
      </c>
      <c r="T42">
        <f>ABS(E42-K25)</f>
        <v>0.52820000000000178</v>
      </c>
      <c r="U42">
        <f>ABS(F42-K25)</f>
        <v>0.22100000000000009</v>
      </c>
      <c r="V42">
        <f>ABS(G42-K25)</f>
        <v>0.12259999999999849</v>
      </c>
      <c r="W42">
        <f t="shared" ref="W42" si="79">AVERAGE(Q42:V42)</f>
        <v>0.30633333333333351</v>
      </c>
      <c r="X42">
        <f t="shared" ref="X42" si="80">STDEV(Q42:V42)</f>
        <v>0.14752456970507327</v>
      </c>
      <c r="AD42" t="str">
        <f>A42</f>
        <v>Human</v>
      </c>
      <c r="AE42" s="1">
        <f>ABS(B42-$K$25)/$K$25</f>
        <v>1.5727708682599761E-2</v>
      </c>
      <c r="AF42" s="1">
        <f>ABS(C42-$K$25)/$K$25</f>
        <v>1.3419626496159721E-2</v>
      </c>
      <c r="AG42" s="1">
        <f>ABS(D42-$K$25)/$K$25</f>
        <v>8.5227494249287914E-3</v>
      </c>
      <c r="AH42" s="1">
        <f>ABS(E42-$K$25)/$K$25</f>
        <v>2.0593395454013869E-2</v>
      </c>
      <c r="AI42" s="1">
        <f>ABS(F42-$K$25)/$K$25</f>
        <v>8.616320324379121E-3</v>
      </c>
      <c r="AJ42" s="1">
        <f>ABS(G42-$K$25)/$K$25</f>
        <v>4.779913446917949E-3</v>
      </c>
      <c r="AK42" s="1">
        <f t="shared" ref="AK42" si="81">AVERAGE(AE42:AJ42)</f>
        <v>1.1943285638166533E-2</v>
      </c>
      <c r="AL42" s="1">
        <f t="shared" ref="AL42" si="82">STDEV(AE42:AJ42)</f>
        <v>5.7516694492991301E-3</v>
      </c>
    </row>
    <row r="43" spans="1:42" x14ac:dyDescent="0.25">
      <c r="A43" t="s">
        <v>27</v>
      </c>
      <c r="B43">
        <v>0.76325006823888775</v>
      </c>
      <c r="C43">
        <v>0.65626544426271094</v>
      </c>
      <c r="D43">
        <v>0.84930599118731442</v>
      </c>
      <c r="E43">
        <v>0.72637180562023462</v>
      </c>
      <c r="F43">
        <v>0.62761453138052825</v>
      </c>
      <c r="G43">
        <v>0.80671597645433224</v>
      </c>
      <c r="H43">
        <f>SQRT((B43^2+C43^2+D43^2+E43^2+F43^2+G43^2)/6)</f>
        <v>0.74239054561748175</v>
      </c>
      <c r="K43" s="1"/>
      <c r="P43" t="str">
        <f t="shared" si="62"/>
        <v>Human SD</v>
      </c>
      <c r="AD43" t="str">
        <f t="shared" ref="AD43:AD45" si="83">A43</f>
        <v>Human SD</v>
      </c>
      <c r="AK43" s="1"/>
      <c r="AL43" s="1"/>
    </row>
    <row r="44" spans="1:42" x14ac:dyDescent="0.25">
      <c r="A44" t="s">
        <v>28</v>
      </c>
      <c r="B44" s="8">
        <v>24.518999999999998</v>
      </c>
      <c r="C44" s="8">
        <v>25.33</v>
      </c>
      <c r="D44" s="8">
        <v>25.492000000000001</v>
      </c>
      <c r="E44" s="8">
        <v>25.634</v>
      </c>
      <c r="F44" s="8">
        <v>25.506</v>
      </c>
      <c r="G44" s="8">
        <v>25.792000000000002</v>
      </c>
      <c r="H44">
        <f t="shared" ref="H44" si="84">AVERAGE(B44:G44)</f>
        <v>25.378833333333333</v>
      </c>
      <c r="I44">
        <f>H45</f>
        <v>0.95999565971241074</v>
      </c>
      <c r="K44" s="1"/>
      <c r="P44" t="str">
        <f t="shared" si="62"/>
        <v>Prc</v>
      </c>
      <c r="Q44">
        <f>ABS(B44-K25)</f>
        <v>1.1300000000000026</v>
      </c>
      <c r="R44">
        <f>ABS(C44-K25)</f>
        <v>0.31900000000000261</v>
      </c>
      <c r="S44">
        <f>ABS(D44-K25)</f>
        <v>0.15700000000000003</v>
      </c>
      <c r="T44">
        <f>ABS(E44-K25)</f>
        <v>1.5000000000000568E-2</v>
      </c>
      <c r="U44">
        <f>ABS(F44-K25)</f>
        <v>0.14300000000000068</v>
      </c>
      <c r="V44">
        <f>ABS(G44-K25)</f>
        <v>0.14300000000000068</v>
      </c>
      <c r="W44">
        <f t="shared" ref="W44" si="85">AVERAGE(Q44:V44)</f>
        <v>0.31783333333333452</v>
      </c>
      <c r="X44">
        <f t="shared" ref="X44" si="86">STDEV(Q44:V44)</f>
        <v>0.40946912785540657</v>
      </c>
      <c r="AD44" t="str">
        <f t="shared" si="83"/>
        <v>Prc</v>
      </c>
      <c r="AE44" s="1">
        <f>ABS(B44-$K$25)/$K$25</f>
        <v>4.4056298491169342E-2</v>
      </c>
      <c r="AF44" s="1">
        <f>ABS(C44-$K$25)/$K$25</f>
        <v>1.243713205193195E-2</v>
      </c>
      <c r="AG44" s="1">
        <f>ABS(D44-$K$25)/$K$25</f>
        <v>6.1210963390385597E-3</v>
      </c>
      <c r="AH44" s="1">
        <f>ABS(E44-$K$25)/$K$25</f>
        <v>5.8481812156421569E-4</v>
      </c>
      <c r="AI44" s="1">
        <f>ABS(F44-$K$25)/$K$25</f>
        <v>5.5752660922453378E-3</v>
      </c>
      <c r="AJ44" s="1">
        <f>ABS(G44-$K$25)/$K$25</f>
        <v>5.5752660922453378E-3</v>
      </c>
      <c r="AK44" s="1">
        <f>AVERAGE(AE44:AJ44)</f>
        <v>1.2391646198032456E-2</v>
      </c>
      <c r="AL44" s="1">
        <f>STDEV(AE44:AJ44)</f>
        <v>1.5964331079395166E-2</v>
      </c>
    </row>
    <row r="45" spans="1:42" x14ac:dyDescent="0.25">
      <c r="A45" t="s">
        <v>29</v>
      </c>
      <c r="B45" s="8">
        <v>1.0900000000000001</v>
      </c>
      <c r="C45" s="8">
        <v>0.69199999999999995</v>
      </c>
      <c r="D45" s="8">
        <v>1.3859999999999999</v>
      </c>
      <c r="E45" s="8">
        <v>0.67</v>
      </c>
      <c r="F45" s="8">
        <v>0.95099999999999996</v>
      </c>
      <c r="G45" s="8">
        <v>0.76700000000000002</v>
      </c>
      <c r="H45">
        <f>SQRT((B45^2+C45^2+D45^2+E45^2+F45^2+G45^2)/6)</f>
        <v>0.95999565971241074</v>
      </c>
      <c r="K45" s="1"/>
      <c r="P45" t="str">
        <f t="shared" si="62"/>
        <v>Prc SD</v>
      </c>
      <c r="AD45" t="str">
        <f t="shared" si="83"/>
        <v>Prc SD</v>
      </c>
    </row>
    <row r="46" spans="1:42" x14ac:dyDescent="0.25">
      <c r="K46" s="1"/>
    </row>
    <row r="47" spans="1:42" ht="31.5" x14ac:dyDescent="0.5">
      <c r="A47" s="11" t="s">
        <v>16</v>
      </c>
      <c r="B47" s="11"/>
      <c r="C47" s="11"/>
      <c r="D47" s="11"/>
      <c r="E47" s="11"/>
      <c r="K47" t="s">
        <v>52</v>
      </c>
      <c r="L47" s="10" t="s">
        <v>53</v>
      </c>
      <c r="M47" s="10"/>
      <c r="N47" s="10"/>
      <c r="P47" s="9" t="s">
        <v>35</v>
      </c>
      <c r="Z47" s="10" t="s">
        <v>53</v>
      </c>
      <c r="AA47" s="10"/>
      <c r="AB47" s="10"/>
      <c r="AD47" s="9" t="s">
        <v>32</v>
      </c>
      <c r="AN47" s="10" t="s">
        <v>53</v>
      </c>
      <c r="AO47" s="10"/>
      <c r="AP47" s="10"/>
    </row>
    <row r="48" spans="1:42" x14ac:dyDescent="0.25">
      <c r="A48" t="s">
        <v>0</v>
      </c>
      <c r="B48" t="s">
        <v>49</v>
      </c>
      <c r="C48" t="s">
        <v>50</v>
      </c>
      <c r="D48" t="s">
        <v>51</v>
      </c>
      <c r="E48" t="s">
        <v>39</v>
      </c>
      <c r="F48" t="s">
        <v>38</v>
      </c>
      <c r="G48" t="s">
        <v>37</v>
      </c>
      <c r="H48" t="s">
        <v>18</v>
      </c>
      <c r="I48" t="s">
        <v>19</v>
      </c>
      <c r="K48">
        <v>16.713999999999999</v>
      </c>
      <c r="L48" t="str">
        <f>L25</f>
        <v>Algorithm</v>
      </c>
      <c r="M48" t="str">
        <f t="shared" ref="M48:N48" si="87">M25</f>
        <v>Mean</v>
      </c>
      <c r="N48" t="str">
        <f t="shared" si="87"/>
        <v>SD</v>
      </c>
      <c r="P48" t="str">
        <f>A48</f>
        <v>Var</v>
      </c>
      <c r="Q48" t="str">
        <f>B48</f>
        <v>53g_m04</v>
      </c>
      <c r="R48" t="str">
        <f t="shared" ref="R48" si="88">C48</f>
        <v>48g_m03</v>
      </c>
      <c r="S48" t="str">
        <f t="shared" ref="S48" si="89">D48</f>
        <v>48g_2_m04</v>
      </c>
      <c r="T48" t="str">
        <f t="shared" ref="T48" si="90">E48</f>
        <v>48g_m05</v>
      </c>
      <c r="U48" t="str">
        <f t="shared" ref="U48" si="91">F48</f>
        <v>48g_m07</v>
      </c>
      <c r="V48" t="str">
        <f t="shared" ref="V48" si="92">G48</f>
        <v>48g_m08</v>
      </c>
      <c r="W48" t="str">
        <f t="shared" ref="W48" si="93">H48</f>
        <v>Mean</v>
      </c>
      <c r="X48" t="str">
        <f t="shared" ref="X48" si="94">I48</f>
        <v>SD</v>
      </c>
      <c r="Z48" t="str">
        <f>Z25</f>
        <v>Algorithm</v>
      </c>
      <c r="AA48" t="str">
        <f t="shared" ref="AA48:AB48" si="95">AA25</f>
        <v>Mean</v>
      </c>
      <c r="AB48" t="str">
        <f t="shared" si="95"/>
        <v>SD</v>
      </c>
      <c r="AD48" t="str">
        <f>A48</f>
        <v>Var</v>
      </c>
      <c r="AE48" t="str">
        <f t="shared" ref="AE48" si="96">B48</f>
        <v>53g_m04</v>
      </c>
      <c r="AF48" t="str">
        <f t="shared" ref="AF48" si="97">C48</f>
        <v>48g_m03</v>
      </c>
      <c r="AG48" t="str">
        <f t="shared" ref="AG48" si="98">D48</f>
        <v>48g_2_m04</v>
      </c>
      <c r="AH48" t="str">
        <f t="shared" ref="AH48" si="99">E48</f>
        <v>48g_m05</v>
      </c>
      <c r="AI48" t="str">
        <f t="shared" ref="AI48" si="100">F48</f>
        <v>48g_m07</v>
      </c>
      <c r="AJ48" t="str">
        <f t="shared" ref="AJ48" si="101">G48</f>
        <v>48g_m08</v>
      </c>
      <c r="AK48" t="str">
        <f t="shared" ref="AK48" si="102">H48</f>
        <v>Mean</v>
      </c>
      <c r="AL48" t="str">
        <f t="shared" ref="AL48" si="103">I48</f>
        <v>SD</v>
      </c>
      <c r="AN48" t="str">
        <f>$L$2</f>
        <v>Algorithm</v>
      </c>
      <c r="AO48" t="str">
        <f>$M$2</f>
        <v>Mean</v>
      </c>
      <c r="AP48" t="str">
        <f>$N$2</f>
        <v>SD</v>
      </c>
    </row>
    <row r="49" spans="1:42" x14ac:dyDescent="0.25">
      <c r="A49" t="s">
        <v>1</v>
      </c>
      <c r="B49">
        <v>13.089107125307127</v>
      </c>
      <c r="C49">
        <v>13.061357248157249</v>
      </c>
      <c r="D49">
        <v>12.885760196560197</v>
      </c>
      <c r="E49">
        <v>13.578816707616706</v>
      </c>
      <c r="F49">
        <v>13.097499754299754</v>
      </c>
      <c r="G49">
        <v>13.12646977886978</v>
      </c>
      <c r="H49">
        <f>AVERAGE(B49:G49)</f>
        <v>13.139835135135137</v>
      </c>
      <c r="I49">
        <f>STDEV(B49:G49)</f>
        <v>0.23150029042506737</v>
      </c>
      <c r="K49" s="1"/>
      <c r="L49" t="s">
        <v>21</v>
      </c>
      <c r="M49">
        <f>H53</f>
        <v>15.908089680589681</v>
      </c>
      <c r="N49">
        <f>I53</f>
        <v>0.37250841944165586</v>
      </c>
      <c r="P49" t="str">
        <f t="shared" ref="P49:P68" si="104">A49</f>
        <v>Voronoi Fiber Diameter</v>
      </c>
      <c r="Q49">
        <f>ABS(B49-K48)</f>
        <v>3.6248928746928719</v>
      </c>
      <c r="R49">
        <f>ABS(C49-K48)</f>
        <v>3.65264275184275</v>
      </c>
      <c r="S49">
        <f>ABS(D49-K48)</f>
        <v>3.8282398034398017</v>
      </c>
      <c r="T49">
        <f>ABS(E49-K48)</f>
        <v>3.1351832923832923</v>
      </c>
      <c r="U49">
        <f>ABS(F49-K48)</f>
        <v>3.6165002457002444</v>
      </c>
      <c r="V49">
        <f>ABS(G49-K48)</f>
        <v>3.5875302211302191</v>
      </c>
      <c r="W49">
        <f>AVERAGE(Q49:V49)</f>
        <v>3.5741648648648634</v>
      </c>
      <c r="X49">
        <f>STDEV(Q49:V49)</f>
        <v>0.23150029042506737</v>
      </c>
      <c r="Z49" t="str">
        <f>P53</f>
        <v>Super Pixel</v>
      </c>
      <c r="AA49" s="4">
        <f>W53</f>
        <v>0.80591031941031732</v>
      </c>
      <c r="AB49" s="4">
        <f>X53</f>
        <v>0.3725084194416558</v>
      </c>
      <c r="AD49" t="str">
        <f t="shared" ref="AD49:AD64" si="105">A49</f>
        <v>Voronoi Fiber Diameter</v>
      </c>
      <c r="AE49" s="1">
        <f t="shared" ref="AE49:AJ55" si="106">ABS(B49-$K$48)/$K$48</f>
        <v>0.21687763998401771</v>
      </c>
      <c r="AF49" s="1">
        <f t="shared" si="106"/>
        <v>0.2185379174250778</v>
      </c>
      <c r="AG49" s="1">
        <f t="shared" si="106"/>
        <v>0.22904390352039022</v>
      </c>
      <c r="AH49" s="1">
        <f t="shared" si="106"/>
        <v>0.18757827524131224</v>
      </c>
      <c r="AI49" s="1">
        <f t="shared" si="106"/>
        <v>0.21637550829844709</v>
      </c>
      <c r="AJ49" s="1">
        <f t="shared" si="106"/>
        <v>0.21464222933649751</v>
      </c>
      <c r="AK49" s="1">
        <f>AVERAGE(AE49:AJ49)</f>
        <v>0.21384257896762379</v>
      </c>
      <c r="AL49" s="1">
        <f>STDEV(AE49:AJ49)</f>
        <v>1.3850681490072235E-2</v>
      </c>
      <c r="AN49" t="str">
        <f>AD53</f>
        <v>Super Pixel</v>
      </c>
      <c r="AO49" s="3">
        <f>AK53</f>
        <v>4.8217680950718995E-2</v>
      </c>
      <c r="AP49" s="3">
        <f>AL53</f>
        <v>2.2287209491543378E-2</v>
      </c>
    </row>
    <row r="50" spans="1:42" x14ac:dyDescent="0.25">
      <c r="A50" t="s">
        <v>2</v>
      </c>
      <c r="B50">
        <v>14.180207862407862</v>
      </c>
      <c r="C50">
        <v>14.240596068796069</v>
      </c>
      <c r="D50">
        <v>14.259612776412778</v>
      </c>
      <c r="E50">
        <v>14.92191597051597</v>
      </c>
      <c r="F50">
        <v>14.245129238329239</v>
      </c>
      <c r="G50">
        <v>14.202271744471744</v>
      </c>
      <c r="H50">
        <f t="shared" ref="H50:H54" si="107">AVERAGE(B50:G50)</f>
        <v>14.341622276822276</v>
      </c>
      <c r="I50">
        <f t="shared" ref="I50:I53" si="108">STDEV(B50:G50)</f>
        <v>0.28581697441928955</v>
      </c>
      <c r="K50" s="1"/>
      <c r="L50" t="s">
        <v>22</v>
      </c>
      <c r="M50">
        <f>H54</f>
        <v>17.163433333333334</v>
      </c>
      <c r="N50">
        <f>I54</f>
        <v>0.74395567282398234</v>
      </c>
      <c r="P50" t="str">
        <f t="shared" si="104"/>
        <v>Voronoi Fiber Diameter_Corr</v>
      </c>
      <c r="Q50">
        <f>ABS(B50-K48)</f>
        <v>2.5337921375921368</v>
      </c>
      <c r="R50">
        <f>ABS(C50-K48)</f>
        <v>2.4734039312039293</v>
      </c>
      <c r="S50">
        <f>ABS(D50-K48)</f>
        <v>2.4543872235872204</v>
      </c>
      <c r="T50">
        <f>ABS(E50-K48)</f>
        <v>1.7920840294840286</v>
      </c>
      <c r="U50">
        <f>ABS(F50-K48)</f>
        <v>2.4688707616707593</v>
      </c>
      <c r="V50">
        <f>ABS(G50-K48)</f>
        <v>2.5117282555282543</v>
      </c>
      <c r="W50">
        <f t="shared" ref="W50:W58" si="109">AVERAGE(Q50:V50)</f>
        <v>2.3723777231777214</v>
      </c>
      <c r="X50">
        <f t="shared" ref="X50:X58" si="110">STDEV(Q50:V50)</f>
        <v>0.28581697441928855</v>
      </c>
      <c r="Z50" t="s">
        <v>22</v>
      </c>
      <c r="AA50" s="4">
        <f>W54</f>
        <v>0.44943333333333396</v>
      </c>
      <c r="AB50" s="4">
        <f>X54</f>
        <v>0.13143371967142459</v>
      </c>
      <c r="AD50" t="str">
        <f t="shared" si="105"/>
        <v>Voronoi Fiber Diameter_Corr</v>
      </c>
      <c r="AE50" s="1">
        <f t="shared" si="106"/>
        <v>0.15159699279598762</v>
      </c>
      <c r="AF50" s="1">
        <f t="shared" si="106"/>
        <v>0.14798396142179787</v>
      </c>
      <c r="AG50" s="1">
        <f t="shared" si="106"/>
        <v>0.14684619023496592</v>
      </c>
      <c r="AH50" s="1">
        <f t="shared" si="106"/>
        <v>0.10722053544836836</v>
      </c>
      <c r="AI50" s="1">
        <f t="shared" si="106"/>
        <v>0.14771274151434483</v>
      </c>
      <c r="AJ50" s="1">
        <f t="shared" si="106"/>
        <v>0.15027690891038975</v>
      </c>
      <c r="AK50" s="1">
        <f t="shared" ref="AK50:AK54" si="111">AVERAGE(AE50:AJ50)</f>
        <v>0.14193955505430908</v>
      </c>
      <c r="AL50" s="1">
        <f t="shared" ref="AL50:AL54" si="112">STDEV(AE50:AJ50)</f>
        <v>1.7100453178131469E-2</v>
      </c>
      <c r="AN50" t="s">
        <v>22</v>
      </c>
      <c r="AO50" s="3">
        <f>AK54</f>
        <v>2.688963344102752E-2</v>
      </c>
      <c r="AP50" s="3">
        <f>AL54</f>
        <v>7.8636902998339558E-3</v>
      </c>
    </row>
    <row r="51" spans="1:42" x14ac:dyDescent="0.25">
      <c r="A51" t="s">
        <v>3</v>
      </c>
      <c r="B51">
        <v>17.844734152334151</v>
      </c>
      <c r="C51">
        <v>17.391575921375921</v>
      </c>
      <c r="D51">
        <v>16.4257714987715</v>
      </c>
      <c r="E51">
        <v>17.980140540540539</v>
      </c>
      <c r="F51">
        <v>17.927382800982802</v>
      </c>
      <c r="G51">
        <v>17.277737592137591</v>
      </c>
      <c r="H51">
        <f t="shared" si="107"/>
        <v>17.474557084357084</v>
      </c>
      <c r="I51">
        <f t="shared" si="108"/>
        <v>0.59046961190554803</v>
      </c>
      <c r="K51" s="1"/>
      <c r="L51" t="s">
        <v>14</v>
      </c>
      <c r="M51">
        <f>H63</f>
        <v>25.976929975429972</v>
      </c>
      <c r="N51">
        <f>I63</f>
        <v>9.2110192651234772</v>
      </c>
      <c r="P51" t="str">
        <f t="shared" si="104"/>
        <v>Medial Fiber Diameter</v>
      </c>
      <c r="Q51">
        <f>ABS(B51-K48)</f>
        <v>1.1307341523341528</v>
      </c>
      <c r="R51">
        <f>ABS(C51-K48)</f>
        <v>0.67757592137592226</v>
      </c>
      <c r="S51">
        <f>ABS(D51-K48)</f>
        <v>0.28822850122849886</v>
      </c>
      <c r="T51">
        <f>ABS(E51-K48)</f>
        <v>1.2661405405405404</v>
      </c>
      <c r="U51">
        <f>ABS(F51-K48)</f>
        <v>1.2133828009828029</v>
      </c>
      <c r="V51">
        <f>ABS(G51-K48)</f>
        <v>0.563737592137592</v>
      </c>
      <c r="W51">
        <f t="shared" si="109"/>
        <v>0.85663325143325153</v>
      </c>
      <c r="X51">
        <f t="shared" si="110"/>
        <v>0.40274833818336742</v>
      </c>
      <c r="Z51" t="str">
        <f>P63</f>
        <v>BoneJ Mean</v>
      </c>
      <c r="AA51" s="4">
        <f>W63</f>
        <v>9.2629299754299783</v>
      </c>
      <c r="AB51" s="4">
        <f>X63</f>
        <v>1.4103083822292255</v>
      </c>
      <c r="AD51" t="str">
        <f t="shared" si="105"/>
        <v>Medial Fiber Diameter</v>
      </c>
      <c r="AE51" s="1">
        <f t="shared" si="106"/>
        <v>6.7651917693798788E-2</v>
      </c>
      <c r="AF51" s="1">
        <f t="shared" si="106"/>
        <v>4.0539423320325611E-2</v>
      </c>
      <c r="AG51" s="1">
        <f t="shared" si="106"/>
        <v>1.7244735026235424E-2</v>
      </c>
      <c r="AH51" s="1">
        <f t="shared" si="106"/>
        <v>7.5753293080084994E-2</v>
      </c>
      <c r="AI51" s="1">
        <f t="shared" si="106"/>
        <v>7.259679316637567E-2</v>
      </c>
      <c r="AJ51" s="1">
        <f t="shared" si="106"/>
        <v>3.3728466682876157E-2</v>
      </c>
      <c r="AK51" s="1">
        <f t="shared" si="111"/>
        <v>5.12524381616161E-2</v>
      </c>
      <c r="AL51" s="1">
        <f t="shared" si="112"/>
        <v>2.4096466326634421E-2</v>
      </c>
      <c r="AN51" t="str">
        <f>AD63</f>
        <v>BoneJ Mean</v>
      </c>
      <c r="AO51" s="3">
        <f>AK63</f>
        <v>0.55420186522854964</v>
      </c>
      <c r="AP51" s="3">
        <f>AL63</f>
        <v>8.4378866951611467E-2</v>
      </c>
    </row>
    <row r="52" spans="1:42" x14ac:dyDescent="0.25">
      <c r="A52" t="s">
        <v>4</v>
      </c>
      <c r="B52">
        <v>22.64935675675676</v>
      </c>
      <c r="C52">
        <v>21.247367076167077</v>
      </c>
      <c r="D52">
        <v>21.669162162162163</v>
      </c>
      <c r="E52">
        <v>22.436334643734646</v>
      </c>
      <c r="F52">
        <v>22.231539557739559</v>
      </c>
      <c r="G52">
        <v>22.172044226044225</v>
      </c>
      <c r="H52">
        <f t="shared" si="107"/>
        <v>22.067634070434071</v>
      </c>
      <c r="I52">
        <f t="shared" si="108"/>
        <v>0.51840634437933131</v>
      </c>
      <c r="K52" s="1"/>
      <c r="L52" t="s">
        <v>27</v>
      </c>
      <c r="M52">
        <f>H65</f>
        <v>16.957799999999999</v>
      </c>
      <c r="N52">
        <f>I65</f>
        <v>0.48816862979006659</v>
      </c>
      <c r="P52" t="str">
        <f t="shared" si="104"/>
        <v>Medial Fiber Diameter_Corr</v>
      </c>
      <c r="Q52">
        <f>ABS(B52-K48)</f>
        <v>5.9353567567567609</v>
      </c>
      <c r="R52">
        <f>ABS(C52-K48)</f>
        <v>4.5333670761670781</v>
      </c>
      <c r="S52">
        <f>ABS(D52-K48)</f>
        <v>4.9551621621621642</v>
      </c>
      <c r="T52">
        <f>ABS(E52-K48)</f>
        <v>5.7223346437346478</v>
      </c>
      <c r="U52">
        <f>ABS(F52-K48)</f>
        <v>5.5175395577395605</v>
      </c>
      <c r="V52">
        <f>ABS(G52-K48)</f>
        <v>5.4580442260442261</v>
      </c>
      <c r="W52">
        <f t="shared" si="109"/>
        <v>5.3536340704340732</v>
      </c>
      <c r="X52">
        <f t="shared" si="110"/>
        <v>0.51840634437933142</v>
      </c>
      <c r="Z52" t="str">
        <f>P66</f>
        <v>Human SD</v>
      </c>
      <c r="AA52" s="4">
        <f>W65</f>
        <v>0.24380000000000143</v>
      </c>
      <c r="AB52" s="4">
        <f>X65</f>
        <v>7.3502870692239305E-2</v>
      </c>
      <c r="AD52" t="str">
        <f t="shared" si="105"/>
        <v>Medial Fiber Diameter_Corr</v>
      </c>
      <c r="AE52" s="1">
        <f t="shared" si="106"/>
        <v>0.35511288481253805</v>
      </c>
      <c r="AF52" s="1">
        <f t="shared" si="106"/>
        <v>0.27123172646685884</v>
      </c>
      <c r="AG52" s="1">
        <f t="shared" si="106"/>
        <v>0.29646776128767288</v>
      </c>
      <c r="AH52" s="1">
        <f t="shared" si="106"/>
        <v>0.34236775420214483</v>
      </c>
      <c r="AI52" s="1">
        <f t="shared" si="106"/>
        <v>0.33011484729804719</v>
      </c>
      <c r="AJ52" s="1">
        <f t="shared" si="106"/>
        <v>0.32655523669045272</v>
      </c>
      <c r="AK52" s="1">
        <f t="shared" si="111"/>
        <v>0.32030836845961913</v>
      </c>
      <c r="AL52" s="1">
        <f t="shared" si="112"/>
        <v>3.1016294386701643E-2</v>
      </c>
      <c r="AN52" t="str">
        <f>AD66</f>
        <v>Human SD</v>
      </c>
      <c r="AO52" s="3">
        <f>AK65</f>
        <v>1.4586574129472384E-2</v>
      </c>
      <c r="AP52" s="3">
        <f>AL65</f>
        <v>4.397682822318975E-3</v>
      </c>
    </row>
    <row r="53" spans="1:42" x14ac:dyDescent="0.25">
      <c r="A53" t="s">
        <v>21</v>
      </c>
      <c r="B53">
        <v>16.012471253071254</v>
      </c>
      <c r="C53">
        <v>15.816085995085997</v>
      </c>
      <c r="D53">
        <v>15.342691891891892</v>
      </c>
      <c r="E53">
        <v>16.451028009828011</v>
      </c>
      <c r="F53">
        <v>16.08625601965602</v>
      </c>
      <c r="G53">
        <v>15.740004914004913</v>
      </c>
      <c r="H53">
        <f t="shared" si="107"/>
        <v>15.908089680589681</v>
      </c>
      <c r="I53">
        <f t="shared" si="108"/>
        <v>0.37250841944165586</v>
      </c>
      <c r="K53" s="1"/>
      <c r="L53" t="s">
        <v>28</v>
      </c>
      <c r="M53">
        <f>H67</f>
        <v>17.154833333333332</v>
      </c>
      <c r="N53">
        <f>I67</f>
        <v>1.027205107723542</v>
      </c>
      <c r="P53" t="str">
        <f t="shared" si="104"/>
        <v>Super Pixel</v>
      </c>
      <c r="Q53">
        <f>ABS(B53-K48)</f>
        <v>0.70152874692874434</v>
      </c>
      <c r="R53">
        <f>ABS(C53-K48)</f>
        <v>0.89791400491400175</v>
      </c>
      <c r="S53">
        <f>ABS(D53-K48)</f>
        <v>1.3713081081081064</v>
      </c>
      <c r="T53">
        <f>ABS(E53-K48)</f>
        <v>0.26297199017198736</v>
      </c>
      <c r="U53">
        <f>ABS(F53-K48)</f>
        <v>0.62774398034397905</v>
      </c>
      <c r="V53">
        <f>ABS(G53-K48)</f>
        <v>0.97399508599508522</v>
      </c>
      <c r="W53">
        <f t="shared" si="109"/>
        <v>0.80591031941031732</v>
      </c>
      <c r="X53">
        <f t="shared" si="110"/>
        <v>0.3725084194416558</v>
      </c>
      <c r="Z53" t="str">
        <f>P67</f>
        <v>Prc</v>
      </c>
      <c r="AA53" s="4">
        <f>W67</f>
        <v>0.44083333333333447</v>
      </c>
      <c r="AB53" s="4">
        <f>X67</f>
        <v>0.11561559871689688</v>
      </c>
      <c r="AD53" t="str">
        <f t="shared" si="105"/>
        <v>Super Pixel</v>
      </c>
      <c r="AE53" s="1">
        <f t="shared" si="106"/>
        <v>4.1972522850828309E-2</v>
      </c>
      <c r="AF53" s="1">
        <f t="shared" si="106"/>
        <v>5.3722269050736023E-2</v>
      </c>
      <c r="AG53" s="1">
        <f t="shared" si="106"/>
        <v>8.2045477330866728E-2</v>
      </c>
      <c r="AH53" s="1">
        <f t="shared" si="106"/>
        <v>1.5733635884407526E-2</v>
      </c>
      <c r="AI53" s="1">
        <f t="shared" si="106"/>
        <v>3.7557974173984626E-2</v>
      </c>
      <c r="AJ53" s="1">
        <f t="shared" si="106"/>
        <v>5.8274206413490806E-2</v>
      </c>
      <c r="AK53" s="1">
        <f t="shared" si="111"/>
        <v>4.8217680950718995E-2</v>
      </c>
      <c r="AL53" s="1">
        <f t="shared" si="112"/>
        <v>2.2287209491543378E-2</v>
      </c>
      <c r="AN53" t="str">
        <f>AD67</f>
        <v>Prc</v>
      </c>
      <c r="AO53" s="3">
        <f>AK67</f>
        <v>2.6375094730964128E-2</v>
      </c>
      <c r="AP53" s="3">
        <f>AL67</f>
        <v>6.9172908170932841E-3</v>
      </c>
    </row>
    <row r="54" spans="1:42" x14ac:dyDescent="0.25">
      <c r="A54" t="s">
        <v>5</v>
      </c>
      <c r="B54">
        <f>2*8.5779</f>
        <v>17.155799999999999</v>
      </c>
      <c r="C54">
        <f>2*8.462</f>
        <v>16.923999999999999</v>
      </c>
      <c r="D54">
        <f>2*8.655</f>
        <v>17.309999999999999</v>
      </c>
      <c r="E54">
        <f>8.622*2</f>
        <v>17.244</v>
      </c>
      <c r="F54">
        <f>8.5766*2</f>
        <v>17.153199999999998</v>
      </c>
      <c r="G54">
        <f>8.5968*2</f>
        <v>17.1936</v>
      </c>
      <c r="H54">
        <f t="shared" si="107"/>
        <v>17.163433333333334</v>
      </c>
      <c r="I54">
        <f>H55</f>
        <v>0.74395567282398234</v>
      </c>
      <c r="K54" s="1"/>
      <c r="P54" t="str">
        <f t="shared" si="104"/>
        <v>Mean Histogram Fiber Diameter</v>
      </c>
      <c r="Q54">
        <f>ABS(B54-K48)</f>
        <v>0.44180000000000064</v>
      </c>
      <c r="R54">
        <f>ABS(C54-K48)</f>
        <v>0.21000000000000085</v>
      </c>
      <c r="S54">
        <f>ABS(D54-K48)</f>
        <v>0.59600000000000009</v>
      </c>
      <c r="T54">
        <f>ABS(E54-K48)</f>
        <v>0.53000000000000114</v>
      </c>
      <c r="U54">
        <f>ABS(F54-K48)</f>
        <v>0.43919999999999959</v>
      </c>
      <c r="V54">
        <f>ABS(G54-K48)</f>
        <v>0.47960000000000136</v>
      </c>
      <c r="W54">
        <f t="shared" si="109"/>
        <v>0.44943333333333396</v>
      </c>
      <c r="X54">
        <f t="shared" si="110"/>
        <v>0.13143371967142459</v>
      </c>
      <c r="AD54" t="str">
        <f t="shared" si="105"/>
        <v>Mean Histogram Fiber Diameter</v>
      </c>
      <c r="AE54" s="1">
        <f t="shared" si="106"/>
        <v>2.6432930477444098E-2</v>
      </c>
      <c r="AF54" s="1">
        <f t="shared" si="106"/>
        <v>1.256431733875798E-2</v>
      </c>
      <c r="AG54" s="1">
        <f t="shared" si="106"/>
        <v>3.5658729209046315E-2</v>
      </c>
      <c r="AH54" s="1">
        <f t="shared" si="106"/>
        <v>3.1709943759722456E-2</v>
      </c>
      <c r="AI54" s="1">
        <f t="shared" si="106"/>
        <v>2.6277372262773699E-2</v>
      </c>
      <c r="AJ54" s="1">
        <f t="shared" si="106"/>
        <v>2.8694507598420571E-2</v>
      </c>
      <c r="AK54" s="1">
        <f t="shared" si="111"/>
        <v>2.688963344102752E-2</v>
      </c>
      <c r="AL54" s="1">
        <f t="shared" si="112"/>
        <v>7.8636902998339558E-3</v>
      </c>
    </row>
    <row r="55" spans="1:42" x14ac:dyDescent="0.25">
      <c r="A55" t="s">
        <v>6</v>
      </c>
      <c r="B55">
        <f>(2/2.355)*0.92628</f>
        <v>0.78664968152866244</v>
      </c>
      <c r="C55">
        <f>(2/2.355)*0.78034</f>
        <v>0.66270912951167738</v>
      </c>
      <c r="D55">
        <f>(2/2.355)*0.90672</f>
        <v>0.77003821656050953</v>
      </c>
      <c r="E55">
        <f>(2/2.355)*0.84493</f>
        <v>0.71756263269639065</v>
      </c>
      <c r="F55">
        <f>(2/2.355)*0.86805</f>
        <v>0.73719745222929933</v>
      </c>
      <c r="G55">
        <f>(2/2.355)*0.92079</f>
        <v>0.78198726114649686</v>
      </c>
      <c r="H55">
        <f>SQRT((B55^2+C55^2+D55^2+E55^2+F55^2+G55^2)/6)</f>
        <v>0.74395567282398234</v>
      </c>
      <c r="K55" s="1"/>
      <c r="P55" t="str">
        <f t="shared" si="104"/>
        <v>Stand Deviation of Histogram Mean</v>
      </c>
      <c r="Q55">
        <f>ABS(B55-K48)</f>
        <v>15.927350318471337</v>
      </c>
      <c r="R55">
        <f>ABS(C55-K48)</f>
        <v>16.051290870488323</v>
      </c>
      <c r="S55">
        <f>ABS(D55-K48)</f>
        <v>15.943961783439489</v>
      </c>
      <c r="T55">
        <f>ABS(E55-K48)</f>
        <v>15.996437367303608</v>
      </c>
      <c r="U55">
        <f>ABS(F55-K48)</f>
        <v>15.976802547770699</v>
      </c>
      <c r="V55">
        <f>ABS(G55-K48)</f>
        <v>15.932012738853501</v>
      </c>
      <c r="W55">
        <f t="shared" si="109"/>
        <v>15.971309271054492</v>
      </c>
      <c r="X55">
        <f t="shared" si="110"/>
        <v>4.7503990552928872E-2</v>
      </c>
      <c r="AD55" t="str">
        <f t="shared" si="105"/>
        <v>Stand Deviation of Histogram Mean</v>
      </c>
      <c r="AE55" s="1"/>
      <c r="AF55" s="1"/>
      <c r="AG55" s="1"/>
      <c r="AH55" s="1">
        <f t="shared" si="106"/>
        <v>0.95706816843984743</v>
      </c>
      <c r="AI55" s="1"/>
      <c r="AJ55" s="1">
        <f t="shared" si="106"/>
        <v>0.95321363760042499</v>
      </c>
      <c r="AK55" s="1"/>
      <c r="AL55" s="1"/>
    </row>
    <row r="56" spans="1:42" x14ac:dyDescent="0.25">
      <c r="A56" t="s">
        <v>7</v>
      </c>
      <c r="B56">
        <v>16.707616707616708</v>
      </c>
      <c r="C56">
        <v>16.707616707616708</v>
      </c>
      <c r="D56">
        <v>17.690417690417689</v>
      </c>
      <c r="E56">
        <v>17.690417690417689</v>
      </c>
      <c r="F56">
        <v>16.707616707616708</v>
      </c>
      <c r="G56">
        <v>16.707616707616708</v>
      </c>
      <c r="H56">
        <f t="shared" ref="H56:H63" si="113">AVERAGE(B56:G56)</f>
        <v>17.035217035217034</v>
      </c>
      <c r="I56">
        <f t="shared" ref="I56:I62" si="114">STDEV(B56:G56)</f>
        <v>0.50751624520326422</v>
      </c>
      <c r="K56" s="1"/>
      <c r="P56" t="str">
        <f t="shared" si="104"/>
        <v>Modal Histogram Fiber Diameter</v>
      </c>
      <c r="Q56">
        <f>ABS(B56-K48)</f>
        <v>6.3832923832904953E-3</v>
      </c>
      <c r="R56">
        <f>ABS(C56-K48)</f>
        <v>6.3832923832904953E-3</v>
      </c>
      <c r="S56">
        <f>ABS(D56-K48)</f>
        <v>0.97641769041769066</v>
      </c>
      <c r="T56">
        <f>ABS(E56-K48)</f>
        <v>0.97641769041769066</v>
      </c>
      <c r="U56">
        <f>ABS(F56-K48)</f>
        <v>6.3832923832904953E-3</v>
      </c>
      <c r="V56">
        <f>ABS(G56-K48)</f>
        <v>6.3832923832904953E-3</v>
      </c>
      <c r="W56">
        <f t="shared" si="109"/>
        <v>0.32972809172809053</v>
      </c>
      <c r="X56">
        <f t="shared" si="110"/>
        <v>0.50092360917807577</v>
      </c>
      <c r="AD56" t="str">
        <f t="shared" si="105"/>
        <v>Modal Histogram Fiber Diameter</v>
      </c>
      <c r="AE56" s="1">
        <f t="shared" ref="AE56:AJ58" si="115">ABS(B56-$K$48)/$K$48</f>
        <v>3.8191291033208661E-4</v>
      </c>
      <c r="AF56" s="1">
        <f t="shared" si="115"/>
        <v>3.8191291033208661E-4</v>
      </c>
      <c r="AG56" s="1">
        <f t="shared" si="115"/>
        <v>5.8419151036118867E-2</v>
      </c>
      <c r="AH56" s="1">
        <f t="shared" si="115"/>
        <v>5.8419151036118867E-2</v>
      </c>
      <c r="AI56" s="1">
        <f t="shared" si="115"/>
        <v>3.8191291033208661E-4</v>
      </c>
      <c r="AJ56" s="1">
        <f t="shared" si="115"/>
        <v>3.8191291033208661E-4</v>
      </c>
      <c r="AK56" s="1">
        <f t="shared" ref="AK56:AK58" si="116">AVERAGE(AE56:AJ56)</f>
        <v>1.9727658952261012E-2</v>
      </c>
      <c r="AL56" s="1">
        <f t="shared" ref="AL56:AL58" si="117">STDEV(AE56:AJ56)</f>
        <v>2.9970300896139515E-2</v>
      </c>
    </row>
    <row r="57" spans="1:42" x14ac:dyDescent="0.25">
      <c r="A57" t="s">
        <v>8</v>
      </c>
      <c r="B57">
        <v>16.707616707616708</v>
      </c>
      <c r="C57">
        <v>16.707616707616708</v>
      </c>
      <c r="D57">
        <v>16.707616707616708</v>
      </c>
      <c r="E57">
        <v>17.690417690417689</v>
      </c>
      <c r="F57">
        <v>16.707616707616708</v>
      </c>
      <c r="G57">
        <v>16.707616707616708</v>
      </c>
      <c r="H57">
        <f t="shared" si="113"/>
        <v>16.871416871416873</v>
      </c>
      <c r="I57">
        <f t="shared" si="114"/>
        <v>0.40122682109470503</v>
      </c>
      <c r="K57" s="1"/>
      <c r="P57" t="str">
        <f t="shared" si="104"/>
        <v>Median Histogram Fiber Diameter</v>
      </c>
      <c r="Q57">
        <f>ABS(B57-K48)</f>
        <v>6.3832923832904953E-3</v>
      </c>
      <c r="R57">
        <f>ABS(C57-K48)</f>
        <v>6.3832923832904953E-3</v>
      </c>
      <c r="S57">
        <f>ABS(D57-K48)</f>
        <v>6.3832923832904953E-3</v>
      </c>
      <c r="T57">
        <f>ABS(E57-K48)</f>
        <v>0.97641769041769066</v>
      </c>
      <c r="U57">
        <f>ABS(F57-K48)</f>
        <v>6.3832923832904953E-3</v>
      </c>
      <c r="V57">
        <f>ABS(G57-K48)</f>
        <v>6.3832923832904953E-3</v>
      </c>
      <c r="W57">
        <f t="shared" si="109"/>
        <v>0.16805569205569051</v>
      </c>
      <c r="X57">
        <f t="shared" si="110"/>
        <v>0.39601488468868629</v>
      </c>
      <c r="AD57" t="str">
        <f t="shared" si="105"/>
        <v>Median Histogram Fiber Diameter</v>
      </c>
      <c r="AE57" s="1">
        <f t="shared" si="115"/>
        <v>3.8191291033208661E-4</v>
      </c>
      <c r="AF57" s="1">
        <f t="shared" si="115"/>
        <v>3.8191291033208661E-4</v>
      </c>
      <c r="AG57" s="1">
        <f t="shared" si="115"/>
        <v>3.8191291033208661E-4</v>
      </c>
      <c r="AH57" s="1">
        <f t="shared" si="115"/>
        <v>5.8419151036118867E-2</v>
      </c>
      <c r="AI57" s="1">
        <f t="shared" si="115"/>
        <v>3.8191291033208661E-4</v>
      </c>
      <c r="AJ57" s="1">
        <f t="shared" si="115"/>
        <v>3.8191291033208661E-4</v>
      </c>
      <c r="AK57" s="1">
        <f t="shared" si="116"/>
        <v>1.0054785931296549E-2</v>
      </c>
      <c r="AL57" s="1">
        <f t="shared" si="117"/>
        <v>2.3693603248096589E-2</v>
      </c>
    </row>
    <row r="58" spans="1:42" x14ac:dyDescent="0.25">
      <c r="A58" t="s">
        <v>9</v>
      </c>
      <c r="B58">
        <v>18.009413759213761</v>
      </c>
      <c r="C58">
        <v>17.738840294840294</v>
      </c>
      <c r="D58">
        <v>17.893168058968058</v>
      </c>
      <c r="E58">
        <v>18.449485503685505</v>
      </c>
      <c r="F58">
        <v>17.932585749385751</v>
      </c>
      <c r="G58">
        <v>18.06010171990172</v>
      </c>
      <c r="H58">
        <f t="shared" si="113"/>
        <v>18.013932514332517</v>
      </c>
      <c r="I58">
        <f t="shared" si="114"/>
        <v>0.24030626304654429</v>
      </c>
      <c r="K58" s="1"/>
      <c r="P58" t="str">
        <f t="shared" si="104"/>
        <v>Weighted Fiber Diameter Average</v>
      </c>
      <c r="Q58">
        <f>ABS(B58-K48)</f>
        <v>1.295413759213762</v>
      </c>
      <c r="R58">
        <f>ABS(C58-K48)</f>
        <v>1.0248402948402955</v>
      </c>
      <c r="S58">
        <f>ABS(D58-K48)</f>
        <v>1.1791680589680595</v>
      </c>
      <c r="T58">
        <f>ABS(E58-K48)</f>
        <v>1.7354855036855064</v>
      </c>
      <c r="U58">
        <f>ABS(F58-K48)</f>
        <v>1.2185857493857526</v>
      </c>
      <c r="V58">
        <f>ABS(G58-K48)</f>
        <v>1.3461017199017213</v>
      </c>
      <c r="W58">
        <f t="shared" si="109"/>
        <v>1.2999325143325162</v>
      </c>
      <c r="X58">
        <f t="shared" si="110"/>
        <v>0.24030626304654493</v>
      </c>
      <c r="AD58" t="str">
        <f t="shared" si="105"/>
        <v>Weighted Fiber Diameter Average</v>
      </c>
      <c r="AE58" s="1">
        <f t="shared" si="115"/>
        <v>7.7504712170262183E-2</v>
      </c>
      <c r="AF58" s="1">
        <f t="shared" si="115"/>
        <v>6.1316279456760533E-2</v>
      </c>
      <c r="AG58" s="1">
        <f t="shared" si="115"/>
        <v>7.0549722326675821E-2</v>
      </c>
      <c r="AH58" s="1">
        <f t="shared" si="115"/>
        <v>0.10383424097675641</v>
      </c>
      <c r="AI58" s="1">
        <f t="shared" si="115"/>
        <v>7.2908085998908259E-2</v>
      </c>
      <c r="AJ58" s="1">
        <f t="shared" si="115"/>
        <v>8.0537377043300315E-2</v>
      </c>
      <c r="AK58" s="1">
        <f t="shared" si="116"/>
        <v>7.7775069662110591E-2</v>
      </c>
      <c r="AL58" s="1">
        <f t="shared" si="117"/>
        <v>1.4377543559084804E-2</v>
      </c>
    </row>
    <row r="59" spans="1:42" x14ac:dyDescent="0.25">
      <c r="A59" t="s">
        <v>10</v>
      </c>
      <c r="B59">
        <v>3767.4393759213758</v>
      </c>
      <c r="C59">
        <v>5067.36654004914</v>
      </c>
      <c r="D59">
        <v>2828.6201154791156</v>
      </c>
      <c r="E59">
        <v>3549.7732000000001</v>
      </c>
      <c r="F59">
        <v>4049.379449140049</v>
      </c>
      <c r="G59">
        <v>2793.9393941031944</v>
      </c>
      <c r="H59">
        <f t="shared" si="113"/>
        <v>3676.0863457821456</v>
      </c>
      <c r="I59">
        <f t="shared" si="114"/>
        <v>848.02016046172844</v>
      </c>
      <c r="K59" s="1"/>
      <c r="P59" t="str">
        <f t="shared" si="104"/>
        <v>Mean Pore Size</v>
      </c>
      <c r="AD59" t="str">
        <f t="shared" si="105"/>
        <v>Mean Pore Size</v>
      </c>
      <c r="AE59" s="1"/>
      <c r="AF59" s="1"/>
      <c r="AG59" s="1"/>
      <c r="AH59" s="1"/>
      <c r="AI59" s="1"/>
      <c r="AJ59" s="1"/>
      <c r="AK59" s="1"/>
      <c r="AL59" s="1"/>
    </row>
    <row r="60" spans="1:42" x14ac:dyDescent="0.25">
      <c r="A60" t="s">
        <v>11</v>
      </c>
      <c r="B60">
        <v>15.473411793611794</v>
      </c>
      <c r="C60">
        <v>14.930633415233414</v>
      </c>
      <c r="D60">
        <v>15.658432923832924</v>
      </c>
      <c r="E60">
        <v>16.481089926289926</v>
      </c>
      <c r="F60">
        <v>14.100517936117937</v>
      </c>
      <c r="G60">
        <v>14.967532678132679</v>
      </c>
      <c r="H60">
        <f t="shared" si="113"/>
        <v>15.268603112203111</v>
      </c>
      <c r="I60">
        <f t="shared" si="114"/>
        <v>0.80415521552510882</v>
      </c>
      <c r="K60" s="1"/>
      <c r="P60" t="str">
        <f t="shared" si="104"/>
        <v>Percent Porosity</v>
      </c>
      <c r="AD60" t="str">
        <f t="shared" si="105"/>
        <v>Percent Porosity</v>
      </c>
      <c r="AE60" s="1"/>
      <c r="AF60" s="1"/>
      <c r="AG60" s="1"/>
      <c r="AH60" s="1"/>
      <c r="AI60" s="1"/>
      <c r="AJ60" s="1"/>
      <c r="AK60" s="1"/>
      <c r="AL60" s="1"/>
    </row>
    <row r="61" spans="1:42" x14ac:dyDescent="0.25">
      <c r="A61" t="s">
        <v>12</v>
      </c>
      <c r="B61">
        <v>0.59231302211302217</v>
      </c>
      <c r="C61">
        <v>0.4606879606879607</v>
      </c>
      <c r="D61">
        <v>0.78975085995085992</v>
      </c>
      <c r="E61">
        <v>0.55721326781326785</v>
      </c>
      <c r="F61">
        <v>0.49578820638820637</v>
      </c>
      <c r="G61">
        <v>0.68445061425061426</v>
      </c>
      <c r="H61">
        <f t="shared" si="113"/>
        <v>0.59670065520065518</v>
      </c>
      <c r="I61">
        <f t="shared" si="114"/>
        <v>0.12266190716606995</v>
      </c>
      <c r="K61" s="1"/>
      <c r="P61" t="str">
        <f t="shared" si="104"/>
        <v>Intersection Density (100x100px)</v>
      </c>
      <c r="AD61" t="str">
        <f t="shared" si="105"/>
        <v>Intersection Density (100x100px)</v>
      </c>
      <c r="AE61" s="1"/>
      <c r="AF61" s="1"/>
      <c r="AG61" s="1"/>
      <c r="AH61" s="1"/>
      <c r="AI61" s="1"/>
      <c r="AJ61" s="1"/>
      <c r="AK61" s="1"/>
      <c r="AL61" s="1"/>
    </row>
    <row r="62" spans="1:42" x14ac:dyDescent="0.25">
      <c r="A62" t="s">
        <v>13</v>
      </c>
      <c r="B62">
        <v>64.484484520884521</v>
      </c>
      <c r="C62">
        <v>69.544869778869781</v>
      </c>
      <c r="D62">
        <v>53.188643243243241</v>
      </c>
      <c r="E62">
        <v>68.73609484029484</v>
      </c>
      <c r="F62">
        <v>70.407253562653565</v>
      </c>
      <c r="G62">
        <v>58.161657985257989</v>
      </c>
      <c r="H62">
        <f t="shared" si="113"/>
        <v>64.087167321867312</v>
      </c>
      <c r="I62">
        <f t="shared" si="114"/>
        <v>7.0055675318844379</v>
      </c>
      <c r="K62" s="1"/>
      <c r="P62" t="str">
        <f t="shared" si="104"/>
        <v>Characteristic Length</v>
      </c>
      <c r="AD62" t="str">
        <f t="shared" si="105"/>
        <v>Characteristic Length</v>
      </c>
      <c r="AE62" s="1"/>
      <c r="AF62" s="1"/>
      <c r="AG62" s="1"/>
      <c r="AH62" s="1"/>
      <c r="AI62" s="1"/>
      <c r="AJ62" s="1"/>
      <c r="AK62" s="1"/>
      <c r="AL62" s="1"/>
    </row>
    <row r="63" spans="1:42" x14ac:dyDescent="0.25">
      <c r="A63" t="s">
        <v>14</v>
      </c>
      <c r="B63">
        <v>26.746615724815726</v>
      </c>
      <c r="C63">
        <v>24.040475184275184</v>
      </c>
      <c r="D63">
        <v>26.090415724815724</v>
      </c>
      <c r="E63">
        <v>27.560680098280102</v>
      </c>
      <c r="F63">
        <v>24.499109582309583</v>
      </c>
      <c r="G63">
        <v>26.924283538083539</v>
      </c>
      <c r="H63">
        <f t="shared" si="113"/>
        <v>25.976929975429972</v>
      </c>
      <c r="I63">
        <f>H64</f>
        <v>9.2110192651234772</v>
      </c>
      <c r="K63" s="1"/>
      <c r="P63" t="str">
        <f t="shared" si="104"/>
        <v>BoneJ Mean</v>
      </c>
      <c r="Q63">
        <f>ABS(B63-K48)</f>
        <v>10.032615724815727</v>
      </c>
      <c r="R63">
        <f>ABS(C63-K48)</f>
        <v>7.3264751842751856</v>
      </c>
      <c r="S63">
        <f>ABS(D63-K48)</f>
        <v>9.3764157248157254</v>
      </c>
      <c r="T63">
        <f>ABS(E63-K48)</f>
        <v>10.846680098280103</v>
      </c>
      <c r="U63">
        <f>ABS(F63-K48)</f>
        <v>7.7851095823095839</v>
      </c>
      <c r="V63">
        <f>ABS(G63-K48)</f>
        <v>10.210283538083541</v>
      </c>
      <c r="W63">
        <f t="shared" ref="W63" si="118">AVERAGE(Q63:V63)</f>
        <v>9.2629299754299783</v>
      </c>
      <c r="X63">
        <f t="shared" ref="X63" si="119">STDEV(Q63:V63)</f>
        <v>1.4103083822292255</v>
      </c>
      <c r="AD63" t="str">
        <f t="shared" si="105"/>
        <v>BoneJ Mean</v>
      </c>
      <c r="AE63" s="1">
        <f t="shared" ref="AE63:AJ63" si="120">ABS(B63-$K$48)/$K$48</f>
        <v>0.60025222716379845</v>
      </c>
      <c r="AF63" s="1">
        <f t="shared" si="120"/>
        <v>0.43834361518937337</v>
      </c>
      <c r="AG63" s="1">
        <f t="shared" si="120"/>
        <v>0.5609917269843081</v>
      </c>
      <c r="AH63" s="1">
        <f t="shared" si="120"/>
        <v>0.64895776584181553</v>
      </c>
      <c r="AI63" s="1">
        <f t="shared" si="120"/>
        <v>0.46578374909115622</v>
      </c>
      <c r="AJ63" s="1">
        <f t="shared" si="120"/>
        <v>0.61088210710084612</v>
      </c>
      <c r="AK63" s="1">
        <f t="shared" ref="AK63" si="121">AVERAGE(AE63:AJ63)</f>
        <v>0.55420186522854964</v>
      </c>
      <c r="AL63" s="1">
        <f t="shared" ref="AL63" si="122">STDEV(AE63:AJ63)</f>
        <v>8.4378866951611467E-2</v>
      </c>
    </row>
    <row r="64" spans="1:42" x14ac:dyDescent="0.25">
      <c r="A64" t="s">
        <v>15</v>
      </c>
      <c r="B64">
        <v>10.319578378378379</v>
      </c>
      <c r="C64">
        <v>7.2895081081081079</v>
      </c>
      <c r="D64">
        <v>9.2249808353808369</v>
      </c>
      <c r="E64">
        <v>10.508432923832924</v>
      </c>
      <c r="F64">
        <v>7.5834373464373463</v>
      </c>
      <c r="G64">
        <v>9.8178751842751844</v>
      </c>
      <c r="H64">
        <f>SQRT((B64^2+C64^2+D64^2+E64^2+F64^2+G64^2)/6)</f>
        <v>9.2110192651234772</v>
      </c>
      <c r="K64" s="1"/>
      <c r="P64" t="str">
        <f t="shared" si="104"/>
        <v>BoneJ SD</v>
      </c>
      <c r="AD64" t="str">
        <f t="shared" si="105"/>
        <v>BoneJ SD</v>
      </c>
    </row>
    <row r="65" spans="1:38" x14ac:dyDescent="0.25">
      <c r="A65" t="s">
        <v>24</v>
      </c>
      <c r="B65">
        <v>17.066800000000001</v>
      </c>
      <c r="C65">
        <v>16.916</v>
      </c>
      <c r="D65">
        <v>16.891999999999999</v>
      </c>
      <c r="E65">
        <v>17.0136</v>
      </c>
      <c r="F65">
        <v>16.8828</v>
      </c>
      <c r="G65">
        <v>16.9756</v>
      </c>
      <c r="H65">
        <f t="shared" ref="H65" si="123">AVERAGE(B65:G65)</f>
        <v>16.957799999999999</v>
      </c>
      <c r="I65">
        <f>H66</f>
        <v>0.48816862979006659</v>
      </c>
      <c r="K65" s="1"/>
      <c r="P65" t="str">
        <f t="shared" si="104"/>
        <v>Human</v>
      </c>
      <c r="Q65">
        <f>ABS(B65-K48)</f>
        <v>0.352800000000002</v>
      </c>
      <c r="R65">
        <f>ABS(C65-K48)</f>
        <v>0.20200000000000173</v>
      </c>
      <c r="S65">
        <f>ABS(D65-K48)</f>
        <v>0.17800000000000082</v>
      </c>
      <c r="T65">
        <f>ABS(E65-K48)</f>
        <v>0.29960000000000164</v>
      </c>
      <c r="U65">
        <f>ABS(F65-K48)</f>
        <v>0.16880000000000095</v>
      </c>
      <c r="V65">
        <f>ABS(G65-K48)</f>
        <v>0.26160000000000139</v>
      </c>
      <c r="W65">
        <f t="shared" ref="W65" si="124">AVERAGE(Q65:V65)</f>
        <v>0.24380000000000143</v>
      </c>
      <c r="X65">
        <f t="shared" ref="X65" si="125">STDEV(Q65:V65)</f>
        <v>7.3502870692239305E-2</v>
      </c>
      <c r="AD65" t="str">
        <f>A65</f>
        <v>Human</v>
      </c>
      <c r="AE65" s="1">
        <f t="shared" ref="AE65" si="126">ABS(B65-$K$48)/$K$48</f>
        <v>2.110805312911344E-2</v>
      </c>
      <c r="AF65" s="1">
        <f t="shared" ref="AF65" si="127">ABS(C65-$K$48)/$K$48</f>
        <v>1.208567667823392E-2</v>
      </c>
      <c r="AG65" s="1">
        <f t="shared" ref="AG65" si="128">ABS(D65-$K$48)/$K$48</f>
        <v>1.0649754696661531E-2</v>
      </c>
      <c r="AH65" s="1">
        <f t="shared" ref="AH65" si="129">ABS(E65-$K$48)/$K$48</f>
        <v>1.7925092736628075E-2</v>
      </c>
      <c r="AI65" s="1">
        <f t="shared" ref="AI65" si="130">ABS(F65-$K$48)/$K$48</f>
        <v>1.0099317937058811E-2</v>
      </c>
      <c r="AJ65" s="1">
        <f t="shared" ref="AJ65" si="131">ABS(G65-$K$48)/$K$48</f>
        <v>1.5651549599138531E-2</v>
      </c>
      <c r="AK65" s="1">
        <f t="shared" ref="AK65" si="132">AVERAGE(AE65:AJ65)</f>
        <v>1.4586574129472384E-2</v>
      </c>
      <c r="AL65" s="1">
        <f t="shared" ref="AL65" si="133">STDEV(AE65:AJ65)</f>
        <v>4.397682822318975E-3</v>
      </c>
    </row>
    <row r="66" spans="1:38" x14ac:dyDescent="0.25">
      <c r="A66" t="s">
        <v>27</v>
      </c>
      <c r="B66">
        <v>0.42034430331971118</v>
      </c>
      <c r="C66">
        <v>0.59031065267930471</v>
      </c>
      <c r="D66">
        <v>0.43556476747628092</v>
      </c>
      <c r="E66">
        <v>0.45524608729784821</v>
      </c>
      <c r="F66">
        <v>0.48733561330976005</v>
      </c>
      <c r="G66">
        <v>0.51984036011067858</v>
      </c>
      <c r="H66">
        <f>SQRT((B66^2+C66^2+D66^2+E66^2+F66^2+G66^2)/6)</f>
        <v>0.48816862979006659</v>
      </c>
      <c r="P66" t="str">
        <f t="shared" si="104"/>
        <v>Human SD</v>
      </c>
      <c r="AD66" t="str">
        <f t="shared" ref="AD66:AD68" si="134">A66</f>
        <v>Human SD</v>
      </c>
      <c r="AK66" s="1"/>
      <c r="AL66" s="1"/>
    </row>
    <row r="67" spans="1:38" x14ac:dyDescent="0.25">
      <c r="A67" t="s">
        <v>28</v>
      </c>
      <c r="B67">
        <v>16.989000000000001</v>
      </c>
      <c r="C67">
        <v>17.209</v>
      </c>
      <c r="D67">
        <v>17.077999999999999</v>
      </c>
      <c r="E67">
        <v>17.29</v>
      </c>
      <c r="F67">
        <v>17.108000000000001</v>
      </c>
      <c r="G67">
        <v>17.254999999999999</v>
      </c>
      <c r="H67">
        <f t="shared" ref="H67" si="135">AVERAGE(B67:G67)</f>
        <v>17.154833333333332</v>
      </c>
      <c r="I67">
        <f>H68</f>
        <v>1.027205107723542</v>
      </c>
      <c r="P67" t="str">
        <f t="shared" si="104"/>
        <v>Prc</v>
      </c>
      <c r="Q67">
        <f>ABS(B67-K48)</f>
        <v>0.27500000000000213</v>
      </c>
      <c r="R67">
        <f>ABS(C67-K48)</f>
        <v>0.49500000000000099</v>
      </c>
      <c r="S67">
        <f>ABS(D67-K48)</f>
        <v>0.36400000000000077</v>
      </c>
      <c r="T67">
        <f>ABS(E67-K48)</f>
        <v>0.57600000000000051</v>
      </c>
      <c r="U67">
        <f>ABS(F67-K48)</f>
        <v>0.3940000000000019</v>
      </c>
      <c r="V67">
        <f>ABS(G67-K48)</f>
        <v>0.54100000000000037</v>
      </c>
      <c r="W67">
        <f t="shared" ref="W67" si="136">AVERAGE(Q67:V67)</f>
        <v>0.44083333333333447</v>
      </c>
      <c r="X67">
        <f t="shared" ref="X67" si="137">STDEV(Q67:V67)</f>
        <v>0.11561559871689688</v>
      </c>
      <c r="AD67" t="str">
        <f t="shared" si="134"/>
        <v>Prc</v>
      </c>
      <c r="AE67" s="1">
        <f t="shared" ref="AE67" si="138">ABS(B67-$K$48)/$K$48</f>
        <v>1.6453272705516463E-2</v>
      </c>
      <c r="AF67" s="1">
        <f t="shared" ref="AF67" si="139">ABS(C67-$K$48)/$K$48</f>
        <v>2.9615890869929464E-2</v>
      </c>
      <c r="AG67" s="1">
        <f t="shared" ref="AG67" si="140">ABS(D67-$K$48)/$K$48</f>
        <v>2.1778150053847121E-2</v>
      </c>
      <c r="AH67" s="1">
        <f t="shared" ref="AH67" si="141">ABS(E67-$K$48)/$K$48</f>
        <v>3.4462127557736061E-2</v>
      </c>
      <c r="AI67" s="1">
        <f t="shared" ref="AI67" si="142">ABS(F67-$K$48)/$K$48</f>
        <v>2.357305253081261E-2</v>
      </c>
      <c r="AJ67" s="1">
        <f t="shared" ref="AJ67" si="143">ABS(G67-$K$48)/$K$48</f>
        <v>3.2368074667943066E-2</v>
      </c>
      <c r="AK67" s="1">
        <f>AVERAGE(AE67:AJ67)</f>
        <v>2.6375094730964128E-2</v>
      </c>
      <c r="AL67" s="1">
        <f>STDEV(AE67:AJ67)</f>
        <v>6.9172908170932841E-3</v>
      </c>
    </row>
    <row r="68" spans="1:38" x14ac:dyDescent="0.25">
      <c r="A68" t="s">
        <v>29</v>
      </c>
      <c r="B68">
        <v>0.51700000000000002</v>
      </c>
      <c r="C68">
        <v>1.024</v>
      </c>
      <c r="D68">
        <v>1.0640000000000001</v>
      </c>
      <c r="E68">
        <v>0.99</v>
      </c>
      <c r="F68">
        <v>1.2290000000000001</v>
      </c>
      <c r="G68">
        <v>1.18</v>
      </c>
      <c r="H68">
        <f>SQRT((B68^2+C68^2+D68^2+E68^2+F68^2+G68^2)/6)</f>
        <v>1.027205107723542</v>
      </c>
      <c r="P68" t="str">
        <f t="shared" si="104"/>
        <v>Prc SD</v>
      </c>
      <c r="AD68" t="str">
        <f t="shared" si="134"/>
        <v>Prc SD</v>
      </c>
    </row>
    <row r="75" spans="1:38" x14ac:dyDescent="0.25">
      <c r="AE75" s="3"/>
      <c r="AF75" s="3"/>
      <c r="AG75" s="3"/>
      <c r="AH75" s="3"/>
      <c r="AI75" s="3"/>
      <c r="AJ75" s="3"/>
      <c r="AK75" s="3"/>
      <c r="AL75" s="3"/>
    </row>
    <row r="76" spans="1:38" x14ac:dyDescent="0.25">
      <c r="AE76" s="3"/>
      <c r="AF76" s="3"/>
      <c r="AG76" s="3"/>
      <c r="AH76" s="3"/>
      <c r="AI76" s="3"/>
      <c r="AJ76" s="3"/>
      <c r="AK76" s="3"/>
      <c r="AL76" s="3"/>
    </row>
    <row r="77" spans="1:38" x14ac:dyDescent="0.25">
      <c r="AE77" s="3"/>
      <c r="AF77" s="3"/>
      <c r="AG77" s="3"/>
      <c r="AH77" s="3"/>
      <c r="AI77" s="3"/>
      <c r="AJ77" s="3"/>
      <c r="AK77" s="3"/>
      <c r="AL77" s="3"/>
    </row>
    <row r="78" spans="1:38" x14ac:dyDescent="0.25">
      <c r="AE78" s="3"/>
      <c r="AF78" s="3"/>
      <c r="AG78" s="3"/>
      <c r="AH78" s="3"/>
      <c r="AI78" s="3"/>
      <c r="AJ78" s="3"/>
      <c r="AK78" s="3"/>
      <c r="AL78" s="3"/>
    </row>
    <row r="79" spans="1:38" x14ac:dyDescent="0.25">
      <c r="AE79" s="3"/>
      <c r="AF79" s="3"/>
      <c r="AG79" s="3"/>
      <c r="AH79" s="3"/>
      <c r="AI79" s="3"/>
      <c r="AJ79" s="3"/>
      <c r="AK79" s="3"/>
      <c r="AL79" s="3"/>
    </row>
    <row r="85" spans="31:57" x14ac:dyDescent="0.25">
      <c r="AE85" s="3"/>
      <c r="AF85" s="3"/>
      <c r="AG85" s="3"/>
      <c r="AH85" s="3"/>
      <c r="AI85" s="3"/>
      <c r="AJ85" s="3"/>
      <c r="AK85" s="3"/>
      <c r="AL85" s="3"/>
    </row>
    <row r="86" spans="31:57" x14ac:dyDescent="0.25">
      <c r="AE86" s="3"/>
      <c r="AF86" s="3"/>
      <c r="AG86" s="3"/>
      <c r="AH86" s="3"/>
      <c r="AI86" s="3"/>
      <c r="AJ86" s="3"/>
      <c r="AK86" s="3"/>
      <c r="AL86" s="3"/>
    </row>
    <row r="87" spans="31:57" x14ac:dyDescent="0.25">
      <c r="AE87" s="3"/>
      <c r="AF87" s="3"/>
      <c r="AG87" s="3"/>
      <c r="AH87" s="3"/>
      <c r="AI87" s="3"/>
      <c r="AJ87" s="3"/>
      <c r="AK87" s="3"/>
      <c r="AL87" s="3"/>
    </row>
    <row r="88" spans="31:57" x14ac:dyDescent="0.25">
      <c r="AE88" s="3"/>
      <c r="AF88" s="3"/>
      <c r="AG88" s="3"/>
      <c r="AH88" s="3"/>
      <c r="AI88" s="3"/>
      <c r="AJ88" s="3"/>
      <c r="AK88" s="3"/>
      <c r="AL88" s="3"/>
    </row>
    <row r="89" spans="31:57" x14ac:dyDescent="0.25">
      <c r="AE89" s="3"/>
      <c r="AF89" s="3"/>
      <c r="AG89" s="3"/>
      <c r="AH89" s="3"/>
      <c r="AI89" s="3"/>
      <c r="AJ89" s="3"/>
      <c r="AK89" s="3"/>
      <c r="AL89" s="3"/>
    </row>
    <row r="92" spans="31:57" x14ac:dyDescent="0.25">
      <c r="AE92" s="3"/>
      <c r="AF92" s="3"/>
      <c r="AG92" s="3"/>
      <c r="AH92" s="3"/>
      <c r="AI92" s="3"/>
      <c r="AJ92" s="3"/>
      <c r="AK92" s="3"/>
      <c r="AL92" s="3"/>
    </row>
    <row r="93" spans="31:57" x14ac:dyDescent="0.25">
      <c r="AE93" s="3"/>
      <c r="AF93" s="3"/>
      <c r="AG93" s="3"/>
      <c r="AH93" s="3"/>
      <c r="AI93" s="3"/>
      <c r="AJ93" s="3"/>
      <c r="AK93" s="3"/>
      <c r="AL93" s="3"/>
    </row>
    <row r="94" spans="31:57" x14ac:dyDescent="0.25">
      <c r="AE94" s="3"/>
      <c r="AF94" s="3"/>
      <c r="AG94" s="3"/>
      <c r="AH94" s="3"/>
      <c r="AI94" s="3"/>
      <c r="AJ94" s="3"/>
      <c r="AK94" s="3"/>
      <c r="AL94" s="3"/>
    </row>
    <row r="95" spans="31:57" x14ac:dyDescent="0.25">
      <c r="AE95" s="3"/>
      <c r="AF95" s="3"/>
      <c r="AG95" s="3"/>
      <c r="AH95" s="3"/>
      <c r="AI95" s="3"/>
      <c r="AJ95" s="3"/>
      <c r="AK95" s="3"/>
      <c r="AL95" s="3"/>
    </row>
    <row r="96" spans="31:57" x14ac:dyDescent="0.25">
      <c r="AE96" s="3"/>
      <c r="AF96" s="3"/>
      <c r="AG96" s="3"/>
      <c r="AH96" s="3"/>
      <c r="AI96" s="3"/>
      <c r="AJ96" s="3"/>
      <c r="AK96" s="3"/>
      <c r="AL96" s="3"/>
      <c r="AU96" s="10"/>
      <c r="AV96" s="10"/>
      <c r="AW96" s="10"/>
      <c r="AX96" s="10"/>
      <c r="AY96" s="10"/>
      <c r="BA96" s="10"/>
      <c r="BB96" s="10"/>
      <c r="BC96" s="10"/>
      <c r="BD96" s="10"/>
      <c r="BE96" s="10"/>
    </row>
    <row r="97" spans="47:57" x14ac:dyDescent="0.25">
      <c r="AU97" s="7"/>
      <c r="AV97" s="6"/>
      <c r="AW97" s="6"/>
      <c r="AX97" s="6"/>
      <c r="AY97" s="6"/>
      <c r="BA97" s="7"/>
      <c r="BB97" s="6"/>
      <c r="BC97" s="6"/>
      <c r="BD97" s="6"/>
      <c r="BE97" s="6"/>
    </row>
    <row r="98" spans="47:57" x14ac:dyDescent="0.25">
      <c r="AU98" s="7"/>
      <c r="AV98" s="6"/>
      <c r="AW98" s="6"/>
      <c r="AX98" s="6"/>
      <c r="AY98" s="6"/>
      <c r="BA98" s="7"/>
      <c r="BB98" s="6"/>
      <c r="BC98" s="6"/>
      <c r="BD98" s="6"/>
      <c r="BE98" s="6"/>
    </row>
    <row r="99" spans="47:57" x14ac:dyDescent="0.25">
      <c r="AU99" s="7"/>
      <c r="AV99" s="6"/>
      <c r="AW99" s="6"/>
      <c r="AX99" s="6"/>
      <c r="AY99" s="6"/>
      <c r="BA99" s="7"/>
      <c r="BB99" s="6"/>
      <c r="BC99" s="6"/>
      <c r="BD99" s="6"/>
      <c r="BE99" s="6"/>
    </row>
    <row r="100" spans="47:57" x14ac:dyDescent="0.25">
      <c r="AU100" s="7"/>
      <c r="AV100" s="6"/>
      <c r="AW100" s="6"/>
      <c r="AX100" s="6"/>
      <c r="AY100" s="6"/>
      <c r="BA100" s="7"/>
      <c r="BB100" s="6"/>
      <c r="BC100" s="6"/>
      <c r="BD100" s="6"/>
      <c r="BE100" s="6"/>
    </row>
    <row r="101" spans="47:57" x14ac:dyDescent="0.25">
      <c r="AU101" s="7"/>
      <c r="AV101" s="6"/>
      <c r="AW101" s="6"/>
      <c r="AX101" s="6"/>
      <c r="AY101" s="6"/>
      <c r="BA101" s="7"/>
      <c r="BB101" s="6"/>
      <c r="BC101" s="6"/>
      <c r="BD101" s="6"/>
      <c r="BE101" s="6"/>
    </row>
    <row r="102" spans="47:57" x14ac:dyDescent="0.25">
      <c r="AU102" s="7"/>
      <c r="AV102" s="6"/>
      <c r="AW102" s="6"/>
      <c r="AX102" s="6"/>
      <c r="AY102" s="6"/>
      <c r="BA102" s="7"/>
      <c r="BB102" s="6"/>
      <c r="BC102" s="6"/>
      <c r="BD102" s="6"/>
      <c r="BE102" s="6"/>
    </row>
    <row r="103" spans="47:57" x14ac:dyDescent="0.25">
      <c r="AU103" s="7"/>
      <c r="AV103" s="6"/>
      <c r="AW103" s="6"/>
      <c r="AX103" s="6"/>
      <c r="AY103" s="6"/>
      <c r="BA103" s="7"/>
      <c r="BB103" s="6"/>
      <c r="BC103" s="6"/>
      <c r="BD103" s="6"/>
      <c r="BE103" s="6"/>
    </row>
    <row r="104" spans="47:57" x14ac:dyDescent="0.25">
      <c r="AU104" s="7"/>
      <c r="AV104" s="6"/>
      <c r="AW104" s="6"/>
      <c r="AX104" s="6"/>
      <c r="AY104" s="6"/>
      <c r="BA104" s="7"/>
      <c r="BB104" s="6"/>
      <c r="BC104" s="6"/>
      <c r="BD104" s="6"/>
      <c r="BE104" s="6"/>
    </row>
    <row r="105" spans="47:57" x14ac:dyDescent="0.25">
      <c r="AU105" s="7"/>
      <c r="AV105" s="6"/>
      <c r="AW105" s="6"/>
      <c r="AX105" s="6"/>
      <c r="AY105" s="6"/>
      <c r="BA105" s="7"/>
      <c r="BB105" s="6"/>
      <c r="BC105" s="6"/>
      <c r="BD105" s="6"/>
      <c r="BE105" s="6"/>
    </row>
    <row r="106" spans="47:57" x14ac:dyDescent="0.25">
      <c r="AU106" s="7"/>
      <c r="AV106" s="6"/>
      <c r="AW106" s="6"/>
      <c r="AX106" s="6"/>
      <c r="AY106" s="6"/>
      <c r="BA106" s="7"/>
      <c r="BB106" s="6"/>
      <c r="BC106" s="6"/>
      <c r="BD106" s="6"/>
      <c r="BE106" s="6"/>
    </row>
    <row r="107" spans="47:57" x14ac:dyDescent="0.25">
      <c r="AU107" s="7"/>
      <c r="AV107" s="6"/>
      <c r="AW107" s="6"/>
      <c r="AX107" s="6"/>
      <c r="AY107" s="6"/>
      <c r="BA107" s="7"/>
      <c r="BB107" s="6"/>
      <c r="BC107" s="6"/>
      <c r="BD107" s="6"/>
      <c r="BE107" s="6"/>
    </row>
    <row r="108" spans="47:57" x14ac:dyDescent="0.25">
      <c r="AU108" s="7"/>
      <c r="AV108" s="6"/>
      <c r="AW108" s="6"/>
      <c r="AX108" s="6"/>
      <c r="AY108" s="6"/>
      <c r="BA108" s="7"/>
      <c r="BB108" s="6"/>
      <c r="BC108" s="6"/>
      <c r="BD108" s="6"/>
      <c r="BE108" s="6"/>
    </row>
    <row r="109" spans="47:57" x14ac:dyDescent="0.25">
      <c r="AU109" s="7"/>
      <c r="AV109" s="6"/>
      <c r="AW109" s="6"/>
      <c r="AX109" s="6"/>
      <c r="AY109" s="6"/>
      <c r="BA109" s="7"/>
      <c r="BB109" s="6"/>
      <c r="BC109" s="6"/>
      <c r="BD109" s="6"/>
      <c r="BE109" s="6"/>
    </row>
    <row r="110" spans="47:57" x14ac:dyDescent="0.25">
      <c r="AU110" s="7"/>
      <c r="AV110" s="6"/>
      <c r="AW110" s="6"/>
      <c r="AX110" s="6"/>
      <c r="AY110" s="6"/>
      <c r="BA110" s="7"/>
      <c r="BB110" s="6"/>
      <c r="BC110" s="6"/>
      <c r="BD110" s="6"/>
      <c r="BE110" s="6"/>
    </row>
    <row r="111" spans="47:57" x14ac:dyDescent="0.25">
      <c r="AU111" s="7"/>
      <c r="AV111" s="6"/>
      <c r="AW111" s="6"/>
      <c r="AX111" s="6"/>
      <c r="AY111" s="6"/>
      <c r="BA111" s="7"/>
      <c r="BB111" s="6"/>
      <c r="BC111" s="6"/>
      <c r="BD111" s="6"/>
      <c r="BE111" s="6"/>
    </row>
    <row r="112" spans="47:57" x14ac:dyDescent="0.25">
      <c r="AU112" s="7"/>
      <c r="AV112" s="6"/>
      <c r="AW112" s="6"/>
      <c r="AX112" s="6"/>
      <c r="AY112" s="6"/>
      <c r="BA112" s="7"/>
      <c r="BB112" s="6"/>
      <c r="BC112" s="6"/>
      <c r="BD112" s="6"/>
      <c r="BE112" s="6"/>
    </row>
    <row r="113" spans="47:57" x14ac:dyDescent="0.25">
      <c r="AU113" s="7"/>
      <c r="AV113" s="6"/>
      <c r="AW113" s="6"/>
      <c r="AX113" s="6"/>
      <c r="AY113" s="6"/>
      <c r="BA113" s="7"/>
      <c r="BB113" s="6"/>
      <c r="BC113" s="6"/>
      <c r="BD113" s="6"/>
      <c r="BE113" s="6"/>
    </row>
    <row r="114" spans="47:57" x14ac:dyDescent="0.25">
      <c r="AU114" s="7"/>
      <c r="AV114" s="6"/>
      <c r="AW114" s="6"/>
      <c r="AX114" s="6"/>
      <c r="AY114" s="6"/>
      <c r="BA114" s="7"/>
      <c r="BB114" s="6"/>
      <c r="BC114" s="6"/>
      <c r="BD114" s="6"/>
      <c r="BE114" s="6"/>
    </row>
    <row r="115" spans="47:57" x14ac:dyDescent="0.25">
      <c r="AU115" s="7"/>
      <c r="AV115" s="6"/>
      <c r="AW115" s="6"/>
      <c r="AX115" s="6"/>
      <c r="AY115" s="6"/>
      <c r="BA115" s="7"/>
      <c r="BB115" s="6"/>
      <c r="BC115" s="6"/>
      <c r="BD115" s="6"/>
      <c r="BE115" s="6"/>
    </row>
    <row r="116" spans="47:57" x14ac:dyDescent="0.25">
      <c r="AU116" s="7"/>
      <c r="AV116" s="6"/>
      <c r="AW116" s="6"/>
      <c r="AX116" s="6"/>
      <c r="AY116" s="6"/>
      <c r="BA116" s="7"/>
      <c r="BB116" s="6"/>
      <c r="BC116" s="6"/>
      <c r="BD116" s="6"/>
      <c r="BE116" s="6"/>
    </row>
    <row r="117" spans="47:57" x14ac:dyDescent="0.25">
      <c r="AU117" s="7"/>
      <c r="AV117" s="6"/>
      <c r="AW117" s="6"/>
      <c r="AX117" s="6"/>
      <c r="AY117" s="6"/>
      <c r="BA117" s="7"/>
      <c r="BB117" s="6"/>
      <c r="BC117" s="6"/>
      <c r="BD117" s="6"/>
      <c r="BE117" s="6"/>
    </row>
    <row r="118" spans="47:57" x14ac:dyDescent="0.25">
      <c r="AU118" s="7"/>
      <c r="AV118" s="6"/>
      <c r="AW118" s="6"/>
      <c r="AX118" s="6"/>
      <c r="AY118" s="6"/>
      <c r="BA118" s="7"/>
      <c r="BB118" s="6"/>
      <c r="BC118" s="6"/>
      <c r="BD118" s="6"/>
      <c r="BE118" s="6"/>
    </row>
    <row r="119" spans="47:57" x14ac:dyDescent="0.25">
      <c r="AU119" s="7"/>
      <c r="AV119" s="6"/>
      <c r="AW119" s="6"/>
      <c r="AX119" s="6"/>
      <c r="AY119" s="6"/>
      <c r="BA119" s="7"/>
      <c r="BB119" s="6"/>
      <c r="BC119" s="6"/>
      <c r="BD119" s="6"/>
      <c r="BE119" s="6"/>
    </row>
    <row r="120" spans="47:57" x14ac:dyDescent="0.25">
      <c r="AU120" s="7"/>
      <c r="AV120" s="6"/>
      <c r="AW120" s="6"/>
      <c r="AX120" s="6"/>
      <c r="AY120" s="6"/>
      <c r="BA120" s="7"/>
      <c r="BB120" s="6"/>
      <c r="BC120" s="6"/>
      <c r="BD120" s="6"/>
      <c r="BE120" s="6"/>
    </row>
    <row r="121" spans="47:57" x14ac:dyDescent="0.25">
      <c r="AU121" s="7"/>
      <c r="AV121" s="6"/>
      <c r="AW121" s="6"/>
      <c r="AX121" s="6"/>
      <c r="AY121" s="6"/>
      <c r="BA121" s="7"/>
      <c r="BB121" s="6"/>
      <c r="BC121" s="6"/>
      <c r="BD121" s="6"/>
      <c r="BE121" s="6"/>
    </row>
    <row r="122" spans="47:57" x14ac:dyDescent="0.25">
      <c r="AU122" s="7"/>
      <c r="AV122" s="6"/>
      <c r="AW122" s="6"/>
      <c r="AX122" s="6"/>
      <c r="AY122" s="6"/>
      <c r="BA122" s="7"/>
      <c r="BB122" s="6"/>
      <c r="BC122" s="6"/>
      <c r="BD122" s="6"/>
      <c r="BE122" s="6"/>
    </row>
    <row r="123" spans="47:57" x14ac:dyDescent="0.25">
      <c r="AU123" s="7"/>
      <c r="AV123" s="6"/>
      <c r="AW123" s="6"/>
      <c r="AX123" s="6"/>
      <c r="AY123" s="6"/>
      <c r="BA123" s="7"/>
      <c r="BB123" s="6"/>
      <c r="BC123" s="6"/>
      <c r="BD123" s="6"/>
      <c r="BE123" s="6"/>
    </row>
    <row r="124" spans="47:57" x14ac:dyDescent="0.25">
      <c r="AU124" s="7"/>
      <c r="AV124" s="6"/>
      <c r="AW124" s="6"/>
      <c r="AX124" s="6"/>
      <c r="AY124" s="6"/>
      <c r="BA124" s="7"/>
      <c r="BB124" s="6"/>
      <c r="BC124" s="6"/>
      <c r="BD124" s="6"/>
      <c r="BE124" s="6"/>
    </row>
    <row r="125" spans="47:57" x14ac:dyDescent="0.25">
      <c r="AU125" s="7"/>
      <c r="AV125" s="6"/>
      <c r="AW125" s="6"/>
      <c r="AX125" s="6"/>
      <c r="AY125" s="6"/>
      <c r="BA125" s="7"/>
      <c r="BB125" s="6"/>
      <c r="BC125" s="6"/>
      <c r="BD125" s="6"/>
      <c r="BE125" s="6"/>
    </row>
    <row r="126" spans="47:57" x14ac:dyDescent="0.25">
      <c r="AU126" s="7"/>
      <c r="AV126" s="6"/>
      <c r="AW126" s="6"/>
      <c r="AX126" s="6"/>
      <c r="AY126" s="6"/>
      <c r="BA126" s="7"/>
      <c r="BB126" s="6"/>
      <c r="BC126" s="6"/>
      <c r="BD126" s="6"/>
      <c r="BE126" s="6"/>
    </row>
    <row r="127" spans="47:57" x14ac:dyDescent="0.25">
      <c r="AU127" s="7"/>
      <c r="AV127" s="6"/>
      <c r="AW127" s="6"/>
      <c r="AX127" s="6"/>
      <c r="AY127" s="6"/>
      <c r="BA127" s="7"/>
      <c r="BB127" s="6"/>
      <c r="BC127" s="6"/>
      <c r="BD127" s="6"/>
      <c r="BE127" s="6"/>
    </row>
    <row r="128" spans="47:57" x14ac:dyDescent="0.25">
      <c r="AU128" s="7"/>
      <c r="AV128" s="6"/>
      <c r="AW128" s="6"/>
      <c r="AX128" s="6"/>
      <c r="AY128" s="6"/>
      <c r="BA128" s="7"/>
      <c r="BB128" s="6"/>
      <c r="BC128" s="6"/>
      <c r="BD128" s="6"/>
      <c r="BE128" s="6"/>
    </row>
    <row r="129" spans="47:57" x14ac:dyDescent="0.25">
      <c r="AU129" s="7"/>
      <c r="AV129" s="6"/>
      <c r="AW129" s="6"/>
      <c r="AX129" s="6"/>
      <c r="AY129" s="6"/>
      <c r="BA129" s="7"/>
      <c r="BB129" s="6"/>
      <c r="BC129" s="6"/>
      <c r="BD129" s="6"/>
      <c r="BE129" s="6"/>
    </row>
    <row r="130" spans="47:57" x14ac:dyDescent="0.25">
      <c r="AU130" s="7"/>
      <c r="AV130" s="6"/>
      <c r="AW130" s="6"/>
      <c r="AX130" s="6"/>
      <c r="AY130" s="6"/>
      <c r="BA130" s="7"/>
      <c r="BB130" s="6"/>
      <c r="BC130" s="6"/>
      <c r="BD130" s="6"/>
      <c r="BE130" s="6"/>
    </row>
    <row r="131" spans="47:57" x14ac:dyDescent="0.25">
      <c r="AU131" s="7"/>
      <c r="AV131" s="6"/>
      <c r="AW131" s="6"/>
      <c r="AX131" s="6"/>
      <c r="AY131" s="6"/>
      <c r="BA131" s="7"/>
      <c r="BB131" s="6"/>
      <c r="BC131" s="6"/>
      <c r="BD131" s="6"/>
      <c r="BE131" s="6"/>
    </row>
    <row r="132" spans="47:57" x14ac:dyDescent="0.25">
      <c r="AU132" s="7"/>
      <c r="AV132" s="6"/>
      <c r="AW132" s="6"/>
      <c r="AX132" s="6"/>
      <c r="AY132" s="6"/>
      <c r="BA132" s="7"/>
      <c r="BB132" s="6"/>
      <c r="BC132" s="6"/>
      <c r="BD132" s="6"/>
      <c r="BE132" s="6"/>
    </row>
    <row r="133" spans="47:57" x14ac:dyDescent="0.25">
      <c r="AU133" s="7"/>
      <c r="AV133" s="6"/>
      <c r="AW133" s="6"/>
      <c r="AX133" s="6"/>
      <c r="AY133" s="6"/>
      <c r="BA133" s="7"/>
      <c r="BB133" s="6"/>
      <c r="BC133" s="6"/>
      <c r="BD133" s="6"/>
      <c r="BE133" s="6"/>
    </row>
    <row r="134" spans="47:57" x14ac:dyDescent="0.25">
      <c r="AU134" s="7"/>
      <c r="AV134" s="6"/>
      <c r="AW134" s="6"/>
      <c r="AX134" s="6"/>
      <c r="AY134" s="6"/>
      <c r="BA134" s="7"/>
      <c r="BB134" s="6"/>
      <c r="BC134" s="6"/>
      <c r="BD134" s="6"/>
      <c r="BE134" s="6"/>
    </row>
    <row r="135" spans="47:57" x14ac:dyDescent="0.25">
      <c r="AU135" s="7"/>
      <c r="AV135" s="6"/>
      <c r="AW135" s="6"/>
      <c r="AX135" s="6"/>
      <c r="AY135" s="6"/>
      <c r="BA135" s="7"/>
      <c r="BB135" s="6"/>
      <c r="BC135" s="6"/>
      <c r="BD135" s="6"/>
      <c r="BE135" s="6"/>
    </row>
    <row r="136" spans="47:57" x14ac:dyDescent="0.25">
      <c r="AU136" s="7"/>
      <c r="AV136" s="6"/>
      <c r="AW136" s="6"/>
      <c r="AX136" s="6"/>
      <c r="AY136" s="6"/>
      <c r="BA136" s="7"/>
      <c r="BB136" s="6"/>
      <c r="BC136" s="6"/>
      <c r="BD136" s="6"/>
      <c r="BE136" s="6"/>
    </row>
    <row r="137" spans="47:57" x14ac:dyDescent="0.25">
      <c r="AU137" s="7"/>
      <c r="AV137" s="6"/>
      <c r="AW137" s="6"/>
      <c r="AX137" s="6"/>
      <c r="AY137" s="6"/>
      <c r="BA137" s="7"/>
      <c r="BB137" s="6"/>
      <c r="BC137" s="6"/>
      <c r="BD137" s="6"/>
      <c r="BE137" s="6"/>
    </row>
    <row r="138" spans="47:57" x14ac:dyDescent="0.25">
      <c r="AU138" s="7"/>
      <c r="AV138" s="6"/>
      <c r="AW138" s="6"/>
      <c r="AX138" s="6"/>
      <c r="AY138" s="6"/>
      <c r="BA138" s="7"/>
      <c r="BB138" s="6"/>
      <c r="BC138" s="6"/>
      <c r="BD138" s="6"/>
      <c r="BE138" s="6"/>
    </row>
    <row r="139" spans="47:57" x14ac:dyDescent="0.25">
      <c r="AU139" s="7"/>
      <c r="AV139" s="6"/>
      <c r="AW139" s="6"/>
      <c r="AX139" s="6"/>
      <c r="AY139" s="6"/>
      <c r="BA139" s="7"/>
      <c r="BB139" s="6"/>
      <c r="BC139" s="6"/>
      <c r="BD139" s="6"/>
      <c r="BE139" s="6"/>
    </row>
    <row r="140" spans="47:57" x14ac:dyDescent="0.25">
      <c r="AU140" s="7"/>
      <c r="AV140" s="6"/>
      <c r="AW140" s="6"/>
      <c r="AX140" s="6"/>
      <c r="AY140" s="6"/>
      <c r="BA140" s="7"/>
      <c r="BB140" s="6"/>
      <c r="BC140" s="6"/>
      <c r="BD140" s="6"/>
      <c r="BE140" s="6"/>
    </row>
    <row r="141" spans="47:57" x14ac:dyDescent="0.25">
      <c r="AU141" s="7"/>
      <c r="AV141" s="6"/>
      <c r="AW141" s="6"/>
      <c r="AX141" s="6"/>
      <c r="AY141" s="6"/>
      <c r="BA141" s="7"/>
      <c r="BB141" s="6"/>
      <c r="BC141" s="6"/>
      <c r="BD141" s="6"/>
      <c r="BE141" s="6"/>
    </row>
    <row r="142" spans="47:57" x14ac:dyDescent="0.25">
      <c r="AU142" s="7"/>
      <c r="AV142" s="6"/>
      <c r="AW142" s="6"/>
      <c r="AX142" s="6"/>
      <c r="AY142" s="6"/>
      <c r="BA142" s="7"/>
      <c r="BB142" s="6"/>
      <c r="BC142" s="6"/>
      <c r="BD142" s="6"/>
      <c r="BE142" s="6"/>
    </row>
    <row r="143" spans="47:57" x14ac:dyDescent="0.25">
      <c r="AU143" s="7"/>
      <c r="AV143" s="6"/>
      <c r="AW143" s="6"/>
      <c r="AX143" s="6"/>
      <c r="AY143" s="6"/>
      <c r="BA143" s="7"/>
      <c r="BB143" s="6"/>
      <c r="BC143" s="6"/>
      <c r="BD143" s="6"/>
      <c r="BE143" s="6"/>
    </row>
    <row r="144" spans="47:57" x14ac:dyDescent="0.25">
      <c r="AU144" s="7"/>
      <c r="AV144" s="6"/>
      <c r="AW144" s="6"/>
      <c r="AX144" s="6"/>
      <c r="AY144" s="6"/>
      <c r="BA144" s="7"/>
      <c r="BB144" s="6"/>
      <c r="BC144" s="6"/>
      <c r="BD144" s="6"/>
      <c r="BE144" s="6"/>
    </row>
    <row r="145" spans="47:57" x14ac:dyDescent="0.25">
      <c r="AU145" s="7"/>
      <c r="AV145" s="6"/>
      <c r="AW145" s="6"/>
      <c r="AX145" s="6"/>
      <c r="AY145" s="6"/>
      <c r="BA145" s="7"/>
      <c r="BB145" s="6"/>
      <c r="BC145" s="6"/>
      <c r="BD145" s="6"/>
      <c r="BE145" s="6"/>
    </row>
    <row r="146" spans="47:57" x14ac:dyDescent="0.25">
      <c r="AU146" s="7"/>
      <c r="AV146" s="6"/>
      <c r="AW146" s="6"/>
      <c r="AX146" s="6"/>
      <c r="AY146" s="6"/>
      <c r="BA146" s="7"/>
      <c r="BB146" s="6"/>
      <c r="BC146" s="6"/>
      <c r="BD146" s="6"/>
      <c r="BE146" s="6"/>
    </row>
    <row r="147" spans="47:57" x14ac:dyDescent="0.25">
      <c r="AU147" s="7"/>
      <c r="AV147" s="6"/>
      <c r="AW147" s="6"/>
      <c r="AX147" s="6"/>
      <c r="AY147" s="6"/>
      <c r="BA147" s="7"/>
      <c r="BB147" s="6"/>
      <c r="BC147" s="6"/>
      <c r="BD147" s="6"/>
      <c r="BE147" s="6"/>
    </row>
    <row r="148" spans="47:57" x14ac:dyDescent="0.25">
      <c r="AU148" s="7"/>
      <c r="AV148" s="6"/>
      <c r="AW148" s="6"/>
      <c r="AX148" s="6"/>
      <c r="AY148" s="6"/>
      <c r="BA148" s="7"/>
      <c r="BB148" s="6"/>
      <c r="BC148" s="6"/>
      <c r="BD148" s="6"/>
      <c r="BE148" s="6"/>
    </row>
    <row r="149" spans="47:57" x14ac:dyDescent="0.25">
      <c r="AU149" s="7"/>
      <c r="AV149" s="6"/>
      <c r="AW149" s="6"/>
      <c r="AX149" s="6"/>
      <c r="AY149" s="6"/>
      <c r="BA149" s="7"/>
      <c r="BB149" s="6"/>
      <c r="BC149" s="6"/>
      <c r="BD149" s="6"/>
      <c r="BE149" s="6"/>
    </row>
    <row r="150" spans="47:57" x14ac:dyDescent="0.25">
      <c r="AU150" s="7"/>
      <c r="AV150" s="6"/>
      <c r="AW150" s="6"/>
      <c r="AX150" s="6"/>
      <c r="AY150" s="6"/>
      <c r="BA150" s="7"/>
      <c r="BB150" s="6"/>
      <c r="BC150" s="6"/>
      <c r="BD150" s="6"/>
      <c r="BE150" s="6"/>
    </row>
    <row r="151" spans="47:57" x14ac:dyDescent="0.25">
      <c r="AU151" s="7"/>
      <c r="AV151" s="6"/>
      <c r="AW151" s="6"/>
      <c r="AX151" s="6"/>
      <c r="AY151" s="6"/>
      <c r="BA151" s="7"/>
      <c r="BB151" s="6"/>
      <c r="BC151" s="6"/>
      <c r="BD151" s="6"/>
      <c r="BE151" s="6"/>
    </row>
    <row r="152" spans="47:57" x14ac:dyDescent="0.25">
      <c r="AU152" s="7"/>
      <c r="AV152" s="6"/>
      <c r="AW152" s="6"/>
      <c r="AX152" s="6"/>
      <c r="AY152" s="6"/>
      <c r="BA152" s="7"/>
      <c r="BB152" s="6"/>
      <c r="BC152" s="6"/>
      <c r="BD152" s="6"/>
      <c r="BE152" s="6"/>
    </row>
    <row r="153" spans="47:57" x14ac:dyDescent="0.25">
      <c r="AU153" s="7"/>
      <c r="AV153" s="6"/>
      <c r="AW153" s="6"/>
      <c r="AX153" s="6"/>
      <c r="AY153" s="6"/>
      <c r="BA153" s="7"/>
      <c r="BB153" s="6"/>
      <c r="BC153" s="6"/>
      <c r="BD153" s="6"/>
      <c r="BE153" s="6"/>
    </row>
    <row r="154" spans="47:57" x14ac:dyDescent="0.25">
      <c r="AU154" s="7"/>
      <c r="AV154" s="6"/>
      <c r="AW154" s="6"/>
      <c r="AX154" s="6"/>
      <c r="AY154" s="6"/>
      <c r="BA154" s="7"/>
      <c r="BB154" s="6"/>
      <c r="BC154" s="6"/>
      <c r="BD154" s="6"/>
      <c r="BE154" s="6"/>
    </row>
    <row r="155" spans="47:57" x14ac:dyDescent="0.25">
      <c r="AU155" s="7"/>
      <c r="AV155" s="6"/>
      <c r="AW155" s="6"/>
      <c r="AX155" s="6"/>
      <c r="AY155" s="6"/>
      <c r="BA155" s="7"/>
      <c r="BB155" s="6"/>
      <c r="BC155" s="6"/>
      <c r="BD155" s="6"/>
      <c r="BE155" s="6"/>
    </row>
    <row r="156" spans="47:57" x14ac:dyDescent="0.25">
      <c r="AU156" s="7"/>
      <c r="AV156" s="6"/>
      <c r="AW156" s="6"/>
      <c r="AX156" s="6"/>
      <c r="AY156" s="6"/>
      <c r="BA156" s="7"/>
      <c r="BB156" s="6"/>
      <c r="BC156" s="6"/>
      <c r="BD156" s="6"/>
      <c r="BE156" s="6"/>
    </row>
    <row r="157" spans="47:57" x14ac:dyDescent="0.25">
      <c r="AU157" s="7"/>
      <c r="AV157" s="6"/>
      <c r="AW157" s="6"/>
      <c r="AX157" s="6"/>
      <c r="AY157" s="6"/>
      <c r="BA157" s="7"/>
      <c r="BB157" s="6"/>
      <c r="BC157" s="6"/>
      <c r="BD157" s="6"/>
      <c r="BE157" s="6"/>
    </row>
    <row r="158" spans="47:57" x14ac:dyDescent="0.25">
      <c r="AU158" s="7"/>
      <c r="AV158" s="6"/>
      <c r="AW158" s="6"/>
      <c r="AX158" s="6"/>
      <c r="AY158" s="6"/>
      <c r="BA158" s="7"/>
      <c r="BB158" s="6"/>
      <c r="BC158" s="6"/>
      <c r="BD158" s="6"/>
      <c r="BE158" s="6"/>
    </row>
    <row r="159" spans="47:57" x14ac:dyDescent="0.25">
      <c r="AU159" s="7"/>
      <c r="AV159" s="6"/>
      <c r="AW159" s="6"/>
      <c r="AX159" s="6"/>
      <c r="AY159" s="6"/>
      <c r="BA159" s="7"/>
      <c r="BB159" s="6"/>
      <c r="BC159" s="6"/>
      <c r="BD159" s="6"/>
      <c r="BE159" s="6"/>
    </row>
    <row r="160" spans="47:57" x14ac:dyDescent="0.25">
      <c r="AU160" s="7"/>
      <c r="AV160" s="6"/>
      <c r="AW160" s="6"/>
      <c r="AX160" s="6"/>
      <c r="AY160" s="6"/>
      <c r="BA160" s="7"/>
      <c r="BB160" s="6"/>
      <c r="BC160" s="6"/>
      <c r="BD160" s="6"/>
      <c r="BE160" s="6"/>
    </row>
    <row r="161" spans="47:57" x14ac:dyDescent="0.25">
      <c r="AU161" s="7"/>
      <c r="AV161" s="6"/>
      <c r="AW161" s="6"/>
      <c r="AX161" s="6"/>
      <c r="AY161" s="6"/>
      <c r="BA161" s="7"/>
      <c r="BB161" s="6"/>
      <c r="BC161" s="6"/>
      <c r="BD161" s="6"/>
      <c r="BE161" s="6"/>
    </row>
    <row r="162" spans="47:57" x14ac:dyDescent="0.25">
      <c r="AU162" s="7"/>
      <c r="AV162" s="6"/>
      <c r="AW162" s="6"/>
      <c r="AX162" s="6"/>
      <c r="AY162" s="6"/>
    </row>
    <row r="163" spans="47:57" x14ac:dyDescent="0.25">
      <c r="AU163" s="7"/>
      <c r="AV163" s="6"/>
      <c r="AW163" s="6"/>
      <c r="AX163" s="6"/>
      <c r="AY163" s="6"/>
    </row>
    <row r="164" spans="47:57" x14ac:dyDescent="0.25">
      <c r="AU164" s="7"/>
      <c r="AV164" s="6"/>
      <c r="AW164" s="6"/>
      <c r="AX164" s="6"/>
      <c r="AY164" s="6"/>
    </row>
    <row r="165" spans="47:57" x14ac:dyDescent="0.25">
      <c r="AU165" s="7"/>
      <c r="AV165" s="6"/>
      <c r="AW165" s="6"/>
      <c r="AX165" s="6"/>
      <c r="AY165" s="6"/>
    </row>
    <row r="166" spans="47:57" x14ac:dyDescent="0.25">
      <c r="AU166" s="7"/>
      <c r="AV166" s="6"/>
      <c r="AW166" s="6"/>
      <c r="AX166" s="6"/>
      <c r="AY166" s="6"/>
    </row>
    <row r="167" spans="47:57" x14ac:dyDescent="0.25">
      <c r="AU167" s="7"/>
      <c r="AV167" s="6"/>
      <c r="AW167" s="6"/>
      <c r="AX167" s="6"/>
      <c r="AY167" s="6"/>
    </row>
    <row r="168" spans="47:57" x14ac:dyDescent="0.25">
      <c r="AU168" s="7"/>
      <c r="AV168" s="6"/>
      <c r="AW168" s="6"/>
      <c r="AX168" s="6"/>
      <c r="AY168" s="6"/>
    </row>
    <row r="169" spans="47:57" x14ac:dyDescent="0.25">
      <c r="AU169" s="7"/>
      <c r="AV169" s="6"/>
      <c r="AW169" s="6"/>
      <c r="AX169" s="6"/>
      <c r="AY169" s="6"/>
    </row>
    <row r="170" spans="47:57" x14ac:dyDescent="0.25">
      <c r="AU170" s="7"/>
      <c r="AV170" s="6"/>
      <c r="AW170" s="6"/>
      <c r="AX170" s="6"/>
      <c r="AY170" s="6"/>
    </row>
    <row r="171" spans="47:57" x14ac:dyDescent="0.25">
      <c r="AU171" s="7"/>
      <c r="AV171" s="6"/>
      <c r="AW171" s="6"/>
      <c r="AX171" s="6"/>
      <c r="AY171" s="6"/>
    </row>
    <row r="172" spans="47:57" x14ac:dyDescent="0.25">
      <c r="AU172" s="7"/>
      <c r="AV172" s="6"/>
      <c r="AW172" s="6"/>
      <c r="AX172" s="6"/>
      <c r="AY172" s="6"/>
    </row>
    <row r="173" spans="47:57" x14ac:dyDescent="0.25">
      <c r="AU173" s="7"/>
      <c r="AV173" s="6"/>
      <c r="AW173" s="6"/>
      <c r="AX173" s="6"/>
      <c r="AY173" s="6"/>
    </row>
    <row r="174" spans="47:57" x14ac:dyDescent="0.25">
      <c r="AU174" s="7"/>
      <c r="AV174" s="6"/>
      <c r="AW174" s="6"/>
      <c r="AX174" s="6"/>
      <c r="AY174" s="6"/>
    </row>
    <row r="175" spans="47:57" x14ac:dyDescent="0.25">
      <c r="AU175" s="7"/>
      <c r="AV175" s="6"/>
      <c r="AW175" s="6"/>
      <c r="AX175" s="6"/>
      <c r="AY175" s="6"/>
    </row>
    <row r="176" spans="47:57" x14ac:dyDescent="0.25">
      <c r="AU176" s="7"/>
      <c r="AV176" s="6"/>
      <c r="AW176" s="6"/>
      <c r="AX176" s="6"/>
      <c r="AY176" s="6"/>
    </row>
    <row r="177" spans="47:51" x14ac:dyDescent="0.25">
      <c r="AU177" s="7"/>
      <c r="AV177" s="6"/>
      <c r="AW177" s="6"/>
      <c r="AX177" s="6"/>
      <c r="AY177" s="6"/>
    </row>
    <row r="178" spans="47:51" x14ac:dyDescent="0.25">
      <c r="AU178" s="7"/>
      <c r="AV178" s="6"/>
      <c r="AW178" s="6"/>
      <c r="AX178" s="6"/>
      <c r="AY178" s="6"/>
    </row>
    <row r="179" spans="47:51" x14ac:dyDescent="0.25">
      <c r="AU179" s="7"/>
      <c r="AV179" s="6"/>
      <c r="AW179" s="6"/>
      <c r="AX179" s="6"/>
      <c r="AY179" s="6"/>
    </row>
    <row r="180" spans="47:51" x14ac:dyDescent="0.25">
      <c r="AU180" s="7"/>
      <c r="AV180" s="6"/>
      <c r="AW180" s="6"/>
      <c r="AX180" s="6"/>
      <c r="AY180" s="6"/>
    </row>
    <row r="181" spans="47:51" x14ac:dyDescent="0.25">
      <c r="AU181" s="7"/>
      <c r="AV181" s="6"/>
      <c r="AW181" s="6"/>
      <c r="AX181" s="6"/>
      <c r="AY181" s="6"/>
    </row>
    <row r="182" spans="47:51" x14ac:dyDescent="0.25">
      <c r="AU182" s="7"/>
      <c r="AV182" s="6"/>
      <c r="AW182" s="6"/>
      <c r="AX182" s="6"/>
      <c r="AY182" s="6"/>
    </row>
    <row r="183" spans="47:51" x14ac:dyDescent="0.25">
      <c r="AU183" s="7"/>
      <c r="AV183" s="6"/>
      <c r="AW183" s="6"/>
      <c r="AX183" s="6"/>
      <c r="AY183" s="6"/>
    </row>
    <row r="184" spans="47:51" x14ac:dyDescent="0.25">
      <c r="AU184" s="7"/>
      <c r="AV184" s="6"/>
      <c r="AW184" s="6"/>
      <c r="AX184" s="6"/>
      <c r="AY184" s="6"/>
    </row>
    <row r="185" spans="47:51" x14ac:dyDescent="0.25">
      <c r="AU185" s="7"/>
      <c r="AV185" s="6"/>
      <c r="AW185" s="6"/>
      <c r="AX185" s="6"/>
      <c r="AY185" s="6"/>
    </row>
    <row r="186" spans="47:51" x14ac:dyDescent="0.25">
      <c r="AU186" s="7"/>
      <c r="AV186" s="6"/>
      <c r="AW186" s="6"/>
      <c r="AX186" s="6"/>
      <c r="AY186" s="6"/>
    </row>
    <row r="187" spans="47:51" x14ac:dyDescent="0.25">
      <c r="AU187" s="7"/>
      <c r="AV187" s="6"/>
      <c r="AW187" s="6"/>
      <c r="AX187" s="6"/>
      <c r="AY187" s="6"/>
    </row>
    <row r="188" spans="47:51" x14ac:dyDescent="0.25">
      <c r="AU188" s="7"/>
      <c r="AV188" s="6"/>
      <c r="AW188" s="6"/>
      <c r="AX188" s="6"/>
      <c r="AY188" s="6"/>
    </row>
    <row r="189" spans="47:51" x14ac:dyDescent="0.25">
      <c r="AU189" s="7"/>
      <c r="AV189" s="6"/>
      <c r="AW189" s="6"/>
      <c r="AX189" s="6"/>
      <c r="AY189" s="6"/>
    </row>
    <row r="190" spans="47:51" x14ac:dyDescent="0.25">
      <c r="AU190" s="7"/>
      <c r="AV190" s="6"/>
      <c r="AW190" s="6"/>
      <c r="AX190" s="6"/>
      <c r="AY190" s="6"/>
    </row>
    <row r="191" spans="47:51" x14ac:dyDescent="0.25">
      <c r="AU191" s="7"/>
      <c r="AV191" s="6"/>
      <c r="AW191" s="6"/>
      <c r="AX191" s="6"/>
      <c r="AY191" s="6"/>
    </row>
    <row r="192" spans="47:51" x14ac:dyDescent="0.25">
      <c r="AU192" s="7"/>
      <c r="AV192" s="6"/>
      <c r="AW192" s="6"/>
      <c r="AX192" s="6"/>
      <c r="AY192" s="6"/>
    </row>
    <row r="193" spans="47:51" x14ac:dyDescent="0.25">
      <c r="AU193" s="7"/>
      <c r="AV193" s="6"/>
      <c r="AW193" s="6"/>
      <c r="AX193" s="6"/>
      <c r="AY193" s="6"/>
    </row>
    <row r="194" spans="47:51" x14ac:dyDescent="0.25">
      <c r="AU194" s="7"/>
      <c r="AV194" s="6"/>
      <c r="AW194" s="6"/>
      <c r="AX194" s="6"/>
      <c r="AY194" s="6"/>
    </row>
    <row r="195" spans="47:51" x14ac:dyDescent="0.25">
      <c r="AU195" s="7"/>
      <c r="AV195" s="6"/>
      <c r="AW195" s="6"/>
      <c r="AX195" s="6"/>
      <c r="AY195" s="6"/>
    </row>
    <row r="196" spans="47:51" x14ac:dyDescent="0.25">
      <c r="AU196" s="7"/>
      <c r="AV196" s="6"/>
      <c r="AW196" s="6"/>
      <c r="AX196" s="6"/>
      <c r="AY196" s="6"/>
    </row>
    <row r="197" spans="47:51" x14ac:dyDescent="0.25">
      <c r="AU197" s="7"/>
      <c r="AV197" s="6"/>
      <c r="AW197" s="6"/>
      <c r="AX197" s="6"/>
      <c r="AY197" s="6"/>
    </row>
    <row r="198" spans="47:51" x14ac:dyDescent="0.25">
      <c r="AU198" s="7"/>
      <c r="AV198" s="6"/>
      <c r="AW198" s="6"/>
      <c r="AX198" s="6"/>
      <c r="AY198" s="6"/>
    </row>
    <row r="199" spans="47:51" x14ac:dyDescent="0.25">
      <c r="AU199" s="7"/>
      <c r="AV199" s="6"/>
      <c r="AW199" s="6"/>
      <c r="AX199" s="6"/>
      <c r="AY199" s="6"/>
    </row>
    <row r="200" spans="47:51" x14ac:dyDescent="0.25">
      <c r="AU200" s="7"/>
      <c r="AV200" s="6"/>
      <c r="AW200" s="6"/>
      <c r="AX200" s="6"/>
      <c r="AY200" s="6"/>
    </row>
    <row r="201" spans="47:51" x14ac:dyDescent="0.25">
      <c r="AU201" s="7"/>
      <c r="AV201" s="6"/>
      <c r="AW201" s="6"/>
      <c r="AX201" s="6"/>
      <c r="AY201" s="6"/>
    </row>
    <row r="202" spans="47:51" x14ac:dyDescent="0.25">
      <c r="AU202" s="7"/>
      <c r="AV202" s="6"/>
      <c r="AW202" s="6"/>
      <c r="AX202" s="6"/>
      <c r="AY202" s="6"/>
    </row>
    <row r="203" spans="47:51" x14ac:dyDescent="0.25">
      <c r="AU203" s="7"/>
      <c r="AV203" s="6"/>
      <c r="AW203" s="6"/>
      <c r="AX203" s="6"/>
      <c r="AY203" s="6"/>
    </row>
    <row r="204" spans="47:51" x14ac:dyDescent="0.25">
      <c r="AU204" s="7"/>
      <c r="AV204" s="6"/>
      <c r="AW204" s="6"/>
      <c r="AX204" s="6"/>
      <c r="AY204" s="6"/>
    </row>
    <row r="205" spans="47:51" x14ac:dyDescent="0.25">
      <c r="AU205" s="7"/>
      <c r="AV205" s="6"/>
      <c r="AW205" s="6"/>
      <c r="AX205" s="6"/>
      <c r="AY205" s="6"/>
    </row>
  </sheetData>
  <mergeCells count="14">
    <mergeCell ref="BA96:BE96"/>
    <mergeCell ref="A1:G1"/>
    <mergeCell ref="A24:E24"/>
    <mergeCell ref="A47:E47"/>
    <mergeCell ref="AU96:AY96"/>
    <mergeCell ref="L1:N1"/>
    <mergeCell ref="L24:N24"/>
    <mergeCell ref="L47:N47"/>
    <mergeCell ref="Z24:AB24"/>
    <mergeCell ref="Z47:AB47"/>
    <mergeCell ref="Z1:AB1"/>
    <mergeCell ref="AN1:AP1"/>
    <mergeCell ref="AN24:AP24"/>
    <mergeCell ref="AN47:AP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Percents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N A H</cp:lastModifiedBy>
  <dcterms:created xsi:type="dcterms:W3CDTF">2014-06-17T14:49:28Z</dcterms:created>
  <dcterms:modified xsi:type="dcterms:W3CDTF">2015-04-09T02:54:52Z</dcterms:modified>
</cp:coreProperties>
</file>