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emmcgem\Downloads\"/>
    </mc:Choice>
  </mc:AlternateContent>
  <xr:revisionPtr revIDLastSave="0" documentId="8_{60D82C8F-C90F-41CB-9A35-961E60D0FA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ervoir 1 Calculator" sheetId="1" r:id="rId1"/>
    <sheet name="Reservoir 2 Calculator" sheetId="2" r:id="rId2"/>
    <sheet name="Fluoromete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IyW+H9I2P3h7lEehmoMoOtys5Vw=="/>
    </ext>
  </extLst>
</workbook>
</file>

<file path=xl/calcChain.xml><?xml version="1.0" encoding="utf-8"?>
<calcChain xmlns="http://schemas.openxmlformats.org/spreadsheetml/2006/main">
  <c r="B5" i="3" l="1"/>
  <c r="B9" i="3" s="1"/>
  <c r="H30" i="2"/>
  <c r="G30" i="2"/>
  <c r="D29" i="2"/>
  <c r="G29" i="2" s="1"/>
  <c r="H28" i="2"/>
  <c r="G28" i="2"/>
  <c r="D27" i="2"/>
  <c r="G27" i="2" s="1"/>
  <c r="G25" i="2"/>
  <c r="D25" i="2"/>
  <c r="G23" i="2"/>
  <c r="D23" i="2"/>
  <c r="H22" i="2"/>
  <c r="G22" i="2"/>
  <c r="G21" i="2"/>
  <c r="D21" i="2"/>
  <c r="H20" i="2"/>
  <c r="G20" i="2"/>
  <c r="I20" i="2" s="1"/>
  <c r="J20" i="2" s="1"/>
  <c r="K20" i="2" s="1"/>
  <c r="L20" i="2" s="1"/>
  <c r="D19" i="2"/>
  <c r="G19" i="2" s="1"/>
  <c r="J18" i="2"/>
  <c r="K18" i="2" s="1"/>
  <c r="L18" i="2" s="1"/>
  <c r="I18" i="2"/>
  <c r="H18" i="2"/>
  <c r="G18" i="2"/>
  <c r="G17" i="2"/>
  <c r="G32" i="2" s="1"/>
  <c r="B7" i="2" s="1"/>
  <c r="D17" i="2"/>
  <c r="D32" i="2" s="1"/>
  <c r="F7" i="2"/>
  <c r="H30" i="1"/>
  <c r="G30" i="1"/>
  <c r="G29" i="1"/>
  <c r="D29" i="1"/>
  <c r="H28" i="1"/>
  <c r="G28" i="1"/>
  <c r="D27" i="1"/>
  <c r="G27" i="1" s="1"/>
  <c r="D25" i="1"/>
  <c r="G25" i="1" s="1"/>
  <c r="D23" i="1"/>
  <c r="G23" i="1" s="1"/>
  <c r="H22" i="1"/>
  <c r="G22" i="1"/>
  <c r="D21" i="1"/>
  <c r="G21" i="1" s="1"/>
  <c r="I20" i="1"/>
  <c r="J20" i="1" s="1"/>
  <c r="K20" i="1" s="1"/>
  <c r="L20" i="1" s="1"/>
  <c r="H20" i="1"/>
  <c r="G20" i="1"/>
  <c r="G19" i="1"/>
  <c r="D19" i="1"/>
  <c r="D32" i="1" s="1"/>
  <c r="H18" i="1"/>
  <c r="G18" i="1"/>
  <c r="I18" i="1" s="1"/>
  <c r="J18" i="1" s="1"/>
  <c r="K18" i="1" s="1"/>
  <c r="L18" i="1" s="1"/>
  <c r="D17" i="1"/>
  <c r="G17" i="1" s="1"/>
  <c r="F7" i="1"/>
  <c r="H32" i="2" l="1"/>
  <c r="C9" i="2"/>
  <c r="J7" i="2" s="1"/>
  <c r="A11" i="2"/>
  <c r="E9" i="2"/>
  <c r="L7" i="2" s="1"/>
  <c r="D9" i="2"/>
  <c r="K7" i="2" s="1"/>
  <c r="G32" i="1"/>
  <c r="B7" i="1" s="1"/>
  <c r="H25" i="2" l="1"/>
  <c r="I25" i="2" s="1"/>
  <c r="J25" i="2" s="1"/>
  <c r="K25" i="2" s="1"/>
  <c r="H19" i="2"/>
  <c r="I19" i="2" s="1"/>
  <c r="J19" i="2" s="1"/>
  <c r="K19" i="2" s="1"/>
  <c r="H21" i="2"/>
  <c r="I21" i="2" s="1"/>
  <c r="J21" i="2" s="1"/>
  <c r="K21" i="2" s="1"/>
  <c r="H17" i="2"/>
  <c r="I17" i="2" s="1"/>
  <c r="J17" i="2" s="1"/>
  <c r="K17" i="2" s="1"/>
  <c r="H23" i="2"/>
  <c r="I23" i="2" s="1"/>
  <c r="J23" i="2" s="1"/>
  <c r="K23" i="2" s="1"/>
  <c r="D9" i="1"/>
  <c r="K7" i="1" s="1"/>
  <c r="C9" i="1"/>
  <c r="H32" i="1"/>
  <c r="A11" i="1"/>
  <c r="E9" i="1"/>
  <c r="L7" i="1" s="1"/>
  <c r="H23" i="1" l="1"/>
  <c r="I23" i="1" s="1"/>
  <c r="J23" i="1" s="1"/>
  <c r="K23" i="1" s="1"/>
  <c r="H21" i="1"/>
  <c r="I21" i="1" s="1"/>
  <c r="J21" i="1" s="1"/>
  <c r="K21" i="1" s="1"/>
  <c r="H19" i="1"/>
  <c r="I19" i="1" s="1"/>
  <c r="J19" i="1" s="1"/>
  <c r="K19" i="1" s="1"/>
  <c r="L19" i="1" s="1"/>
  <c r="H25" i="1"/>
  <c r="I25" i="1" s="1"/>
  <c r="J25" i="1" s="1"/>
  <c r="K25" i="1" s="1"/>
  <c r="H17" i="1"/>
  <c r="I17" i="1" s="1"/>
  <c r="J17" i="1" s="1"/>
  <c r="K17" i="1" s="1"/>
  <c r="L17" i="1" s="1"/>
  <c r="K27" i="2"/>
  <c r="L17" i="2"/>
  <c r="L27" i="2" s="1"/>
  <c r="I32" i="2" s="1"/>
  <c r="L27" i="1" l="1"/>
  <c r="I32" i="1" s="1"/>
</calcChain>
</file>

<file path=xl/sharedStrings.xml><?xml version="1.0" encoding="utf-8"?>
<sst xmlns="http://schemas.openxmlformats.org/spreadsheetml/2006/main" count="98" uniqueCount="70">
  <si>
    <t>Outputs in red</t>
  </si>
  <si>
    <t>Enter values in yellow</t>
  </si>
  <si>
    <t>Targeted volume/stroke rate in green</t>
  </si>
  <si>
    <t>Calculator #1: The following is used to calculate the amount of algae to add to the algal reservoir</t>
  </si>
  <si>
    <t>Algal reservoir 1:</t>
  </si>
  <si>
    <t>Total reservoir volume (mL)</t>
  </si>
  <si>
    <r>
      <rPr>
        <b/>
        <sz val="11"/>
        <color theme="1"/>
        <rFont val="Calibri"/>
      </rPr>
      <t>Total cells needed</t>
    </r>
    <r>
      <rPr>
        <sz val="11"/>
        <color theme="1"/>
        <rFont val="Calibri"/>
      </rPr>
      <t xml:space="preserve"> (pull from chart below for each rearing day, this is your target total number of cells to have enough for 24hrs)</t>
    </r>
  </si>
  <si>
    <t>Nanno proportion</t>
  </si>
  <si>
    <t>T-iso proportion</t>
  </si>
  <si>
    <t>Chaetocerus proportion</t>
  </si>
  <si>
    <t>confirm following line is equal to 1</t>
  </si>
  <si>
    <r>
      <rPr>
        <b/>
        <sz val="11"/>
        <color rgb="FF000000"/>
        <rFont val="Calibri"/>
      </rPr>
      <t>Nanno density in Carboy</t>
    </r>
    <r>
      <rPr>
        <sz val="11"/>
        <color rgb="FF000000"/>
        <rFont val="Calibri"/>
      </rPr>
      <t xml:space="preserve"> (cells.mL)</t>
    </r>
  </si>
  <si>
    <r>
      <rPr>
        <b/>
        <sz val="11"/>
        <color rgb="FF000000"/>
        <rFont val="Calibri"/>
      </rPr>
      <t>T-iso density in PBR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(</t>
    </r>
    <r>
      <rPr>
        <sz val="11"/>
        <color rgb="FF000000"/>
        <rFont val="Calibri"/>
      </rPr>
      <t>cells.mL</t>
    </r>
    <r>
      <rPr>
        <b/>
        <sz val="11"/>
        <color rgb="FF000000"/>
        <rFont val="Calibri"/>
      </rPr>
      <t>)</t>
    </r>
  </si>
  <si>
    <r>
      <rPr>
        <b/>
        <sz val="11"/>
        <color rgb="FF000000"/>
        <rFont val="Calibri"/>
      </rPr>
      <t>Chaetocerus density in PBR</t>
    </r>
    <r>
      <rPr>
        <sz val="11"/>
        <color rgb="FF000000"/>
        <rFont val="Calibri"/>
      </rPr>
      <t xml:space="preserve"> (cells.mL)</t>
    </r>
  </si>
  <si>
    <t>Nanno volume to pull from Carboys (mL)</t>
  </si>
  <si>
    <t>C-iso volume to pull from PBR (mL)</t>
  </si>
  <si>
    <t>Chaetoerus volume to pull from PBR (mL)</t>
  </si>
  <si>
    <t>Total Nanno cells needed</t>
  </si>
  <si>
    <t>Total Ciso needed</t>
  </si>
  <si>
    <t>Total Chagra needed</t>
  </si>
  <si>
    <r>
      <rPr>
        <b/>
        <sz val="11"/>
        <color theme="1"/>
        <rFont val="Calibri"/>
      </rPr>
      <t>Density in reservoir 1</t>
    </r>
    <r>
      <rPr>
        <sz val="11"/>
        <color theme="1"/>
        <rFont val="Calibri"/>
      </rPr>
      <t xml:space="preserve"> (cells.mL, Ciso equivalent)</t>
    </r>
  </si>
  <si>
    <t xml:space="preserve">Calculator #2: The following is used to determine metering pump stroke rates for each day. </t>
  </si>
  <si>
    <t>Treatments:</t>
  </si>
  <si>
    <t>manifold/treatment</t>
  </si>
  <si>
    <t>(Number of tanks in treatment SW manifold +1 for bleed-off line)</t>
  </si>
  <si>
    <r>
      <rPr>
        <b/>
        <sz val="11"/>
        <color theme="1"/>
        <rFont val="Calibri"/>
      </rPr>
      <t xml:space="preserve">SW flow to each tank </t>
    </r>
    <r>
      <rPr>
        <sz val="11"/>
        <color theme="1"/>
        <rFont val="Calibri"/>
      </rPr>
      <t>(mL.min)</t>
    </r>
  </si>
  <si>
    <r>
      <rPr>
        <b/>
        <sz val="11"/>
        <color theme="1"/>
        <rFont val="Calibri"/>
      </rPr>
      <t>Total flow in treatment SW manifold</t>
    </r>
    <r>
      <rPr>
        <sz val="11"/>
        <color theme="1"/>
        <rFont val="Calibri"/>
      </rPr>
      <t xml:space="preserve"> (mL.min)</t>
    </r>
  </si>
  <si>
    <t>Desired Algal density in outflow of each tank (Cells.ml.min, Ciso equivalent)</t>
  </si>
  <si>
    <r>
      <rPr>
        <b/>
        <sz val="11"/>
        <color theme="1"/>
        <rFont val="Calibri"/>
      </rPr>
      <t>Grazing</t>
    </r>
    <r>
      <rPr>
        <sz val="11"/>
        <color theme="1"/>
        <rFont val="Calibri"/>
      </rPr>
      <t xml:space="preserve"> (cells.ml, difference of outflow and inflow on prior day adjusted with blank tank)</t>
    </r>
  </si>
  <si>
    <t>Cells needed (cells.mL.min)</t>
  </si>
  <si>
    <t>Density of cells in reservoir (Cells.mL)</t>
  </si>
  <si>
    <r>
      <rPr>
        <b/>
        <sz val="11"/>
        <color theme="1"/>
        <rFont val="Calibri"/>
      </rPr>
      <t>Flow rate needed from metering pump</t>
    </r>
    <r>
      <rPr>
        <sz val="11"/>
        <color theme="1"/>
        <rFont val="Calibri"/>
      </rPr>
      <t xml:space="preserve"> (mL.min)</t>
    </r>
  </si>
  <si>
    <r>
      <rPr>
        <b/>
        <sz val="11"/>
        <color theme="1"/>
        <rFont val="Calibri"/>
      </rPr>
      <t>Stroke rate</t>
    </r>
    <r>
      <rPr>
        <sz val="11"/>
        <color theme="1"/>
        <rFont val="Calibri"/>
      </rPr>
      <t xml:space="preserve"> (Calibrated for Walchem EZBD31D1-PC) </t>
    </r>
  </si>
  <si>
    <r>
      <rPr>
        <b/>
        <sz val="11"/>
        <color theme="1"/>
        <rFont val="Calibri"/>
      </rPr>
      <t>Rounded Stroke rate</t>
    </r>
    <r>
      <rPr>
        <sz val="11"/>
        <color theme="1"/>
        <rFont val="Calibri"/>
      </rPr>
      <t xml:space="preserve">  </t>
    </r>
  </si>
  <si>
    <r>
      <rPr>
        <b/>
        <sz val="11"/>
        <color theme="1"/>
        <rFont val="Calibri"/>
      </rPr>
      <t>Actual flow rate used</t>
    </r>
    <r>
      <rPr>
        <sz val="11"/>
        <color theme="1"/>
        <rFont val="Calibri"/>
      </rPr>
      <t xml:space="preserve">  </t>
    </r>
  </si>
  <si>
    <t>Treat 1/ All 3</t>
  </si>
  <si>
    <t>Treat 2/ non-grazing</t>
  </si>
  <si>
    <t>not used</t>
  </si>
  <si>
    <t>Not used</t>
  </si>
  <si>
    <t>Treatment4</t>
  </si>
  <si>
    <t>Treatment5</t>
  </si>
  <si>
    <r>
      <rPr>
        <b/>
        <sz val="11"/>
        <color theme="1"/>
        <rFont val="Calibri"/>
      </rPr>
      <t xml:space="preserve">Total flow in system </t>
    </r>
    <r>
      <rPr>
        <sz val="11"/>
        <color theme="1"/>
        <rFont val="Calibri"/>
      </rPr>
      <t>(mL/min)</t>
    </r>
  </si>
  <si>
    <t>Total # cells needed per day</t>
  </si>
  <si>
    <r>
      <rPr>
        <b/>
        <sz val="11"/>
        <color theme="1"/>
        <rFont val="Calibri"/>
      </rPr>
      <t xml:space="preserve">Surplus cells </t>
    </r>
    <r>
      <rPr>
        <sz val="11"/>
        <color theme="1"/>
        <rFont val="Calibri"/>
      </rPr>
      <t>(This number should be postitive to guarentee excess cells in reservoir)</t>
    </r>
  </si>
  <si>
    <t>Total volume pulled in 24hr, not to exceed volume of reservoir</t>
  </si>
  <si>
    <t>Calculator for NON-Grazing treatment</t>
  </si>
  <si>
    <t>Algal reservoir 2:</t>
  </si>
  <si>
    <r>
      <rPr>
        <b/>
        <sz val="11"/>
        <color theme="1"/>
        <rFont val="Calibri"/>
      </rPr>
      <t>Total cells needed</t>
    </r>
    <r>
      <rPr>
        <sz val="11"/>
        <color theme="1"/>
        <rFont val="Calibri"/>
      </rPr>
      <t xml:space="preserve"> (pull from chart below for each rearing day, this is your target total number of cells to have enough for 24hrs)</t>
    </r>
  </si>
  <si>
    <r>
      <rPr>
        <b/>
        <sz val="11"/>
        <color rgb="FF000000"/>
        <rFont val="Calibri"/>
      </rPr>
      <t>Nanno density in Carboy</t>
    </r>
    <r>
      <rPr>
        <sz val="11"/>
        <color rgb="FF000000"/>
        <rFont val="Calibri"/>
      </rPr>
      <t xml:space="preserve"> (cells.mL)</t>
    </r>
  </si>
  <si>
    <r>
      <rPr>
        <b/>
        <sz val="11"/>
        <color rgb="FF000000"/>
        <rFont val="Calibri"/>
      </rPr>
      <t>T-iso density in PBR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(</t>
    </r>
    <r>
      <rPr>
        <sz val="11"/>
        <color rgb="FF000000"/>
        <rFont val="Calibri"/>
      </rPr>
      <t>cells.mL</t>
    </r>
    <r>
      <rPr>
        <b/>
        <sz val="11"/>
        <color rgb="FF000000"/>
        <rFont val="Calibri"/>
      </rPr>
      <t>)</t>
    </r>
  </si>
  <si>
    <r>
      <rPr>
        <b/>
        <sz val="11"/>
        <color rgb="FF000000"/>
        <rFont val="Calibri"/>
      </rPr>
      <t>Chaetocerus density in PBR</t>
    </r>
    <r>
      <rPr>
        <sz val="11"/>
        <color rgb="FF000000"/>
        <rFont val="Calibri"/>
      </rPr>
      <t xml:space="preserve"> (cells.mL)</t>
    </r>
  </si>
  <si>
    <r>
      <rPr>
        <b/>
        <sz val="11"/>
        <color theme="1"/>
        <rFont val="Calibri"/>
      </rPr>
      <t>Density in reservoir 2</t>
    </r>
    <r>
      <rPr>
        <sz val="11"/>
        <color theme="1"/>
        <rFont val="Calibri"/>
      </rPr>
      <t xml:space="preserve"> (cells.mL, Tiso equivalent)</t>
    </r>
  </si>
  <si>
    <r>
      <rPr>
        <b/>
        <sz val="11"/>
        <color theme="1"/>
        <rFont val="Calibri"/>
      </rPr>
      <t xml:space="preserve">SW flow to each tank </t>
    </r>
    <r>
      <rPr>
        <sz val="11"/>
        <color theme="1"/>
        <rFont val="Calibri"/>
      </rPr>
      <t>(mL.min)</t>
    </r>
  </si>
  <si>
    <r>
      <rPr>
        <b/>
        <sz val="11"/>
        <color theme="1"/>
        <rFont val="Calibri"/>
      </rPr>
      <t>Total flow in treatment SW manifold</t>
    </r>
    <r>
      <rPr>
        <sz val="11"/>
        <color theme="1"/>
        <rFont val="Calibri"/>
      </rPr>
      <t xml:space="preserve"> (mL.min)</t>
    </r>
  </si>
  <si>
    <t>Inflow algal density</t>
  </si>
  <si>
    <t>Grazing</t>
  </si>
  <si>
    <r>
      <rPr>
        <b/>
        <sz val="11"/>
        <color theme="1"/>
        <rFont val="Calibri"/>
      </rPr>
      <t>Flow rate needed from metering pump</t>
    </r>
    <r>
      <rPr>
        <sz val="11"/>
        <color theme="1"/>
        <rFont val="Calibri"/>
      </rPr>
      <t xml:space="preserve"> (mL.min)</t>
    </r>
  </si>
  <si>
    <r>
      <rPr>
        <b/>
        <sz val="11"/>
        <color theme="1"/>
        <rFont val="Calibri"/>
      </rPr>
      <t>Stroke rate</t>
    </r>
    <r>
      <rPr>
        <sz val="11"/>
        <color theme="1"/>
        <rFont val="Calibri"/>
      </rPr>
      <t xml:space="preserve"> (Calibrated for Walchem EZBD31D1-PC) </t>
    </r>
  </si>
  <si>
    <r>
      <rPr>
        <b/>
        <sz val="11"/>
        <color theme="1"/>
        <rFont val="Calibri"/>
      </rPr>
      <t>Rounded Stroke rate</t>
    </r>
    <r>
      <rPr>
        <sz val="11"/>
        <color theme="1"/>
        <rFont val="Calibri"/>
      </rPr>
      <t xml:space="preserve">  </t>
    </r>
  </si>
  <si>
    <r>
      <rPr>
        <b/>
        <sz val="11"/>
        <color theme="1"/>
        <rFont val="Calibri"/>
      </rPr>
      <t>Actual flow rate used</t>
    </r>
    <r>
      <rPr>
        <sz val="11"/>
        <color theme="1"/>
        <rFont val="Calibri"/>
      </rPr>
      <t xml:space="preserve">  </t>
    </r>
  </si>
  <si>
    <t>Treat 3- no nanno</t>
  </si>
  <si>
    <r>
      <rPr>
        <b/>
        <sz val="11"/>
        <color theme="1"/>
        <rFont val="Calibri"/>
      </rPr>
      <t xml:space="preserve">Total flow in system </t>
    </r>
    <r>
      <rPr>
        <sz val="11"/>
        <color theme="1"/>
        <rFont val="Calibri"/>
      </rPr>
      <t>(mL/min)</t>
    </r>
  </si>
  <si>
    <r>
      <rPr>
        <b/>
        <sz val="11"/>
        <color theme="1"/>
        <rFont val="Calibri"/>
      </rPr>
      <t xml:space="preserve">Surplus cells </t>
    </r>
    <r>
      <rPr>
        <sz val="11"/>
        <color theme="1"/>
        <rFont val="Calibri"/>
      </rPr>
      <t>(This number should be postitive to guarentee excess cells in reservoir)</t>
    </r>
  </si>
  <si>
    <t>Total volume pulled in 24hr, not to exceed volume of reservoir (mL)</t>
  </si>
  <si>
    <t>RFU</t>
  </si>
  <si>
    <t>Cells/mL</t>
  </si>
  <si>
    <t>Algal reservoir</t>
  </si>
  <si>
    <t>1micron filtered SW</t>
  </si>
  <si>
    <t>Slope</t>
  </si>
  <si>
    <t>Reading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</si>
</sst>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"/>
  </numFmts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6"/>
      <color theme="1"/>
      <name val="Calibri"/>
    </font>
    <font>
      <b/>
      <sz val="22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2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4" fontId="1" fillId="2" borderId="1" xfId="0" applyNumberFormat="1" applyFont="1" applyFill="1" applyBorder="1" applyAlignment="1">
      <alignment wrapText="1"/>
    </xf>
    <xf numFmtId="4" fontId="1" fillId="3" borderId="1" xfId="0" applyNumberFormat="1" applyFont="1" applyFill="1" applyBorder="1" applyAlignment="1">
      <alignment wrapText="1"/>
    </xf>
    <xf numFmtId="4" fontId="1" fillId="4" borderId="1" xfId="0" applyNumberFormat="1" applyFont="1" applyFill="1" applyBorder="1" applyAlignment="1">
      <alignment wrapText="1"/>
    </xf>
    <xf numFmtId="4" fontId="2" fillId="0" borderId="0" xfId="0" applyNumberFormat="1" applyFont="1" applyAlignment="1">
      <alignment wrapText="1"/>
    </xf>
    <xf numFmtId="4" fontId="2" fillId="5" borderId="2" xfId="0" applyNumberFormat="1" applyFont="1" applyFill="1" applyBorder="1" applyAlignment="1">
      <alignment wrapText="1"/>
    </xf>
    <xf numFmtId="4" fontId="3" fillId="5" borderId="6" xfId="0" applyNumberFormat="1" applyFont="1" applyFill="1" applyBorder="1" applyAlignment="1">
      <alignment wrapText="1"/>
    </xf>
    <xf numFmtId="4" fontId="3" fillId="6" borderId="6" xfId="0" applyNumberFormat="1" applyFont="1" applyFill="1" applyBorder="1" applyAlignment="1">
      <alignment wrapText="1"/>
    </xf>
    <xf numFmtId="4" fontId="5" fillId="6" borderId="7" xfId="0" applyNumberFormat="1" applyFont="1" applyFill="1" applyBorder="1" applyAlignment="1">
      <alignment wrapText="1"/>
    </xf>
    <xf numFmtId="4" fontId="5" fillId="6" borderId="2" xfId="0" applyNumberFormat="1" applyFont="1" applyFill="1" applyBorder="1" applyAlignment="1">
      <alignment wrapText="1"/>
    </xf>
    <xf numFmtId="4" fontId="5" fillId="5" borderId="8" xfId="0" applyNumberFormat="1" applyFont="1" applyFill="1" applyBorder="1" applyAlignment="1">
      <alignment wrapText="1"/>
    </xf>
    <xf numFmtId="4" fontId="5" fillId="6" borderId="8" xfId="0" applyNumberFormat="1" applyFont="1" applyFill="1" applyBorder="1" applyAlignment="1">
      <alignment wrapText="1"/>
    </xf>
    <xf numFmtId="4" fontId="1" fillId="7" borderId="6" xfId="0" applyNumberFormat="1" applyFont="1" applyFill="1" applyBorder="1" applyAlignment="1">
      <alignment wrapText="1"/>
    </xf>
    <xf numFmtId="4" fontId="2" fillId="7" borderId="6" xfId="0" applyNumberFormat="1" applyFont="1" applyFill="1" applyBorder="1" applyAlignment="1">
      <alignment wrapText="1"/>
    </xf>
    <xf numFmtId="4" fontId="1" fillId="7" borderId="12" xfId="0" applyNumberFormat="1" applyFont="1" applyFill="1" applyBorder="1" applyAlignment="1">
      <alignment wrapText="1"/>
    </xf>
    <xf numFmtId="4" fontId="7" fillId="7" borderId="13" xfId="0" applyNumberFormat="1" applyFont="1" applyFill="1" applyBorder="1" applyAlignment="1">
      <alignment wrapText="1"/>
    </xf>
    <xf numFmtId="4" fontId="7" fillId="7" borderId="12" xfId="0" applyNumberFormat="1" applyFont="1" applyFill="1" applyBorder="1" applyAlignment="1">
      <alignment wrapText="1"/>
    </xf>
    <xf numFmtId="4" fontId="8" fillId="7" borderId="12" xfId="0" applyNumberFormat="1" applyFont="1" applyFill="1" applyBorder="1" applyAlignment="1">
      <alignment wrapText="1"/>
    </xf>
    <xf numFmtId="4" fontId="2" fillId="3" borderId="6" xfId="0" applyNumberFormat="1" applyFont="1" applyFill="1" applyBorder="1" applyAlignment="1">
      <alignment wrapText="1"/>
    </xf>
    <xf numFmtId="4" fontId="7" fillId="3" borderId="2" xfId="0" applyNumberFormat="1" applyFont="1" applyFill="1" applyBorder="1" applyAlignment="1">
      <alignment wrapText="1"/>
    </xf>
    <xf numFmtId="4" fontId="2" fillId="2" borderId="6" xfId="0" applyNumberFormat="1" applyFont="1" applyFill="1" applyBorder="1" applyAlignment="1">
      <alignment wrapText="1"/>
    </xf>
    <xf numFmtId="4" fontId="7" fillId="3" borderId="13" xfId="0" applyNumberFormat="1" applyFont="1" applyFill="1" applyBorder="1" applyAlignment="1">
      <alignment wrapText="1"/>
    </xf>
    <xf numFmtId="4" fontId="7" fillId="3" borderId="12" xfId="0" applyNumberFormat="1" applyFont="1" applyFill="1" applyBorder="1" applyAlignment="1">
      <alignment wrapText="1"/>
    </xf>
    <xf numFmtId="4" fontId="7" fillId="4" borderId="2" xfId="0" applyNumberFormat="1" applyFont="1" applyFill="1" applyBorder="1" applyAlignment="1">
      <alignment wrapText="1"/>
    </xf>
    <xf numFmtId="4" fontId="8" fillId="8" borderId="6" xfId="0" applyNumberFormat="1" applyFont="1" applyFill="1" applyBorder="1" applyAlignment="1">
      <alignment wrapText="1"/>
    </xf>
    <xf numFmtId="4" fontId="7" fillId="0" borderId="0" xfId="0" applyNumberFormat="1" applyFont="1" applyAlignment="1">
      <alignment wrapText="1"/>
    </xf>
    <xf numFmtId="4" fontId="1" fillId="8" borderId="2" xfId="0" applyNumberFormat="1" applyFont="1" applyFill="1" applyBorder="1" applyAlignment="1">
      <alignment wrapText="1"/>
    </xf>
    <xf numFmtId="4" fontId="2" fillId="2" borderId="2" xfId="0" applyNumberFormat="1" applyFont="1" applyFill="1" applyBorder="1" applyAlignment="1">
      <alignment wrapText="1"/>
    </xf>
    <xf numFmtId="4" fontId="2" fillId="5" borderId="6" xfId="0" applyNumberFormat="1" applyFont="1" applyFill="1" applyBorder="1" applyAlignment="1">
      <alignment wrapText="1"/>
    </xf>
    <xf numFmtId="4" fontId="9" fillId="0" borderId="6" xfId="0" applyNumberFormat="1" applyFont="1" applyBorder="1" applyAlignment="1">
      <alignment wrapText="1"/>
    </xf>
    <xf numFmtId="164" fontId="2" fillId="4" borderId="6" xfId="0" applyNumberFormat="1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4" fontId="2" fillId="0" borderId="6" xfId="0" applyNumberFormat="1" applyFont="1" applyBorder="1" applyAlignment="1">
      <alignment wrapText="1"/>
    </xf>
    <xf numFmtId="4" fontId="1" fillId="0" borderId="6" xfId="0" applyNumberFormat="1" applyFont="1" applyBorder="1" applyAlignment="1">
      <alignment wrapText="1"/>
    </xf>
    <xf numFmtId="4" fontId="1" fillId="5" borderId="6" xfId="0" applyNumberFormat="1" applyFont="1" applyFill="1" applyBorder="1" applyAlignment="1">
      <alignment wrapText="1"/>
    </xf>
    <xf numFmtId="164" fontId="10" fillId="4" borderId="6" xfId="0" applyNumberFormat="1" applyFont="1" applyFill="1" applyBorder="1" applyAlignment="1">
      <alignment wrapText="1"/>
    </xf>
    <xf numFmtId="164" fontId="2" fillId="5" borderId="2" xfId="0" applyNumberFormat="1" applyFont="1" applyFill="1" applyBorder="1" applyAlignment="1">
      <alignment wrapText="1"/>
    </xf>
    <xf numFmtId="4" fontId="1" fillId="8" borderId="6" xfId="0" applyNumberFormat="1" applyFont="1" applyFill="1" applyBorder="1" applyAlignment="1">
      <alignment wrapText="1"/>
    </xf>
    <xf numFmtId="164" fontId="9" fillId="7" borderId="6" xfId="0" applyNumberFormat="1" applyFont="1" applyFill="1" applyBorder="1" applyAlignment="1">
      <alignment wrapText="1"/>
    </xf>
    <xf numFmtId="4" fontId="2" fillId="4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4" fontId="2" fillId="9" borderId="2" xfId="0" applyNumberFormat="1" applyFont="1" applyFill="1" applyBorder="1" applyAlignment="1">
      <alignment wrapText="1"/>
    </xf>
    <xf numFmtId="0" fontId="10" fillId="0" borderId="0" xfId="0" applyFont="1"/>
    <xf numFmtId="0" fontId="10" fillId="8" borderId="2" xfId="0" applyFont="1" applyFill="1" applyBorder="1"/>
    <xf numFmtId="0" fontId="10" fillId="4" borderId="2" xfId="0" applyFont="1" applyFill="1" applyBorder="1"/>
    <xf numFmtId="43" fontId="10" fillId="4" borderId="2" xfId="0" applyNumberFormat="1" applyFont="1" applyFill="1" applyBorder="1"/>
    <xf numFmtId="0" fontId="10" fillId="2" borderId="2" xfId="0" applyFont="1" applyFill="1" applyBorder="1"/>
    <xf numFmtId="4" fontId="3" fillId="6" borderId="3" xfId="0" applyNumberFormat="1" applyFont="1" applyFill="1" applyBorder="1" applyAlignment="1">
      <alignment horizontal="left" wrapText="1"/>
    </xf>
    <xf numFmtId="0" fontId="4" fillId="0" borderId="4" xfId="0" applyFont="1" applyBorder="1"/>
    <xf numFmtId="0" fontId="4" fillId="0" borderId="5" xfId="0" applyFont="1" applyBorder="1"/>
    <xf numFmtId="4" fontId="6" fillId="7" borderId="9" xfId="0" applyNumberFormat="1" applyFont="1" applyFill="1" applyBorder="1" applyAlignment="1">
      <alignment horizontal="left" wrapText="1"/>
    </xf>
    <xf numFmtId="0" fontId="4" fillId="0" borderId="10" xfId="0" applyFont="1" applyBorder="1"/>
    <xf numFmtId="0" fontId="4" fillId="0" borderId="11" xfId="0" applyFont="1" applyBorder="1"/>
    <xf numFmtId="4" fontId="3" fillId="6" borderId="14" xfId="0" applyNumberFormat="1" applyFont="1" applyFill="1" applyBorder="1" applyAlignment="1">
      <alignment horizontal="left" wrapText="1"/>
    </xf>
    <xf numFmtId="0" fontId="4" fillId="0" borderId="15" xfId="0" applyFont="1" applyBorder="1"/>
    <xf numFmtId="0" fontId="4" fillId="0" borderId="16" xfId="0" applyFont="1" applyBorder="1"/>
    <xf numFmtId="4" fontId="2" fillId="6" borderId="14" xfId="0" applyNumberFormat="1" applyFont="1" applyFill="1" applyBorder="1" applyAlignment="1">
      <alignment horizontal="center" wrapText="1"/>
    </xf>
    <xf numFmtId="4" fontId="1" fillId="7" borderId="9" xfId="0" applyNumberFormat="1" applyFont="1" applyFill="1" applyBorder="1" applyAlignment="1">
      <alignment horizontal="left" wrapText="1"/>
    </xf>
    <xf numFmtId="0" fontId="4" fillId="0" borderId="17" xfId="0" applyFont="1" applyBorder="1"/>
    <xf numFmtId="4" fontId="11" fillId="7" borderId="9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'Fluorometer graph'!$B$2:$B$3</c:f>
              <c:numCache>
                <c:formatCode>General</c:formatCode>
                <c:ptCount val="2"/>
                <c:pt idx="0">
                  <c:v>190</c:v>
                </c:pt>
                <c:pt idx="1">
                  <c:v>0.02</c:v>
                </c:pt>
              </c:numCache>
            </c:numRef>
          </c:xVal>
          <c:yVal>
            <c:numRef>
              <c:f>'Fluorometer graph'!$C$2:$C$3</c:f>
              <c:numCache>
                <c:formatCode>General</c:formatCode>
                <c:ptCount val="2"/>
                <c:pt idx="0" formatCode="_(* #,##0.00_);_(* \(#,##0.00\);_(* &quot;-&quot;??_);_(@_)">
                  <c:v>1347840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2-4638-878A-97E3D641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74625"/>
        <c:axId val="793525477"/>
      </c:scatterChart>
      <c:valAx>
        <c:axId val="21372746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525477"/>
        <c:crosses val="autoZero"/>
        <c:crossBetween val="midCat"/>
      </c:valAx>
      <c:valAx>
        <c:axId val="793525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Cells/mL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72746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3</xdr:row>
      <xdr:rowOff>0</xdr:rowOff>
    </xdr:from>
    <xdr:ext cx="4419600" cy="3028950"/>
    <xdr:graphicFrame macro="">
      <xdr:nvGraphicFramePr>
        <xdr:cNvPr id="1578534033" name="Chart 1">
          <a:extLst>
            <a:ext uri="{FF2B5EF4-FFF2-40B4-BE49-F238E27FC236}">
              <a16:creationId xmlns:a16="http://schemas.microsoft.com/office/drawing/2014/main" id="{00000000-0008-0000-0200-000091841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1" width="20.42578125" customWidth="1"/>
    <col min="2" max="2" width="19.7109375" customWidth="1"/>
    <col min="3" max="3" width="26.42578125" customWidth="1"/>
    <col min="4" max="4" width="20.140625" customWidth="1"/>
    <col min="5" max="5" width="21.28515625" customWidth="1"/>
    <col min="6" max="6" width="19" customWidth="1"/>
    <col min="7" max="7" width="23" customWidth="1"/>
    <col min="8" max="8" width="20.28515625" customWidth="1"/>
    <col min="9" max="9" width="24.5703125" customWidth="1"/>
    <col min="10" max="10" width="15" customWidth="1"/>
    <col min="11" max="11" width="22" customWidth="1"/>
    <col min="12" max="12" width="21.28515625" customWidth="1"/>
    <col min="13" max="13" width="20.85546875" customWidth="1"/>
    <col min="14" max="14" width="14" customWidth="1"/>
    <col min="15" max="15" width="13.42578125" customWidth="1"/>
    <col min="16" max="26" width="8.85546875" customWidth="1"/>
  </cols>
  <sheetData>
    <row r="1" spans="1:26" ht="30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0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7" t="s">
        <v>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6"/>
      <c r="Q3" s="6"/>
      <c r="R3" s="6"/>
      <c r="S3" s="6"/>
      <c r="T3" s="6"/>
      <c r="U3" s="6"/>
      <c r="V3" s="6"/>
      <c r="W3" s="6"/>
      <c r="X3" s="6"/>
      <c r="Y3" s="7"/>
      <c r="Z3" s="7"/>
    </row>
    <row r="4" spans="1:26" ht="2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</row>
    <row r="5" spans="1:26" ht="31.5" customHeight="1">
      <c r="A5" s="50" t="s">
        <v>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</row>
    <row r="6" spans="1:26" ht="99.75" customHeight="1">
      <c r="A6" s="12" t="s">
        <v>5</v>
      </c>
      <c r="B6" s="13" t="s">
        <v>6</v>
      </c>
      <c r="C6" s="14" t="s">
        <v>7</v>
      </c>
      <c r="D6" s="14" t="s">
        <v>8</v>
      </c>
      <c r="E6" s="14" t="s">
        <v>9</v>
      </c>
      <c r="F6" s="12" t="s">
        <v>10</v>
      </c>
      <c r="G6" s="15" t="s">
        <v>11</v>
      </c>
      <c r="H6" s="16" t="s">
        <v>12</v>
      </c>
      <c r="I6" s="16" t="s">
        <v>13</v>
      </c>
      <c r="J6" s="17" t="s">
        <v>14</v>
      </c>
      <c r="K6" s="17" t="s">
        <v>15</v>
      </c>
      <c r="L6" s="17" t="s">
        <v>16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  <c r="Z6" s="4"/>
    </row>
    <row r="7" spans="1:26">
      <c r="A7" s="18">
        <v>60000</v>
      </c>
      <c r="B7" s="18">
        <f>1.5*G32</f>
        <v>80870400000</v>
      </c>
      <c r="C7" s="19">
        <v>0</v>
      </c>
      <c r="D7" s="19">
        <v>0.5</v>
      </c>
      <c r="E7" s="19">
        <v>0.5</v>
      </c>
      <c r="F7" s="20">
        <f>C7+D7+E7</f>
        <v>1</v>
      </c>
      <c r="G7" s="21">
        <v>0</v>
      </c>
      <c r="H7" s="22">
        <v>7700000</v>
      </c>
      <c r="I7" s="22">
        <v>8350000</v>
      </c>
      <c r="J7" s="23"/>
      <c r="K7" s="23">
        <f t="shared" ref="K7:L7" si="0">D9/H7</f>
        <v>5251.3246753246749</v>
      </c>
      <c r="L7" s="23">
        <f t="shared" si="0"/>
        <v>4842.5389221556889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  <c r="Z7" s="4"/>
    </row>
    <row r="8" spans="1:26">
      <c r="A8" s="4"/>
      <c r="B8" s="4"/>
      <c r="C8" s="24" t="s">
        <v>17</v>
      </c>
      <c r="D8" s="24" t="s">
        <v>18</v>
      </c>
      <c r="E8" s="24" t="s">
        <v>19</v>
      </c>
      <c r="F8" s="25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4"/>
    </row>
    <row r="9" spans="1:26">
      <c r="A9" s="4"/>
      <c r="B9" s="4"/>
      <c r="C9" s="23">
        <f>B7*C7*8</f>
        <v>0</v>
      </c>
      <c r="D9" s="23">
        <f>D7*B7</f>
        <v>40435200000</v>
      </c>
      <c r="E9" s="23">
        <f>E7*B7</f>
        <v>40435200000</v>
      </c>
      <c r="F9" s="25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"/>
    </row>
    <row r="10" spans="1:26" ht="45">
      <c r="A10" s="26" t="s">
        <v>20</v>
      </c>
      <c r="B10" s="4"/>
      <c r="C10" s="25"/>
      <c r="D10" s="25"/>
      <c r="E10" s="25"/>
      <c r="F10" s="25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4"/>
    </row>
    <row r="11" spans="1:26">
      <c r="A11" s="27">
        <f>B7/A7</f>
        <v>1347840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7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3" customHeight="1">
      <c r="A13" s="53" t="s">
        <v>21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/>
    </row>
    <row r="14" spans="1:26" ht="23.25" customHeight="1">
      <c r="A14" s="5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5"/>
    </row>
    <row r="15" spans="1:26">
      <c r="A15" s="57" t="s">
        <v>22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8"/>
    </row>
    <row r="16" spans="1:26" ht="119.25" customHeight="1">
      <c r="A16" s="13" t="s">
        <v>23</v>
      </c>
      <c r="B16" s="12" t="s">
        <v>24</v>
      </c>
      <c r="C16" s="12" t="s">
        <v>25</v>
      </c>
      <c r="D16" s="13" t="s">
        <v>26</v>
      </c>
      <c r="E16" s="12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  <c r="J16" s="13" t="s">
        <v>32</v>
      </c>
      <c r="K16" s="13" t="s">
        <v>33</v>
      </c>
      <c r="L16" s="13" t="s">
        <v>34</v>
      </c>
      <c r="M16" s="28"/>
      <c r="N16" s="28"/>
      <c r="O16" s="28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1" customHeight="1">
      <c r="A17" s="29" t="s">
        <v>35</v>
      </c>
      <c r="B17" s="18">
        <v>4</v>
      </c>
      <c r="C17" s="18">
        <v>72</v>
      </c>
      <c r="D17" s="18">
        <f>B17*C17</f>
        <v>288</v>
      </c>
      <c r="E17" s="18">
        <v>10000</v>
      </c>
      <c r="F17" s="18">
        <v>55000</v>
      </c>
      <c r="G17" s="20">
        <f t="shared" ref="G17:G23" si="1">D17*(E17+F17)</f>
        <v>18720000</v>
      </c>
      <c r="H17" s="20">
        <f t="shared" ref="H17:H18" si="2">A11</f>
        <v>1347840</v>
      </c>
      <c r="I17" s="30">
        <f t="shared" ref="I17:I21" si="3">G17/H17</f>
        <v>13.888888888888889</v>
      </c>
      <c r="J17" s="30">
        <f t="shared" ref="J17:J21" si="4">(1.2123108961*(I17))-0.8736643925</f>
        <v>15.96398694222222</v>
      </c>
      <c r="K17" s="30">
        <f t="shared" ref="K17:K21" si="5">ROUND(J17, 0.99)</f>
        <v>16</v>
      </c>
      <c r="L17" s="30">
        <f t="shared" ref="L17:L20" si="6">(0.824012048*(K17))+0.7349112036</f>
        <v>13.9191039716</v>
      </c>
      <c r="M17" s="31"/>
      <c r="N17" s="28"/>
      <c r="O17" s="28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>
      <c r="A18" s="28"/>
      <c r="B18" s="28"/>
      <c r="C18" s="28"/>
      <c r="D18" s="28"/>
      <c r="E18" s="28"/>
      <c r="F18" s="28"/>
      <c r="G18" s="28">
        <f t="shared" si="1"/>
        <v>0</v>
      </c>
      <c r="H18" s="28">
        <f t="shared" si="2"/>
        <v>0</v>
      </c>
      <c r="I18" s="31" t="e">
        <f t="shared" si="3"/>
        <v>#DIV/0!</v>
      </c>
      <c r="J18" s="31" t="e">
        <f t="shared" si="4"/>
        <v>#DIV/0!</v>
      </c>
      <c r="K18" s="31" t="e">
        <f t="shared" si="5"/>
        <v>#DIV/0!</v>
      </c>
      <c r="L18" s="31" t="e">
        <f t="shared" si="6"/>
        <v>#DIV/0!</v>
      </c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7.25" customHeight="1">
      <c r="A19" s="29" t="s">
        <v>36</v>
      </c>
      <c r="B19" s="18">
        <v>4</v>
      </c>
      <c r="C19" s="18">
        <v>72</v>
      </c>
      <c r="D19" s="18">
        <f>B19*C19</f>
        <v>288</v>
      </c>
      <c r="E19" s="18">
        <v>10000</v>
      </c>
      <c r="F19" s="18">
        <v>55000</v>
      </c>
      <c r="G19" s="20">
        <f t="shared" si="1"/>
        <v>18720000</v>
      </c>
      <c r="H19" s="20">
        <f>A11</f>
        <v>1347840</v>
      </c>
      <c r="I19" s="30">
        <f t="shared" si="3"/>
        <v>13.888888888888889</v>
      </c>
      <c r="J19" s="30">
        <f t="shared" si="4"/>
        <v>15.96398694222222</v>
      </c>
      <c r="K19" s="30">
        <f t="shared" si="5"/>
        <v>16</v>
      </c>
      <c r="L19" s="30">
        <f t="shared" si="6"/>
        <v>13.9191039716</v>
      </c>
      <c r="M19" s="31"/>
      <c r="N19" s="28"/>
      <c r="O19" s="28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28"/>
      <c r="B20" s="28"/>
      <c r="C20" s="28"/>
      <c r="D20" s="28"/>
      <c r="E20" s="28"/>
      <c r="F20" s="28"/>
      <c r="G20" s="28">
        <f t="shared" si="1"/>
        <v>0</v>
      </c>
      <c r="H20" s="28" t="str">
        <f>A16</f>
        <v>manifold/treatment</v>
      </c>
      <c r="I20" s="31" t="e">
        <f t="shared" si="3"/>
        <v>#VALUE!</v>
      </c>
      <c r="J20" s="31" t="e">
        <f t="shared" si="4"/>
        <v>#VALUE!</v>
      </c>
      <c r="K20" s="31" t="e">
        <f t="shared" si="5"/>
        <v>#VALUE!</v>
      </c>
      <c r="L20" s="31" t="e">
        <f t="shared" si="6"/>
        <v>#VALUE!</v>
      </c>
      <c r="M20" s="31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33" t="s">
        <v>37</v>
      </c>
      <c r="B21" s="18">
        <v>0</v>
      </c>
      <c r="C21" s="18">
        <v>72</v>
      </c>
      <c r="D21" s="18">
        <f>B21*C21</f>
        <v>0</v>
      </c>
      <c r="E21" s="18">
        <v>10000</v>
      </c>
      <c r="F21" s="18">
        <v>0</v>
      </c>
      <c r="G21" s="20">
        <f t="shared" si="1"/>
        <v>0</v>
      </c>
      <c r="H21" s="20">
        <f>A11</f>
        <v>1347840</v>
      </c>
      <c r="I21" s="30">
        <f t="shared" si="3"/>
        <v>0</v>
      </c>
      <c r="J21" s="30">
        <f t="shared" si="4"/>
        <v>-0.87366439250000005</v>
      </c>
      <c r="K21" s="30">
        <f t="shared" si="5"/>
        <v>-1</v>
      </c>
      <c r="L21" s="30">
        <v>0</v>
      </c>
      <c r="M21" s="31"/>
      <c r="N21" s="28"/>
      <c r="O21" s="28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28"/>
      <c r="B22" s="28"/>
      <c r="C22" s="28"/>
      <c r="D22" s="28"/>
      <c r="E22" s="28"/>
      <c r="F22" s="28"/>
      <c r="G22" s="28">
        <f t="shared" si="1"/>
        <v>0</v>
      </c>
      <c r="H22" s="28">
        <f>A18</f>
        <v>0</v>
      </c>
      <c r="I22" s="31"/>
      <c r="J22" s="31"/>
      <c r="K22" s="31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33" t="s">
        <v>38</v>
      </c>
      <c r="B23" s="18">
        <v>0</v>
      </c>
      <c r="C23" s="18">
        <v>72</v>
      </c>
      <c r="D23" s="18">
        <f>B23*C23</f>
        <v>0</v>
      </c>
      <c r="E23" s="18">
        <v>10000</v>
      </c>
      <c r="F23" s="18">
        <v>0</v>
      </c>
      <c r="G23" s="20">
        <f t="shared" si="1"/>
        <v>0</v>
      </c>
      <c r="H23" s="20">
        <f>A11</f>
        <v>1347840</v>
      </c>
      <c r="I23" s="30">
        <f>G23/H23</f>
        <v>0</v>
      </c>
      <c r="J23" s="30">
        <f>(1.2123108961*(I23))-0.8736643925</f>
        <v>-0.87366439250000005</v>
      </c>
      <c r="K23" s="30">
        <f>ROUND(J23, 0.99)</f>
        <v>-1</v>
      </c>
      <c r="L23" s="30">
        <v>0</v>
      </c>
      <c r="M23" s="31"/>
      <c r="N23" s="28"/>
      <c r="O23" s="28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28"/>
      <c r="B24" s="28"/>
      <c r="C24" s="28"/>
      <c r="D24" s="28"/>
      <c r="E24" s="28"/>
      <c r="F24" s="28"/>
      <c r="G24" s="28"/>
      <c r="H24" s="28"/>
      <c r="I24" s="31"/>
      <c r="J24" s="31"/>
      <c r="K24" s="31"/>
      <c r="L24" s="31"/>
      <c r="M24" s="31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33" t="s">
        <v>38</v>
      </c>
      <c r="B25" s="18">
        <v>0</v>
      </c>
      <c r="C25" s="18">
        <v>72</v>
      </c>
      <c r="D25" s="18">
        <f>B25*C25</f>
        <v>0</v>
      </c>
      <c r="E25" s="18">
        <v>10000</v>
      </c>
      <c r="F25" s="18">
        <v>0</v>
      </c>
      <c r="G25" s="20">
        <f>D25*(E25+F25)</f>
        <v>0</v>
      </c>
      <c r="H25" s="20">
        <f>A11</f>
        <v>1347840</v>
      </c>
      <c r="I25" s="30">
        <f>G25/H25</f>
        <v>0</v>
      </c>
      <c r="J25" s="30">
        <f>(1.2123108961*(I25))-0.8736643925</f>
        <v>-0.87366439250000005</v>
      </c>
      <c r="K25" s="30">
        <f>ROUND(J25, 0.99)</f>
        <v>-1</v>
      </c>
      <c r="L25" s="30">
        <v>0</v>
      </c>
      <c r="M25" s="31"/>
      <c r="N25" s="28"/>
      <c r="O25" s="28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31"/>
      <c r="J26" s="31"/>
      <c r="K26" s="31"/>
      <c r="L26" s="31"/>
      <c r="M26" s="3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24.75" customHeight="1">
      <c r="A27" s="34" t="s">
        <v>39</v>
      </c>
      <c r="B27" s="28">
        <v>4</v>
      </c>
      <c r="C27" s="28">
        <v>72</v>
      </c>
      <c r="D27" s="28">
        <f>B27*C27</f>
        <v>288</v>
      </c>
      <c r="E27" s="28">
        <v>40000</v>
      </c>
      <c r="F27" s="28">
        <v>30000</v>
      </c>
      <c r="G27" s="28">
        <f t="shared" ref="G27:G30" si="7">D27*(E27+F27)</f>
        <v>20160000</v>
      </c>
      <c r="H27" s="28"/>
      <c r="I27" s="31"/>
      <c r="J27" s="31"/>
      <c r="K27" s="31"/>
      <c r="L27" s="35">
        <f>L17+L19+L21+L23+L25</f>
        <v>27.8382079432</v>
      </c>
      <c r="M27" s="31"/>
      <c r="N27" s="28"/>
      <c r="O27" s="28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" customHeight="1">
      <c r="A28" s="28"/>
      <c r="B28" s="28"/>
      <c r="C28" s="28"/>
      <c r="D28" s="28"/>
      <c r="E28" s="28"/>
      <c r="F28" s="28"/>
      <c r="G28" s="28">
        <f t="shared" si="7"/>
        <v>0</v>
      </c>
      <c r="H28" s="28">
        <f>A20</f>
        <v>0</v>
      </c>
      <c r="I28" s="31"/>
      <c r="J28" s="31"/>
      <c r="K28" s="31"/>
      <c r="L28" s="31"/>
      <c r="M28" s="31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34" t="s">
        <v>40</v>
      </c>
      <c r="B29" s="28">
        <v>4</v>
      </c>
      <c r="C29" s="28">
        <v>72</v>
      </c>
      <c r="D29" s="28">
        <f>B29*C29</f>
        <v>288</v>
      </c>
      <c r="E29" s="28">
        <v>80000</v>
      </c>
      <c r="F29" s="28">
        <v>30000</v>
      </c>
      <c r="G29" s="28">
        <f t="shared" si="7"/>
        <v>31680000</v>
      </c>
      <c r="H29" s="28"/>
      <c r="I29" s="31"/>
      <c r="J29" s="31"/>
      <c r="K29" s="31"/>
      <c r="L29" s="31"/>
      <c r="M29" s="31"/>
      <c r="N29" s="28"/>
      <c r="O29" s="28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28"/>
      <c r="B30" s="28"/>
      <c r="C30" s="28"/>
      <c r="D30" s="28"/>
      <c r="E30" s="28"/>
      <c r="F30" s="28"/>
      <c r="G30" s="28">
        <f t="shared" si="7"/>
        <v>0</v>
      </c>
      <c r="H30" s="28">
        <f>A22</f>
        <v>0</v>
      </c>
      <c r="I30" s="31"/>
      <c r="J30" s="31"/>
      <c r="K30" s="36"/>
      <c r="L30" s="31"/>
      <c r="M30" s="31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5"/>
      <c r="B31" s="5"/>
      <c r="C31" s="5"/>
      <c r="D31" s="37" t="s">
        <v>41</v>
      </c>
      <c r="E31" s="34"/>
      <c r="F31" s="5"/>
      <c r="G31" s="12" t="s">
        <v>42</v>
      </c>
      <c r="H31" s="12" t="s">
        <v>43</v>
      </c>
      <c r="I31" s="38" t="s">
        <v>44</v>
      </c>
      <c r="J31" s="36"/>
      <c r="K31" s="36"/>
      <c r="L31" s="36"/>
      <c r="M31" s="36"/>
      <c r="N31" s="5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/>
      <c r="B32" s="5"/>
      <c r="C32" s="5"/>
      <c r="D32" s="39">
        <f>D17+D19+D21+D23+D25</f>
        <v>576</v>
      </c>
      <c r="E32" s="5"/>
      <c r="F32" s="5"/>
      <c r="G32" s="27">
        <f>(G17+G19+G21+G23+G25)*60*24</f>
        <v>53913600000</v>
      </c>
      <c r="H32" s="27">
        <f>B7-G32</f>
        <v>26956800000</v>
      </c>
      <c r="I32" s="40">
        <f>L27*(60)*(24)</f>
        <v>40087.019438208001</v>
      </c>
      <c r="J32" s="36"/>
      <c r="K32" s="5"/>
      <c r="L32" s="36"/>
      <c r="M32" s="36"/>
      <c r="N32" s="5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3:O3"/>
    <mergeCell ref="A5:Z5"/>
    <mergeCell ref="A13:Z13"/>
    <mergeCell ref="A14:Z14"/>
    <mergeCell ref="A15:Z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16.28515625" customWidth="1"/>
    <col min="2" max="2" width="19.7109375" customWidth="1"/>
    <col min="3" max="3" width="26.42578125" customWidth="1"/>
    <col min="4" max="4" width="20.140625" customWidth="1"/>
    <col min="5" max="5" width="21.28515625" customWidth="1"/>
    <col min="6" max="6" width="19" customWidth="1"/>
    <col min="7" max="7" width="23" customWidth="1"/>
    <col min="8" max="8" width="20.28515625" customWidth="1"/>
    <col min="9" max="9" width="24.5703125" customWidth="1"/>
    <col min="10" max="10" width="15" customWidth="1"/>
    <col min="11" max="11" width="22" customWidth="1"/>
    <col min="12" max="12" width="21.28515625" customWidth="1"/>
    <col min="13" max="13" width="20.85546875" customWidth="1"/>
    <col min="14" max="14" width="14" customWidth="1"/>
    <col min="15" max="15" width="13.42578125" customWidth="1"/>
    <col min="16" max="26" width="8.85546875" customWidth="1"/>
  </cols>
  <sheetData>
    <row r="1" spans="1:26" ht="30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0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7" t="s">
        <v>45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6"/>
      <c r="Q3" s="6"/>
      <c r="R3" s="6"/>
      <c r="S3" s="6"/>
      <c r="T3" s="6"/>
      <c r="U3" s="6"/>
      <c r="V3" s="6"/>
      <c r="W3" s="6"/>
      <c r="X3" s="6"/>
      <c r="Y3" s="7"/>
      <c r="Z3" s="7"/>
    </row>
    <row r="4" spans="1:26" ht="2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</row>
    <row r="5" spans="1:26" ht="29.25" customHeight="1">
      <c r="A5" s="59" t="s">
        <v>46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</row>
    <row r="6" spans="1:26" ht="99.75" customHeight="1">
      <c r="A6" s="12" t="s">
        <v>5</v>
      </c>
      <c r="B6" s="13" t="s">
        <v>47</v>
      </c>
      <c r="C6" s="14" t="s">
        <v>7</v>
      </c>
      <c r="D6" s="14" t="s">
        <v>8</v>
      </c>
      <c r="E6" s="14" t="s">
        <v>9</v>
      </c>
      <c r="F6" s="12" t="s">
        <v>10</v>
      </c>
      <c r="G6" s="15" t="s">
        <v>48</v>
      </c>
      <c r="H6" s="16" t="s">
        <v>49</v>
      </c>
      <c r="I6" s="16" t="s">
        <v>50</v>
      </c>
      <c r="J6" s="17" t="s">
        <v>14</v>
      </c>
      <c r="K6" s="17" t="s">
        <v>15</v>
      </c>
      <c r="L6" s="17" t="s">
        <v>16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  <c r="Z6" s="4"/>
    </row>
    <row r="7" spans="1:26">
      <c r="A7" s="18">
        <v>20000</v>
      </c>
      <c r="B7" s="18">
        <f>1.5*G32</f>
        <v>40435200000</v>
      </c>
      <c r="C7" s="19">
        <v>0</v>
      </c>
      <c r="D7" s="19">
        <v>0.5</v>
      </c>
      <c r="E7" s="19">
        <v>0.5</v>
      </c>
      <c r="F7" s="20">
        <f>C7+D7+E7</f>
        <v>1</v>
      </c>
      <c r="G7" s="21">
        <v>44000000</v>
      </c>
      <c r="H7" s="22">
        <v>7700000</v>
      </c>
      <c r="I7" s="22">
        <v>8350000</v>
      </c>
      <c r="J7" s="23">
        <f t="shared" ref="J7:L7" si="0">C9/G7</f>
        <v>0</v>
      </c>
      <c r="K7" s="23">
        <f t="shared" si="0"/>
        <v>2625.6623376623374</v>
      </c>
      <c r="L7" s="23">
        <f t="shared" si="0"/>
        <v>2421.2694610778444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  <c r="Z7" s="4"/>
    </row>
    <row r="8" spans="1:26">
      <c r="A8" s="4"/>
      <c r="B8" s="4"/>
      <c r="C8" s="24" t="s">
        <v>17</v>
      </c>
      <c r="D8" s="24"/>
      <c r="E8" s="24" t="s">
        <v>19</v>
      </c>
      <c r="F8" s="25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4"/>
    </row>
    <row r="9" spans="1:26">
      <c r="A9" s="4"/>
      <c r="B9" s="4"/>
      <c r="C9" s="23">
        <f>B7*C7*8</f>
        <v>0</v>
      </c>
      <c r="D9" s="23">
        <f>D7*B7</f>
        <v>20217600000</v>
      </c>
      <c r="E9" s="23">
        <f>E7*B7</f>
        <v>20217600000</v>
      </c>
      <c r="F9" s="25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"/>
    </row>
    <row r="10" spans="1:26" ht="60">
      <c r="A10" s="26" t="s">
        <v>51</v>
      </c>
      <c r="B10" s="4"/>
      <c r="C10" s="25"/>
      <c r="D10" s="25"/>
      <c r="E10" s="25"/>
      <c r="F10" s="25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4"/>
    </row>
    <row r="11" spans="1:26">
      <c r="A11" s="27">
        <f>B7/A7</f>
        <v>2021760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7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3" customHeight="1">
      <c r="A13" s="53" t="s">
        <v>21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/>
    </row>
    <row r="14" spans="1:26" ht="23.25" customHeight="1">
      <c r="A14" s="5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5"/>
    </row>
    <row r="15" spans="1:26">
      <c r="A15" s="57" t="s">
        <v>22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8"/>
    </row>
    <row r="16" spans="1:26" ht="119.25" customHeight="1">
      <c r="A16" s="13" t="s">
        <v>23</v>
      </c>
      <c r="B16" s="12" t="s">
        <v>24</v>
      </c>
      <c r="C16" s="12" t="s">
        <v>52</v>
      </c>
      <c r="D16" s="13" t="s">
        <v>53</v>
      </c>
      <c r="E16" s="12" t="s">
        <v>54</v>
      </c>
      <c r="F16" s="13" t="s">
        <v>55</v>
      </c>
      <c r="G16" s="13" t="s">
        <v>29</v>
      </c>
      <c r="H16" s="13" t="s">
        <v>30</v>
      </c>
      <c r="I16" s="13" t="s">
        <v>56</v>
      </c>
      <c r="J16" s="13" t="s">
        <v>57</v>
      </c>
      <c r="K16" s="13" t="s">
        <v>58</v>
      </c>
      <c r="L16" s="13" t="s">
        <v>59</v>
      </c>
      <c r="M16" s="28"/>
      <c r="N16" s="28"/>
      <c r="O16" s="28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30">
      <c r="A17" s="33" t="s">
        <v>60</v>
      </c>
      <c r="B17" s="18">
        <v>4</v>
      </c>
      <c r="C17" s="18">
        <v>72</v>
      </c>
      <c r="D17" s="18">
        <f>B17*C17</f>
        <v>288</v>
      </c>
      <c r="E17" s="18">
        <v>10000</v>
      </c>
      <c r="F17" s="18">
        <v>55000</v>
      </c>
      <c r="G17" s="20">
        <f t="shared" ref="G17:G23" si="1">D17*(E17+F17)</f>
        <v>18720000</v>
      </c>
      <c r="H17" s="20">
        <f t="shared" ref="H17:H18" si="2">A11</f>
        <v>2021760</v>
      </c>
      <c r="I17" s="30">
        <f t="shared" ref="I17:I21" si="3">G17/H17</f>
        <v>9.2592592592592595</v>
      </c>
      <c r="J17" s="30">
        <f t="shared" ref="J17:J21" si="4">(1.2123108961*(I17))-0.8736643925</f>
        <v>10.351436497314815</v>
      </c>
      <c r="K17" s="30">
        <f t="shared" ref="K17:K21" si="5">ROUND(J17, 0.99)</f>
        <v>10</v>
      </c>
      <c r="L17" s="30">
        <f t="shared" ref="L17:L18" si="6">(0.824012048*(K17))+0.7349112036</f>
        <v>8.9750316835999993</v>
      </c>
      <c r="M17" s="31"/>
      <c r="N17" s="28"/>
      <c r="O17" s="28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>
      <c r="A18" s="28"/>
      <c r="B18" s="28"/>
      <c r="C18" s="28"/>
      <c r="D18" s="28"/>
      <c r="E18" s="28"/>
      <c r="F18" s="28">
        <v>500</v>
      </c>
      <c r="G18" s="28">
        <f t="shared" si="1"/>
        <v>0</v>
      </c>
      <c r="H18" s="28">
        <f t="shared" si="2"/>
        <v>0</v>
      </c>
      <c r="I18" s="31" t="e">
        <f t="shared" si="3"/>
        <v>#DIV/0!</v>
      </c>
      <c r="J18" s="31" t="e">
        <f t="shared" si="4"/>
        <v>#DIV/0!</v>
      </c>
      <c r="K18" s="31" t="e">
        <f t="shared" si="5"/>
        <v>#DIV/0!</v>
      </c>
      <c r="L18" s="31" t="e">
        <f t="shared" si="6"/>
        <v>#DIV/0!</v>
      </c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33" t="s">
        <v>38</v>
      </c>
      <c r="B19" s="18">
        <v>0</v>
      </c>
      <c r="C19" s="18">
        <v>72</v>
      </c>
      <c r="D19" s="18">
        <f>B19*C19</f>
        <v>0</v>
      </c>
      <c r="E19" s="18">
        <v>10000</v>
      </c>
      <c r="F19" s="18">
        <v>0</v>
      </c>
      <c r="G19" s="20">
        <f t="shared" si="1"/>
        <v>0</v>
      </c>
      <c r="H19" s="20">
        <f>A11</f>
        <v>2021760</v>
      </c>
      <c r="I19" s="30">
        <f t="shared" si="3"/>
        <v>0</v>
      </c>
      <c r="J19" s="30">
        <f t="shared" si="4"/>
        <v>-0.87366439250000005</v>
      </c>
      <c r="K19" s="30">
        <f t="shared" si="5"/>
        <v>-1</v>
      </c>
      <c r="L19" s="30">
        <v>0</v>
      </c>
      <c r="M19" s="31"/>
      <c r="N19" s="28"/>
      <c r="O19" s="28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28"/>
      <c r="B20" s="28"/>
      <c r="C20" s="28"/>
      <c r="D20" s="28"/>
      <c r="E20" s="28"/>
      <c r="F20" s="28"/>
      <c r="G20" s="28">
        <f t="shared" si="1"/>
        <v>0</v>
      </c>
      <c r="H20" s="28" t="str">
        <f>A16</f>
        <v>manifold/treatment</v>
      </c>
      <c r="I20" s="31" t="e">
        <f t="shared" si="3"/>
        <v>#VALUE!</v>
      </c>
      <c r="J20" s="31" t="e">
        <f t="shared" si="4"/>
        <v>#VALUE!</v>
      </c>
      <c r="K20" s="31" t="e">
        <f t="shared" si="5"/>
        <v>#VALUE!</v>
      </c>
      <c r="L20" s="31" t="e">
        <f>(0.824012048*(K20))+0.7349112036</f>
        <v>#VALUE!</v>
      </c>
      <c r="M20" s="31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33" t="s">
        <v>38</v>
      </c>
      <c r="B21" s="18">
        <v>0</v>
      </c>
      <c r="C21" s="18">
        <v>72</v>
      </c>
      <c r="D21" s="18">
        <f>B21*C21</f>
        <v>0</v>
      </c>
      <c r="E21" s="18">
        <v>10000</v>
      </c>
      <c r="F21" s="18">
        <v>0</v>
      </c>
      <c r="G21" s="20">
        <f t="shared" si="1"/>
        <v>0</v>
      </c>
      <c r="H21" s="20">
        <f>A11</f>
        <v>2021760</v>
      </c>
      <c r="I21" s="30">
        <f t="shared" si="3"/>
        <v>0</v>
      </c>
      <c r="J21" s="30">
        <f t="shared" si="4"/>
        <v>-0.87366439250000005</v>
      </c>
      <c r="K21" s="30">
        <f t="shared" si="5"/>
        <v>-1</v>
      </c>
      <c r="L21" s="30">
        <v>0</v>
      </c>
      <c r="M21" s="31"/>
      <c r="N21" s="28"/>
      <c r="O21" s="28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28"/>
      <c r="B22" s="28"/>
      <c r="C22" s="28"/>
      <c r="D22" s="28"/>
      <c r="E22" s="28"/>
      <c r="F22" s="28"/>
      <c r="G22" s="28">
        <f t="shared" si="1"/>
        <v>0</v>
      </c>
      <c r="H22" s="28">
        <f>A18</f>
        <v>0</v>
      </c>
      <c r="I22" s="31"/>
      <c r="J22" s="31"/>
      <c r="K22" s="31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33" t="s">
        <v>38</v>
      </c>
      <c r="B23" s="18">
        <v>0</v>
      </c>
      <c r="C23" s="18">
        <v>72</v>
      </c>
      <c r="D23" s="18">
        <f>B23*C23</f>
        <v>0</v>
      </c>
      <c r="E23" s="18">
        <v>10000</v>
      </c>
      <c r="F23" s="18">
        <v>0</v>
      </c>
      <c r="G23" s="20">
        <f t="shared" si="1"/>
        <v>0</v>
      </c>
      <c r="H23" s="20">
        <f>A11</f>
        <v>2021760</v>
      </c>
      <c r="I23" s="30">
        <f>G23/H23</f>
        <v>0</v>
      </c>
      <c r="J23" s="30">
        <f>(1.2123108961*(I23))-0.8736643925</f>
        <v>-0.87366439250000005</v>
      </c>
      <c r="K23" s="30">
        <f>ROUND(J23, 0.99)</f>
        <v>-1</v>
      </c>
      <c r="L23" s="30">
        <v>0</v>
      </c>
      <c r="M23" s="31"/>
      <c r="N23" s="28"/>
      <c r="O23" s="28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28"/>
      <c r="B24" s="28"/>
      <c r="C24" s="28"/>
      <c r="D24" s="28"/>
      <c r="E24" s="28"/>
      <c r="F24" s="28"/>
      <c r="G24" s="28"/>
      <c r="H24" s="28"/>
      <c r="I24" s="31"/>
      <c r="J24" s="31"/>
      <c r="K24" s="31"/>
      <c r="L24" s="31"/>
      <c r="M24" s="31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33" t="s">
        <v>38</v>
      </c>
      <c r="B25" s="18">
        <v>0</v>
      </c>
      <c r="C25" s="18">
        <v>72</v>
      </c>
      <c r="D25" s="18">
        <f>B25*C25</f>
        <v>0</v>
      </c>
      <c r="E25" s="18">
        <v>10000</v>
      </c>
      <c r="F25" s="18">
        <v>0</v>
      </c>
      <c r="G25" s="20">
        <f>D25*(E25+F25)</f>
        <v>0</v>
      </c>
      <c r="H25" s="20">
        <f>A11</f>
        <v>2021760</v>
      </c>
      <c r="I25" s="30">
        <f>G25/H25</f>
        <v>0</v>
      </c>
      <c r="J25" s="30">
        <f>(1.2123108961*(I25))-0.8736643925</f>
        <v>-0.87366439250000005</v>
      </c>
      <c r="K25" s="30">
        <f>ROUND(J25, 0.99)</f>
        <v>-1</v>
      </c>
      <c r="L25" s="30">
        <v>0</v>
      </c>
      <c r="M25" s="31"/>
      <c r="N25" s="28"/>
      <c r="O25" s="28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31"/>
      <c r="J26" s="31"/>
      <c r="K26" s="31"/>
      <c r="L26" s="31"/>
      <c r="M26" s="3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24.75" customHeight="1">
      <c r="A27" s="34" t="s">
        <v>39</v>
      </c>
      <c r="B27" s="28">
        <v>4</v>
      </c>
      <c r="C27" s="28">
        <v>72</v>
      </c>
      <c r="D27" s="28">
        <f>B27*C27</f>
        <v>288</v>
      </c>
      <c r="E27" s="28">
        <v>40000</v>
      </c>
      <c r="F27" s="28">
        <v>30000</v>
      </c>
      <c r="G27" s="28">
        <f t="shared" ref="G27:G30" si="7">D27*(E27+F27)</f>
        <v>20160000</v>
      </c>
      <c r="H27" s="28"/>
      <c r="I27" s="31"/>
      <c r="J27" s="31"/>
      <c r="K27" s="35">
        <f t="shared" ref="K27:L27" si="8">K17+K19+K21+K23+K25</f>
        <v>6</v>
      </c>
      <c r="L27" s="35">
        <f t="shared" si="8"/>
        <v>8.9750316835999993</v>
      </c>
      <c r="M27" s="31"/>
      <c r="N27" s="28"/>
      <c r="O27" s="28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" customHeight="1">
      <c r="A28" s="28"/>
      <c r="B28" s="28"/>
      <c r="C28" s="28"/>
      <c r="D28" s="28"/>
      <c r="E28" s="28"/>
      <c r="F28" s="28"/>
      <c r="G28" s="28">
        <f t="shared" si="7"/>
        <v>0</v>
      </c>
      <c r="H28" s="28">
        <f>A20</f>
        <v>0</v>
      </c>
      <c r="I28" s="31"/>
      <c r="J28" s="31"/>
      <c r="K28" s="31"/>
      <c r="L28" s="31"/>
      <c r="M28" s="31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34" t="s">
        <v>40</v>
      </c>
      <c r="B29" s="28">
        <v>4</v>
      </c>
      <c r="C29" s="28">
        <v>72</v>
      </c>
      <c r="D29" s="28">
        <f>B29*C29</f>
        <v>288</v>
      </c>
      <c r="E29" s="28">
        <v>80000</v>
      </c>
      <c r="F29" s="28">
        <v>30000</v>
      </c>
      <c r="G29" s="28">
        <f t="shared" si="7"/>
        <v>31680000</v>
      </c>
      <c r="H29" s="28"/>
      <c r="I29" s="31"/>
      <c r="J29" s="31"/>
      <c r="K29" s="31"/>
      <c r="L29" s="31"/>
      <c r="M29" s="31"/>
      <c r="N29" s="28"/>
      <c r="O29" s="28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28"/>
      <c r="B30" s="28"/>
      <c r="C30" s="28"/>
      <c r="D30" s="28"/>
      <c r="E30" s="28"/>
      <c r="F30" s="28"/>
      <c r="G30" s="28">
        <f t="shared" si="7"/>
        <v>0</v>
      </c>
      <c r="H30" s="28">
        <f>A22</f>
        <v>0</v>
      </c>
      <c r="I30" s="31"/>
      <c r="J30" s="31"/>
      <c r="K30" s="31"/>
      <c r="L30" s="31"/>
      <c r="M30" s="31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5"/>
      <c r="B31" s="5"/>
      <c r="C31" s="5"/>
      <c r="D31" s="37" t="s">
        <v>61</v>
      </c>
      <c r="E31" s="34"/>
      <c r="F31" s="5"/>
      <c r="G31" s="12" t="s">
        <v>42</v>
      </c>
      <c r="H31" s="12" t="s">
        <v>62</v>
      </c>
      <c r="I31" s="38" t="s">
        <v>63</v>
      </c>
      <c r="J31" s="36"/>
      <c r="K31" s="36"/>
      <c r="L31" s="36"/>
      <c r="M31" s="36"/>
      <c r="N31" s="5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/>
      <c r="B32" s="5"/>
      <c r="C32" s="5"/>
      <c r="D32" s="39">
        <f>D17+D19+D21+D23+D25</f>
        <v>288</v>
      </c>
      <c r="E32" s="5"/>
      <c r="F32" s="5"/>
      <c r="G32" s="41">
        <f>(G17+G19+G21+G23+G25)*60*24</f>
        <v>26956800000</v>
      </c>
      <c r="H32" s="27">
        <f>B7-G32</f>
        <v>13478400000</v>
      </c>
      <c r="I32" s="40">
        <f>L27*(60)*(24)</f>
        <v>12924.045624383998</v>
      </c>
      <c r="J32" s="36"/>
      <c r="K32" s="36"/>
      <c r="L32" s="36"/>
      <c r="M32" s="36"/>
      <c r="N32" s="5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36"/>
      <c r="J33" s="36"/>
      <c r="K33" s="36"/>
      <c r="L33" s="36"/>
      <c r="M33" s="3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6"/>
      <c r="B34" s="36"/>
      <c r="C34" s="36"/>
      <c r="D34" s="3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3:O3"/>
    <mergeCell ref="A5:Z5"/>
    <mergeCell ref="A13:Z13"/>
    <mergeCell ref="A14:Z14"/>
    <mergeCell ref="A15:Z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22.42578125" customWidth="1"/>
    <col min="2" max="2" width="13" customWidth="1"/>
    <col min="3" max="3" width="15.42578125" customWidth="1"/>
    <col min="4" max="26" width="8.85546875" customWidth="1"/>
  </cols>
  <sheetData>
    <row r="1" spans="1:26" ht="15.75" customHeight="1">
      <c r="A1" s="42"/>
      <c r="B1" s="43" t="s">
        <v>64</v>
      </c>
      <c r="C1" s="43" t="s">
        <v>65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43" t="s">
        <v>66</v>
      </c>
      <c r="B2" s="44">
        <v>190</v>
      </c>
      <c r="C2" s="45">
        <v>1347840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43" t="s">
        <v>67</v>
      </c>
      <c r="B3" s="44">
        <v>0.02</v>
      </c>
      <c r="C3" s="44">
        <v>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>
      <c r="A5" s="43" t="s">
        <v>68</v>
      </c>
      <c r="B5" s="46">
        <f>SLOPE(C2:C3,B2:B3)</f>
        <v>7094.6415412148644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>
      <c r="A8" s="43" t="s">
        <v>69</v>
      </c>
      <c r="B8" s="42">
        <v>8.2349999999999994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>
      <c r="A9" s="43" t="s">
        <v>65</v>
      </c>
      <c r="B9" s="42">
        <f>B8*B5</f>
        <v>58424.373091904403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Reservoir 1 Calculator</vt:lpstr>
      <vt:lpstr>Reservoir 2 Calculator</vt:lpstr>
      <vt:lpstr>Fluorometer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Fleener</dc:creator>
  <cp:lastModifiedBy>Rem-McGeachy, Marni</cp:lastModifiedBy>
  <dcterms:created xsi:type="dcterms:W3CDTF">2022-02-08T00:25:40Z</dcterms:created>
  <dcterms:modified xsi:type="dcterms:W3CDTF">2023-05-26T21:44:45Z</dcterms:modified>
</cp:coreProperties>
</file>