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2774D66-9B6D-416A-8464-261A3A7346DC}" xr6:coauthVersionLast="45" xr6:coauthVersionMax="45" xr10:uidLastSave="{00000000-0000-0000-0000-000000000000}"/>
  <bookViews>
    <workbookView xWindow="60" yWindow="336" windowWidth="11592" windowHeight="121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3" i="1" l="1"/>
  <c r="C53" i="1"/>
  <c r="B46" i="1"/>
  <c r="B42" i="1"/>
  <c r="B23" i="1"/>
  <c r="B22" i="1"/>
  <c r="J39" i="1"/>
  <c r="I39" i="1"/>
  <c r="I35" i="1"/>
  <c r="I34" i="1"/>
  <c r="I29" i="1" l="1"/>
  <c r="I28" i="1"/>
  <c r="I26" i="1"/>
  <c r="I25" i="1"/>
  <c r="B21" i="1"/>
  <c r="B20" i="1"/>
  <c r="D21" i="1"/>
  <c r="C21" i="1"/>
  <c r="I19" i="1"/>
  <c r="J19" i="1"/>
  <c r="J18" i="1"/>
  <c r="I18" i="1"/>
  <c r="F21" i="1"/>
  <c r="D20" i="1"/>
  <c r="E20" i="1"/>
  <c r="B18" i="1"/>
  <c r="F20" i="1"/>
  <c r="D14" i="1" l="1"/>
  <c r="D13" i="1"/>
  <c r="K31" i="1" l="1"/>
  <c r="K24" i="1"/>
  <c r="K22" i="1"/>
  <c r="K25" i="1"/>
  <c r="M18" i="1" l="1"/>
  <c r="F42" i="1" s="1"/>
  <c r="C20" i="1"/>
  <c r="K18" i="1"/>
  <c r="D12" i="1"/>
  <c r="D10" i="1"/>
  <c r="D9" i="1"/>
  <c r="D7" i="1"/>
  <c r="D42" i="1" l="1"/>
  <c r="K19" i="1"/>
  <c r="C42" i="1"/>
  <c r="M19" i="1"/>
  <c r="I33" i="1"/>
  <c r="L33" i="1"/>
  <c r="L18" i="1"/>
  <c r="E42" i="1" l="1"/>
  <c r="L19" i="1"/>
  <c r="E21" i="1" s="1"/>
  <c r="M28" i="1"/>
  <c r="J28" i="1"/>
  <c r="K28" i="1"/>
  <c r="L28" i="1" l="1"/>
  <c r="E22" i="1" l="1"/>
  <c r="L39" i="1" s="1"/>
  <c r="F22" i="1"/>
  <c r="M39" i="1" s="1"/>
  <c r="D22" i="1"/>
  <c r="K39" i="1" s="1"/>
  <c r="C22" i="1"/>
  <c r="F53" i="1" l="1"/>
  <c r="F23" i="1"/>
  <c r="C23" i="1"/>
  <c r="D23" i="1"/>
  <c r="D53" i="1"/>
  <c r="E53" i="1"/>
  <c r="E23" i="1"/>
</calcChain>
</file>

<file path=xl/sharedStrings.xml><?xml version="1.0" encoding="utf-8"?>
<sst xmlns="http://schemas.openxmlformats.org/spreadsheetml/2006/main" count="91" uniqueCount="79">
  <si>
    <t>см</t>
  </si>
  <si>
    <t>D</t>
  </si>
  <si>
    <t>м</t>
  </si>
  <si>
    <t>Вариант №6</t>
  </si>
  <si>
    <t>Лабораторная работа №6</t>
  </si>
  <si>
    <t>Прессы для тиснения и печати на переплетных крышках</t>
  </si>
  <si>
    <t>Цель: изучить механизм давления печатно-позолотного пресса, освоить методику расчета его основных технологических характеристик</t>
  </si>
  <si>
    <t>R = L =</t>
  </si>
  <si>
    <t>мм</t>
  </si>
  <si>
    <t>Марка картона</t>
  </si>
  <si>
    <t>Балахинский</t>
  </si>
  <si>
    <t>Tmax</t>
  </si>
  <si>
    <t>Число тиснений</t>
  </si>
  <si>
    <t>F</t>
  </si>
  <si>
    <t>см2</t>
  </si>
  <si>
    <t>м2</t>
  </si>
  <si>
    <t>E</t>
  </si>
  <si>
    <t>H/см2</t>
  </si>
  <si>
    <t>E0</t>
  </si>
  <si>
    <t>K</t>
  </si>
  <si>
    <t>a</t>
  </si>
  <si>
    <t>b</t>
  </si>
  <si>
    <t>H/м2</t>
  </si>
  <si>
    <t>ΔTmax</t>
  </si>
  <si>
    <t>Шаг</t>
  </si>
  <si>
    <t>ε(отн)=</t>
  </si>
  <si>
    <t>σ=</t>
  </si>
  <si>
    <t>Qi</t>
  </si>
  <si>
    <t>Для Pi</t>
  </si>
  <si>
    <t>Для Si</t>
  </si>
  <si>
    <t>l</t>
  </si>
  <si>
    <t>n</t>
  </si>
  <si>
    <t>Z</t>
  </si>
  <si>
    <t>Н/см2</t>
  </si>
  <si>
    <t>Н/м2</t>
  </si>
  <si>
    <t>ΔSmax</t>
  </si>
  <si>
    <t>C(T)</t>
  </si>
  <si>
    <t>S(K) &gt;</t>
  </si>
  <si>
    <t>S(max)</t>
  </si>
  <si>
    <t>C(0)</t>
  </si>
  <si>
    <t>радиус оис шарнира r</t>
  </si>
  <si>
    <t>коэффициент трения в шарнире f</t>
  </si>
  <si>
    <t>Для Qi</t>
  </si>
  <si>
    <t>Кпс i</t>
  </si>
  <si>
    <t>θ</t>
  </si>
  <si>
    <t>β</t>
  </si>
  <si>
    <t>ε ост</t>
  </si>
  <si>
    <t>Пy</t>
  </si>
  <si>
    <t>x</t>
  </si>
  <si>
    <t>толщина крышки</t>
  </si>
  <si>
    <t>максимальная деформация (глубина внедрения штампа в крышку)</t>
  </si>
  <si>
    <t>площадь печатающих элементов штампа при расчетном тиснении</t>
  </si>
  <si>
    <t>параметры из таблицы для марки картона</t>
  </si>
  <si>
    <t>максимальная относительная деформация крышки</t>
  </si>
  <si>
    <t>жесткость колонн пресса</t>
  </si>
  <si>
    <t>длина колонн пресса</t>
  </si>
  <si>
    <t>число колонн пресса</t>
  </si>
  <si>
    <t>модуль упругости</t>
  </si>
  <si>
    <t>диаметр колонн</t>
  </si>
  <si>
    <t>удлинение колонн пресса</t>
  </si>
  <si>
    <t>путь, проходимый нижний плитой при тиснении переплетной крышки</t>
  </si>
  <si>
    <t>координата верхнего положения подвижной плиты</t>
  </si>
  <si>
    <t>Производительность пресса</t>
  </si>
  <si>
    <t>число тиснений за 1 цикл</t>
  </si>
  <si>
    <t>коэффициент учитывает отход продукии в брак</t>
  </si>
  <si>
    <t>коэффициент использования времени машины θ</t>
  </si>
  <si>
    <t>напряжение</t>
  </si>
  <si>
    <t>давление Pi</t>
  </si>
  <si>
    <t>движущее усилие Qi</t>
  </si>
  <si>
    <t>координата нижней плиты пресса Si</t>
  </si>
  <si>
    <t>деформация ΔTi</t>
  </si>
  <si>
    <t>pi1</t>
  </si>
  <si>
    <t>pi2</t>
  </si>
  <si>
    <t>pi3</t>
  </si>
  <si>
    <t>pi4</t>
  </si>
  <si>
    <t>pi5</t>
  </si>
  <si>
    <t>График Q=f(α)</t>
  </si>
  <si>
    <t>Вывод: Производительность пресса для тиснения и печати на переплетных крышках Пу составляет 1047 тиснений в час</t>
  </si>
  <si>
    <r>
      <rPr>
        <sz val="11"/>
        <color theme="9"/>
        <rFont val="Times New Roman"/>
        <family val="1"/>
        <charset val="204"/>
      </rPr>
      <t>λ</t>
    </r>
    <r>
      <rPr>
        <sz val="9.6999999999999993"/>
        <color theme="9"/>
        <rFont val="Calibri"/>
        <family val="2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</si>
</sst>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1"/>
      <color rgb="FF006100"/>
      <name val="Calibri"/>
      <family val="2"/>
      <charset val="204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sz val="10"/>
      <color theme="9"/>
      <name val="Calibri"/>
      <family val="2"/>
      <scheme val="minor"/>
    </font>
    <font>
      <b/>
      <sz val="11"/>
      <color theme="9"/>
      <name val="Calibri"/>
      <family val="2"/>
      <charset val="204"/>
      <scheme val="minor"/>
    </font>
    <font>
      <sz val="11"/>
      <color theme="9"/>
      <name val="Calibri"/>
      <family val="1"/>
      <charset val="204"/>
    </font>
    <font>
      <sz val="11"/>
      <color theme="9"/>
      <name val="Times New Roman"/>
      <family val="1"/>
      <charset val="204"/>
    </font>
    <font>
      <sz val="9.6999999999999993"/>
      <color theme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3" borderId="0" xfId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</a:t>
            </a:r>
            <a:r>
              <a:rPr lang="en-US" baseline="0"/>
              <a:t>P=f(S)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Лист1!$B$22:$F$22</c:f>
              <c:numCache>
                <c:formatCode>General</c:formatCode>
                <c:ptCount val="5"/>
                <c:pt idx="0">
                  <c:v>1.2212183759714658E-3</c:v>
                </c:pt>
                <c:pt idx="1">
                  <c:v>9.2069350761992427E-4</c:v>
                </c:pt>
                <c:pt idx="2">
                  <c:v>6.2005420907817121E-4</c:v>
                </c:pt>
                <c:pt idx="3">
                  <c:v>3.1924909146719663E-4</c:v>
                </c:pt>
                <c:pt idx="4">
                  <c:v>1.818181818181823E-5</c:v>
                </c:pt>
              </c:numCache>
            </c:numRef>
          </c:cat>
          <c:val>
            <c:numRef>
              <c:f>Лист1!$B$21:$F$21</c:f>
              <c:numCache>
                <c:formatCode>General</c:formatCode>
                <c:ptCount val="5"/>
                <c:pt idx="0">
                  <c:v>7119.9147260342015</c:v>
                </c:pt>
                <c:pt idx="1">
                  <c:v>15591.712398228565</c:v>
                </c:pt>
                <c:pt idx="2">
                  <c:v>25910.505447867406</c:v>
                </c:pt>
                <c:pt idx="3">
                  <c:v>38905.751746232272</c:v>
                </c:pt>
                <c:pt idx="4">
                  <c:v>56132.401644460835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3-430D-AB4E-3136FDFC0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161407"/>
        <c:axId val="6871572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Лист1!$A$22</c15:sqref>
                        </c15:formulaRef>
                      </c:ext>
                    </c:extLst>
                    <c:strCache>
                      <c:ptCount val="1"/>
                      <c:pt idx="0">
                        <c:v>координата нижней плиты пресса Si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Лист1!$B$22:$F$22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1.2212183759714658E-3</c:v>
                      </c:pt>
                      <c:pt idx="1">
                        <c:v>9.2069350761992427E-4</c:v>
                      </c:pt>
                      <c:pt idx="2">
                        <c:v>6.2005420907817121E-4</c:v>
                      </c:pt>
                      <c:pt idx="3">
                        <c:v>3.1924909146719663E-4</c:v>
                      </c:pt>
                      <c:pt idx="4">
                        <c:v>1.818181818181823E-5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Лист1!$B$22:$F$22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1.2212183759714658E-3</c:v>
                      </c:pt>
                      <c:pt idx="1">
                        <c:v>9.2069350761992427E-4</c:v>
                      </c:pt>
                      <c:pt idx="2">
                        <c:v>6.2005420907817121E-4</c:v>
                      </c:pt>
                      <c:pt idx="3">
                        <c:v>3.1924909146719663E-4</c:v>
                      </c:pt>
                      <c:pt idx="4">
                        <c:v>1.818181818181823E-5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283-430D-AB4E-3136FDFC0851}"/>
                  </c:ext>
                </c:extLst>
              </c15:ser>
            </c15:filteredLineSeries>
          </c:ext>
        </c:extLst>
      </c:lineChart>
      <c:catAx>
        <c:axId val="68716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координата</a:t>
                </a:r>
                <a:r>
                  <a:rPr lang="ru-RU" baseline="0"/>
                  <a:t> подвижной плиты пресса </a:t>
                </a:r>
                <a:r>
                  <a:rPr lang="en-US" baseline="0"/>
                  <a:t>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157247"/>
        <c:crosses val="autoZero"/>
        <c:auto val="1"/>
        <c:lblAlgn val="ctr"/>
        <c:lblOffset val="100"/>
        <c:noMultiLvlLbl val="0"/>
      </c:catAx>
      <c:valAx>
        <c:axId val="6871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  <a:r>
                  <a:rPr lang="en-US"/>
                  <a:t> (</a:t>
                </a:r>
                <a:r>
                  <a:rPr lang="ru-RU"/>
                  <a:t>технологическая</a:t>
                </a:r>
                <a:r>
                  <a:rPr lang="ru-RU" baseline="0"/>
                  <a:t> нагрузка) </a:t>
                </a:r>
                <a:r>
                  <a:rPr lang="en-US" baseline="0"/>
                  <a:t>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716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152400</xdr:colOff>
          <xdr:row>45</xdr:row>
          <xdr:rowOff>213360</xdr:rowOff>
        </xdr:from>
        <xdr:to>
          <xdr:col>3</xdr:col>
          <xdr:colOff>952500</xdr:colOff>
          <xdr:row>45</xdr:row>
          <xdr:rowOff>541020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28935</xdr:colOff>
      <xdr:row>23</xdr:row>
      <xdr:rowOff>183748</xdr:rowOff>
    </xdr:from>
    <xdr:to>
      <xdr:col>7</xdr:col>
      <xdr:colOff>24113</xdr:colOff>
      <xdr:row>38</xdr:row>
      <xdr:rowOff>84398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7"/>
  <sheetViews>
    <sheetView tabSelected="1" topLeftCell="B14" zoomScale="70" zoomScaleNormal="70" workbookViewId="0">
      <selection activeCell="K8" sqref="K8"/>
    </sheetView>
  </sheetViews>
  <sheetFormatPr defaultRowHeight="14.4" x14ac:dyDescent="0.3"/>
  <cols>
    <col min="1" max="1" width="32.44140625" customWidth="1"/>
    <col min="2" max="2" width="14.109375" customWidth="1"/>
    <col min="3" max="3" width="16.6640625" customWidth="1"/>
    <col min="4" max="4" width="17.109375" customWidth="1"/>
    <col min="6" max="6" width="13.44140625" bestFit="1" customWidth="1"/>
    <col min="8" max="8" width="16" customWidth="1"/>
    <col min="9" max="9" width="12" bestFit="1" customWidth="1"/>
    <col min="10" max="10" width="13.5546875" customWidth="1"/>
    <col min="11" max="11" width="14.44140625" customWidth="1"/>
    <col min="12" max="12" width="10" bestFit="1" customWidth="1"/>
    <col min="13" max="13" width="11" bestFit="1" customWidth="1"/>
  </cols>
  <sheetData>
    <row r="1" spans="1:20" ht="28.8" x14ac:dyDescent="0.3">
      <c r="A1" s="21" t="s">
        <v>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ht="21" x14ac:dyDescent="0.3">
      <c r="A2" s="22" t="s">
        <v>5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x14ac:dyDescent="0.3">
      <c r="A3" s="23" t="s">
        <v>6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</row>
    <row r="4" spans="1:20" x14ac:dyDescent="0.3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</row>
    <row r="5" spans="1:20" ht="33.75" customHeight="1" x14ac:dyDescent="0.3">
      <c r="A5" s="22" t="s">
        <v>3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7" spans="1:20" x14ac:dyDescent="0.3">
      <c r="A7" s="4" t="s">
        <v>7</v>
      </c>
      <c r="B7" s="2">
        <v>220</v>
      </c>
      <c r="C7" s="4" t="s">
        <v>8</v>
      </c>
      <c r="D7" s="2">
        <f>B7/1000</f>
        <v>0.22</v>
      </c>
      <c r="E7" s="3" t="s">
        <v>2</v>
      </c>
      <c r="F7" s="3"/>
      <c r="G7" s="3"/>
      <c r="H7" s="1"/>
      <c r="I7" s="1"/>
      <c r="J7" s="1"/>
      <c r="K7" s="1"/>
      <c r="L7" s="1"/>
      <c r="M7" s="1"/>
      <c r="N7" s="1"/>
    </row>
    <row r="8" spans="1:20" x14ac:dyDescent="0.3">
      <c r="A8" s="1" t="s">
        <v>9</v>
      </c>
      <c r="B8" s="1" t="s">
        <v>10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20" x14ac:dyDescent="0.3">
      <c r="A9" s="1" t="s">
        <v>11</v>
      </c>
      <c r="B9" s="1">
        <v>2.4</v>
      </c>
      <c r="C9" s="1" t="s">
        <v>8</v>
      </c>
      <c r="D9" s="1">
        <f>B9/1000</f>
        <v>2.3999999999999998E-3</v>
      </c>
      <c r="E9" s="1" t="s">
        <v>2</v>
      </c>
      <c r="F9" s="25" t="s">
        <v>49</v>
      </c>
      <c r="G9" s="25"/>
      <c r="H9" s="25"/>
      <c r="I9" s="1"/>
      <c r="J9" s="1"/>
      <c r="K9" s="1"/>
      <c r="L9" s="1"/>
      <c r="M9" s="1"/>
      <c r="N9" s="1"/>
    </row>
    <row r="10" spans="1:20" ht="15" customHeight="1" x14ac:dyDescent="0.3">
      <c r="A10" s="1" t="s">
        <v>23</v>
      </c>
      <c r="B10" s="1">
        <v>1.5</v>
      </c>
      <c r="C10" s="1" t="s">
        <v>8</v>
      </c>
      <c r="D10" s="1">
        <f>B10/1000</f>
        <v>1.5E-3</v>
      </c>
      <c r="E10" s="1" t="s">
        <v>2</v>
      </c>
      <c r="F10" s="26" t="s">
        <v>50</v>
      </c>
      <c r="G10" s="26"/>
      <c r="H10" s="26"/>
      <c r="I10" s="26"/>
      <c r="J10" s="26"/>
      <c r="K10" s="1"/>
      <c r="L10" s="1"/>
      <c r="M10" s="1"/>
      <c r="N10" s="1"/>
    </row>
    <row r="11" spans="1:20" x14ac:dyDescent="0.3">
      <c r="A11" s="1" t="s">
        <v>12</v>
      </c>
      <c r="B11" s="1">
        <v>3</v>
      </c>
      <c r="C11" s="1"/>
      <c r="D11" s="1"/>
      <c r="E11" s="1"/>
      <c r="F11" s="7"/>
      <c r="G11" s="7"/>
      <c r="H11" s="7"/>
      <c r="I11" s="7"/>
      <c r="J11" s="7"/>
      <c r="K11" s="1"/>
      <c r="L11" s="1"/>
      <c r="M11" s="1"/>
      <c r="N11" s="1"/>
    </row>
    <row r="12" spans="1:20" ht="15" customHeight="1" x14ac:dyDescent="0.3">
      <c r="A12" s="1" t="s">
        <v>13</v>
      </c>
      <c r="B12" s="1">
        <v>37</v>
      </c>
      <c r="C12" s="1" t="s">
        <v>14</v>
      </c>
      <c r="D12" s="1">
        <f>B12/100/100</f>
        <v>3.7000000000000002E-3</v>
      </c>
      <c r="E12" s="1" t="s">
        <v>15</v>
      </c>
      <c r="F12" s="26" t="s">
        <v>51</v>
      </c>
      <c r="G12" s="26"/>
      <c r="H12" s="26"/>
      <c r="I12" s="26"/>
      <c r="J12" s="26"/>
      <c r="K12" s="1"/>
      <c r="L12" s="1"/>
      <c r="M12" s="1"/>
      <c r="N12" s="1"/>
    </row>
    <row r="13" spans="1:20" x14ac:dyDescent="0.3">
      <c r="A13" s="3" t="s">
        <v>18</v>
      </c>
      <c r="B13" s="1">
        <v>1772</v>
      </c>
      <c r="C13" s="1" t="s">
        <v>17</v>
      </c>
      <c r="D13" s="1">
        <f>B13*10000</f>
        <v>17720000</v>
      </c>
      <c r="E13" s="1" t="s">
        <v>22</v>
      </c>
      <c r="F13" s="26" t="s">
        <v>52</v>
      </c>
      <c r="G13" s="26"/>
      <c r="H13" s="1"/>
      <c r="I13" s="1"/>
      <c r="J13" s="1"/>
      <c r="K13" s="1"/>
      <c r="L13" s="1"/>
      <c r="M13" s="1"/>
      <c r="N13" s="1"/>
    </row>
    <row r="14" spans="1:20" x14ac:dyDescent="0.3">
      <c r="A14" s="3" t="s">
        <v>19</v>
      </c>
      <c r="B14" s="1">
        <v>-353.5</v>
      </c>
      <c r="C14" s="1" t="s">
        <v>17</v>
      </c>
      <c r="D14" s="1">
        <f>B14*10000</f>
        <v>-3535000</v>
      </c>
      <c r="E14" s="1" t="s">
        <v>22</v>
      </c>
      <c r="F14" s="26"/>
      <c r="G14" s="26"/>
      <c r="H14" s="1"/>
      <c r="I14" s="1"/>
      <c r="J14" s="1"/>
      <c r="K14" s="1"/>
      <c r="L14" s="1"/>
      <c r="M14" s="1"/>
      <c r="N14" s="1"/>
    </row>
    <row r="15" spans="1:20" x14ac:dyDescent="0.3">
      <c r="A15" s="3" t="s">
        <v>20</v>
      </c>
      <c r="B15" s="1">
        <v>0.53</v>
      </c>
      <c r="C15" s="1"/>
      <c r="D15" s="1"/>
      <c r="E15" s="1"/>
      <c r="F15" s="26"/>
      <c r="G15" s="26"/>
      <c r="H15" s="1"/>
      <c r="I15" s="1"/>
      <c r="J15" s="1"/>
      <c r="K15" s="1"/>
      <c r="L15" s="1"/>
      <c r="M15" s="1"/>
      <c r="N15" s="1"/>
    </row>
    <row r="16" spans="1:20" x14ac:dyDescent="0.3">
      <c r="A16" s="3" t="s">
        <v>21</v>
      </c>
      <c r="B16" s="1">
        <v>0.247</v>
      </c>
      <c r="C16" s="1"/>
      <c r="D16" s="1"/>
      <c r="E16" s="1"/>
      <c r="F16" s="26"/>
      <c r="G16" s="26"/>
      <c r="I16" s="1"/>
      <c r="J16" s="1"/>
      <c r="K16" s="1"/>
      <c r="L16" s="1"/>
      <c r="M16" s="1"/>
      <c r="N16" s="1"/>
    </row>
    <row r="17" spans="1:21" ht="15" customHeight="1" x14ac:dyDescent="0.3">
      <c r="A17" s="1"/>
      <c r="B17" s="1"/>
      <c r="C17" s="1"/>
      <c r="D17" s="1"/>
      <c r="E17" s="1"/>
      <c r="F17" s="1"/>
      <c r="G17" s="1"/>
      <c r="H17" s="11" t="s">
        <v>28</v>
      </c>
      <c r="I17" s="12" t="s">
        <v>71</v>
      </c>
      <c r="J17" s="12" t="s">
        <v>72</v>
      </c>
      <c r="K17" s="12" t="s">
        <v>73</v>
      </c>
      <c r="L17" s="12" t="s">
        <v>74</v>
      </c>
      <c r="M17" s="12" t="s">
        <v>75</v>
      </c>
      <c r="N17" s="12"/>
      <c r="O17" s="13"/>
      <c r="P17" s="13"/>
      <c r="Q17" s="13"/>
      <c r="R17" s="13"/>
      <c r="S17" s="13"/>
      <c r="T17" s="13"/>
      <c r="U17" s="13"/>
    </row>
    <row r="18" spans="1:21" x14ac:dyDescent="0.3">
      <c r="A18" s="1" t="s">
        <v>24</v>
      </c>
      <c r="B18" s="1">
        <f>F20/5</f>
        <v>3.0000000000000003E-4</v>
      </c>
      <c r="C18" s="1"/>
      <c r="D18" s="1"/>
      <c r="E18" s="1"/>
      <c r="F18" s="1"/>
      <c r="G18" s="1"/>
      <c r="H18" s="12" t="s">
        <v>25</v>
      </c>
      <c r="I18" s="12">
        <f>B20/$D$9</f>
        <v>0.12500000000000003</v>
      </c>
      <c r="J18" s="12">
        <f>C20/$D$9</f>
        <v>0.25000000000000006</v>
      </c>
      <c r="K18" s="12">
        <f t="shared" ref="K18:M18" si="0">D20/$D$9</f>
        <v>0.37500000000000006</v>
      </c>
      <c r="L18" s="12">
        <f t="shared" si="0"/>
        <v>0.50000000000000011</v>
      </c>
      <c r="M18" s="12">
        <f t="shared" si="0"/>
        <v>0.62500000000000011</v>
      </c>
      <c r="N18" s="19" t="s">
        <v>53</v>
      </c>
      <c r="O18" s="19"/>
      <c r="P18" s="19"/>
      <c r="Q18" s="19"/>
      <c r="R18" s="19"/>
      <c r="S18" s="13"/>
      <c r="T18" s="13"/>
      <c r="U18" s="13"/>
    </row>
    <row r="19" spans="1:21" x14ac:dyDescent="0.3"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/>
      <c r="H19" s="12" t="s">
        <v>26</v>
      </c>
      <c r="I19" s="12">
        <f>-$D$13*LOG((1-I$18),EXP(1))+$D$14*I$18</f>
        <v>1924301.2773065409</v>
      </c>
      <c r="J19" s="12">
        <f>-$D$13*LOG((1-J$18),EXP(1))+$D$14*J$18</f>
        <v>4213976.3238455579</v>
      </c>
      <c r="K19" s="12">
        <f t="shared" ref="K19:M19" si="1">-$D$13*LOG((1-K$18),EXP(1))+$D$14*K$18</f>
        <v>7002839.310234434</v>
      </c>
      <c r="L19" s="12">
        <f t="shared" si="1"/>
        <v>10515068.039522234</v>
      </c>
      <c r="M19" s="12">
        <f t="shared" si="1"/>
        <v>15170919.363367792</v>
      </c>
      <c r="N19" s="13"/>
      <c r="O19" s="13"/>
      <c r="P19" s="13"/>
      <c r="Q19" s="18" t="s">
        <v>66</v>
      </c>
      <c r="R19" s="18"/>
      <c r="S19" s="18"/>
      <c r="T19" s="18"/>
      <c r="U19" s="18"/>
    </row>
    <row r="20" spans="1:21" x14ac:dyDescent="0.3">
      <c r="A20" s="9" t="s">
        <v>70</v>
      </c>
      <c r="B20" s="1">
        <f>$B$18*B19</f>
        <v>3.0000000000000003E-4</v>
      </c>
      <c r="C20" s="1">
        <f t="shared" ref="C20" si="2">$B$18*C19</f>
        <v>6.0000000000000006E-4</v>
      </c>
      <c r="D20" s="1">
        <f>$B$18*D19</f>
        <v>9.0000000000000008E-4</v>
      </c>
      <c r="E20" s="1">
        <f>$B$18*E19</f>
        <v>1.2000000000000001E-3</v>
      </c>
      <c r="F20" s="1">
        <f>D10</f>
        <v>1.5E-3</v>
      </c>
      <c r="G20" s="1"/>
      <c r="H20" s="12"/>
      <c r="I20" s="12"/>
      <c r="J20" s="12"/>
      <c r="K20" s="12"/>
      <c r="L20" s="12"/>
      <c r="M20" s="12"/>
      <c r="N20" s="12"/>
      <c r="O20" s="13"/>
      <c r="P20" s="13"/>
      <c r="Q20" s="13"/>
      <c r="R20" s="13"/>
      <c r="S20" s="13"/>
      <c r="T20" s="13"/>
      <c r="U20" s="13"/>
    </row>
    <row r="21" spans="1:21" x14ac:dyDescent="0.3">
      <c r="A21" s="8" t="s">
        <v>67</v>
      </c>
      <c r="B21" s="5">
        <f>I19*$D$12</f>
        <v>7119.9147260342015</v>
      </c>
      <c r="C21" s="5">
        <f>J19*$D$12</f>
        <v>15591.712398228565</v>
      </c>
      <c r="D21" s="5">
        <f>K19*$D$12</f>
        <v>25910.505447867406</v>
      </c>
      <c r="E21" s="5">
        <f t="shared" ref="E21" si="3">L19*$D$12</f>
        <v>38905.751746232272</v>
      </c>
      <c r="F21" s="5">
        <f>M19*$D$12</f>
        <v>56132.401644460835</v>
      </c>
      <c r="H21" s="14" t="s">
        <v>29</v>
      </c>
      <c r="I21" s="12"/>
      <c r="J21" s="12"/>
      <c r="K21" s="12"/>
      <c r="L21" s="12"/>
      <c r="M21" s="12"/>
      <c r="N21" s="12"/>
      <c r="O21" s="13"/>
      <c r="P21" s="13"/>
      <c r="Q21" s="13"/>
      <c r="R21" s="13"/>
      <c r="S21" s="13"/>
      <c r="T21" s="13"/>
      <c r="U21" s="13"/>
    </row>
    <row r="22" spans="1:21" ht="15" customHeight="1" x14ac:dyDescent="0.3">
      <c r="A22" s="8" t="s">
        <v>69</v>
      </c>
      <c r="B22" s="5">
        <f>$I$35-(B20+I28)</f>
        <v>1.2212183759714658E-3</v>
      </c>
      <c r="C22" s="5">
        <f>$I$35-(C20+J28)</f>
        <v>9.2069350761992427E-4</v>
      </c>
      <c r="D22" s="5">
        <f>$I$35-(D20+K28)</f>
        <v>6.2005420907817121E-4</v>
      </c>
      <c r="E22" s="5">
        <f t="shared" ref="E22:F22" si="4">$I$35-(E20+L28)</f>
        <v>3.1924909146719663E-4</v>
      </c>
      <c r="F22" s="5">
        <f t="shared" si="4"/>
        <v>1.818181818181823E-5</v>
      </c>
      <c r="H22" s="12" t="s">
        <v>30</v>
      </c>
      <c r="I22" s="12">
        <v>100</v>
      </c>
      <c r="J22" s="12" t="s">
        <v>0</v>
      </c>
      <c r="K22" s="12">
        <f>I22/100</f>
        <v>1</v>
      </c>
      <c r="L22" s="12" t="s">
        <v>2</v>
      </c>
      <c r="M22" s="18" t="s">
        <v>55</v>
      </c>
      <c r="N22" s="18"/>
      <c r="O22" s="18"/>
      <c r="P22" s="18"/>
      <c r="Q22" s="18"/>
      <c r="R22" s="13"/>
      <c r="S22" s="13"/>
      <c r="T22" s="13"/>
      <c r="U22" s="13"/>
    </row>
    <row r="23" spans="1:21" x14ac:dyDescent="0.3">
      <c r="A23" s="9" t="s">
        <v>68</v>
      </c>
      <c r="B23" s="1">
        <f>B21*I39</f>
        <v>1190.3912583301874</v>
      </c>
      <c r="C23" s="1">
        <f t="shared" ref="C23:F23" si="5">C21*J39</f>
        <v>2300.7834612399165</v>
      </c>
      <c r="D23" s="1">
        <f t="shared" si="5"/>
        <v>3222.2190611109795</v>
      </c>
      <c r="E23" s="1">
        <f t="shared" si="5"/>
        <v>3671.5076773731353</v>
      </c>
      <c r="F23" s="1">
        <f t="shared" si="5"/>
        <v>2041.1782416167591</v>
      </c>
      <c r="H23" s="12" t="s">
        <v>31</v>
      </c>
      <c r="I23" s="12">
        <v>4</v>
      </c>
      <c r="J23" s="18" t="s">
        <v>56</v>
      </c>
      <c r="K23" s="18"/>
      <c r="L23" s="18"/>
      <c r="M23" s="18"/>
      <c r="N23" s="18"/>
      <c r="O23" s="13"/>
      <c r="P23" s="13"/>
      <c r="Q23" s="13"/>
      <c r="R23" s="13"/>
      <c r="S23" s="13"/>
      <c r="T23" s="13"/>
      <c r="U23" s="13"/>
    </row>
    <row r="24" spans="1:21" x14ac:dyDescent="0.3">
      <c r="A24" s="1"/>
      <c r="B24" s="1"/>
      <c r="C24" s="1"/>
      <c r="D24" s="1"/>
      <c r="E24" s="1"/>
      <c r="F24" s="1"/>
      <c r="G24" s="1"/>
      <c r="H24" s="12" t="s">
        <v>1</v>
      </c>
      <c r="I24" s="12">
        <v>17</v>
      </c>
      <c r="J24" s="12" t="s">
        <v>0</v>
      </c>
      <c r="K24" s="12">
        <f>I24/100</f>
        <v>0.17</v>
      </c>
      <c r="L24" s="12" t="s">
        <v>2</v>
      </c>
      <c r="M24" s="20" t="s">
        <v>58</v>
      </c>
      <c r="N24" s="20"/>
      <c r="O24" s="20"/>
      <c r="P24" s="13"/>
      <c r="Q24" s="13"/>
      <c r="R24" s="13"/>
      <c r="S24" s="13"/>
      <c r="T24" s="13"/>
      <c r="U24" s="13"/>
    </row>
    <row r="25" spans="1:21" x14ac:dyDescent="0.3">
      <c r="A25" s="1"/>
      <c r="B25" s="1"/>
      <c r="C25" s="1"/>
      <c r="D25" s="1"/>
      <c r="E25" s="1"/>
      <c r="F25" s="1"/>
      <c r="G25" s="1"/>
      <c r="H25" s="12" t="s">
        <v>16</v>
      </c>
      <c r="I25" s="12">
        <f>2*10^7</f>
        <v>20000000</v>
      </c>
      <c r="J25" s="12" t="s">
        <v>33</v>
      </c>
      <c r="K25" s="12">
        <f>I25*10000</f>
        <v>200000000000</v>
      </c>
      <c r="L25" s="12" t="s">
        <v>34</v>
      </c>
      <c r="M25" s="20" t="s">
        <v>57</v>
      </c>
      <c r="N25" s="20"/>
      <c r="O25" s="20"/>
      <c r="P25" s="13"/>
      <c r="Q25" s="13"/>
      <c r="R25" s="13"/>
      <c r="S25" s="13"/>
      <c r="T25" s="13"/>
      <c r="U25" s="13"/>
    </row>
    <row r="26" spans="1:21" x14ac:dyDescent="0.3">
      <c r="A26" s="1"/>
      <c r="B26" s="1"/>
      <c r="C26" s="1"/>
      <c r="D26" s="1"/>
      <c r="E26" s="1"/>
      <c r="F26" s="1"/>
      <c r="G26" s="1"/>
      <c r="H26" s="12" t="s">
        <v>32</v>
      </c>
      <c r="I26" s="12">
        <f>(4.5*K22)/(PI()*K24*K24*K25*I23)</f>
        <v>6.1954778885253366E-11</v>
      </c>
      <c r="J26" s="18" t="s">
        <v>54</v>
      </c>
      <c r="K26" s="18"/>
      <c r="L26" s="18"/>
      <c r="M26" s="18"/>
      <c r="N26" s="18"/>
      <c r="O26" s="13"/>
      <c r="P26" s="13"/>
      <c r="Q26" s="13"/>
      <c r="R26" s="13"/>
      <c r="S26" s="13"/>
      <c r="T26" s="13"/>
      <c r="U26" s="13"/>
    </row>
    <row r="27" spans="1:21" x14ac:dyDescent="0.3">
      <c r="A27" s="1"/>
      <c r="B27" s="1"/>
      <c r="C27" s="1"/>
      <c r="D27" s="1"/>
      <c r="E27" s="1"/>
      <c r="F27" s="1"/>
      <c r="G27" s="1"/>
      <c r="H27" s="13"/>
      <c r="I27" s="12">
        <v>1</v>
      </c>
      <c r="J27" s="12">
        <v>2</v>
      </c>
      <c r="K27" s="12">
        <v>3</v>
      </c>
      <c r="L27" s="12">
        <v>4</v>
      </c>
      <c r="M27" s="12">
        <v>5</v>
      </c>
      <c r="N27" s="12"/>
      <c r="O27" s="13"/>
      <c r="P27" s="13"/>
      <c r="Q27" s="13"/>
      <c r="R27" s="13"/>
      <c r="S27" s="13"/>
      <c r="T27" s="13"/>
      <c r="U27" s="13"/>
    </row>
    <row r="28" spans="1:21" x14ac:dyDescent="0.3">
      <c r="A28" s="1"/>
      <c r="B28" s="1"/>
      <c r="C28" s="1"/>
      <c r="D28" s="1"/>
      <c r="E28" s="1"/>
      <c r="F28" s="1"/>
      <c r="G28" s="1"/>
      <c r="H28" s="15" t="s">
        <v>78</v>
      </c>
      <c r="I28" s="12">
        <f>B21*$I$26</f>
        <v>4.4111274253330825E-7</v>
      </c>
      <c r="J28" s="12">
        <f t="shared" ref="J28:M28" si="6">C21*$I$26</f>
        <v>9.659810940747142E-7</v>
      </c>
      <c r="K28" s="12">
        <f t="shared" si="6"/>
        <v>1.6052796358277778E-6</v>
      </c>
      <c r="L28" s="12">
        <f t="shared" si="6"/>
        <v>2.4103972468023805E-6</v>
      </c>
      <c r="M28" s="12">
        <f t="shared" si="6"/>
        <v>3.4776705321808034E-6</v>
      </c>
      <c r="N28" s="13"/>
      <c r="O28" s="20" t="s">
        <v>59</v>
      </c>
      <c r="P28" s="20"/>
      <c r="Q28" s="20"/>
      <c r="R28" s="13"/>
      <c r="S28" s="13"/>
      <c r="T28" s="13"/>
      <c r="U28" s="13"/>
    </row>
    <row r="29" spans="1:21" ht="15" customHeight="1" x14ac:dyDescent="0.3">
      <c r="A29" s="1"/>
      <c r="B29" s="1"/>
      <c r="C29" s="1"/>
      <c r="D29" s="1"/>
      <c r="E29" s="1"/>
      <c r="F29" s="1"/>
      <c r="G29" s="1"/>
      <c r="H29" s="12" t="s">
        <v>35</v>
      </c>
      <c r="I29" s="12">
        <f>D10+MAX(I28:M28)</f>
        <v>1.5034776705321808E-3</v>
      </c>
      <c r="J29" s="19" t="s">
        <v>60</v>
      </c>
      <c r="K29" s="19"/>
      <c r="L29" s="19"/>
      <c r="M29" s="19"/>
      <c r="N29" s="19"/>
      <c r="O29" s="19"/>
      <c r="P29" s="16"/>
      <c r="Q29" s="16"/>
      <c r="R29" s="16"/>
      <c r="S29" s="13"/>
      <c r="T29" s="13"/>
      <c r="U29" s="13"/>
    </row>
    <row r="30" spans="1:21" x14ac:dyDescent="0.3">
      <c r="A30" s="1"/>
      <c r="B30" s="1"/>
      <c r="C30" s="1"/>
      <c r="D30" s="1"/>
      <c r="E30" s="1"/>
      <c r="F30" s="1"/>
      <c r="G30" s="1"/>
      <c r="H30" s="12"/>
      <c r="I30" s="12"/>
      <c r="J30" s="12"/>
      <c r="K30" s="12"/>
      <c r="L30" s="12"/>
      <c r="M30" s="12"/>
      <c r="N30" s="12"/>
      <c r="O30" s="13"/>
      <c r="P30" s="16"/>
      <c r="Q30" s="16"/>
      <c r="R30" s="16"/>
      <c r="S30" s="13"/>
      <c r="T30" s="13"/>
      <c r="U30" s="13"/>
    </row>
    <row r="31" spans="1:21" ht="28.8" x14ac:dyDescent="0.3">
      <c r="A31" s="1"/>
      <c r="B31" s="1"/>
      <c r="C31" s="1"/>
      <c r="D31" s="1"/>
      <c r="E31" s="1"/>
      <c r="F31" s="1"/>
      <c r="G31" s="1"/>
      <c r="H31" s="17" t="s">
        <v>40</v>
      </c>
      <c r="I31" s="12">
        <v>5</v>
      </c>
      <c r="J31" s="12" t="s">
        <v>8</v>
      </c>
      <c r="K31" s="12">
        <f>I31/1000</f>
        <v>5.0000000000000001E-3</v>
      </c>
      <c r="L31" s="12" t="s">
        <v>2</v>
      </c>
      <c r="M31" s="12"/>
      <c r="N31" s="12"/>
      <c r="O31" s="13"/>
      <c r="P31" s="13"/>
      <c r="Q31" s="13"/>
      <c r="R31" s="13"/>
      <c r="S31" s="13"/>
      <c r="T31" s="13"/>
      <c r="U31" s="13"/>
    </row>
    <row r="32" spans="1:21" ht="43.2" x14ac:dyDescent="0.3">
      <c r="A32" s="1"/>
      <c r="B32" s="1"/>
      <c r="C32" s="1"/>
      <c r="D32" s="1"/>
      <c r="E32" s="1"/>
      <c r="F32" s="1"/>
      <c r="G32" s="1"/>
      <c r="H32" s="17" t="s">
        <v>41</v>
      </c>
      <c r="I32" s="12">
        <v>0.2</v>
      </c>
      <c r="J32" s="12"/>
      <c r="K32" s="12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x14ac:dyDescent="0.3">
      <c r="A33" s="1"/>
      <c r="B33" s="1"/>
      <c r="C33" s="1"/>
      <c r="D33" s="1"/>
      <c r="E33" s="1"/>
      <c r="F33" s="1"/>
      <c r="G33" s="1"/>
      <c r="H33" s="12" t="s">
        <v>36</v>
      </c>
      <c r="I33" s="12">
        <f>(2*(D7+D7))/(D7*D7)</f>
        <v>18.181818181818183</v>
      </c>
      <c r="J33" s="12"/>
      <c r="K33" s="12" t="s">
        <v>39</v>
      </c>
      <c r="L33" s="13">
        <f>SQRT((2*(D7+D7))/(D7*D7))</f>
        <v>4.2640143271122088</v>
      </c>
      <c r="M33" s="13"/>
      <c r="N33" s="13"/>
      <c r="O33" s="13"/>
      <c r="P33" s="13"/>
      <c r="Q33" s="13"/>
      <c r="R33" s="13"/>
      <c r="S33" s="13"/>
      <c r="T33" s="13"/>
      <c r="U33" s="13"/>
    </row>
    <row r="34" spans="1:21" x14ac:dyDescent="0.3">
      <c r="A34" s="1"/>
      <c r="B34" s="1"/>
      <c r="C34" s="1"/>
      <c r="D34" s="1"/>
      <c r="E34" s="1"/>
      <c r="F34" s="1"/>
      <c r="G34" s="1"/>
      <c r="H34" s="12" t="s">
        <v>37</v>
      </c>
      <c r="I34" s="12">
        <f>POWER(K31*I32,2)*I33</f>
        <v>1.8181818181818182E-5</v>
      </c>
      <c r="J34" s="20" t="s">
        <v>61</v>
      </c>
      <c r="K34" s="20"/>
      <c r="L34" s="20"/>
      <c r="M34" s="20"/>
      <c r="N34" s="20"/>
      <c r="O34" s="13"/>
      <c r="P34" s="13"/>
      <c r="Q34" s="13"/>
      <c r="R34" s="13"/>
      <c r="S34" s="13"/>
      <c r="T34" s="13"/>
      <c r="U34" s="13"/>
    </row>
    <row r="35" spans="1:21" x14ac:dyDescent="0.3">
      <c r="A35" s="1"/>
      <c r="B35" s="1"/>
      <c r="C35" s="1"/>
      <c r="D35" s="1"/>
      <c r="E35" s="1"/>
      <c r="F35" s="1"/>
      <c r="G35" s="1"/>
      <c r="H35" s="12" t="s">
        <v>38</v>
      </c>
      <c r="I35" s="13">
        <f>I34+I29</f>
        <v>1.521659488713999E-3</v>
      </c>
      <c r="J35" s="16"/>
      <c r="K35" s="16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spans="1:21" x14ac:dyDescent="0.3">
      <c r="A36" s="1"/>
      <c r="B36" s="1"/>
      <c r="C36" s="1"/>
      <c r="D36" s="1"/>
      <c r="E36" s="1"/>
      <c r="F36" s="1"/>
      <c r="G36" s="1"/>
      <c r="H36" s="12"/>
      <c r="I36" s="12"/>
      <c r="J36" s="16"/>
      <c r="K36" s="16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spans="1:21" ht="15" customHeight="1" x14ac:dyDescent="0.3">
      <c r="A37" s="1"/>
      <c r="B37" s="1"/>
      <c r="C37" s="1"/>
      <c r="D37" s="1"/>
      <c r="E37" s="1"/>
      <c r="F37" s="1"/>
      <c r="G37" s="1"/>
      <c r="H37" s="14" t="s">
        <v>42</v>
      </c>
      <c r="I37" s="12"/>
      <c r="J37" s="12"/>
      <c r="K37" s="12"/>
      <c r="L37" s="13"/>
      <c r="M37" s="13"/>
      <c r="N37" s="13"/>
      <c r="O37" s="13"/>
      <c r="P37" s="13"/>
      <c r="Q37" s="13"/>
      <c r="R37" s="13"/>
      <c r="S37" s="13"/>
      <c r="T37" s="13"/>
      <c r="U37" s="13"/>
    </row>
    <row r="38" spans="1:21" x14ac:dyDescent="0.3">
      <c r="A38" s="1"/>
      <c r="B38" s="1"/>
      <c r="C38" s="1"/>
      <c r="D38" s="1"/>
      <c r="E38" s="1"/>
      <c r="F38" s="1"/>
      <c r="G38" s="1"/>
      <c r="H38" s="13"/>
      <c r="I38" s="12">
        <v>1</v>
      </c>
      <c r="J38" s="12">
        <v>2</v>
      </c>
      <c r="K38" s="12">
        <v>3</v>
      </c>
      <c r="L38" s="12">
        <v>4</v>
      </c>
      <c r="M38" s="12">
        <v>5</v>
      </c>
      <c r="N38" s="13"/>
      <c r="O38" s="13"/>
      <c r="P38" s="13"/>
      <c r="Q38" s="13"/>
      <c r="R38" s="13"/>
      <c r="S38" s="13"/>
      <c r="T38" s="13"/>
      <c r="U38" s="13"/>
    </row>
    <row r="39" spans="1:21" x14ac:dyDescent="0.3">
      <c r="A39" s="1"/>
      <c r="B39" s="1"/>
      <c r="C39" s="1"/>
      <c r="D39" s="1"/>
      <c r="E39" s="1"/>
      <c r="F39" s="1"/>
      <c r="G39" s="1"/>
      <c r="H39" s="12" t="s">
        <v>43</v>
      </c>
      <c r="I39" s="12">
        <f>SQRT(B22)*$L$33+$K$31*$I$32*$I$33</f>
        <v>0.16719178587595759</v>
      </c>
      <c r="J39" s="12">
        <f>SQRT(C22)*$L$33+$K$31*$I$32*$I$33</f>
        <v>0.1475645139209544</v>
      </c>
      <c r="K39" s="12">
        <f t="shared" ref="K39:M39" si="7">SQRT(D22)*$L$33+$K$31*$I$32*$I$33</f>
        <v>0.12435956016350842</v>
      </c>
      <c r="L39" s="12">
        <f t="shared" si="7"/>
        <v>9.4369277358294285E-2</v>
      </c>
      <c r="M39" s="12">
        <f t="shared" si="7"/>
        <v>3.636363636363639E-2</v>
      </c>
      <c r="N39" s="13"/>
      <c r="O39" s="13"/>
      <c r="P39" s="13"/>
      <c r="Q39" s="13"/>
      <c r="R39" s="13"/>
      <c r="S39" s="13"/>
      <c r="T39" s="13"/>
      <c r="U39" s="13"/>
    </row>
    <row r="40" spans="1:21" x14ac:dyDescent="0.3">
      <c r="A40" s="1"/>
      <c r="B40" s="1"/>
      <c r="C40" s="1"/>
      <c r="D40" s="1"/>
      <c r="E40" s="1"/>
      <c r="F40" s="1"/>
      <c r="G40" s="1"/>
      <c r="H40" s="12"/>
      <c r="I40" s="12"/>
      <c r="J40" s="12"/>
      <c r="K40" s="12"/>
      <c r="L40" s="13"/>
      <c r="M40" s="13"/>
      <c r="N40" s="13"/>
      <c r="O40" s="13"/>
      <c r="P40" s="13"/>
      <c r="Q40" s="13"/>
      <c r="R40" s="13"/>
      <c r="S40" s="13"/>
      <c r="T40" s="13"/>
      <c r="U40" s="13"/>
    </row>
    <row r="41" spans="1:21" x14ac:dyDescent="0.3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/>
      <c r="H41" s="12"/>
      <c r="I41" s="12"/>
      <c r="J41" s="12"/>
      <c r="K41" s="12"/>
      <c r="L41" s="13"/>
      <c r="M41" s="13"/>
      <c r="N41" s="13"/>
      <c r="O41" s="13"/>
      <c r="P41" s="13"/>
      <c r="Q41" s="13"/>
      <c r="R41" s="13"/>
      <c r="S41" s="13"/>
      <c r="T41" s="13"/>
      <c r="U41" s="13"/>
    </row>
    <row r="42" spans="1:21" x14ac:dyDescent="0.3">
      <c r="A42" s="1" t="s">
        <v>46</v>
      </c>
      <c r="B42" s="1">
        <f>1-POWER(1-I18, $B$15)*POWER(EXP(1), $B$16)</f>
        <v>-0.19271039717680027</v>
      </c>
      <c r="C42" s="1">
        <f t="shared" ref="C42:F42" si="8">1-POWER(1-J18, $B$15)*POWER(EXP(1), $B$16)</f>
        <v>-9.9140489949755439E-2</v>
      </c>
      <c r="D42" s="1">
        <f t="shared" si="8"/>
        <v>2.0997160059715858E-3</v>
      </c>
      <c r="E42" s="1">
        <f t="shared" si="8"/>
        <v>0.11340589500648757</v>
      </c>
      <c r="F42" s="1">
        <f t="shared" si="8"/>
        <v>0.2387850502932567</v>
      </c>
      <c r="G42" s="1"/>
      <c r="H42" s="12"/>
      <c r="I42" s="12"/>
      <c r="J42" s="12"/>
      <c r="K42" s="12"/>
      <c r="L42" s="13"/>
      <c r="M42" s="13"/>
      <c r="N42" s="13"/>
      <c r="O42" s="13"/>
      <c r="P42" s="13"/>
      <c r="Q42" s="13"/>
      <c r="R42" s="13"/>
      <c r="S42" s="13"/>
      <c r="T42" s="13"/>
      <c r="U42" s="13"/>
    </row>
    <row r="43" spans="1:21" x14ac:dyDescent="0.3">
      <c r="A43" s="28" t="s">
        <v>65</v>
      </c>
      <c r="B43" s="28"/>
      <c r="C43" s="28"/>
      <c r="D43" s="1"/>
      <c r="E43" s="1"/>
      <c r="F43" s="1"/>
      <c r="G43" s="1"/>
      <c r="H43" s="12"/>
      <c r="I43" s="12"/>
      <c r="J43" s="12"/>
      <c r="K43" s="12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1" x14ac:dyDescent="0.3">
      <c r="A44" s="1" t="s">
        <v>44</v>
      </c>
      <c r="B44" s="1">
        <v>0.9</v>
      </c>
      <c r="C44" s="1" t="s">
        <v>48</v>
      </c>
      <c r="D44" s="1">
        <v>3</v>
      </c>
      <c r="E44" s="28" t="s">
        <v>63</v>
      </c>
      <c r="F44" s="28"/>
      <c r="G44" s="28"/>
      <c r="H44" s="12"/>
      <c r="I44" s="12"/>
      <c r="J44" s="12"/>
      <c r="K44" s="12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1" x14ac:dyDescent="0.3">
      <c r="A45" s="1" t="s">
        <v>45</v>
      </c>
      <c r="B45" s="1">
        <v>0.97</v>
      </c>
      <c r="C45" s="29" t="s">
        <v>64</v>
      </c>
      <c r="D45" s="29"/>
      <c r="E45" s="29"/>
      <c r="F45" s="29"/>
      <c r="G45" s="29"/>
      <c r="H45" s="10">
        <v>0.9</v>
      </c>
      <c r="I45" s="10" t="s">
        <v>48</v>
      </c>
      <c r="J45" s="10">
        <v>3</v>
      </c>
      <c r="K45" s="1"/>
    </row>
    <row r="46" spans="1:21" ht="60" customHeight="1" x14ac:dyDescent="0.3">
      <c r="A46" s="1" t="s">
        <v>47</v>
      </c>
      <c r="B46" s="1">
        <f>(60*60/60*1*B44*B45)/D44*60</f>
        <v>1047.5999999999999</v>
      </c>
      <c r="D46" s="1"/>
      <c r="E46" s="27" t="s">
        <v>62</v>
      </c>
      <c r="F46" s="27"/>
      <c r="G46" s="27"/>
      <c r="H46" s="1"/>
      <c r="I46" s="1"/>
      <c r="J46" s="1"/>
      <c r="K46" s="1"/>
    </row>
    <row r="47" spans="1:2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21" x14ac:dyDescent="0.3">
      <c r="A48" s="24" t="s">
        <v>77</v>
      </c>
      <c r="B48" s="24"/>
      <c r="C48" s="24"/>
      <c r="D48" s="24"/>
      <c r="E48" s="24"/>
      <c r="F48" s="24"/>
      <c r="G48" s="24"/>
      <c r="H48" s="1"/>
      <c r="I48" s="1"/>
      <c r="J48" s="1"/>
      <c r="K48" s="1"/>
    </row>
    <row r="49" spans="1:11" x14ac:dyDescent="0.3">
      <c r="A49" s="24"/>
      <c r="B49" s="24"/>
      <c r="C49" s="24"/>
      <c r="D49" s="24"/>
      <c r="E49" s="24"/>
      <c r="F49" s="24"/>
      <c r="G49" s="24"/>
      <c r="H49" s="1"/>
      <c r="I49" s="1"/>
      <c r="J49" s="1"/>
      <c r="K49" s="1"/>
    </row>
    <row r="50" spans="1:1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3">
      <c r="A51" s="1" t="s">
        <v>76</v>
      </c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3">
      <c r="A53" s="1" t="s">
        <v>27</v>
      </c>
      <c r="B53" s="1">
        <f>B21*I39</f>
        <v>1190.3912583301874</v>
      </c>
      <c r="C53" s="1">
        <f>C21*J39</f>
        <v>2300.7834612399165</v>
      </c>
      <c r="D53" s="1">
        <f t="shared" ref="D53:F53" si="9">D21*K39</f>
        <v>3222.2190611109795</v>
      </c>
      <c r="E53" s="1">
        <f t="shared" si="9"/>
        <v>3671.5076773731353</v>
      </c>
      <c r="F53" s="1">
        <f t="shared" si="9"/>
        <v>2041.1782416167591</v>
      </c>
      <c r="G53" s="1"/>
      <c r="H53" s="1"/>
      <c r="I53" s="1"/>
      <c r="J53" s="1"/>
      <c r="K53" s="1"/>
    </row>
    <row r="54" spans="1:11" x14ac:dyDescent="0.3">
      <c r="A54" s="1"/>
      <c r="B54" s="1"/>
      <c r="C54" s="6"/>
      <c r="D54" s="6"/>
      <c r="E54" s="6"/>
      <c r="F54" s="6"/>
      <c r="G54" s="1"/>
      <c r="H54" s="1"/>
      <c r="I54" s="1"/>
      <c r="J54" s="1"/>
      <c r="K54" s="1"/>
    </row>
    <row r="55" spans="1:1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3">
      <c r="A58" s="1"/>
      <c r="B58" s="1"/>
      <c r="C58" s="6"/>
      <c r="D58" s="6"/>
      <c r="E58" s="6"/>
      <c r="F58" s="6"/>
      <c r="G58" s="1"/>
      <c r="H58" s="1"/>
      <c r="I58" s="1"/>
      <c r="J58" s="1"/>
      <c r="K58" s="1"/>
    </row>
    <row r="59" spans="1:11" x14ac:dyDescent="0.3">
      <c r="A59" s="1"/>
      <c r="B59" s="1"/>
      <c r="C59" s="6"/>
      <c r="D59" s="6"/>
      <c r="E59" s="6"/>
      <c r="F59" s="6"/>
      <c r="G59" s="1"/>
      <c r="H59" s="1"/>
      <c r="I59" s="1"/>
      <c r="J59" s="1"/>
      <c r="K59" s="1"/>
    </row>
    <row r="60" spans="1:11" x14ac:dyDescent="0.3">
      <c r="A60" s="1"/>
      <c r="B60" s="1"/>
      <c r="C60" s="6"/>
      <c r="D60" s="6"/>
      <c r="E60" s="6"/>
      <c r="F60" s="6"/>
      <c r="G60" s="1"/>
      <c r="H60" s="1"/>
      <c r="I60" s="1"/>
      <c r="J60" s="1"/>
      <c r="K60" s="1"/>
    </row>
    <row r="61" spans="1:11" x14ac:dyDescent="0.3">
      <c r="A61" s="1"/>
      <c r="B61" s="1"/>
      <c r="C61" s="6"/>
      <c r="D61" s="6"/>
      <c r="E61" s="6"/>
      <c r="F61" s="6"/>
      <c r="G61" s="1"/>
      <c r="H61" s="1"/>
      <c r="I61" s="1"/>
      <c r="J61" s="1"/>
      <c r="K61" s="1"/>
    </row>
    <row r="62" spans="1:11" x14ac:dyDescent="0.3">
      <c r="A62" s="1"/>
      <c r="B62" s="1"/>
      <c r="C62" s="6"/>
      <c r="D62" s="6"/>
      <c r="E62" s="6"/>
      <c r="F62" s="6"/>
      <c r="G62" s="1"/>
      <c r="H62" s="1"/>
      <c r="I62" s="1"/>
      <c r="J62" s="1"/>
      <c r="K62" s="1"/>
    </row>
    <row r="63" spans="1:1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3">
      <c r="A65" s="1"/>
      <c r="B65" s="1"/>
      <c r="C65" s="6"/>
      <c r="D65" s="1"/>
      <c r="E65" s="1"/>
      <c r="F65" s="1"/>
      <c r="G65" s="1"/>
      <c r="H65" s="1"/>
      <c r="I65" s="1"/>
      <c r="J65" s="1"/>
      <c r="K65" s="1"/>
    </row>
    <row r="66" spans="1:11" x14ac:dyDescent="0.3">
      <c r="A66" s="6"/>
      <c r="B66" s="6"/>
      <c r="C66" s="6"/>
      <c r="D66" s="6"/>
      <c r="E66" s="6"/>
      <c r="F66" s="1"/>
      <c r="G66" s="1"/>
      <c r="H66" s="1"/>
      <c r="I66" s="1"/>
      <c r="J66" s="1"/>
      <c r="K66" s="1"/>
    </row>
    <row r="67" spans="1:1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</sheetData>
  <mergeCells count="23">
    <mergeCell ref="A1:T1"/>
    <mergeCell ref="A2:T2"/>
    <mergeCell ref="A3:T4"/>
    <mergeCell ref="A5:T5"/>
    <mergeCell ref="A48:G49"/>
    <mergeCell ref="F9:H9"/>
    <mergeCell ref="F10:J10"/>
    <mergeCell ref="F12:J12"/>
    <mergeCell ref="F13:G16"/>
    <mergeCell ref="N18:R18"/>
    <mergeCell ref="J26:N26"/>
    <mergeCell ref="M22:Q22"/>
    <mergeCell ref="E46:G46"/>
    <mergeCell ref="E44:G44"/>
    <mergeCell ref="C45:G45"/>
    <mergeCell ref="A43:C43"/>
    <mergeCell ref="Q19:U19"/>
    <mergeCell ref="J29:O29"/>
    <mergeCell ref="J34:N34"/>
    <mergeCell ref="J23:N23"/>
    <mergeCell ref="M25:O25"/>
    <mergeCell ref="M24:O24"/>
    <mergeCell ref="O28:Q28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33" r:id="rId4">
          <objectPr defaultSize="0" autoPict="0" r:id="rId5">
            <anchor moveWithCells="1" sizeWithCells="1">
              <from>
                <xdr:col>3</xdr:col>
                <xdr:colOff>152400</xdr:colOff>
                <xdr:row>45</xdr:row>
                <xdr:rowOff>213360</xdr:rowOff>
              </from>
              <to>
                <xdr:col>3</xdr:col>
                <xdr:colOff>952500</xdr:colOff>
                <xdr:row>45</xdr:row>
                <xdr:rowOff>541020</xdr:rowOff>
              </to>
            </anchor>
          </objectPr>
        </oleObject>
      </mc:Choice>
      <mc:Fallback>
        <oleObject progId="Equation.3" shapeId="103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2023-05-22T09:44:02Z</dcterms:modified>
</cp:coreProperties>
</file>