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3kr_6sem\ПМАиПЛ\"/>
    </mc:Choice>
  </mc:AlternateContent>
  <xr:revisionPtr revIDLastSave="0" documentId="13_ncr:1_{129F7735-6AFA-4E40-A781-7243EBFB75B2}" xr6:coauthVersionLast="45" xr6:coauthVersionMax="45" xr10:uidLastSave="{00000000-0000-0000-0000-000000000000}"/>
  <bookViews>
    <workbookView xWindow="-108" yWindow="-108" windowWidth="23256" windowHeight="12576" xr2:uid="{D2B5343F-87AF-42DA-AB74-10C10855A6A4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5" i="1" l="1"/>
  <c r="E20" i="1" l="1"/>
  <c r="B28" i="1"/>
  <c r="B29" i="1"/>
  <c r="E21" i="1" s="1"/>
  <c r="B25" i="1" l="1"/>
  <c r="I20" i="1" l="1"/>
  <c r="I47" i="1" l="1"/>
  <c r="I46" i="1"/>
  <c r="C52" i="1" l="1"/>
  <c r="D52" i="1"/>
  <c r="E52" i="1"/>
  <c r="F52" i="1"/>
  <c r="B52" i="1"/>
  <c r="B45" i="1"/>
  <c r="B44" i="1" l="1"/>
  <c r="B43" i="1"/>
  <c r="I15" i="1" l="1"/>
  <c r="H15" i="1"/>
  <c r="B38" i="1" l="1"/>
  <c r="D41" i="1"/>
  <c r="C36" i="1"/>
  <c r="E35" i="1"/>
  <c r="C35" i="1"/>
  <c r="E34" i="1"/>
  <c r="E32" i="1"/>
  <c r="F29" i="1"/>
  <c r="I21" i="1" s="1"/>
  <c r="E29" i="1"/>
  <c r="H21" i="1" s="1"/>
  <c r="D29" i="1"/>
  <c r="G21" i="1" s="1"/>
  <c r="C29" i="1"/>
  <c r="F21" i="1" s="1"/>
  <c r="C28" i="1"/>
  <c r="D28" i="1"/>
  <c r="E28" i="1"/>
  <c r="F28" i="1"/>
  <c r="F20" i="1"/>
  <c r="G20" i="1"/>
  <c r="H20" i="1"/>
  <c r="D38" i="1" l="1"/>
  <c r="E38" i="1"/>
  <c r="F38" i="1"/>
  <c r="C38" i="1"/>
  <c r="B39" i="1" s="1"/>
  <c r="B46" i="1" s="1"/>
  <c r="F22" i="1" l="1"/>
  <c r="G22" i="1"/>
  <c r="H22" i="1"/>
  <c r="I22" i="1"/>
  <c r="E22" i="1"/>
  <c r="B49" i="1" l="1"/>
  <c r="I48" i="1"/>
  <c r="I50" i="1" s="1"/>
  <c r="F49" i="1"/>
  <c r="M48" i="1"/>
  <c r="M50" i="1" s="1"/>
  <c r="E49" i="1"/>
  <c r="L48" i="1"/>
  <c r="L50" i="1" s="1"/>
  <c r="K48" i="1"/>
  <c r="K50" i="1" s="1"/>
  <c r="D49" i="1"/>
  <c r="C49" i="1"/>
  <c r="J48" i="1"/>
  <c r="J50" i="1" s="1"/>
  <c r="J44" i="1" l="1"/>
  <c r="F23" i="1"/>
  <c r="G23" i="1"/>
  <c r="K44" i="1"/>
  <c r="H23" i="1"/>
  <c r="L44" i="1"/>
  <c r="I23" i="1"/>
  <c r="M44" i="1"/>
  <c r="E23" i="1"/>
  <c r="I44" i="1"/>
</calcChain>
</file>

<file path=xl/sharedStrings.xml><?xml version="1.0" encoding="utf-8"?>
<sst xmlns="http://schemas.openxmlformats.org/spreadsheetml/2006/main" count="82" uniqueCount="69">
  <si>
    <t>Лабораторная работа №06</t>
  </si>
  <si>
    <t>Прессы для тиснения и печати на переплетных крышках</t>
  </si>
  <si>
    <t>Вариант 8</t>
  </si>
  <si>
    <t>R=L=</t>
  </si>
  <si>
    <t>мм</t>
  </si>
  <si>
    <t>Марка картона</t>
  </si>
  <si>
    <t>Калинский</t>
  </si>
  <si>
    <t>Tmax</t>
  </si>
  <si>
    <t>Числа тиснений</t>
  </si>
  <si>
    <t>F</t>
  </si>
  <si>
    <t>м</t>
  </si>
  <si>
    <t>см^2</t>
  </si>
  <si>
    <t>м^2</t>
  </si>
  <si>
    <t>E0</t>
  </si>
  <si>
    <r>
      <t>Н/см</t>
    </r>
    <r>
      <rPr>
        <vertAlign val="superscript"/>
        <sz val="12"/>
        <color theme="1"/>
        <rFont val="Times New Roman"/>
        <family val="1"/>
        <charset val="204"/>
      </rPr>
      <t>2</t>
    </r>
  </si>
  <si>
    <t>K</t>
  </si>
  <si>
    <t>а</t>
  </si>
  <si>
    <t>b</t>
  </si>
  <si>
    <t>H/м2</t>
  </si>
  <si>
    <t>Шаг</t>
  </si>
  <si>
    <t>деформация ΔTi</t>
  </si>
  <si>
    <t>давление Pi</t>
  </si>
  <si>
    <t>Координата нижней плиты процесса S1</t>
  </si>
  <si>
    <t>движущее усилие Qi</t>
  </si>
  <si>
    <t>Δtmax</t>
  </si>
  <si>
    <t>Pi</t>
  </si>
  <si>
    <t>pi1</t>
  </si>
  <si>
    <t>pi2</t>
  </si>
  <si>
    <t>pi3</t>
  </si>
  <si>
    <t>pi4</t>
  </si>
  <si>
    <t>pi5</t>
  </si>
  <si>
    <t>Максимальная относительная деформация напряжения ε(отн)=</t>
  </si>
  <si>
    <t>Напряжение σ=</t>
  </si>
  <si>
    <t>Si</t>
  </si>
  <si>
    <t>l-(длина колонн пресса)</t>
  </si>
  <si>
    <t>n</t>
  </si>
  <si>
    <t>D-(диаметр колонн)</t>
  </si>
  <si>
    <t>E-модуль упругости</t>
  </si>
  <si>
    <t>Z-(жёсткость колонн пресса)</t>
  </si>
  <si>
    <t>см</t>
  </si>
  <si>
    <t>Н/см2</t>
  </si>
  <si>
    <t>Н/м2</t>
  </si>
  <si>
    <t>λi-(удлинение колонок преса)</t>
  </si>
  <si>
    <t>ΔSmax</t>
  </si>
  <si>
    <t>путь, проходимый нижний плитой при тиснении переплетной крышки</t>
  </si>
  <si>
    <t>радиус оис шарнира r</t>
  </si>
  <si>
    <t>коэффициент трения в шарнире f</t>
  </si>
  <si>
    <t>C(T)</t>
  </si>
  <si>
    <t>С(0)</t>
  </si>
  <si>
    <t>S(K) &gt; координата верхнего положения подвижной плиты</t>
  </si>
  <si>
    <t>s(max)</t>
  </si>
  <si>
    <t xml:space="preserve"> Qi</t>
  </si>
  <si>
    <t>Кпс i</t>
  </si>
  <si>
    <t>ε ост</t>
  </si>
  <si>
    <t>θ (коэффициент использования времени машины)</t>
  </si>
  <si>
    <t>β</t>
  </si>
  <si>
    <t>x</t>
  </si>
  <si>
    <t>число тиснений за 1 цикл</t>
  </si>
  <si>
    <t>коэффициент учитывает отход продукии в брак</t>
  </si>
  <si>
    <t>Пy(производительность преса)</t>
  </si>
  <si>
    <t>График Q=f(α)</t>
  </si>
  <si>
    <t>Qi</t>
  </si>
  <si>
    <t>//////////</t>
  </si>
  <si>
    <t>график зависимости общегоусилия теснения от перемещения плиты</t>
  </si>
  <si>
    <t>H</t>
  </si>
  <si>
    <t>R=L</t>
  </si>
  <si>
    <t>альфа</t>
  </si>
  <si>
    <r>
      <t>Цель работы:</t>
    </r>
    <r>
      <rPr>
        <sz val="12"/>
        <color theme="9"/>
        <rFont val="Times New Roman"/>
        <family val="1"/>
        <charset val="204"/>
      </rPr>
      <t xml:space="preserve"> изучить механизм давления печатно-позолотного пресса, освоить методику расчета его основных технологических характеристик.</t>
    </r>
  </si>
  <si>
    <t>Вывод: Производительность пресса для тиснения и печати на переплетных крышках Пу составляет 785 тиснений в час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</si>
</sst>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vertAlign val="superscript"/>
      <sz val="12"/>
      <color theme="1"/>
      <name val="Times New Roman"/>
      <family val="1"/>
      <charset val="204"/>
    </font>
    <font>
      <i/>
      <sz val="12"/>
      <color theme="1"/>
      <name val="Times New Roman"/>
      <family val="1"/>
      <charset val="204"/>
    </font>
    <font>
      <sz val="16"/>
      <color theme="1"/>
      <name val="Times New Roman"/>
      <family val="1"/>
      <charset val="204"/>
    </font>
    <font>
      <b/>
      <sz val="12"/>
      <color theme="9"/>
      <name val="Times New Roman"/>
      <family val="1"/>
      <charset val="204"/>
    </font>
    <font>
      <sz val="12"/>
      <color theme="9"/>
      <name val="Times New Roman"/>
      <family val="1"/>
      <charset val="204"/>
    </font>
    <font>
      <sz val="11"/>
      <color theme="9"/>
      <name val="Calibri"/>
      <family val="2"/>
      <charset val="204"/>
      <scheme val="minor"/>
    </font>
    <font>
      <b/>
      <sz val="12"/>
      <color theme="9"/>
      <name val="Calibri"/>
      <family val="2"/>
      <charset val="204"/>
      <scheme val="minor"/>
    </font>
    <font>
      <sz val="12"/>
      <color theme="9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top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/>
    <xf numFmtId="3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0" fillId="0" borderId="1" xfId="0" applyNumberFormat="1" applyBorder="1"/>
    <xf numFmtId="0" fontId="0" fillId="2" borderId="1" xfId="0" applyFill="1" applyBorder="1"/>
    <xf numFmtId="2" fontId="0" fillId="0" borderId="1" xfId="0" applyNumberFormat="1" applyBorder="1" applyAlignment="1">
      <alignment horizontal="center"/>
    </xf>
    <xf numFmtId="2" fontId="0" fillId="2" borderId="1" xfId="0" applyNumberFormat="1" applyFill="1" applyBorder="1"/>
    <xf numFmtId="0" fontId="4" fillId="0" borderId="0" xfId="0" applyFont="1" applyAlignment="1">
      <alignment horizontal="left" vertical="center"/>
    </xf>
    <xf numFmtId="0" fontId="0" fillId="0" borderId="0" xfId="0" applyFill="1"/>
    <xf numFmtId="0" fontId="0" fillId="0" borderId="1" xfId="0" applyFill="1" applyBorder="1"/>
    <xf numFmtId="0" fontId="0" fillId="0" borderId="2" xfId="0" applyFill="1" applyBorder="1"/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vertical="top" wrapText="1"/>
    </xf>
    <xf numFmtId="0" fontId="0" fillId="4" borderId="0" xfId="0" applyFill="1"/>
    <xf numFmtId="0" fontId="0" fillId="4" borderId="1" xfId="0" applyFill="1" applyBorder="1" applyAlignment="1">
      <alignment wrapText="1"/>
    </xf>
    <xf numFmtId="0" fontId="0" fillId="4" borderId="1" xfId="0" applyFill="1" applyBorder="1"/>
    <xf numFmtId="0" fontId="0" fillId="4" borderId="2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3" fillId="4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left" vertical="top"/>
    </xf>
    <xf numFmtId="0" fontId="7" fillId="0" borderId="0" xfId="0" applyFont="1"/>
    <xf numFmtId="0" fontId="8" fillId="0" borderId="0" xfId="0" applyFont="1"/>
    <xf numFmtId="0" fontId="9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P(S)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Лист1!$E$22:$I$22</c:f>
              <c:numCache>
                <c:formatCode>General</c:formatCode>
                <c:ptCount val="5"/>
                <c:pt idx="0">
                  <c:v>1.3043705516664244E-3</c:v>
                </c:pt>
                <c:pt idx="1">
                  <c:v>9.8312881508824971E-4</c:v>
                </c:pt>
                <c:pt idx="2">
                  <c:v>6.6115663626997473E-4</c:v>
                </c:pt>
                <c:pt idx="3">
                  <c:v>3.3811142858238084E-4</c:v>
                </c:pt>
                <c:pt idx="4">
                  <c:v>1.3333333333333296E-5</c:v>
                </c:pt>
              </c:numCache>
            </c:numRef>
          </c:xVal>
          <c:yVal>
            <c:numRef>
              <c:f>Лист1!$E$21:$I$21</c:f>
              <c:numCache>
                <c:formatCode>General</c:formatCode>
                <c:ptCount val="5"/>
                <c:pt idx="0">
                  <c:v>11495.161530706971</c:v>
                </c:pt>
                <c:pt idx="1">
                  <c:v>31537.789404085324</c:v>
                </c:pt>
                <c:pt idx="2">
                  <c:v>63370.342982037473</c:v>
                </c:pt>
                <c:pt idx="3">
                  <c:v>112522.44621581567</c:v>
                </c:pt>
                <c:pt idx="4">
                  <c:v>189644.74953154952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DB4-4950-94B8-6BDB426365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9570351"/>
        <c:axId val="1746329743"/>
      </c:scatterChart>
      <c:valAx>
        <c:axId val="1589570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46329743"/>
        <c:crosses val="autoZero"/>
        <c:crossBetween val="midCat"/>
      </c:valAx>
      <c:valAx>
        <c:axId val="1746329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89570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Q(a)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Лист1!$I$50:$M$50</c:f>
              <c:numCache>
                <c:formatCode>General</c:formatCode>
                <c:ptCount val="5"/>
                <c:pt idx="0">
                  <c:v>6.5950573212001151E-2</c:v>
                </c:pt>
                <c:pt idx="1">
                  <c:v>5.7253745624956442E-2</c:v>
                </c:pt>
                <c:pt idx="2">
                  <c:v>4.6949550811995255E-2</c:v>
                </c:pt>
                <c:pt idx="3">
                  <c:v>3.357296475474203E-2</c:v>
                </c:pt>
                <c:pt idx="4">
                  <c:v>6.6666790123959263E-3</c:v>
                </c:pt>
              </c:numCache>
            </c:numRef>
          </c:xVal>
          <c:yVal>
            <c:numRef>
              <c:f>Лист1!$I$44:$M$44</c:f>
              <c:numCache>
                <c:formatCode>General</c:formatCode>
                <c:ptCount val="5"/>
                <c:pt idx="0">
                  <c:v>1669.2190367706412</c:v>
                </c:pt>
                <c:pt idx="1">
                  <c:v>4031.3237792701671</c:v>
                </c:pt>
                <c:pt idx="2">
                  <c:v>6794.8096858151694</c:v>
                </c:pt>
                <c:pt idx="3">
                  <c:v>9055.3686942673557</c:v>
                </c:pt>
                <c:pt idx="4">
                  <c:v>5057.1933208413175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773-4486-926F-B8EB58567C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5348623"/>
        <c:axId val="1492904159"/>
      </c:scatterChart>
      <c:valAx>
        <c:axId val="1415348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92904159"/>
        <c:crosses val="autoZero"/>
        <c:crossBetween val="midCat"/>
      </c:valAx>
      <c:valAx>
        <c:axId val="1492904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153486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4.png"/><Relationship Id="rId5" Type="http://schemas.openxmlformats.org/officeDocument/2006/relationships/chart" Target="../charts/chart2.xml"/><Relationship Id="rId4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</xdr:row>
      <xdr:rowOff>86895</xdr:rowOff>
    </xdr:from>
    <xdr:to>
      <xdr:col>7</xdr:col>
      <xdr:colOff>310393</xdr:colOff>
      <xdr:row>10</xdr:row>
      <xdr:rowOff>1898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469B8E9D-06F6-40D5-92BF-5778E1436A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018228"/>
          <a:ext cx="6270894" cy="808706"/>
        </a:xfrm>
        <a:prstGeom prst="rect">
          <a:avLst/>
        </a:prstGeom>
      </xdr:spPr>
    </xdr:pic>
    <xdr:clientData/>
  </xdr:twoCellAnchor>
  <xdr:twoCellAnchor editAs="oneCell">
    <xdr:from>
      <xdr:col>6</xdr:col>
      <xdr:colOff>169001</xdr:colOff>
      <xdr:row>32</xdr:row>
      <xdr:rowOff>39408</xdr:rowOff>
    </xdr:from>
    <xdr:to>
      <xdr:col>12</xdr:col>
      <xdr:colOff>537402</xdr:colOff>
      <xdr:row>37</xdr:row>
      <xdr:rowOff>146731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8D2A0F1E-3FB8-4D2E-ADF7-6946A4F0E8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03001" y="6956939"/>
          <a:ext cx="5190432" cy="1000292"/>
        </a:xfrm>
        <a:prstGeom prst="rect">
          <a:avLst/>
        </a:prstGeom>
      </xdr:spPr>
    </xdr:pic>
    <xdr:clientData/>
  </xdr:twoCellAnchor>
  <xdr:twoCellAnchor editAs="oneCell">
    <xdr:from>
      <xdr:col>7</xdr:col>
      <xdr:colOff>83129</xdr:colOff>
      <xdr:row>52</xdr:row>
      <xdr:rowOff>107827</xdr:rowOff>
    </xdr:from>
    <xdr:to>
      <xdr:col>9</xdr:col>
      <xdr:colOff>304801</xdr:colOff>
      <xdr:row>55</xdr:row>
      <xdr:rowOff>81634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10E143A4-12CA-4A44-8A16-E60102A434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12874" y="12147427"/>
          <a:ext cx="2604654" cy="1068316"/>
        </a:xfrm>
        <a:prstGeom prst="rect">
          <a:avLst/>
        </a:prstGeom>
      </xdr:spPr>
    </xdr:pic>
    <xdr:clientData/>
  </xdr:twoCellAnchor>
  <xdr:twoCellAnchor>
    <xdr:from>
      <xdr:col>11</xdr:col>
      <xdr:colOff>418476</xdr:colOff>
      <xdr:row>17</xdr:row>
      <xdr:rowOff>2498</xdr:rowOff>
    </xdr:from>
    <xdr:to>
      <xdr:col>18</xdr:col>
      <xdr:colOff>493427</xdr:colOff>
      <xdr:row>27</xdr:row>
      <xdr:rowOff>871927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2D4F971D-1BCA-41F1-8AD9-7BC4D7B50C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82088</xdr:colOff>
      <xdr:row>17</xdr:row>
      <xdr:rowOff>62994</xdr:rowOff>
    </xdr:from>
    <xdr:to>
      <xdr:col>31</xdr:col>
      <xdr:colOff>603354</xdr:colOff>
      <xdr:row>34</xdr:row>
      <xdr:rowOff>138659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9B51508B-40B5-41D0-8874-4B7EE39AA3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130629</xdr:colOff>
      <xdr:row>58</xdr:row>
      <xdr:rowOff>141513</xdr:rowOff>
    </xdr:from>
    <xdr:to>
      <xdr:col>7</xdr:col>
      <xdr:colOff>759820</xdr:colOff>
      <xdr:row>69</xdr:row>
      <xdr:rowOff>1123</xdr:rowOff>
    </xdr:to>
    <xdr:pic>
      <xdr:nvPicPr>
        <xdr:cNvPr id="11" name="Рисунок 10">
          <a:extLst>
            <a:ext uri="{FF2B5EF4-FFF2-40B4-BE49-F238E27FC236}">
              <a16:creationId xmlns:a16="http://schemas.microsoft.com/office/drawing/2014/main" id="{8D74C9EA-D935-4CA4-8B4D-55E889246C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30629" y="14064342"/>
          <a:ext cx="6561905" cy="18952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58721-E590-4523-8BCF-FAA3C1DD5DFB}">
  <dimension ref="A1:W57"/>
  <sheetViews>
    <sheetView tabSelected="1" zoomScale="70" zoomScaleNormal="70" workbookViewId="0">
      <selection activeCell="F77" sqref="F77"/>
    </sheetView>
  </sheetViews>
  <sheetFormatPr defaultRowHeight="14.4" x14ac:dyDescent="0.3"/>
  <cols>
    <col min="1" max="1" width="16.5546875" customWidth="1"/>
    <col min="2" max="2" width="16.44140625" customWidth="1"/>
    <col min="3" max="3" width="12.44140625" bestFit="1" customWidth="1"/>
    <col min="4" max="4" width="11.5546875" bestFit="1" customWidth="1"/>
    <col min="5" max="5" width="9" bestFit="1" customWidth="1"/>
    <col min="6" max="6" width="11.5546875" bestFit="1" customWidth="1"/>
    <col min="8" max="8" width="17.6640625" customWidth="1"/>
    <col min="9" max="9" width="17.21875" customWidth="1"/>
    <col min="13" max="13" width="12.109375" bestFit="1" customWidth="1"/>
  </cols>
  <sheetData>
    <row r="1" spans="1:13" ht="15.6" x14ac:dyDescent="0.3">
      <c r="A1" s="30" t="s">
        <v>0</v>
      </c>
      <c r="B1" s="31"/>
    </row>
    <row r="2" spans="1:13" ht="21" x14ac:dyDescent="0.3">
      <c r="A2" s="12" t="s">
        <v>1</v>
      </c>
    </row>
    <row r="3" spans="1:13" ht="15.6" x14ac:dyDescent="0.3">
      <c r="A3" s="28" t="s">
        <v>67</v>
      </c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</row>
    <row r="5" spans="1:13" x14ac:dyDescent="0.3">
      <c r="A5" t="s">
        <v>2</v>
      </c>
    </row>
    <row r="11" spans="1:13" ht="20.399999999999999" customHeight="1" x14ac:dyDescent="0.3"/>
    <row r="12" spans="1:13" s="2" customFormat="1" ht="33.6" customHeight="1" x14ac:dyDescent="0.3">
      <c r="A12" s="25" t="s">
        <v>3</v>
      </c>
      <c r="B12" s="26" t="s">
        <v>5</v>
      </c>
      <c r="C12" s="25" t="s">
        <v>7</v>
      </c>
      <c r="D12" s="26" t="s">
        <v>24</v>
      </c>
      <c r="E12" s="26" t="s">
        <v>8</v>
      </c>
      <c r="F12" s="25" t="s">
        <v>9</v>
      </c>
      <c r="H12" s="25" t="s">
        <v>13</v>
      </c>
      <c r="I12" s="27" t="s">
        <v>15</v>
      </c>
      <c r="J12" s="27" t="s">
        <v>16</v>
      </c>
      <c r="K12" s="27" t="s">
        <v>17</v>
      </c>
    </row>
    <row r="13" spans="1:13" ht="15.6" x14ac:dyDescent="0.3">
      <c r="A13" s="3">
        <v>300</v>
      </c>
      <c r="B13" s="4" t="s">
        <v>6</v>
      </c>
      <c r="C13" s="3">
        <v>2.5</v>
      </c>
      <c r="D13" s="4">
        <v>1.6</v>
      </c>
      <c r="E13" s="3">
        <v>4</v>
      </c>
      <c r="F13" s="3">
        <v>40</v>
      </c>
      <c r="H13" s="6">
        <v>9810</v>
      </c>
      <c r="I13" s="7">
        <v>-8252</v>
      </c>
      <c r="J13" s="7">
        <v>2.0059999999999998</v>
      </c>
      <c r="K13" s="7">
        <v>1.68</v>
      </c>
    </row>
    <row r="14" spans="1:13" ht="18.600000000000001" x14ac:dyDescent="0.3">
      <c r="A14" s="3" t="s">
        <v>4</v>
      </c>
      <c r="B14" s="4"/>
      <c r="C14" s="3" t="s">
        <v>4</v>
      </c>
      <c r="D14" s="4" t="s">
        <v>4</v>
      </c>
      <c r="E14" s="4"/>
      <c r="F14" s="4" t="s">
        <v>11</v>
      </c>
      <c r="H14" s="7" t="s">
        <v>14</v>
      </c>
      <c r="I14" s="7" t="s">
        <v>14</v>
      </c>
      <c r="J14" s="3"/>
      <c r="K14" s="3"/>
    </row>
    <row r="15" spans="1:13" x14ac:dyDescent="0.3">
      <c r="A15" s="3">
        <v>0.3</v>
      </c>
      <c r="B15" s="5"/>
      <c r="C15" s="3">
        <v>2.5000000000000001E-3</v>
      </c>
      <c r="D15" s="3">
        <v>1.6000000000000001E-3</v>
      </c>
      <c r="E15" s="5"/>
      <c r="F15" s="3">
        <v>4.0000000000000001E-3</v>
      </c>
      <c r="H15" s="10">
        <f>H13*10000</f>
        <v>98100000</v>
      </c>
      <c r="I15" s="10">
        <f>I13*10000</f>
        <v>-82520000</v>
      </c>
      <c r="J15" s="5"/>
      <c r="K15" s="5"/>
      <c r="M15" t="s">
        <v>63</v>
      </c>
    </row>
    <row r="16" spans="1:13" x14ac:dyDescent="0.3">
      <c r="A16" s="3" t="s">
        <v>10</v>
      </c>
      <c r="B16" s="5"/>
      <c r="C16" s="3" t="s">
        <v>10</v>
      </c>
      <c r="D16" s="3" t="s">
        <v>10</v>
      </c>
      <c r="E16" s="5"/>
      <c r="F16" s="3" t="s">
        <v>12</v>
      </c>
      <c r="H16" s="4" t="s">
        <v>18</v>
      </c>
      <c r="I16" s="4" t="s">
        <v>18</v>
      </c>
      <c r="J16" s="5"/>
      <c r="K16" s="5"/>
    </row>
    <row r="19" spans="1:23" x14ac:dyDescent="0.3">
      <c r="E19" s="16">
        <v>1</v>
      </c>
      <c r="F19" s="16">
        <v>2</v>
      </c>
      <c r="G19" s="16">
        <v>3</v>
      </c>
      <c r="H19" s="16">
        <v>4</v>
      </c>
      <c r="I19" s="16">
        <v>5</v>
      </c>
    </row>
    <row r="20" spans="1:23" x14ac:dyDescent="0.3">
      <c r="A20" s="23" t="s">
        <v>20</v>
      </c>
      <c r="B20" s="23"/>
      <c r="C20" s="23"/>
      <c r="D20" s="24"/>
      <c r="E20" s="5">
        <f>E19*B25</f>
        <v>3.2000000000000003E-4</v>
      </c>
      <c r="F20" s="5">
        <f>B25*F19</f>
        <v>6.4000000000000005E-4</v>
      </c>
      <c r="G20" s="5">
        <f>G19*B25</f>
        <v>9.6000000000000013E-4</v>
      </c>
      <c r="H20" s="5">
        <f>H19*B25</f>
        <v>1.2800000000000001E-3</v>
      </c>
      <c r="I20" s="5">
        <f>D15</f>
        <v>1.6000000000000001E-3</v>
      </c>
    </row>
    <row r="21" spans="1:23" x14ac:dyDescent="0.3">
      <c r="A21" s="23" t="s">
        <v>21</v>
      </c>
      <c r="B21" s="23"/>
      <c r="C21" s="23"/>
      <c r="D21" s="24"/>
      <c r="E21" s="5">
        <f>F15*B29</f>
        <v>11495.161530706971</v>
      </c>
      <c r="F21" s="5">
        <f>F15*C29</f>
        <v>31537.789404085324</v>
      </c>
      <c r="G21" s="5">
        <f>F15*D29</f>
        <v>63370.342982037473</v>
      </c>
      <c r="H21" s="5">
        <f>F15*E29</f>
        <v>112522.44621581567</v>
      </c>
      <c r="I21" s="5">
        <f>F15*F29</f>
        <v>189644.74953154952</v>
      </c>
      <c r="J21" t="s">
        <v>62</v>
      </c>
    </row>
    <row r="22" spans="1:23" x14ac:dyDescent="0.3">
      <c r="A22" s="23" t="s">
        <v>22</v>
      </c>
      <c r="B22" s="23"/>
      <c r="C22" s="23"/>
      <c r="D22" s="24"/>
      <c r="E22" s="5">
        <f>$B$46-(E20+B38)</f>
        <v>1.3043705516664244E-3</v>
      </c>
      <c r="F22" s="5">
        <f t="shared" ref="F22:I22" si="0">$B$46-(F20+C38)</f>
        <v>9.8312881508824971E-4</v>
      </c>
      <c r="G22" s="5">
        <f t="shared" si="0"/>
        <v>6.6115663626997473E-4</v>
      </c>
      <c r="H22" s="5">
        <f t="shared" si="0"/>
        <v>3.3811142858238084E-4</v>
      </c>
      <c r="I22" s="5">
        <f t="shared" si="0"/>
        <v>1.3333333333333296E-5</v>
      </c>
      <c r="J22" t="s">
        <v>62</v>
      </c>
    </row>
    <row r="23" spans="1:23" x14ac:dyDescent="0.3">
      <c r="A23" s="23" t="s">
        <v>23</v>
      </c>
      <c r="B23" s="23"/>
      <c r="C23" s="23"/>
      <c r="D23" s="24"/>
      <c r="E23" s="5">
        <f>E21*B49</f>
        <v>1669.2190367706412</v>
      </c>
      <c r="F23" s="5">
        <f t="shared" ref="F23:I23" si="1">F21*C49</f>
        <v>4031.3237792701671</v>
      </c>
      <c r="G23" s="5">
        <f t="shared" si="1"/>
        <v>6794.8096858151694</v>
      </c>
      <c r="H23" s="5">
        <f t="shared" si="1"/>
        <v>9055.3686942673557</v>
      </c>
      <c r="I23" s="5">
        <f t="shared" si="1"/>
        <v>5057.1933208413175</v>
      </c>
    </row>
    <row r="25" spans="1:23" x14ac:dyDescent="0.3">
      <c r="A25" s="23" t="s">
        <v>19</v>
      </c>
      <c r="B25" s="5">
        <f>I20/5</f>
        <v>3.2000000000000003E-4</v>
      </c>
    </row>
    <row r="27" spans="1:23" x14ac:dyDescent="0.3">
      <c r="A27" s="23" t="s">
        <v>25</v>
      </c>
      <c r="B27" s="18" t="s">
        <v>26</v>
      </c>
      <c r="C27" s="18" t="s">
        <v>27</v>
      </c>
      <c r="D27" s="18" t="s">
        <v>28</v>
      </c>
      <c r="E27" s="18" t="s">
        <v>29</v>
      </c>
      <c r="F27" s="18" t="s">
        <v>30</v>
      </c>
    </row>
    <row r="28" spans="1:23" ht="72" x14ac:dyDescent="0.3">
      <c r="A28" s="20" t="s">
        <v>31</v>
      </c>
      <c r="B28" s="5">
        <f>E20/C15</f>
        <v>0.128</v>
      </c>
      <c r="C28" s="5">
        <f>F20/C15</f>
        <v>0.25600000000000001</v>
      </c>
      <c r="D28" s="5">
        <f>G20/C15</f>
        <v>0.38400000000000006</v>
      </c>
      <c r="E28" s="5">
        <f>H20/C15</f>
        <v>0.51200000000000001</v>
      </c>
      <c r="F28" s="5">
        <f>I20/C15</f>
        <v>0.64</v>
      </c>
      <c r="I28" s="5"/>
    </row>
    <row r="29" spans="1:23" x14ac:dyDescent="0.3">
      <c r="A29" s="16" t="s">
        <v>32</v>
      </c>
      <c r="B29" s="11">
        <f>-$H$15*LOG((1-B$28),EXP(1))+$I$15*B$28</f>
        <v>2873790.382676743</v>
      </c>
      <c r="C29" s="9">
        <f>-$H$15*LOG((1-C$28),EXP(1))+$I$15*C$28</f>
        <v>7884447.3510213308</v>
      </c>
      <c r="D29" s="9">
        <f>-$H$15*LOG((1-D$28),EXP(1))+$I$15*D$28</f>
        <v>15842585.745509367</v>
      </c>
      <c r="E29" s="9">
        <f>-$H$15*LOG((1-E$28),EXP(1))+$I$15*E$28</f>
        <v>28130611.553953916</v>
      </c>
      <c r="F29" s="9">
        <f>-$H$15*LOG((1-F$28),EXP(1))+$I$15*F$28</f>
        <v>47411187.382887378</v>
      </c>
    </row>
    <row r="31" spans="1:23" x14ac:dyDescent="0.3">
      <c r="A31" s="21" t="s">
        <v>33</v>
      </c>
      <c r="N31" s="13"/>
      <c r="O31" s="13"/>
      <c r="P31" s="13"/>
      <c r="Q31" s="13"/>
      <c r="R31" s="13"/>
      <c r="S31" s="13"/>
      <c r="T31" s="13"/>
      <c r="U31" s="13"/>
      <c r="V31" s="13"/>
      <c r="W31" s="13"/>
    </row>
    <row r="32" spans="1:23" x14ac:dyDescent="0.3">
      <c r="A32" s="16" t="s">
        <v>34</v>
      </c>
      <c r="B32" s="16"/>
      <c r="C32" s="3">
        <v>100</v>
      </c>
      <c r="D32" s="3" t="s">
        <v>39</v>
      </c>
      <c r="E32" s="3">
        <f>C32/100</f>
        <v>1</v>
      </c>
      <c r="F32" s="3" t="s">
        <v>10</v>
      </c>
      <c r="N32" s="14"/>
      <c r="O32" s="14"/>
      <c r="P32" s="14"/>
      <c r="Q32" s="15"/>
      <c r="R32" s="14"/>
      <c r="S32" s="14"/>
      <c r="T32" s="14"/>
      <c r="U32" s="14"/>
      <c r="V32" s="14"/>
      <c r="W32" s="13"/>
    </row>
    <row r="33" spans="1:13" x14ac:dyDescent="0.3">
      <c r="A33" s="16" t="s">
        <v>35</v>
      </c>
      <c r="B33" s="16"/>
      <c r="C33" s="5">
        <v>4</v>
      </c>
      <c r="D33" s="5"/>
      <c r="E33" s="5"/>
      <c r="F33" s="5"/>
    </row>
    <row r="34" spans="1:13" x14ac:dyDescent="0.3">
      <c r="A34" s="16" t="s">
        <v>36</v>
      </c>
      <c r="B34" s="16"/>
      <c r="C34" s="3">
        <v>17</v>
      </c>
      <c r="D34" s="3" t="s">
        <v>39</v>
      </c>
      <c r="E34" s="3">
        <f>C34/100</f>
        <v>0.17</v>
      </c>
      <c r="F34" s="3" t="s">
        <v>10</v>
      </c>
    </row>
    <row r="35" spans="1:13" x14ac:dyDescent="0.3">
      <c r="A35" s="16" t="s">
        <v>37</v>
      </c>
      <c r="B35" s="16"/>
      <c r="C35" s="8">
        <f>2*10^7</f>
        <v>20000000</v>
      </c>
      <c r="D35" s="3" t="s">
        <v>40</v>
      </c>
      <c r="E35" s="3">
        <f>C35*10000</f>
        <v>200000000000</v>
      </c>
      <c r="F35" s="3" t="s">
        <v>41</v>
      </c>
    </row>
    <row r="36" spans="1:13" x14ac:dyDescent="0.3">
      <c r="A36" s="16" t="s">
        <v>38</v>
      </c>
      <c r="B36" s="16"/>
      <c r="C36" s="5">
        <f>(4.5)/(PI()*E34*E34*E35*C33)</f>
        <v>6.1954778885253366E-11</v>
      </c>
      <c r="D36" s="5"/>
      <c r="E36" s="5"/>
      <c r="F36" s="5"/>
    </row>
    <row r="37" spans="1:13" x14ac:dyDescent="0.3">
      <c r="B37">
        <v>1</v>
      </c>
      <c r="C37">
        <v>2</v>
      </c>
      <c r="D37">
        <v>3</v>
      </c>
      <c r="E37">
        <v>4</v>
      </c>
      <c r="F37">
        <v>5</v>
      </c>
    </row>
    <row r="38" spans="1:13" ht="28.8" x14ac:dyDescent="0.3">
      <c r="A38" s="22" t="s">
        <v>42</v>
      </c>
      <c r="B38" s="5">
        <f>E21*$C$36</f>
        <v>7.1218019088522107E-7</v>
      </c>
      <c r="C38" s="5">
        <f t="shared" ref="C38:F38" si="2">F21*$C$36</f>
        <v>1.9539167690597927E-6</v>
      </c>
      <c r="D38" s="5">
        <f t="shared" si="2"/>
        <v>3.9260955873347988E-6</v>
      </c>
      <c r="E38" s="5">
        <f>H21*$C$36</f>
        <v>6.9713032749286737E-6</v>
      </c>
      <c r="F38" s="5">
        <f t="shared" si="2"/>
        <v>1.1749398523976407E-5</v>
      </c>
    </row>
    <row r="39" spans="1:13" x14ac:dyDescent="0.3">
      <c r="A39" s="23" t="s">
        <v>43</v>
      </c>
      <c r="B39" s="5">
        <f>D15+MAX(B38:F38)</f>
        <v>1.6117493985239764E-3</v>
      </c>
      <c r="C39" t="s">
        <v>44</v>
      </c>
    </row>
    <row r="41" spans="1:13" ht="28.8" x14ac:dyDescent="0.3">
      <c r="A41" s="19" t="s">
        <v>45</v>
      </c>
      <c r="B41" s="3">
        <v>5</v>
      </c>
      <c r="C41" s="3" t="s">
        <v>4</v>
      </c>
      <c r="D41" s="3">
        <f>B41/1000</f>
        <v>5.0000000000000001E-3</v>
      </c>
      <c r="E41" s="3" t="s">
        <v>10</v>
      </c>
    </row>
    <row r="42" spans="1:13" ht="43.2" x14ac:dyDescent="0.3">
      <c r="A42" s="19" t="s">
        <v>46</v>
      </c>
      <c r="B42" s="3">
        <v>0.2</v>
      </c>
      <c r="C42" s="3"/>
      <c r="D42" s="3"/>
      <c r="E42" s="5"/>
      <c r="H42" s="21" t="s">
        <v>60</v>
      </c>
    </row>
    <row r="43" spans="1:13" x14ac:dyDescent="0.3">
      <c r="A43" s="16" t="s">
        <v>47</v>
      </c>
      <c r="B43" s="5">
        <f>(2*(A15+A15))/(A15*A15)</f>
        <v>13.333333333333334</v>
      </c>
    </row>
    <row r="44" spans="1:13" x14ac:dyDescent="0.3">
      <c r="A44" s="19" t="s">
        <v>48</v>
      </c>
      <c r="B44" s="3">
        <f>SQRT((2*(A15+A15))/(A15*A15))</f>
        <v>3.6514837167011076</v>
      </c>
      <c r="C44" s="1"/>
      <c r="D44" s="1"/>
      <c r="E44" s="1"/>
      <c r="H44" s="16" t="s">
        <v>61</v>
      </c>
      <c r="I44" s="5">
        <f>E21*B49</f>
        <v>1669.2190367706412</v>
      </c>
      <c r="J44" s="5">
        <f t="shared" ref="J44:M44" si="3">F21*C49</f>
        <v>4031.3237792701671</v>
      </c>
      <c r="K44" s="5">
        <f t="shared" si="3"/>
        <v>6794.8096858151694</v>
      </c>
      <c r="L44" s="5">
        <f t="shared" si="3"/>
        <v>9055.3686942673557</v>
      </c>
      <c r="M44" s="5">
        <f t="shared" si="3"/>
        <v>5057.1933208413175</v>
      </c>
    </row>
    <row r="45" spans="1:13" ht="69" customHeight="1" x14ac:dyDescent="0.3">
      <c r="A45" s="19" t="s">
        <v>49</v>
      </c>
      <c r="B45" s="3">
        <f>POWER(D41*B42,2)*B43</f>
        <v>1.3333333333333333E-5</v>
      </c>
      <c r="C45" s="1"/>
      <c r="D45" s="1"/>
    </row>
    <row r="46" spans="1:13" x14ac:dyDescent="0.3">
      <c r="A46" s="16" t="s">
        <v>50</v>
      </c>
      <c r="B46" s="5">
        <f>B45+B39</f>
        <v>1.6250827318573097E-3</v>
      </c>
      <c r="H46" s="16" t="s">
        <v>64</v>
      </c>
      <c r="I46" s="5">
        <f>A15*2</f>
        <v>0.6</v>
      </c>
      <c r="J46" s="5"/>
      <c r="K46" s="5"/>
      <c r="L46" s="5"/>
      <c r="M46" s="5"/>
    </row>
    <row r="47" spans="1:13" x14ac:dyDescent="0.3">
      <c r="H47" s="16" t="s">
        <v>65</v>
      </c>
      <c r="I47" s="5">
        <f>A15</f>
        <v>0.3</v>
      </c>
      <c r="J47" s="5"/>
      <c r="K47" s="5"/>
      <c r="L47" s="5"/>
      <c r="M47" s="5"/>
    </row>
    <row r="48" spans="1:13" x14ac:dyDescent="0.3">
      <c r="A48" s="23" t="s">
        <v>51</v>
      </c>
      <c r="B48" s="18">
        <v>1</v>
      </c>
      <c r="C48" s="18">
        <v>2</v>
      </c>
      <c r="D48" s="18">
        <v>3</v>
      </c>
      <c r="E48" s="18">
        <v>4</v>
      </c>
      <c r="F48" s="18">
        <v>5</v>
      </c>
      <c r="H48" s="16" t="s">
        <v>33</v>
      </c>
      <c r="I48" s="5">
        <f>E22</f>
        <v>1.3043705516664244E-3</v>
      </c>
      <c r="J48" s="5">
        <f>F22</f>
        <v>9.8312881508824971E-4</v>
      </c>
      <c r="K48" s="5">
        <f>G22</f>
        <v>6.6115663626997473E-4</v>
      </c>
      <c r="L48" s="5">
        <f>H22</f>
        <v>3.3811142858238084E-4</v>
      </c>
      <c r="M48" s="5">
        <f>I22</f>
        <v>1.3333333333333296E-5</v>
      </c>
    </row>
    <row r="49" spans="1:13" x14ac:dyDescent="0.3">
      <c r="A49" s="16" t="s">
        <v>52</v>
      </c>
      <c r="B49" s="5">
        <f>SQRT(E22)*$B$44+$D$41*$B$42*$B$43</f>
        <v>0.14521057684241009</v>
      </c>
      <c r="C49" s="5">
        <f>SQRT(F22)*$B$44+$D$41*$B$42*$B$43</f>
        <v>0.1278251854503144</v>
      </c>
      <c r="D49" s="5">
        <f>SQRT(G22)*$B$44+$D$41*$B$42*$B$43</f>
        <v>0.10722381110894696</v>
      </c>
      <c r="E49" s="5">
        <f>SQRT(H22)*$B$44+$D$41*$B$42*$B$43</f>
        <v>8.0476109423530937E-2</v>
      </c>
      <c r="F49" s="5">
        <f t="shared" ref="F49" si="4">SQRT(I22)*$B$44+$D$41*$B$42*$B$43</f>
        <v>2.6666666666666651E-2</v>
      </c>
    </row>
    <row r="50" spans="1:13" x14ac:dyDescent="0.3">
      <c r="H50" s="16" t="s">
        <v>66</v>
      </c>
      <c r="I50" s="5">
        <f>ACOS(($I$46-I48)/(2*$I$47))</f>
        <v>6.5950573212001151E-2</v>
      </c>
      <c r="J50" s="5">
        <f t="shared" ref="J50:M50" si="5">ACOS(($I$46-J48)/(2*$I$47))</f>
        <v>5.7253745624956442E-2</v>
      </c>
      <c r="K50" s="5">
        <f t="shared" si="5"/>
        <v>4.6949550811995255E-2</v>
      </c>
      <c r="L50" s="5">
        <f t="shared" si="5"/>
        <v>3.357296475474203E-2</v>
      </c>
      <c r="M50" s="5">
        <f t="shared" si="5"/>
        <v>6.6666790123959263E-3</v>
      </c>
    </row>
    <row r="51" spans="1:13" x14ac:dyDescent="0.3">
      <c r="A51" s="5"/>
      <c r="B51" s="18">
        <v>1</v>
      </c>
      <c r="C51" s="18">
        <v>2</v>
      </c>
      <c r="D51" s="18">
        <v>3</v>
      </c>
      <c r="E51" s="18">
        <v>4</v>
      </c>
      <c r="F51" s="18">
        <v>5</v>
      </c>
    </row>
    <row r="52" spans="1:13" x14ac:dyDescent="0.3">
      <c r="A52" s="16" t="s">
        <v>53</v>
      </c>
      <c r="B52" s="5">
        <f>1-POWER(1-B28,$J$13)*POWER(EXP(1),$K$13)</f>
        <v>-3.0765314609276571</v>
      </c>
      <c r="C52" s="5">
        <f t="shared" ref="C52:F52" si="6">1-POWER(1-C28,$J$13)*POWER(EXP(1),$K$13)</f>
        <v>-1.9647633840212615</v>
      </c>
      <c r="D52" s="5">
        <f t="shared" si="6"/>
        <v>-1.0300822697644736</v>
      </c>
      <c r="E52" s="5">
        <f t="shared" si="6"/>
        <v>-0.27228642251526725</v>
      </c>
      <c r="F52" s="5">
        <f t="shared" si="6"/>
        <v>0.30887349903045236</v>
      </c>
    </row>
    <row r="53" spans="1:13" ht="57.6" x14ac:dyDescent="0.3">
      <c r="A53" s="17" t="s">
        <v>54</v>
      </c>
      <c r="B53" s="3">
        <v>0.9</v>
      </c>
      <c r="C53" s="3" t="s">
        <v>56</v>
      </c>
      <c r="D53" s="3">
        <v>4</v>
      </c>
      <c r="E53" s="5" t="s">
        <v>57</v>
      </c>
      <c r="F53" s="5"/>
    </row>
    <row r="54" spans="1:13" x14ac:dyDescent="0.3">
      <c r="A54" s="16" t="s">
        <v>55</v>
      </c>
      <c r="B54" s="5">
        <v>0.97</v>
      </c>
      <c r="C54" s="5" t="s">
        <v>58</v>
      </c>
      <c r="D54" s="5"/>
      <c r="E54" s="5"/>
      <c r="F54" s="5"/>
    </row>
    <row r="55" spans="1:13" x14ac:dyDescent="0.3">
      <c r="A55" s="16" t="s">
        <v>59</v>
      </c>
      <c r="B55" s="5">
        <f>60*60*B53*B54/D53</f>
        <v>785.69999999999993</v>
      </c>
      <c r="C55" s="5"/>
      <c r="D55" s="5"/>
      <c r="E55" s="5"/>
      <c r="F55" s="5"/>
    </row>
    <row r="57" spans="1:13" x14ac:dyDescent="0.3">
      <c r="A57" t="s">
        <v>68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Legion</dc:creator>
  <cp:lastModifiedBy>Legion</cp:lastModifiedBy>
  <dcterms:created xsi:type="dcterms:W3CDTF">2023-05-17T19:18:17Z</dcterms:created>
  <dcterms:modified xsi:type="dcterms:W3CDTF">2023-05-31T13:50:48Z</dcterms:modified>
</cp:coreProperties>
</file>