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 Research\04 Projects\01 Southern Flounder\02 Data Analysis\SFL_LinkageMap\data\VCF\"/>
    </mc:Choice>
  </mc:AlternateContent>
  <bookViews>
    <workbookView xWindow="480" yWindow="180" windowWidth="27795" windowHeight="14310" activeTab="2"/>
  </bookViews>
  <sheets>
    <sheet name="FamA" sheetId="13" r:id="rId1"/>
    <sheet name="FamA_Final_Filter" sheetId="11" r:id="rId2"/>
    <sheet name="FamB" sheetId="9" r:id="rId3"/>
    <sheet name="FamB_Final_Filter" sheetId="10" r:id="rId4"/>
  </sheets>
  <calcPr calcId="171027" concurrentCalc="0"/>
</workbook>
</file>

<file path=xl/calcChain.xml><?xml version="1.0" encoding="utf-8"?>
<calcChain xmlns="http://schemas.openxmlformats.org/spreadsheetml/2006/main">
  <c r="I163" i="9" l="1"/>
  <c r="I162" i="9"/>
  <c r="I161" i="9"/>
  <c r="I151" i="9"/>
  <c r="I150" i="9"/>
  <c r="F162" i="9"/>
  <c r="F161" i="9"/>
  <c r="F151" i="9"/>
  <c r="F150" i="9"/>
  <c r="C151" i="9"/>
  <c r="C150" i="9"/>
  <c r="C162" i="9"/>
  <c r="C161" i="9"/>
  <c r="C159" i="9"/>
  <c r="C164" i="9"/>
  <c r="C169" i="9"/>
  <c r="D169" i="9"/>
  <c r="E169" i="9"/>
  <c r="F164" i="9"/>
  <c r="F169" i="9"/>
  <c r="G169" i="9"/>
  <c r="H169" i="9"/>
  <c r="I164" i="9"/>
  <c r="I169" i="9"/>
  <c r="J169" i="9"/>
  <c r="K169" i="9"/>
  <c r="L169" i="9"/>
  <c r="M169" i="9"/>
  <c r="N169" i="9"/>
  <c r="O169" i="9"/>
  <c r="P169" i="9"/>
  <c r="Q169" i="9"/>
  <c r="R169" i="9"/>
  <c r="B169" i="9"/>
  <c r="B169" i="13"/>
  <c r="I168" i="9"/>
  <c r="I167" i="9"/>
  <c r="I166" i="9"/>
  <c r="I165" i="9"/>
  <c r="I160" i="9"/>
  <c r="I159" i="9"/>
  <c r="F168" i="9"/>
  <c r="F167" i="9"/>
  <c r="F166" i="9"/>
  <c r="F165" i="9"/>
  <c r="F163" i="9"/>
  <c r="F160" i="9"/>
  <c r="F159" i="9"/>
  <c r="C168" i="9"/>
  <c r="C167" i="9"/>
  <c r="C166" i="9"/>
  <c r="C165" i="9"/>
  <c r="C163" i="9"/>
  <c r="C160" i="9"/>
  <c r="I146" i="9"/>
  <c r="I145" i="9"/>
  <c r="I144" i="9"/>
  <c r="I143" i="9"/>
  <c r="I142" i="9"/>
  <c r="F146" i="9"/>
  <c r="F145" i="9"/>
  <c r="F144" i="9"/>
  <c r="F143" i="9"/>
  <c r="F142" i="9"/>
  <c r="C142" i="9"/>
  <c r="C146" i="9"/>
  <c r="C145" i="9"/>
  <c r="C144" i="9"/>
  <c r="C143" i="9"/>
  <c r="M169" i="13"/>
  <c r="N169" i="13"/>
  <c r="O169" i="13"/>
  <c r="P169" i="13"/>
  <c r="Q169" i="13"/>
  <c r="R169" i="13"/>
  <c r="L169" i="13"/>
  <c r="I164" i="13"/>
  <c r="I169" i="13"/>
  <c r="F164" i="13"/>
  <c r="F169" i="13"/>
  <c r="C164" i="13"/>
  <c r="C169" i="13"/>
  <c r="I168" i="13"/>
  <c r="I167" i="13"/>
  <c r="I166" i="13"/>
  <c r="I165" i="13"/>
  <c r="I163" i="13"/>
  <c r="I162" i="13"/>
  <c r="I161" i="13"/>
  <c r="I160" i="13"/>
  <c r="I159" i="13"/>
  <c r="I146" i="13"/>
  <c r="I145" i="13"/>
  <c r="I144" i="13"/>
  <c r="I143" i="13"/>
  <c r="I142" i="13"/>
  <c r="I157" i="13"/>
  <c r="I156" i="13"/>
  <c r="I155" i="13"/>
  <c r="I154" i="13"/>
  <c r="I153" i="13"/>
  <c r="I152" i="13"/>
  <c r="I151" i="13"/>
  <c r="I150" i="13"/>
  <c r="I149" i="13"/>
  <c r="I148" i="13"/>
  <c r="I140" i="13"/>
  <c r="I139" i="13"/>
  <c r="I138" i="13"/>
  <c r="I137" i="13"/>
  <c r="I136" i="13"/>
  <c r="I134" i="13"/>
  <c r="I129" i="13"/>
  <c r="I124" i="13"/>
  <c r="I119" i="13"/>
  <c r="I114" i="13"/>
  <c r="I109" i="13"/>
  <c r="I108" i="13"/>
  <c r="I106" i="13"/>
  <c r="I105" i="13"/>
  <c r="I103" i="13"/>
  <c r="I102" i="13"/>
  <c r="I101" i="13"/>
  <c r="I100" i="13"/>
  <c r="I98" i="13"/>
  <c r="I97" i="13"/>
  <c r="I96" i="13"/>
  <c r="I95" i="13"/>
  <c r="I93" i="13"/>
  <c r="I92" i="13"/>
  <c r="I90" i="13"/>
  <c r="I89" i="13"/>
  <c r="I87" i="13"/>
  <c r="I86" i="13"/>
  <c r="I84" i="13"/>
  <c r="I83" i="13"/>
  <c r="I81" i="13"/>
  <c r="I80" i="13"/>
  <c r="I79" i="13"/>
  <c r="I78" i="13"/>
  <c r="I76" i="13"/>
  <c r="I75" i="13"/>
  <c r="I74" i="13"/>
  <c r="I73" i="13"/>
  <c r="I72" i="13"/>
  <c r="I71" i="13"/>
  <c r="I69" i="13"/>
  <c r="I68" i="13"/>
  <c r="I66" i="13"/>
  <c r="I65" i="13"/>
  <c r="I64" i="13"/>
  <c r="I62" i="13"/>
  <c r="I61" i="13"/>
  <c r="I60" i="13"/>
  <c r="I58" i="13"/>
  <c r="I57" i="13"/>
  <c r="I55" i="13"/>
  <c r="I53" i="13"/>
  <c r="I52" i="13"/>
  <c r="I51" i="13"/>
  <c r="I49" i="13"/>
  <c r="I48" i="13"/>
  <c r="I46" i="13"/>
  <c r="I45" i="13"/>
  <c r="I44" i="13"/>
  <c r="I43" i="13"/>
  <c r="I41" i="13"/>
  <c r="I40" i="13"/>
  <c r="I39" i="13"/>
  <c r="I38" i="13"/>
  <c r="I36" i="13"/>
  <c r="I35" i="13"/>
  <c r="I34" i="13"/>
  <c r="I32" i="13"/>
  <c r="I30" i="13"/>
  <c r="I29" i="13"/>
  <c r="I28" i="13"/>
  <c r="I26" i="13"/>
  <c r="I24" i="13"/>
  <c r="I22" i="13"/>
  <c r="I21" i="13"/>
  <c r="I20" i="13"/>
  <c r="I18" i="13"/>
  <c r="I17" i="13"/>
  <c r="I16" i="13"/>
  <c r="I14" i="13"/>
  <c r="I13" i="13"/>
  <c r="I12" i="13"/>
  <c r="I10" i="13"/>
  <c r="I9" i="13"/>
  <c r="I8" i="13"/>
  <c r="I6" i="13"/>
  <c r="I5" i="13"/>
  <c r="I4" i="13"/>
  <c r="I2" i="13"/>
  <c r="F168" i="13"/>
  <c r="F167" i="13"/>
  <c r="F166" i="13"/>
  <c r="F165" i="13"/>
  <c r="F163" i="13"/>
  <c r="F162" i="13"/>
  <c r="F161" i="13"/>
  <c r="F160" i="13"/>
  <c r="F159" i="13"/>
  <c r="F157" i="13"/>
  <c r="F156" i="13"/>
  <c r="F155" i="13"/>
  <c r="F154" i="13"/>
  <c r="F153" i="13"/>
  <c r="F152" i="13"/>
  <c r="F151" i="13"/>
  <c r="F150" i="13"/>
  <c r="F149" i="13"/>
  <c r="F148" i="13"/>
  <c r="F146" i="13"/>
  <c r="F145" i="13"/>
  <c r="F144" i="13"/>
  <c r="F143" i="13"/>
  <c r="F142" i="13"/>
  <c r="F140" i="13"/>
  <c r="F139" i="13"/>
  <c r="F138" i="13"/>
  <c r="F137" i="13"/>
  <c r="F136" i="13"/>
  <c r="F134" i="13"/>
  <c r="F129" i="13"/>
  <c r="F124" i="13"/>
  <c r="F119" i="13"/>
  <c r="F114" i="13"/>
  <c r="F109" i="13"/>
  <c r="F108" i="13"/>
  <c r="F106" i="13"/>
  <c r="F105" i="13"/>
  <c r="F103" i="13"/>
  <c r="F102" i="13"/>
  <c r="F101" i="13"/>
  <c r="F100" i="13"/>
  <c r="F98" i="13"/>
  <c r="F97" i="13"/>
  <c r="F96" i="13"/>
  <c r="F95" i="13"/>
  <c r="F93" i="13"/>
  <c r="F92" i="13"/>
  <c r="F90" i="13"/>
  <c r="F89" i="13"/>
  <c r="F87" i="13"/>
  <c r="F86" i="13"/>
  <c r="F84" i="13"/>
  <c r="F83" i="13"/>
  <c r="F81" i="13"/>
  <c r="F80" i="13"/>
  <c r="F79" i="13"/>
  <c r="F78" i="13"/>
  <c r="F76" i="13"/>
  <c r="F75" i="13"/>
  <c r="F74" i="13"/>
  <c r="F73" i="13"/>
  <c r="F72" i="13"/>
  <c r="F71" i="13"/>
  <c r="F69" i="13"/>
  <c r="F68" i="13"/>
  <c r="F66" i="13"/>
  <c r="F65" i="13"/>
  <c r="F64" i="13"/>
  <c r="F62" i="13"/>
  <c r="F61" i="13"/>
  <c r="F60" i="13"/>
  <c r="F58" i="13"/>
  <c r="F57" i="13"/>
  <c r="F55" i="13"/>
  <c r="F53" i="13"/>
  <c r="F52" i="13"/>
  <c r="F51" i="13"/>
  <c r="F49" i="13"/>
  <c r="F48" i="13"/>
  <c r="F46" i="13"/>
  <c r="F45" i="13"/>
  <c r="F44" i="13"/>
  <c r="F43" i="13"/>
  <c r="F41" i="13"/>
  <c r="F40" i="13"/>
  <c r="F39" i="13"/>
  <c r="F38" i="13"/>
  <c r="F36" i="13"/>
  <c r="F35" i="13"/>
  <c r="F34" i="13"/>
  <c r="F32" i="13"/>
  <c r="F30" i="13"/>
  <c r="F29" i="13"/>
  <c r="F28" i="13"/>
  <c r="F26" i="13"/>
  <c r="F24" i="13"/>
  <c r="F22" i="13"/>
  <c r="F21" i="13"/>
  <c r="F20" i="13"/>
  <c r="F18" i="13"/>
  <c r="F17" i="13"/>
  <c r="F16" i="13"/>
  <c r="F14" i="13"/>
  <c r="F13" i="13"/>
  <c r="F12" i="13"/>
  <c r="F10" i="13"/>
  <c r="F9" i="13"/>
  <c r="F8" i="13"/>
  <c r="F6" i="13"/>
  <c r="F5" i="13"/>
  <c r="F4" i="13"/>
  <c r="F2" i="13"/>
  <c r="F157" i="9"/>
  <c r="F156" i="9"/>
  <c r="F155" i="9"/>
  <c r="F154" i="9"/>
  <c r="F153" i="9"/>
  <c r="F152" i="9"/>
  <c r="F149" i="9"/>
  <c r="F148" i="9"/>
  <c r="F140" i="9"/>
  <c r="F139" i="9"/>
  <c r="F138" i="9"/>
  <c r="F137" i="9"/>
  <c r="F136" i="9"/>
  <c r="F134" i="9"/>
  <c r="F129" i="9"/>
  <c r="F124" i="9"/>
  <c r="F119" i="9"/>
  <c r="F114" i="9"/>
  <c r="F109" i="9"/>
  <c r="F108" i="9"/>
  <c r="F106" i="9"/>
  <c r="F105" i="9"/>
  <c r="F103" i="9"/>
  <c r="F102" i="9"/>
  <c r="F101" i="9"/>
  <c r="F100" i="9"/>
  <c r="F98" i="9"/>
  <c r="F97" i="9"/>
  <c r="F96" i="9"/>
  <c r="F95" i="9"/>
  <c r="F93" i="9"/>
  <c r="F92" i="9"/>
  <c r="F90" i="9"/>
  <c r="F89" i="9"/>
  <c r="F87" i="9"/>
  <c r="F86" i="9"/>
  <c r="F84" i="9"/>
  <c r="F83" i="9"/>
  <c r="F81" i="9"/>
  <c r="F80" i="9"/>
  <c r="F79" i="9"/>
  <c r="F78" i="9"/>
  <c r="F76" i="9"/>
  <c r="F75" i="9"/>
  <c r="F74" i="9"/>
  <c r="F73" i="9"/>
  <c r="F72" i="9"/>
  <c r="F71" i="9"/>
  <c r="F69" i="9"/>
  <c r="F68" i="9"/>
  <c r="F66" i="9"/>
  <c r="F65" i="9"/>
  <c r="F64" i="9"/>
  <c r="F62" i="9"/>
  <c r="F61" i="9"/>
  <c r="F60" i="9"/>
  <c r="F58" i="9"/>
  <c r="F57" i="9"/>
  <c r="F55" i="9"/>
  <c r="F53" i="9"/>
  <c r="F52" i="9"/>
  <c r="F51" i="9"/>
  <c r="F49" i="9"/>
  <c r="F48" i="9"/>
  <c r="F46" i="9"/>
  <c r="F45" i="9"/>
  <c r="F44" i="9"/>
  <c r="F43" i="9"/>
  <c r="F41" i="9"/>
  <c r="F40" i="9"/>
  <c r="F39" i="9"/>
  <c r="F38" i="9"/>
  <c r="F36" i="9"/>
  <c r="F35" i="9"/>
  <c r="F34" i="9"/>
  <c r="F32" i="9"/>
  <c r="F30" i="9"/>
  <c r="F29" i="9"/>
  <c r="F28" i="9"/>
  <c r="F26" i="9"/>
  <c r="F24" i="9"/>
  <c r="F22" i="9"/>
  <c r="F21" i="9"/>
  <c r="F20" i="9"/>
  <c r="F18" i="9"/>
  <c r="F17" i="9"/>
  <c r="F16" i="9"/>
  <c r="F14" i="9"/>
  <c r="F13" i="9"/>
  <c r="F12" i="9"/>
  <c r="F10" i="9"/>
  <c r="F9" i="9"/>
  <c r="F8" i="9"/>
  <c r="F6" i="9"/>
  <c r="F5" i="9"/>
  <c r="F4" i="9"/>
  <c r="F2" i="9"/>
  <c r="I157" i="9"/>
  <c r="I156" i="9"/>
  <c r="I155" i="9"/>
  <c r="I154" i="9"/>
  <c r="I153" i="9"/>
  <c r="I152" i="9"/>
  <c r="I140" i="9"/>
  <c r="I139" i="9"/>
  <c r="I138" i="9"/>
  <c r="I137" i="9"/>
  <c r="I136" i="9"/>
  <c r="I134" i="9"/>
  <c r="I129" i="9"/>
  <c r="I124" i="9"/>
  <c r="I119" i="9"/>
  <c r="I114" i="9"/>
  <c r="I109" i="9"/>
  <c r="I108" i="9"/>
  <c r="I106" i="9"/>
  <c r="I105" i="9"/>
  <c r="I103" i="9"/>
  <c r="I102" i="9"/>
  <c r="I101" i="9"/>
  <c r="I100" i="9"/>
  <c r="I98" i="9"/>
  <c r="I97" i="9"/>
  <c r="I96" i="9"/>
  <c r="I95" i="9"/>
  <c r="I93" i="9"/>
  <c r="I92" i="9"/>
  <c r="I90" i="9"/>
  <c r="I89" i="9"/>
  <c r="I87" i="9"/>
  <c r="I86" i="9"/>
  <c r="I84" i="9"/>
  <c r="I83" i="9"/>
  <c r="I81" i="9"/>
  <c r="I80" i="9"/>
  <c r="I79" i="9"/>
  <c r="I78" i="9"/>
  <c r="I76" i="9"/>
  <c r="I75" i="9"/>
  <c r="I74" i="9"/>
  <c r="I73" i="9"/>
  <c r="I72" i="9"/>
  <c r="I71" i="9"/>
  <c r="I69" i="9"/>
  <c r="I68" i="9"/>
  <c r="I66" i="9"/>
  <c r="I65" i="9"/>
  <c r="I64" i="9"/>
  <c r="I62" i="9"/>
  <c r="I61" i="9"/>
  <c r="I60" i="9"/>
  <c r="I58" i="9"/>
  <c r="I57" i="9"/>
  <c r="I55" i="9"/>
  <c r="I53" i="9"/>
  <c r="I52" i="9"/>
  <c r="I51" i="9"/>
  <c r="I49" i="9"/>
  <c r="I48" i="9"/>
  <c r="I46" i="9"/>
  <c r="I45" i="9"/>
  <c r="I44" i="9"/>
  <c r="I43" i="9"/>
  <c r="I41" i="9"/>
  <c r="I40" i="9"/>
  <c r="I39" i="9"/>
  <c r="I38" i="9"/>
  <c r="I36" i="9"/>
  <c r="I35" i="9"/>
  <c r="I34" i="9"/>
  <c r="I32" i="9"/>
  <c r="I30" i="9"/>
  <c r="I29" i="9"/>
  <c r="I28" i="9"/>
  <c r="I26" i="9"/>
  <c r="I24" i="9"/>
  <c r="I22" i="9"/>
  <c r="I21" i="9"/>
  <c r="I20" i="9"/>
  <c r="I18" i="9"/>
  <c r="I17" i="9"/>
  <c r="I16" i="9"/>
  <c r="I14" i="9"/>
  <c r="I13" i="9"/>
  <c r="I12" i="9"/>
  <c r="I10" i="9"/>
  <c r="I9" i="9"/>
  <c r="I8" i="9"/>
  <c r="I6" i="9"/>
  <c r="I5" i="9"/>
  <c r="I4" i="9"/>
  <c r="I2" i="9"/>
  <c r="I149" i="9"/>
  <c r="I148" i="9"/>
  <c r="C168" i="13"/>
  <c r="C167" i="13"/>
  <c r="C166" i="13"/>
  <c r="C165" i="13"/>
  <c r="C163" i="13"/>
  <c r="C162" i="13"/>
  <c r="C161" i="13"/>
  <c r="C160" i="13"/>
  <c r="C148" i="13"/>
  <c r="C149" i="13"/>
  <c r="C150" i="13"/>
  <c r="C146" i="13"/>
  <c r="C145" i="13"/>
  <c r="C143" i="13"/>
  <c r="C142" i="13"/>
  <c r="C144" i="13"/>
  <c r="C159" i="13"/>
  <c r="C2" i="13"/>
  <c r="C157" i="13"/>
  <c r="C156" i="13"/>
  <c r="C155" i="13"/>
  <c r="C154" i="13"/>
  <c r="C153" i="13"/>
  <c r="C152" i="13"/>
  <c r="C151" i="13"/>
  <c r="C140" i="13"/>
  <c r="C139" i="13"/>
  <c r="C138" i="13"/>
  <c r="C137" i="13"/>
  <c r="C136" i="13"/>
  <c r="C134" i="13"/>
  <c r="C133" i="13"/>
  <c r="C132" i="13"/>
  <c r="C129" i="13"/>
  <c r="C128" i="13"/>
  <c r="C127" i="13"/>
  <c r="C124" i="13"/>
  <c r="C123" i="13"/>
  <c r="C122" i="13"/>
  <c r="C119" i="13"/>
  <c r="C118" i="13"/>
  <c r="C117" i="13"/>
  <c r="C114" i="13"/>
  <c r="C113" i="13"/>
  <c r="C112" i="13"/>
  <c r="C109" i="13"/>
  <c r="C108" i="13"/>
  <c r="C106" i="13"/>
  <c r="C105" i="13"/>
  <c r="C103" i="13"/>
  <c r="C102" i="13"/>
  <c r="C101" i="13"/>
  <c r="C100" i="13"/>
  <c r="C98" i="13"/>
  <c r="C97" i="13"/>
  <c r="C96" i="13"/>
  <c r="C95" i="13"/>
  <c r="C93" i="13"/>
  <c r="C92" i="13"/>
  <c r="C90" i="13"/>
  <c r="C89" i="13"/>
  <c r="C87" i="13"/>
  <c r="C86" i="13"/>
  <c r="C84" i="13"/>
  <c r="C83" i="13"/>
  <c r="C81" i="13"/>
  <c r="C80" i="13"/>
  <c r="C79" i="13"/>
  <c r="C78" i="13"/>
  <c r="C76" i="13"/>
  <c r="C75" i="13"/>
  <c r="C74" i="13"/>
  <c r="C73" i="13"/>
  <c r="C72" i="13"/>
  <c r="C71" i="13"/>
  <c r="C69" i="13"/>
  <c r="C68" i="13"/>
  <c r="C66" i="13"/>
  <c r="C65" i="13"/>
  <c r="C64" i="13"/>
  <c r="C62" i="13"/>
  <c r="C61" i="13"/>
  <c r="C60" i="13"/>
  <c r="C58" i="13"/>
  <c r="C57" i="13"/>
  <c r="C55" i="13"/>
  <c r="C53" i="13"/>
  <c r="C52" i="13"/>
  <c r="C51" i="13"/>
  <c r="C49" i="13"/>
  <c r="C48" i="13"/>
  <c r="C46" i="13"/>
  <c r="C45" i="13"/>
  <c r="C44" i="13"/>
  <c r="C43" i="13"/>
  <c r="C41" i="13"/>
  <c r="C40" i="13"/>
  <c r="C39" i="13"/>
  <c r="C38" i="13"/>
  <c r="C36" i="13"/>
  <c r="C35" i="13"/>
  <c r="C34" i="13"/>
  <c r="C32" i="13"/>
  <c r="C30" i="13"/>
  <c r="C29" i="13"/>
  <c r="C28" i="13"/>
  <c r="C26" i="13"/>
  <c r="C24" i="13"/>
  <c r="C22" i="13"/>
  <c r="C21" i="13"/>
  <c r="C20" i="13"/>
  <c r="C18" i="13"/>
  <c r="C17" i="13"/>
  <c r="C16" i="13"/>
  <c r="C14" i="13"/>
  <c r="C13" i="13"/>
  <c r="C12" i="13"/>
  <c r="C10" i="13"/>
  <c r="C9" i="13"/>
  <c r="C8" i="13"/>
  <c r="C6" i="13"/>
  <c r="C5" i="13"/>
  <c r="C4" i="13"/>
  <c r="I3" i="13"/>
  <c r="K167" i="13"/>
  <c r="F3" i="13"/>
  <c r="H167" i="13"/>
  <c r="C3" i="13"/>
  <c r="E167" i="13"/>
  <c r="K165" i="13"/>
  <c r="H165" i="13"/>
  <c r="E165" i="13"/>
  <c r="K163" i="13"/>
  <c r="H163" i="13"/>
  <c r="E163" i="13"/>
  <c r="K161" i="13"/>
  <c r="H161" i="13"/>
  <c r="E161" i="13"/>
  <c r="K159" i="13"/>
  <c r="H159" i="13"/>
  <c r="E159" i="13"/>
  <c r="K156" i="13"/>
  <c r="J156" i="13"/>
  <c r="H156" i="13"/>
  <c r="G156" i="13"/>
  <c r="E156" i="13"/>
  <c r="D156" i="13"/>
  <c r="K154" i="13"/>
  <c r="J154" i="13"/>
  <c r="H154" i="13"/>
  <c r="G154" i="13"/>
  <c r="E154" i="13"/>
  <c r="D154" i="13"/>
  <c r="K152" i="13"/>
  <c r="J152" i="13"/>
  <c r="H152" i="13"/>
  <c r="G152" i="13"/>
  <c r="E152" i="13"/>
  <c r="D152" i="13"/>
  <c r="K150" i="13"/>
  <c r="J150" i="13"/>
  <c r="H150" i="13"/>
  <c r="G150" i="13"/>
  <c r="E150" i="13"/>
  <c r="D150" i="13"/>
  <c r="K148" i="13"/>
  <c r="J148" i="13"/>
  <c r="H148" i="13"/>
  <c r="G148" i="13"/>
  <c r="E148" i="13"/>
  <c r="D148" i="13"/>
  <c r="K146" i="13"/>
  <c r="J146" i="13"/>
  <c r="H146" i="13"/>
  <c r="G146" i="13"/>
  <c r="E146" i="13"/>
  <c r="D146" i="13"/>
  <c r="K145" i="13"/>
  <c r="J145" i="13"/>
  <c r="H145" i="13"/>
  <c r="G145" i="13"/>
  <c r="E145" i="13"/>
  <c r="D145" i="13"/>
  <c r="K144" i="13"/>
  <c r="J144" i="13"/>
  <c r="H144" i="13"/>
  <c r="G144" i="13"/>
  <c r="E144" i="13"/>
  <c r="D144" i="13"/>
  <c r="K143" i="13"/>
  <c r="J143" i="13"/>
  <c r="H143" i="13"/>
  <c r="G143" i="13"/>
  <c r="E143" i="13"/>
  <c r="D143" i="13"/>
  <c r="K142" i="13"/>
  <c r="J142" i="13"/>
  <c r="H142" i="13"/>
  <c r="G142" i="13"/>
  <c r="E142" i="13"/>
  <c r="D142" i="13"/>
  <c r="K140" i="13"/>
  <c r="H140" i="13"/>
  <c r="E140" i="13"/>
  <c r="K139" i="13"/>
  <c r="H139" i="13"/>
  <c r="E139" i="13"/>
  <c r="K138" i="13"/>
  <c r="H138" i="13"/>
  <c r="E138" i="13"/>
  <c r="K137" i="13"/>
  <c r="H137" i="13"/>
  <c r="E137" i="13"/>
  <c r="K136" i="13"/>
  <c r="H136" i="13"/>
  <c r="E136" i="13"/>
  <c r="K134" i="13"/>
  <c r="J134" i="13"/>
  <c r="H134" i="13"/>
  <c r="G134" i="13"/>
  <c r="E134" i="13"/>
  <c r="D134" i="13"/>
  <c r="K129" i="13"/>
  <c r="J129" i="13"/>
  <c r="H129" i="13"/>
  <c r="G129" i="13"/>
  <c r="E129" i="13"/>
  <c r="D129" i="13"/>
  <c r="K124" i="13"/>
  <c r="J124" i="13"/>
  <c r="H124" i="13"/>
  <c r="G124" i="13"/>
  <c r="E124" i="13"/>
  <c r="D124" i="13"/>
  <c r="K119" i="13"/>
  <c r="J119" i="13"/>
  <c r="H119" i="13"/>
  <c r="G119" i="13"/>
  <c r="E119" i="13"/>
  <c r="D119" i="13"/>
  <c r="K114" i="13"/>
  <c r="J114" i="13"/>
  <c r="H114" i="13"/>
  <c r="G114" i="13"/>
  <c r="E114" i="13"/>
  <c r="D114" i="13"/>
  <c r="K113" i="13"/>
  <c r="H113" i="13"/>
  <c r="E113" i="13"/>
  <c r="K112" i="13"/>
  <c r="H112" i="13"/>
  <c r="E112" i="13"/>
  <c r="K111" i="13"/>
  <c r="H111" i="13"/>
  <c r="E111" i="13"/>
  <c r="K109" i="13"/>
  <c r="H109" i="13"/>
  <c r="E109" i="13"/>
  <c r="K108" i="13"/>
  <c r="H108" i="13"/>
  <c r="E108" i="13"/>
  <c r="K106" i="13"/>
  <c r="H106" i="13"/>
  <c r="E106" i="13"/>
  <c r="K105" i="13"/>
  <c r="H105" i="13"/>
  <c r="E105" i="13"/>
  <c r="K103" i="13"/>
  <c r="H103" i="13"/>
  <c r="E103" i="13"/>
  <c r="K102" i="13"/>
  <c r="H102" i="13"/>
  <c r="E102" i="13"/>
  <c r="K101" i="13"/>
  <c r="H101" i="13"/>
  <c r="E101" i="13"/>
  <c r="K100" i="13"/>
  <c r="H100" i="13"/>
  <c r="E100" i="13"/>
  <c r="K98" i="13"/>
  <c r="H98" i="13"/>
  <c r="E98" i="13"/>
  <c r="K97" i="13"/>
  <c r="H97" i="13"/>
  <c r="E97" i="13"/>
  <c r="K96" i="13"/>
  <c r="H96" i="13"/>
  <c r="E96" i="13"/>
  <c r="K95" i="13"/>
  <c r="H95" i="13"/>
  <c r="E95" i="13"/>
  <c r="K93" i="13"/>
  <c r="H93" i="13"/>
  <c r="E93" i="13"/>
  <c r="K92" i="13"/>
  <c r="H92" i="13"/>
  <c r="E92" i="13"/>
  <c r="K90" i="13"/>
  <c r="J90" i="13"/>
  <c r="H90" i="13"/>
  <c r="G90" i="13"/>
  <c r="E90" i="13"/>
  <c r="D90" i="13"/>
  <c r="K89" i="13"/>
  <c r="J89" i="13"/>
  <c r="H89" i="13"/>
  <c r="G89" i="13"/>
  <c r="E89" i="13"/>
  <c r="D89" i="13"/>
  <c r="K87" i="13"/>
  <c r="J87" i="13"/>
  <c r="H87" i="13"/>
  <c r="G87" i="13"/>
  <c r="E87" i="13"/>
  <c r="D87" i="13"/>
  <c r="K86" i="13"/>
  <c r="J86" i="13"/>
  <c r="H86" i="13"/>
  <c r="G86" i="13"/>
  <c r="E86" i="13"/>
  <c r="D86" i="13"/>
  <c r="K84" i="13"/>
  <c r="J84" i="13"/>
  <c r="H84" i="13"/>
  <c r="G84" i="13"/>
  <c r="E84" i="13"/>
  <c r="D84" i="13"/>
  <c r="K83" i="13"/>
  <c r="J83" i="13"/>
  <c r="H83" i="13"/>
  <c r="G83" i="13"/>
  <c r="E83" i="13"/>
  <c r="D83" i="13"/>
  <c r="K81" i="13"/>
  <c r="J81" i="13"/>
  <c r="H81" i="13"/>
  <c r="G81" i="13"/>
  <c r="E81" i="13"/>
  <c r="D81" i="13"/>
  <c r="K80" i="13"/>
  <c r="J80" i="13"/>
  <c r="H80" i="13"/>
  <c r="G80" i="13"/>
  <c r="E80" i="13"/>
  <c r="D80" i="13"/>
  <c r="K79" i="13"/>
  <c r="J79" i="13"/>
  <c r="H79" i="13"/>
  <c r="G79" i="13"/>
  <c r="E79" i="13"/>
  <c r="D79" i="13"/>
  <c r="K78" i="13"/>
  <c r="J78" i="13"/>
  <c r="H78" i="13"/>
  <c r="G78" i="13"/>
  <c r="E78" i="13"/>
  <c r="D78" i="13"/>
  <c r="K76" i="13"/>
  <c r="J76" i="13"/>
  <c r="H76" i="13"/>
  <c r="G76" i="13"/>
  <c r="E76" i="13"/>
  <c r="D76" i="13"/>
  <c r="K75" i="13"/>
  <c r="J75" i="13"/>
  <c r="H75" i="13"/>
  <c r="G75" i="13"/>
  <c r="E75" i="13"/>
  <c r="D75" i="13"/>
  <c r="K74" i="13"/>
  <c r="J74" i="13"/>
  <c r="H74" i="13"/>
  <c r="G74" i="13"/>
  <c r="E74" i="13"/>
  <c r="D74" i="13"/>
  <c r="K73" i="13"/>
  <c r="J73" i="13"/>
  <c r="H73" i="13"/>
  <c r="G73" i="13"/>
  <c r="E73" i="13"/>
  <c r="D73" i="13"/>
  <c r="K72" i="13"/>
  <c r="J72" i="13"/>
  <c r="H72" i="13"/>
  <c r="G72" i="13"/>
  <c r="E72" i="13"/>
  <c r="D72" i="13"/>
  <c r="K71" i="13"/>
  <c r="J71" i="13"/>
  <c r="H71" i="13"/>
  <c r="G71" i="13"/>
  <c r="E71" i="13"/>
  <c r="D71" i="13"/>
  <c r="K69" i="13"/>
  <c r="J69" i="13"/>
  <c r="H69" i="13"/>
  <c r="G69" i="13"/>
  <c r="E69" i="13"/>
  <c r="D69" i="13"/>
  <c r="K68" i="13"/>
  <c r="J68" i="13"/>
  <c r="H68" i="13"/>
  <c r="G68" i="13"/>
  <c r="E68" i="13"/>
  <c r="D68" i="13"/>
  <c r="K66" i="13"/>
  <c r="H66" i="13"/>
  <c r="E66" i="13"/>
  <c r="K65" i="13"/>
  <c r="H65" i="13"/>
  <c r="E65" i="13"/>
  <c r="K64" i="13"/>
  <c r="H64" i="13"/>
  <c r="E64" i="13"/>
  <c r="K62" i="13"/>
  <c r="H62" i="13"/>
  <c r="E62" i="13"/>
  <c r="K61" i="13"/>
  <c r="H61" i="13"/>
  <c r="E61" i="13"/>
  <c r="K60" i="13"/>
  <c r="H60" i="13"/>
  <c r="E60" i="13"/>
  <c r="K58" i="13"/>
  <c r="H58" i="13"/>
  <c r="E58" i="13"/>
  <c r="K57" i="13"/>
  <c r="H57" i="13"/>
  <c r="E57" i="13"/>
  <c r="K55" i="13"/>
  <c r="H55" i="13"/>
  <c r="E55" i="13"/>
  <c r="K53" i="13"/>
  <c r="J53" i="13"/>
  <c r="H53" i="13"/>
  <c r="G53" i="13"/>
  <c r="E53" i="13"/>
  <c r="D53" i="13"/>
  <c r="K52" i="13"/>
  <c r="J52" i="13"/>
  <c r="H52" i="13"/>
  <c r="G52" i="13"/>
  <c r="E52" i="13"/>
  <c r="D52" i="13"/>
  <c r="K51" i="13"/>
  <c r="J51" i="13"/>
  <c r="H51" i="13"/>
  <c r="G51" i="13"/>
  <c r="E51" i="13"/>
  <c r="D51" i="13"/>
  <c r="K49" i="13"/>
  <c r="J49" i="13"/>
  <c r="H49" i="13"/>
  <c r="G49" i="13"/>
  <c r="E49" i="13"/>
  <c r="D49" i="13"/>
  <c r="K48" i="13"/>
  <c r="J48" i="13"/>
  <c r="H48" i="13"/>
  <c r="G48" i="13"/>
  <c r="E48" i="13"/>
  <c r="D48" i="13"/>
  <c r="K46" i="13"/>
  <c r="J46" i="13"/>
  <c r="H46" i="13"/>
  <c r="G46" i="13"/>
  <c r="E46" i="13"/>
  <c r="D46" i="13"/>
  <c r="K45" i="13"/>
  <c r="J45" i="13"/>
  <c r="H45" i="13"/>
  <c r="G45" i="13"/>
  <c r="E45" i="13"/>
  <c r="D45" i="13"/>
  <c r="K44" i="13"/>
  <c r="J44" i="13"/>
  <c r="H44" i="13"/>
  <c r="G44" i="13"/>
  <c r="E44" i="13"/>
  <c r="D44" i="13"/>
  <c r="K43" i="13"/>
  <c r="J43" i="13"/>
  <c r="H43" i="13"/>
  <c r="G43" i="13"/>
  <c r="E43" i="13"/>
  <c r="D43" i="13"/>
  <c r="K41" i="13"/>
  <c r="J41" i="13"/>
  <c r="H41" i="13"/>
  <c r="G41" i="13"/>
  <c r="E41" i="13"/>
  <c r="D41" i="13"/>
  <c r="K40" i="13"/>
  <c r="J40" i="13"/>
  <c r="H40" i="13"/>
  <c r="G40" i="13"/>
  <c r="E40" i="13"/>
  <c r="D40" i="13"/>
  <c r="K39" i="13"/>
  <c r="J39" i="13"/>
  <c r="H39" i="13"/>
  <c r="G39" i="13"/>
  <c r="E39" i="13"/>
  <c r="D39" i="13"/>
  <c r="K38" i="13"/>
  <c r="J38" i="13"/>
  <c r="H38" i="13"/>
  <c r="G38" i="13"/>
  <c r="E38" i="13"/>
  <c r="D38" i="13"/>
  <c r="K36" i="13"/>
  <c r="H36" i="13"/>
  <c r="E36" i="13"/>
  <c r="K35" i="13"/>
  <c r="H35" i="13"/>
  <c r="E35" i="13"/>
  <c r="K34" i="13"/>
  <c r="H34" i="13"/>
  <c r="E34" i="13"/>
  <c r="K32" i="13"/>
  <c r="H32" i="13"/>
  <c r="E32" i="13"/>
  <c r="K30" i="13"/>
  <c r="H30" i="13"/>
  <c r="E30" i="13"/>
  <c r="K29" i="13"/>
  <c r="H29" i="13"/>
  <c r="E29" i="13"/>
  <c r="K28" i="13"/>
  <c r="H28" i="13"/>
  <c r="E28" i="13"/>
  <c r="K26" i="13"/>
  <c r="J26" i="13"/>
  <c r="H26" i="13"/>
  <c r="G26" i="13"/>
  <c r="E26" i="13"/>
  <c r="D26" i="13"/>
  <c r="K24" i="13"/>
  <c r="J24" i="13"/>
  <c r="H24" i="13"/>
  <c r="G24" i="13"/>
  <c r="E24" i="13"/>
  <c r="D24" i="13"/>
  <c r="K22" i="13"/>
  <c r="J22" i="13"/>
  <c r="H22" i="13"/>
  <c r="G22" i="13"/>
  <c r="E22" i="13"/>
  <c r="D22" i="13"/>
  <c r="K21" i="13"/>
  <c r="J21" i="13"/>
  <c r="H21" i="13"/>
  <c r="G21" i="13"/>
  <c r="E21" i="13"/>
  <c r="D21" i="13"/>
  <c r="K20" i="13"/>
  <c r="J20" i="13"/>
  <c r="H20" i="13"/>
  <c r="G20" i="13"/>
  <c r="E20" i="13"/>
  <c r="D20" i="13"/>
  <c r="K18" i="13"/>
  <c r="J18" i="13"/>
  <c r="H18" i="13"/>
  <c r="G18" i="13"/>
  <c r="E18" i="13"/>
  <c r="D18" i="13"/>
  <c r="K17" i="13"/>
  <c r="J17" i="13"/>
  <c r="H17" i="13"/>
  <c r="G17" i="13"/>
  <c r="E17" i="13"/>
  <c r="D17" i="13"/>
  <c r="K16" i="13"/>
  <c r="J16" i="13"/>
  <c r="H16" i="13"/>
  <c r="G16" i="13"/>
  <c r="E16" i="13"/>
  <c r="D16" i="13"/>
  <c r="K13" i="13"/>
  <c r="J13" i="13"/>
  <c r="H13" i="13"/>
  <c r="G13" i="13"/>
  <c r="E13" i="13"/>
  <c r="D13" i="13"/>
  <c r="K12" i="13"/>
  <c r="J12" i="13"/>
  <c r="H12" i="13"/>
  <c r="G12" i="13"/>
  <c r="E12" i="13"/>
  <c r="D12" i="13"/>
  <c r="K10" i="13"/>
  <c r="J10" i="13"/>
  <c r="H10" i="13"/>
  <c r="G10" i="13"/>
  <c r="E10" i="13"/>
  <c r="D10" i="13"/>
  <c r="K9" i="13"/>
  <c r="J9" i="13"/>
  <c r="H9" i="13"/>
  <c r="G9" i="13"/>
  <c r="E9" i="13"/>
  <c r="D9" i="13"/>
  <c r="K8" i="13"/>
  <c r="J8" i="13"/>
  <c r="H8" i="13"/>
  <c r="G8" i="13"/>
  <c r="E8" i="13"/>
  <c r="D8" i="13"/>
  <c r="J6" i="13"/>
  <c r="G6" i="13"/>
  <c r="D6" i="13"/>
  <c r="K5" i="13"/>
  <c r="J5" i="13"/>
  <c r="H5" i="13"/>
  <c r="G5" i="13"/>
  <c r="E5" i="13"/>
  <c r="D5" i="13"/>
  <c r="K4" i="13"/>
  <c r="J4" i="13"/>
  <c r="H4" i="13"/>
  <c r="G4" i="13"/>
  <c r="E4" i="13"/>
  <c r="D4" i="13"/>
  <c r="K3" i="13"/>
  <c r="J3" i="13"/>
  <c r="H3" i="13"/>
  <c r="G3" i="13"/>
  <c r="E3" i="13"/>
  <c r="D3" i="13"/>
  <c r="C133" i="9"/>
  <c r="C132" i="9"/>
  <c r="C128" i="9"/>
  <c r="C127" i="9"/>
  <c r="C123" i="9"/>
  <c r="C122" i="9"/>
  <c r="C117" i="9"/>
  <c r="C112" i="9"/>
  <c r="C118" i="9"/>
  <c r="C113" i="9"/>
  <c r="I3" i="9"/>
  <c r="K167" i="9"/>
  <c r="K165" i="9"/>
  <c r="K163" i="9"/>
  <c r="K161" i="9"/>
  <c r="K159" i="9"/>
  <c r="K156" i="9"/>
  <c r="J156" i="9"/>
  <c r="K154" i="9"/>
  <c r="J154" i="9"/>
  <c r="K152" i="9"/>
  <c r="J152" i="9"/>
  <c r="K150" i="9"/>
  <c r="J150" i="9"/>
  <c r="K148" i="9"/>
  <c r="J148" i="9"/>
  <c r="K146" i="9"/>
  <c r="J146" i="9"/>
  <c r="K145" i="9"/>
  <c r="J145" i="9"/>
  <c r="K144" i="9"/>
  <c r="J144" i="9"/>
  <c r="K143" i="9"/>
  <c r="J143" i="9"/>
  <c r="K142" i="9"/>
  <c r="J142" i="9"/>
  <c r="K140" i="9"/>
  <c r="K139" i="9"/>
  <c r="K138" i="9"/>
  <c r="K137" i="9"/>
  <c r="K136" i="9"/>
  <c r="K134" i="9"/>
  <c r="J134" i="9"/>
  <c r="K129" i="9"/>
  <c r="J129" i="9"/>
  <c r="K124" i="9"/>
  <c r="J124" i="9"/>
  <c r="K119" i="9"/>
  <c r="J119" i="9"/>
  <c r="K114" i="9"/>
  <c r="J114" i="9"/>
  <c r="K113" i="9"/>
  <c r="K112" i="9"/>
  <c r="K111" i="9"/>
  <c r="K109" i="9"/>
  <c r="K108" i="9"/>
  <c r="K106" i="9"/>
  <c r="K105" i="9"/>
  <c r="K103" i="9"/>
  <c r="K102" i="9"/>
  <c r="K101" i="9"/>
  <c r="K100" i="9"/>
  <c r="K98" i="9"/>
  <c r="K97" i="9"/>
  <c r="K96" i="9"/>
  <c r="K95" i="9"/>
  <c r="K93" i="9"/>
  <c r="K92" i="9"/>
  <c r="K90" i="9"/>
  <c r="J90" i="9"/>
  <c r="K89" i="9"/>
  <c r="J89" i="9"/>
  <c r="K87" i="9"/>
  <c r="J87" i="9"/>
  <c r="K86" i="9"/>
  <c r="J86" i="9"/>
  <c r="K84" i="9"/>
  <c r="J84" i="9"/>
  <c r="K83" i="9"/>
  <c r="J83" i="9"/>
  <c r="K81" i="9"/>
  <c r="J81" i="9"/>
  <c r="K80" i="9"/>
  <c r="J80" i="9"/>
  <c r="K79" i="9"/>
  <c r="J79" i="9"/>
  <c r="K78" i="9"/>
  <c r="J78" i="9"/>
  <c r="K76" i="9"/>
  <c r="J76" i="9"/>
  <c r="K75" i="9"/>
  <c r="J75" i="9"/>
  <c r="K74" i="9"/>
  <c r="J74" i="9"/>
  <c r="K73" i="9"/>
  <c r="J73" i="9"/>
  <c r="K72" i="9"/>
  <c r="J72" i="9"/>
  <c r="K71" i="9"/>
  <c r="J71" i="9"/>
  <c r="K69" i="9"/>
  <c r="J69" i="9"/>
  <c r="K68" i="9"/>
  <c r="J68" i="9"/>
  <c r="K66" i="9"/>
  <c r="K65" i="9"/>
  <c r="K64" i="9"/>
  <c r="K62" i="9"/>
  <c r="K61" i="9"/>
  <c r="K60" i="9"/>
  <c r="K58" i="9"/>
  <c r="K57" i="9"/>
  <c r="K55" i="9"/>
  <c r="K53" i="9"/>
  <c r="J53" i="9"/>
  <c r="K52" i="9"/>
  <c r="J52" i="9"/>
  <c r="K51" i="9"/>
  <c r="J51" i="9"/>
  <c r="K49" i="9"/>
  <c r="J49" i="9"/>
  <c r="K48" i="9"/>
  <c r="J48" i="9"/>
  <c r="K46" i="9"/>
  <c r="J46" i="9"/>
  <c r="K45" i="9"/>
  <c r="J45" i="9"/>
  <c r="K44" i="9"/>
  <c r="J44" i="9"/>
  <c r="K43" i="9"/>
  <c r="J43" i="9"/>
  <c r="K41" i="9"/>
  <c r="J41" i="9"/>
  <c r="K40" i="9"/>
  <c r="J40" i="9"/>
  <c r="K39" i="9"/>
  <c r="J39" i="9"/>
  <c r="K38" i="9"/>
  <c r="J38" i="9"/>
  <c r="K36" i="9"/>
  <c r="K35" i="9"/>
  <c r="K34" i="9"/>
  <c r="K32" i="9"/>
  <c r="K30" i="9"/>
  <c r="K29" i="9"/>
  <c r="K28" i="9"/>
  <c r="K26" i="9"/>
  <c r="J26" i="9"/>
  <c r="K24" i="9"/>
  <c r="J24" i="9"/>
  <c r="K22" i="9"/>
  <c r="J22" i="9"/>
  <c r="K21" i="9"/>
  <c r="J21" i="9"/>
  <c r="K20" i="9"/>
  <c r="J20" i="9"/>
  <c r="K18" i="9"/>
  <c r="J18" i="9"/>
  <c r="K17" i="9"/>
  <c r="J17" i="9"/>
  <c r="K16" i="9"/>
  <c r="J16" i="9"/>
  <c r="K13" i="9"/>
  <c r="J13" i="9"/>
  <c r="K12" i="9"/>
  <c r="J12" i="9"/>
  <c r="K10" i="9"/>
  <c r="J10" i="9"/>
  <c r="K9" i="9"/>
  <c r="J9" i="9"/>
  <c r="K8" i="9"/>
  <c r="J8" i="9"/>
  <c r="J6" i="9"/>
  <c r="K5" i="9"/>
  <c r="J5" i="9"/>
  <c r="K4" i="9"/>
  <c r="J4" i="9"/>
  <c r="K3" i="9"/>
  <c r="J3" i="9"/>
  <c r="C2" i="9"/>
  <c r="F3" i="9"/>
  <c r="H167" i="9"/>
  <c r="H165" i="9"/>
  <c r="H163" i="9"/>
  <c r="H161" i="9"/>
  <c r="H159" i="9"/>
  <c r="H156" i="9"/>
  <c r="G156" i="9"/>
  <c r="H154" i="9"/>
  <c r="G154" i="9"/>
  <c r="H152" i="9"/>
  <c r="G152" i="9"/>
  <c r="H150" i="9"/>
  <c r="G150" i="9"/>
  <c r="H148" i="9"/>
  <c r="G148" i="9"/>
  <c r="H146" i="9"/>
  <c r="G146" i="9"/>
  <c r="H145" i="9"/>
  <c r="G145" i="9"/>
  <c r="H144" i="9"/>
  <c r="G144" i="9"/>
  <c r="H143" i="9"/>
  <c r="G143" i="9"/>
  <c r="H142" i="9"/>
  <c r="G142" i="9"/>
  <c r="H140" i="9"/>
  <c r="H139" i="9"/>
  <c r="H138" i="9"/>
  <c r="H137" i="9"/>
  <c r="H136" i="9"/>
  <c r="H134" i="9"/>
  <c r="G134" i="9"/>
  <c r="H129" i="9"/>
  <c r="G129" i="9"/>
  <c r="H124" i="9"/>
  <c r="G124" i="9"/>
  <c r="H119" i="9"/>
  <c r="G119" i="9"/>
  <c r="H114" i="9"/>
  <c r="G114" i="9"/>
  <c r="H113" i="9"/>
  <c r="H112" i="9"/>
  <c r="H111" i="9"/>
  <c r="H109" i="9"/>
  <c r="H108" i="9"/>
  <c r="H106" i="9"/>
  <c r="H105" i="9"/>
  <c r="H103" i="9"/>
  <c r="H102" i="9"/>
  <c r="H101" i="9"/>
  <c r="H100" i="9"/>
  <c r="H98" i="9"/>
  <c r="H97" i="9"/>
  <c r="H96" i="9"/>
  <c r="H95" i="9"/>
  <c r="H93" i="9"/>
  <c r="H92" i="9"/>
  <c r="H90" i="9"/>
  <c r="G90" i="9"/>
  <c r="H89" i="9"/>
  <c r="G89" i="9"/>
  <c r="H87" i="9"/>
  <c r="G87" i="9"/>
  <c r="H86" i="9"/>
  <c r="G86" i="9"/>
  <c r="H84" i="9"/>
  <c r="G84" i="9"/>
  <c r="H83" i="9"/>
  <c r="G83" i="9"/>
  <c r="H81" i="9"/>
  <c r="G81" i="9"/>
  <c r="H80" i="9"/>
  <c r="G80" i="9"/>
  <c r="H79" i="9"/>
  <c r="G79" i="9"/>
  <c r="H78" i="9"/>
  <c r="G78" i="9"/>
  <c r="H76" i="9"/>
  <c r="G76" i="9"/>
  <c r="H75" i="9"/>
  <c r="G75" i="9"/>
  <c r="H74" i="9"/>
  <c r="G74" i="9"/>
  <c r="H73" i="9"/>
  <c r="G73" i="9"/>
  <c r="H72" i="9"/>
  <c r="G72" i="9"/>
  <c r="H71" i="9"/>
  <c r="G71" i="9"/>
  <c r="H69" i="9"/>
  <c r="G69" i="9"/>
  <c r="H68" i="9"/>
  <c r="G68" i="9"/>
  <c r="H66" i="9"/>
  <c r="H65" i="9"/>
  <c r="H64" i="9"/>
  <c r="H62" i="9"/>
  <c r="H61" i="9"/>
  <c r="H60" i="9"/>
  <c r="H58" i="9"/>
  <c r="H57" i="9"/>
  <c r="H55" i="9"/>
  <c r="H53" i="9"/>
  <c r="G53" i="9"/>
  <c r="H52" i="9"/>
  <c r="G52" i="9"/>
  <c r="H51" i="9"/>
  <c r="G51" i="9"/>
  <c r="H49" i="9"/>
  <c r="G49" i="9"/>
  <c r="H48" i="9"/>
  <c r="G48" i="9"/>
  <c r="H46" i="9"/>
  <c r="G46" i="9"/>
  <c r="H45" i="9"/>
  <c r="G45" i="9"/>
  <c r="H44" i="9"/>
  <c r="G44" i="9"/>
  <c r="H43" i="9"/>
  <c r="G43" i="9"/>
  <c r="H41" i="9"/>
  <c r="G41" i="9"/>
  <c r="H40" i="9"/>
  <c r="G40" i="9"/>
  <c r="H39" i="9"/>
  <c r="G39" i="9"/>
  <c r="H38" i="9"/>
  <c r="G38" i="9"/>
  <c r="H36" i="9"/>
  <c r="H35" i="9"/>
  <c r="H34" i="9"/>
  <c r="H32" i="9"/>
  <c r="H30" i="9"/>
  <c r="H29" i="9"/>
  <c r="H28" i="9"/>
  <c r="H26" i="9"/>
  <c r="G26" i="9"/>
  <c r="H24" i="9"/>
  <c r="G24" i="9"/>
  <c r="H22" i="9"/>
  <c r="G22" i="9"/>
  <c r="H21" i="9"/>
  <c r="G21" i="9"/>
  <c r="H20" i="9"/>
  <c r="G20" i="9"/>
  <c r="H18" i="9"/>
  <c r="G18" i="9"/>
  <c r="H17" i="9"/>
  <c r="G17" i="9"/>
  <c r="H16" i="9"/>
  <c r="G16" i="9"/>
  <c r="H13" i="9"/>
  <c r="G13" i="9"/>
  <c r="H12" i="9"/>
  <c r="G12" i="9"/>
  <c r="H10" i="9"/>
  <c r="G10" i="9"/>
  <c r="H9" i="9"/>
  <c r="G9" i="9"/>
  <c r="H8" i="9"/>
  <c r="G8" i="9"/>
  <c r="G6" i="9"/>
  <c r="H5" i="9"/>
  <c r="G5" i="9"/>
  <c r="H4" i="9"/>
  <c r="G4" i="9"/>
  <c r="H3" i="9"/>
  <c r="G3" i="9"/>
  <c r="C157" i="9"/>
  <c r="C156" i="9"/>
  <c r="C155" i="9"/>
  <c r="C154" i="9"/>
  <c r="C153" i="9"/>
  <c r="C152" i="9"/>
  <c r="C149" i="9"/>
  <c r="C148" i="9"/>
  <c r="C140" i="9"/>
  <c r="C139" i="9"/>
  <c r="C138" i="9"/>
  <c r="C137" i="9"/>
  <c r="C136" i="9"/>
  <c r="C134" i="9"/>
  <c r="C129" i="9"/>
  <c r="C124" i="9"/>
  <c r="C119" i="9"/>
  <c r="C114" i="9"/>
  <c r="C96" i="9"/>
  <c r="D114" i="9"/>
  <c r="C109" i="9"/>
  <c r="C108" i="9"/>
  <c r="C106" i="9"/>
  <c r="C105" i="9"/>
  <c r="C103" i="9"/>
  <c r="C102" i="9"/>
  <c r="C101" i="9"/>
  <c r="C100" i="9"/>
  <c r="C98" i="9"/>
  <c r="C97" i="9"/>
  <c r="C95" i="9"/>
  <c r="C93" i="9"/>
  <c r="C92" i="9"/>
  <c r="C90" i="9"/>
  <c r="C89" i="9"/>
  <c r="C87" i="9"/>
  <c r="C86" i="9"/>
  <c r="C84" i="9"/>
  <c r="C83" i="9"/>
  <c r="C81" i="9"/>
  <c r="C80" i="9"/>
  <c r="C79" i="9"/>
  <c r="C78" i="9"/>
  <c r="C76" i="9"/>
  <c r="C75" i="9"/>
  <c r="C74" i="9"/>
  <c r="C73" i="9"/>
  <c r="C72" i="9"/>
  <c r="C71" i="9"/>
  <c r="C69" i="9"/>
  <c r="C68" i="9"/>
  <c r="C66" i="9"/>
  <c r="C65" i="9"/>
  <c r="C64" i="9"/>
  <c r="C62" i="9"/>
  <c r="C61" i="9"/>
  <c r="C60" i="9"/>
  <c r="C58" i="9"/>
  <c r="C57" i="9"/>
  <c r="C49" i="9"/>
  <c r="C55" i="9"/>
  <c r="C53" i="9"/>
  <c r="C52" i="9"/>
  <c r="C51" i="9"/>
  <c r="C48" i="9"/>
  <c r="C46" i="9"/>
  <c r="C45" i="9"/>
  <c r="C44" i="9"/>
  <c r="C43" i="9"/>
  <c r="C41" i="9"/>
  <c r="C40" i="9"/>
  <c r="C39" i="9"/>
  <c r="C38" i="9"/>
  <c r="C36" i="9"/>
  <c r="C35" i="9"/>
  <c r="C34" i="9"/>
  <c r="C32" i="9"/>
  <c r="C30" i="9"/>
  <c r="C29" i="9"/>
  <c r="C28" i="9"/>
  <c r="C26" i="9"/>
  <c r="C24" i="9"/>
  <c r="C22" i="9"/>
  <c r="C21" i="9"/>
  <c r="C20" i="9"/>
  <c r="C18" i="9"/>
  <c r="C17" i="9"/>
  <c r="C16" i="9"/>
  <c r="C14" i="9"/>
  <c r="C13" i="9"/>
  <c r="C12" i="9"/>
  <c r="C10" i="9"/>
  <c r="C9" i="9"/>
  <c r="C8" i="9"/>
  <c r="C6" i="9"/>
  <c r="C5" i="9"/>
  <c r="C4" i="9"/>
  <c r="C3" i="9"/>
  <c r="E167" i="9"/>
  <c r="E165" i="9"/>
  <c r="E163" i="9"/>
  <c r="E161" i="9"/>
  <c r="E159" i="9"/>
  <c r="E156" i="9"/>
  <c r="D156" i="9"/>
  <c r="E154" i="9"/>
  <c r="D154" i="9"/>
  <c r="E152" i="9"/>
  <c r="D152" i="9"/>
  <c r="E150" i="9"/>
  <c r="D150" i="9"/>
  <c r="E148" i="9"/>
  <c r="D148" i="9"/>
  <c r="E146" i="9"/>
  <c r="D146" i="9"/>
  <c r="E145" i="9"/>
  <c r="D145" i="9"/>
  <c r="E144" i="9"/>
  <c r="D144" i="9"/>
  <c r="E143" i="9"/>
  <c r="D143" i="9"/>
  <c r="E142" i="9"/>
  <c r="D142" i="9"/>
  <c r="E140" i="9"/>
  <c r="E139" i="9"/>
  <c r="E138" i="9"/>
  <c r="E137" i="9"/>
  <c r="E136" i="9"/>
  <c r="E134" i="9"/>
  <c r="D134" i="9"/>
  <c r="E129" i="9"/>
  <c r="D129" i="9"/>
  <c r="E124" i="9"/>
  <c r="D124" i="9"/>
  <c r="E119" i="9"/>
  <c r="D119" i="9"/>
  <c r="E114" i="9"/>
  <c r="E113" i="9"/>
  <c r="E112" i="9"/>
  <c r="E111" i="9"/>
  <c r="E109" i="9"/>
  <c r="E108" i="9"/>
  <c r="E106" i="9"/>
  <c r="E105" i="9"/>
  <c r="E103" i="9"/>
  <c r="E102" i="9"/>
  <c r="E101" i="9"/>
  <c r="E100" i="9"/>
  <c r="E98" i="9"/>
  <c r="E97" i="9"/>
  <c r="E96" i="9"/>
  <c r="E95" i="9"/>
  <c r="E93" i="9"/>
  <c r="E92" i="9"/>
  <c r="E90" i="9"/>
  <c r="D90" i="9"/>
  <c r="E89" i="9"/>
  <c r="D89" i="9"/>
  <c r="E87" i="9"/>
  <c r="D87" i="9"/>
  <c r="E86" i="9"/>
  <c r="D86" i="9"/>
  <c r="E84" i="9"/>
  <c r="D84" i="9"/>
  <c r="E83" i="9"/>
  <c r="D83" i="9"/>
  <c r="E81" i="9"/>
  <c r="D81" i="9"/>
  <c r="E80" i="9"/>
  <c r="D80" i="9"/>
  <c r="E79" i="9"/>
  <c r="D79" i="9"/>
  <c r="E78" i="9"/>
  <c r="D78" i="9"/>
  <c r="E76" i="9"/>
  <c r="D76" i="9"/>
  <c r="E75" i="9"/>
  <c r="D75" i="9"/>
  <c r="E74" i="9"/>
  <c r="D74" i="9"/>
  <c r="E73" i="9"/>
  <c r="D73" i="9"/>
  <c r="E72" i="9"/>
  <c r="D72" i="9"/>
  <c r="E71" i="9"/>
  <c r="D71" i="9"/>
  <c r="E69" i="9"/>
  <c r="D69" i="9"/>
  <c r="E68" i="9"/>
  <c r="D68" i="9"/>
  <c r="E66" i="9"/>
  <c r="E65" i="9"/>
  <c r="E64" i="9"/>
  <c r="E62" i="9"/>
  <c r="E61" i="9"/>
  <c r="E60" i="9"/>
  <c r="E58" i="9"/>
  <c r="E57" i="9"/>
  <c r="E55" i="9"/>
  <c r="E53" i="9"/>
  <c r="D53" i="9"/>
  <c r="E52" i="9"/>
  <c r="D52" i="9"/>
  <c r="E51" i="9"/>
  <c r="D51" i="9"/>
  <c r="E49" i="9"/>
  <c r="D49" i="9"/>
  <c r="E48" i="9"/>
  <c r="D48" i="9"/>
  <c r="E46" i="9"/>
  <c r="D46" i="9"/>
  <c r="E45" i="9"/>
  <c r="D45" i="9"/>
  <c r="E44" i="9"/>
  <c r="D44" i="9"/>
  <c r="E43" i="9"/>
  <c r="D43" i="9"/>
  <c r="E41" i="9"/>
  <c r="D41" i="9"/>
  <c r="E40" i="9"/>
  <c r="D40" i="9"/>
  <c r="E39" i="9"/>
  <c r="D39" i="9"/>
  <c r="E38" i="9"/>
  <c r="D38" i="9"/>
  <c r="E36" i="9"/>
  <c r="E35" i="9"/>
  <c r="E34" i="9"/>
  <c r="E32" i="9"/>
  <c r="E30" i="9"/>
  <c r="E29" i="9"/>
  <c r="E28" i="9"/>
  <c r="E26" i="9"/>
  <c r="D26" i="9"/>
  <c r="E24" i="9"/>
  <c r="D24" i="9"/>
  <c r="E22" i="9"/>
  <c r="D22" i="9"/>
  <c r="E21" i="9"/>
  <c r="D21" i="9"/>
  <c r="E20" i="9"/>
  <c r="D20" i="9"/>
  <c r="E18" i="9"/>
  <c r="D18" i="9"/>
  <c r="E17" i="9"/>
  <c r="D17" i="9"/>
  <c r="E16" i="9"/>
  <c r="D16" i="9"/>
  <c r="E13" i="9"/>
  <c r="D13" i="9"/>
  <c r="E12" i="9"/>
  <c r="D12" i="9"/>
  <c r="E10" i="9"/>
  <c r="D10" i="9"/>
  <c r="E9" i="9"/>
  <c r="D9" i="9"/>
  <c r="E8" i="9"/>
  <c r="D8" i="9"/>
  <c r="D6" i="9"/>
  <c r="E5" i="9"/>
  <c r="D5" i="9"/>
  <c r="E4" i="9"/>
  <c r="D4" i="9"/>
  <c r="E3" i="9"/>
  <c r="D3" i="9"/>
</calcChain>
</file>

<file path=xl/sharedStrings.xml><?xml version="1.0" encoding="utf-8"?>
<sst xmlns="http://schemas.openxmlformats.org/spreadsheetml/2006/main" count="863" uniqueCount="178">
  <si>
    <t>FILTER</t>
  </si>
  <si>
    <t>FILTER_0</t>
  </si>
  <si>
    <t>minQ</t>
  </si>
  <si>
    <t>SITES</t>
  </si>
  <si>
    <t>CONTIGS</t>
  </si>
  <si>
    <t>INDV</t>
  </si>
  <si>
    <t>RAW</t>
  </si>
  <si>
    <t>geno</t>
  </si>
  <si>
    <t>mac</t>
  </si>
  <si>
    <t>missInd</t>
  </si>
  <si>
    <t>FILTER_1</t>
  </si>
  <si>
    <t>%filtered</t>
  </si>
  <si>
    <t>%remain</t>
  </si>
  <si>
    <t>FILTER_2</t>
  </si>
  <si>
    <t>AB</t>
  </si>
  <si>
    <t>ForRev</t>
  </si>
  <si>
    <t>Paired</t>
  </si>
  <si>
    <t>FILTER_3a</t>
  </si>
  <si>
    <t>minD*</t>
  </si>
  <si>
    <t>0.5**</t>
  </si>
  <si>
    <t>FILTER_3b</t>
  </si>
  <si>
    <t>FILTER_4</t>
  </si>
  <si>
    <t>maf</t>
  </si>
  <si>
    <t>m-minD</t>
  </si>
  <si>
    <t>FILTER_5a</t>
  </si>
  <si>
    <t>0.75**</t>
  </si>
  <si>
    <t>0.8**</t>
  </si>
  <si>
    <t>FILTER_5b</t>
  </si>
  <si>
    <t>FILTER_6</t>
  </si>
  <si>
    <t>FILTER_7a</t>
  </si>
  <si>
    <t>0.85**</t>
  </si>
  <si>
    <t>0.9**</t>
  </si>
  <si>
    <t>FILTER_7b</t>
  </si>
  <si>
    <t>FILTER_dD1</t>
  </si>
  <si>
    <t>FILTER_dD2</t>
  </si>
  <si>
    <t>FILTER_dD3</t>
  </si>
  <si>
    <t>FILTER_dD4</t>
  </si>
  <si>
    <t>FILTER_INDEL</t>
  </si>
  <si>
    <t>FILTER_Fa</t>
  </si>
  <si>
    <t>FILTER_Fb</t>
  </si>
  <si>
    <t>FILTER_F0</t>
  </si>
  <si>
    <t>DPQUAL</t>
  </si>
  <si>
    <t>max-m-D</t>
  </si>
  <si>
    <t>A</t>
  </si>
  <si>
    <t>A.1</t>
  </si>
  <si>
    <t>A.2</t>
  </si>
  <si>
    <t>B</t>
  </si>
  <si>
    <t>A.3</t>
  </si>
  <si>
    <t>B.1</t>
  </si>
  <si>
    <t>B.2</t>
  </si>
  <si>
    <t>A.1.1</t>
  </si>
  <si>
    <t>A.1.2</t>
  </si>
  <si>
    <t>A.1.3</t>
  </si>
  <si>
    <t>B.1.1</t>
  </si>
  <si>
    <t>B.1.2</t>
  </si>
  <si>
    <t>B.1.3</t>
  </si>
  <si>
    <t>A.1.1.1</t>
  </si>
  <si>
    <t>A.1.1.2</t>
  </si>
  <si>
    <t>A.1.1.1.1</t>
  </si>
  <si>
    <t>A.1.1.1.2</t>
  </si>
  <si>
    <t>A.1.1.3</t>
  </si>
  <si>
    <t>A.1.1.4</t>
  </si>
  <si>
    <t>B.1.3.3</t>
  </si>
  <si>
    <t>B.1.3.3.1</t>
  </si>
  <si>
    <t>OPTION</t>
  </si>
  <si>
    <t>B.3</t>
  </si>
  <si>
    <t>B.1.3.1</t>
  </si>
  <si>
    <t>B.1.3.2</t>
  </si>
  <si>
    <t>B.1.3.3.2</t>
  </si>
  <si>
    <t>B.1.3.3.3</t>
  </si>
  <si>
    <t>A.1.1.1.2.1</t>
  </si>
  <si>
    <t>A.1.1.1.2.2</t>
  </si>
  <si>
    <t>B.1.3.3.2.1</t>
  </si>
  <si>
    <t>B.1.3.3.2.2</t>
  </si>
  <si>
    <t>B.1.3.3.2.3</t>
  </si>
  <si>
    <t>B.1.3.3.3.1</t>
  </si>
  <si>
    <t>B.1.3.3.3.2</t>
  </si>
  <si>
    <t>B.1.3.3.3.3</t>
  </si>
  <si>
    <t>A.1.1.1.1.1</t>
  </si>
  <si>
    <t>A.1.1.1.1.1.1</t>
  </si>
  <si>
    <t>A.1.1.1.1.1.2</t>
  </si>
  <si>
    <t>A.1.1.1.2.2.3</t>
  </si>
  <si>
    <t>A.1.1.1.2.2.1</t>
  </si>
  <si>
    <t>A.1.1.1.2.2.2</t>
  </si>
  <si>
    <t>A.1.1.1.2.2.4</t>
  </si>
  <si>
    <t>A.1.1.1.2.2.5</t>
  </si>
  <si>
    <t>A.1.1.1.2.2.6</t>
  </si>
  <si>
    <t>B.1.3.3.2.3.2</t>
  </si>
  <si>
    <t>B.1.3.3.2.3.1</t>
  </si>
  <si>
    <t>B.1.3.3.2.3.3</t>
  </si>
  <si>
    <t>B.1.3.3.2.3.4</t>
  </si>
  <si>
    <t>A.1.1.1.2.2.3.1</t>
  </si>
  <si>
    <t>A.1.1.1.2.2.3.2</t>
  </si>
  <si>
    <t>B.1.3.3.2.3.2.1</t>
  </si>
  <si>
    <t>B.1.3.3.2.3.2.2</t>
  </si>
  <si>
    <t>B.1.3.3.2.3.4.1</t>
  </si>
  <si>
    <t>B.1.3.3.2.3.4.2</t>
  </si>
  <si>
    <t>A.1.1.1.2.2.3.1.2</t>
  </si>
  <si>
    <t>A.1.1.1.2.2.3.1.1</t>
  </si>
  <si>
    <t>B.1.3.3.2.3.2.1.2</t>
  </si>
  <si>
    <t>B.1.3.3.2.3.2.1.3</t>
  </si>
  <si>
    <t>B.1.3.3.2.3.2.1.4</t>
  </si>
  <si>
    <t>B.1.3.3.2.3.2.1.1</t>
  </si>
  <si>
    <t>B.1.3.3.2.3.2.2.2</t>
  </si>
  <si>
    <t>B.1.3.3.2.3.2.2.1</t>
  </si>
  <si>
    <t>B.1.3.3.2.3.2.2.3</t>
  </si>
  <si>
    <t>B.1.3.3.2.3.2.2.4</t>
  </si>
  <si>
    <t>B.1.3.3.2.3.4.1.2</t>
  </si>
  <si>
    <t>B.1.3.3.2.3.4.1.1</t>
  </si>
  <si>
    <t>A.2.1</t>
  </si>
  <si>
    <t>B.1.3.4</t>
  </si>
  <si>
    <t>B.1.3.3.2.3.4.2.1</t>
  </si>
  <si>
    <t>B.1.3.3.2.3.4.2.2</t>
  </si>
  <si>
    <t>0a</t>
  </si>
  <si>
    <t>B0</t>
  </si>
  <si>
    <t>A.1a</t>
  </si>
  <si>
    <t>A.2a</t>
  </si>
  <si>
    <t>A.3a</t>
  </si>
  <si>
    <t>B.1a</t>
  </si>
  <si>
    <t>B.2a</t>
  </si>
  <si>
    <t>FINAL</t>
  </si>
  <si>
    <t>*codes as missing doesn't remove sites</t>
  </si>
  <si>
    <t>0b</t>
  </si>
  <si>
    <t>SFL&gt;RAW</t>
  </si>
  <si>
    <t>SNP</t>
  </si>
  <si>
    <t>CONTIG</t>
  </si>
  <si>
    <t>A.1.1.1.2.2.3.1.2.FIL</t>
  </si>
  <si>
    <t>A.1.1.1.2.2.3.1.2.fil.vcf</t>
  </si>
  <si>
    <t>A.1.1.1.2.2.3.1.2.filAB.vcf</t>
  </si>
  <si>
    <t>A.1.1.1.2.2.3.1.2.finala.1</t>
  </si>
  <si>
    <t>A.1.1.1.2.2.3.1.2.finala.2</t>
  </si>
  <si>
    <t>A.1.1.1.2.2.3.1.2.SNP</t>
  </si>
  <si>
    <t>A.1.1.1.2.2.3.1.2.SNP.final0</t>
  </si>
  <si>
    <t>A.1.1.1.2.2.3.1.2.SNP.finalb.1</t>
  </si>
  <si>
    <t>A.1.1.1.2.2.3.1.2.SNP.finalb.2</t>
  </si>
  <si>
    <t>B.1.3.3.2.3.2.1.2.FIL</t>
  </si>
  <si>
    <t>B.1.3.3.2.3.2.1.2.fil.vcf</t>
  </si>
  <si>
    <t>B.1.3.3.2.3.2.1.2.filAB.vcf</t>
  </si>
  <si>
    <t>B.1.3.3.2.3.2.1.2.finala.1</t>
  </si>
  <si>
    <t>B.1.3.3.2.3.2.1.2.finala.2</t>
  </si>
  <si>
    <t>B.1.3.3.2.3.2.1.2.SNP</t>
  </si>
  <si>
    <t>B.1.3.3.2.3.2.1.2.SNP.final0</t>
  </si>
  <si>
    <t>B.1.3.3.2.3.2.1.2.SNP.finalb.1</t>
  </si>
  <si>
    <t>B.1.3.3.2.3.2.1.2.SNP.finalb.2</t>
  </si>
  <si>
    <t>B.1.3.3.2.3.2.2.2.FIL</t>
  </si>
  <si>
    <t>B.1.3.3.2.3.2.2.2.fil.vcf</t>
  </si>
  <si>
    <t>B.1.3.3.2.3.2.2.2.filAB.vcf</t>
  </si>
  <si>
    <t>B.1.3.3.2.3.2.2.2.finala.1</t>
  </si>
  <si>
    <t>B.1.3.3.2.3.2.2.2.finala.2</t>
  </si>
  <si>
    <t>B.1.3.3.2.3.2.2.2.SNP</t>
  </si>
  <si>
    <t>B.1.3.3.2.3.2.2.2.SNP.final0</t>
  </si>
  <si>
    <t>B.1.3.3.2.3.2.2.2.SNP.finalb.1</t>
  </si>
  <si>
    <t>B.1.3.3.2.3.2.2.2.SNP.finalb.2</t>
  </si>
  <si>
    <t>B.1.3.3.2.3.4.1.2.FIL</t>
  </si>
  <si>
    <t>B.1.3.3.2.3.4.1.2.fil.vcf</t>
  </si>
  <si>
    <t>B.1.3.3.2.3.4.1.2.filAB.vcf</t>
  </si>
  <si>
    <t>B.1.3.3.2.3.4.1.2.finala.1</t>
  </si>
  <si>
    <t>B.1.3.3.2.3.4.1.2.finala.2</t>
  </si>
  <si>
    <t>B.1.3.3.2.3.4.1.2.SNP</t>
  </si>
  <si>
    <t>B.1.3.3.2.3.4.1.2.SNP.final0</t>
  </si>
  <si>
    <t>B.1.3.3.2.3.4.1.2.SNP.finalb.1</t>
  </si>
  <si>
    <t>B.1.3.3.2.3.4.1.2.SNP.finalb.2</t>
  </si>
  <si>
    <t>B.1.3.3.2.3.4.2.1.FIL</t>
  </si>
  <si>
    <t>B.1.3.3.2.3.4.2.1.fil.vcf</t>
  </si>
  <si>
    <t>B.1.3.3.2.3.4.2.1.filAB.vcf</t>
  </si>
  <si>
    <t>B.1.3.3.2.3.4.2.1.finala.1</t>
  </si>
  <si>
    <t>B.1.3.3.2.3.4.2.1.finala.2</t>
  </si>
  <si>
    <t>B.1.3.3.2.3.4.2.1.SNP</t>
  </si>
  <si>
    <t>B.1.3.3.2.3.4.2.1.SNP.final0</t>
  </si>
  <si>
    <t>B.1.3.3.2.3.4.2.1.SNP.finalb.1</t>
  </si>
  <si>
    <t>B.1.3.3.2.3.4.2.1.SNP.finalb.2</t>
  </si>
  <si>
    <t>Final</t>
  </si>
  <si>
    <t>raw.vcf</t>
  </si>
  <si>
    <t>SFL.F0</t>
  </si>
  <si>
    <t>SFL.F0a</t>
  </si>
  <si>
    <t>SFL.F0b</t>
  </si>
  <si>
    <t>SFL.prim.vcf</t>
  </si>
  <si>
    <t>TotalRawSNPs.vcf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</si>
</sst>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1" xfId="0" applyFont="1" applyBorder="1"/>
    <xf numFmtId="2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/>
    <xf numFmtId="2" fontId="0" fillId="0" borderId="0" xfId="0" applyNumberFormat="1" applyFont="1" applyFill="1" applyBorder="1" applyAlignment="1">
      <alignment horizontal="left"/>
    </xf>
    <xf numFmtId="2" fontId="0" fillId="0" borderId="1" xfId="0" applyNumberFormat="1" applyFont="1" applyFill="1" applyBorder="1" applyAlignment="1">
      <alignment horizontal="left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3" borderId="1" xfId="0" applyFont="1" applyFill="1" applyBorder="1"/>
    <xf numFmtId="0" fontId="0" fillId="4" borderId="1" xfId="0" applyFont="1" applyFill="1" applyBorder="1"/>
    <xf numFmtId="2" fontId="0" fillId="0" borderId="0" xfId="0" applyNumberFormat="1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2" borderId="0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1" fillId="0" borderId="0" xfId="0" applyFont="1" applyBorder="1"/>
    <xf numFmtId="2" fontId="0" fillId="3" borderId="0" xfId="0" applyNumberFormat="1" applyFont="1" applyFill="1" applyBorder="1" applyAlignment="1">
      <alignment horizontal="left"/>
    </xf>
    <xf numFmtId="2" fontId="0" fillId="3" borderId="1" xfId="0" applyNumberFormat="1" applyFont="1" applyFill="1" applyBorder="1" applyAlignment="1">
      <alignment horizontal="left"/>
    </xf>
    <xf numFmtId="0" fontId="0" fillId="0" borderId="0" xfId="0" applyFont="1" applyFill="1" applyBorder="1"/>
    <xf numFmtId="2" fontId="0" fillId="2" borderId="0" xfId="0" applyNumberFormat="1" applyFont="1" applyFill="1" applyBorder="1" applyAlignment="1">
      <alignment horizontal="left"/>
    </xf>
    <xf numFmtId="2" fontId="0" fillId="2" borderId="1" xfId="0" applyNumberFormat="1" applyFont="1" applyFill="1" applyBorder="1" applyAlignment="1">
      <alignment horizontal="left"/>
    </xf>
    <xf numFmtId="2" fontId="0" fillId="4" borderId="0" xfId="0" applyNumberFormat="1" applyFont="1" applyFill="1" applyBorder="1" applyAlignment="1">
      <alignment horizontal="left"/>
    </xf>
    <xf numFmtId="2" fontId="0" fillId="4" borderId="1" xfId="0" applyNumberFormat="1" applyFont="1" applyFill="1" applyBorder="1" applyAlignment="1">
      <alignment horizontal="left"/>
    </xf>
    <xf numFmtId="0" fontId="0" fillId="5" borderId="1" xfId="0" applyFont="1" applyFill="1" applyBorder="1"/>
    <xf numFmtId="0" fontId="0" fillId="5" borderId="0" xfId="0" applyFont="1" applyFill="1" applyBorder="1" applyAlignment="1">
      <alignment horizontal="left"/>
    </xf>
    <xf numFmtId="2" fontId="0" fillId="5" borderId="0" xfId="0" applyNumberFormat="1" applyFont="1" applyFill="1" applyBorder="1" applyAlignment="1">
      <alignment horizontal="left"/>
    </xf>
    <xf numFmtId="2" fontId="0" fillId="5" borderId="1" xfId="0" applyNumberFormat="1" applyFont="1" applyFill="1" applyBorder="1" applyAlignment="1">
      <alignment horizontal="left"/>
    </xf>
    <xf numFmtId="0" fontId="0" fillId="6" borderId="1" xfId="0" applyFont="1" applyFill="1" applyBorder="1"/>
    <xf numFmtId="0" fontId="0" fillId="6" borderId="0" xfId="0" applyFont="1" applyFill="1" applyBorder="1" applyAlignment="1">
      <alignment horizontal="left"/>
    </xf>
    <xf numFmtId="2" fontId="0" fillId="6" borderId="0" xfId="0" applyNumberFormat="1" applyFont="1" applyFill="1" applyBorder="1" applyAlignment="1">
      <alignment horizontal="left"/>
    </xf>
    <xf numFmtId="2" fontId="0" fillId="6" borderId="1" xfId="0" applyNumberFormat="1" applyFont="1" applyFill="1" applyBorder="1" applyAlignment="1">
      <alignment horizontal="left"/>
    </xf>
    <xf numFmtId="0" fontId="0" fillId="7" borderId="1" xfId="0" applyFont="1" applyFill="1" applyBorder="1"/>
    <xf numFmtId="0" fontId="0" fillId="7" borderId="0" xfId="0" applyFont="1" applyFill="1" applyBorder="1" applyAlignment="1">
      <alignment horizontal="left"/>
    </xf>
    <xf numFmtId="2" fontId="0" fillId="7" borderId="0" xfId="0" applyNumberFormat="1" applyFont="1" applyFill="1" applyBorder="1" applyAlignment="1">
      <alignment horizontal="left"/>
    </xf>
    <xf numFmtId="2" fontId="0" fillId="7" borderId="1" xfId="0" applyNumberFormat="1" applyFont="1" applyFill="1" applyBorder="1" applyAlignment="1">
      <alignment horizontal="left"/>
    </xf>
    <xf numFmtId="0" fontId="0" fillId="7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8" borderId="1" xfId="0" applyFont="1" applyFill="1" applyBorder="1"/>
    <xf numFmtId="0" fontId="0" fillId="8" borderId="0" xfId="0" applyFont="1" applyFill="1" applyBorder="1" applyAlignment="1">
      <alignment horizontal="left"/>
    </xf>
    <xf numFmtId="2" fontId="0" fillId="8" borderId="0" xfId="0" applyNumberFormat="1" applyFont="1" applyFill="1" applyBorder="1" applyAlignment="1">
      <alignment horizontal="left"/>
    </xf>
    <xf numFmtId="2" fontId="0" fillId="8" borderId="1" xfId="0" applyNumberFormat="1" applyFont="1" applyFill="1" applyBorder="1" applyAlignment="1">
      <alignment horizontal="left"/>
    </xf>
    <xf numFmtId="0" fontId="0" fillId="8" borderId="1" xfId="0" applyFont="1" applyFill="1" applyBorder="1" applyAlignment="1">
      <alignment horizontal="left"/>
    </xf>
    <xf numFmtId="0" fontId="0" fillId="9" borderId="1" xfId="0" applyFont="1" applyFill="1" applyBorder="1"/>
    <xf numFmtId="0" fontId="0" fillId="9" borderId="0" xfId="0" applyFont="1" applyFill="1" applyBorder="1" applyAlignment="1">
      <alignment horizontal="left"/>
    </xf>
    <xf numFmtId="2" fontId="0" fillId="9" borderId="0" xfId="0" applyNumberFormat="1" applyFont="1" applyFill="1" applyBorder="1" applyAlignment="1">
      <alignment horizontal="left"/>
    </xf>
    <xf numFmtId="2" fontId="0" fillId="9" borderId="1" xfId="0" applyNumberFormat="1" applyFont="1" applyFill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0" fontId="0" fillId="0" borderId="0" xfId="0" applyFont="1" applyBorder="1"/>
    <xf numFmtId="0" fontId="0" fillId="10" borderId="1" xfId="0" applyFont="1" applyFill="1" applyBorder="1"/>
    <xf numFmtId="0" fontId="0" fillId="10" borderId="0" xfId="0" applyFont="1" applyFill="1" applyBorder="1" applyAlignment="1">
      <alignment horizontal="left"/>
    </xf>
    <xf numFmtId="2" fontId="0" fillId="10" borderId="0" xfId="0" applyNumberFormat="1" applyFont="1" applyFill="1" applyBorder="1" applyAlignment="1">
      <alignment horizontal="left"/>
    </xf>
    <xf numFmtId="2" fontId="0" fillId="10" borderId="1" xfId="0" applyNumberFormat="1" applyFont="1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8" borderId="0" xfId="0" applyFont="1" applyFill="1" applyBorder="1"/>
    <xf numFmtId="0" fontId="2" fillId="0" borderId="1" xfId="0" applyFont="1" applyFill="1" applyBorder="1"/>
    <xf numFmtId="2" fontId="2" fillId="0" borderId="0" xfId="0" applyNumberFormat="1" applyFont="1" applyFill="1" applyBorder="1" applyAlignment="1">
      <alignment horizontal="left"/>
    </xf>
    <xf numFmtId="2" fontId="2" fillId="0" borderId="1" xfId="0" applyNumberFormat="1" applyFont="1" applyFill="1" applyBorder="1" applyAlignment="1">
      <alignment horizontal="left"/>
    </xf>
    <xf numFmtId="0" fontId="2" fillId="10" borderId="1" xfId="0" applyFont="1" applyFill="1" applyBorder="1"/>
    <xf numFmtId="0" fontId="2" fillId="10" borderId="0" xfId="0" applyFont="1" applyFill="1" applyBorder="1" applyAlignment="1">
      <alignment horizontal="left"/>
    </xf>
    <xf numFmtId="2" fontId="2" fillId="10" borderId="0" xfId="0" applyNumberFormat="1" applyFont="1" applyFill="1" applyBorder="1" applyAlignment="1">
      <alignment horizontal="left"/>
    </xf>
    <xf numFmtId="2" fontId="2" fillId="10" borderId="1" xfId="0" applyNumberFormat="1" applyFont="1" applyFill="1" applyBorder="1" applyAlignment="1">
      <alignment horizontal="left"/>
    </xf>
    <xf numFmtId="0" fontId="0" fillId="10" borderId="0" xfId="0" applyFont="1" applyFill="1" applyBorder="1"/>
    <xf numFmtId="0" fontId="1" fillId="0" borderId="0" xfId="0" applyFont="1" applyBorder="1" applyAlignment="1">
      <alignment horizontal="left"/>
    </xf>
    <xf numFmtId="2" fontId="1" fillId="0" borderId="0" xfId="0" applyNumberFormat="1" applyFont="1" applyBorder="1" applyAlignment="1">
      <alignment horizontal="left"/>
    </xf>
    <xf numFmtId="0" fontId="3" fillId="10" borderId="0" xfId="0" applyFont="1" applyFill="1" applyBorder="1"/>
    <xf numFmtId="0" fontId="3" fillId="10" borderId="0" xfId="0" applyFont="1" applyFill="1" applyBorder="1" applyAlignment="1">
      <alignment horizontal="left"/>
    </xf>
    <xf numFmtId="2" fontId="3" fillId="10" borderId="0" xfId="0" applyNumberFormat="1" applyFont="1" applyFill="1" applyBorder="1" applyAlignment="1">
      <alignment horizontal="left"/>
    </xf>
    <xf numFmtId="0" fontId="2" fillId="0" borderId="0" xfId="0" applyFont="1" applyFill="1" applyBorder="1"/>
    <xf numFmtId="0" fontId="2" fillId="10" borderId="0" xfId="0" applyFont="1" applyFill="1" applyBorder="1"/>
    <xf numFmtId="0" fontId="0" fillId="3" borderId="0" xfId="0" applyFont="1" applyFill="1" applyBorder="1"/>
    <xf numFmtId="0" fontId="0" fillId="5" borderId="0" xfId="0" applyFont="1" applyFill="1" applyBorder="1"/>
    <xf numFmtId="0" fontId="0" fillId="6" borderId="0" xfId="0" applyFont="1" applyFill="1" applyBorder="1"/>
    <xf numFmtId="0" fontId="0" fillId="2" borderId="0" xfId="0" applyFont="1" applyFill="1" applyBorder="1"/>
    <xf numFmtId="0" fontId="0" fillId="4" borderId="0" xfId="0" applyFont="1" applyFill="1" applyBorder="1"/>
    <xf numFmtId="0" fontId="0" fillId="7" borderId="0" xfId="0" applyFont="1" applyFill="1" applyBorder="1"/>
    <xf numFmtId="0" fontId="0" fillId="9" borderId="0" xfId="0" applyFont="1" applyFill="1" applyBorder="1"/>
    <xf numFmtId="0" fontId="0" fillId="11" borderId="0" xfId="0" applyFont="1" applyFill="1" applyBorder="1"/>
    <xf numFmtId="0" fontId="0" fillId="11" borderId="0" xfId="0" applyFont="1" applyFill="1" applyBorder="1" applyAlignment="1">
      <alignment horizontal="left"/>
    </xf>
    <xf numFmtId="2" fontId="0" fillId="11" borderId="0" xfId="0" applyNumberFormat="1" applyFont="1" applyFill="1" applyBorder="1" applyAlignment="1">
      <alignment horizontal="left"/>
    </xf>
    <xf numFmtId="0" fontId="1" fillId="0" borderId="1" xfId="0" applyFont="1" applyBorder="1"/>
    <xf numFmtId="0" fontId="3" fillId="10" borderId="1" xfId="0" applyFont="1" applyFill="1" applyBorder="1"/>
    <xf numFmtId="0" fontId="0" fillId="11" borderId="1" xfId="0" applyFont="1" applyFill="1" applyBorder="1"/>
    <xf numFmtId="2" fontId="1" fillId="0" borderId="1" xfId="0" applyNumberFormat="1" applyFont="1" applyBorder="1" applyAlignment="1">
      <alignment horizontal="left"/>
    </xf>
    <xf numFmtId="2" fontId="3" fillId="10" borderId="1" xfId="0" applyNumberFormat="1" applyFont="1" applyFill="1" applyBorder="1" applyAlignment="1">
      <alignment horizontal="left"/>
    </xf>
    <xf numFmtId="2" fontId="0" fillId="11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0" fontId="1" fillId="0" borderId="1" xfId="0" applyFont="1" applyFill="1" applyBorder="1"/>
    <xf numFmtId="0" fontId="2" fillId="3" borderId="0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8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9" borderId="0" xfId="0" applyFont="1" applyFill="1" applyBorder="1" applyAlignment="1">
      <alignment horizontal="left"/>
    </xf>
    <xf numFmtId="0" fontId="4" fillId="10" borderId="0" xfId="0" applyFont="1" applyFill="1" applyBorder="1"/>
    <xf numFmtId="0" fontId="4" fillId="10" borderId="1" xfId="0" applyFont="1" applyFill="1" applyBorder="1"/>
    <xf numFmtId="0" fontId="5" fillId="3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/>
    </xf>
    <xf numFmtId="0" fontId="5" fillId="6" borderId="0" xfId="0" applyFont="1" applyFill="1" applyBorder="1" applyAlignment="1">
      <alignment horizontal="left"/>
    </xf>
    <xf numFmtId="0" fontId="5" fillId="4" borderId="0" xfId="0" applyFont="1" applyFill="1" applyBorder="1" applyAlignment="1">
      <alignment horizontal="left"/>
    </xf>
    <xf numFmtId="0" fontId="5" fillId="11" borderId="0" xfId="0" applyFont="1" applyFill="1" applyBorder="1" applyAlignment="1">
      <alignment horizontal="left"/>
    </xf>
    <xf numFmtId="0" fontId="2" fillId="11" borderId="0" xfId="0" applyFont="1" applyFill="1" applyBorder="1"/>
    <xf numFmtId="0" fontId="2" fillId="11" borderId="1" xfId="0" applyFont="1" applyFill="1" applyBorder="1"/>
    <xf numFmtId="0" fontId="2" fillId="11" borderId="0" xfId="0" applyFont="1" applyFill="1" applyBorder="1" applyAlignment="1">
      <alignment horizontal="left"/>
    </xf>
    <xf numFmtId="2" fontId="2" fillId="11" borderId="0" xfId="0" applyNumberFormat="1" applyFont="1" applyFill="1" applyBorder="1" applyAlignment="1">
      <alignment horizontal="left"/>
    </xf>
    <xf numFmtId="2" fontId="2" fillId="11" borderId="1" xfId="0" applyNumberFormat="1" applyFont="1" applyFill="1" applyBorder="1" applyAlignment="1">
      <alignment horizontal="left"/>
    </xf>
    <xf numFmtId="0" fontId="5" fillId="10" borderId="0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11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7" borderId="0" xfId="0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9" borderId="0" xfId="0" applyFont="1" applyFill="1" applyBorder="1" applyAlignment="1">
      <alignment horizontal="left"/>
    </xf>
    <xf numFmtId="0" fontId="5" fillId="8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0" fillId="12" borderId="0" xfId="0" applyFont="1" applyFill="1" applyBorder="1"/>
    <xf numFmtId="0" fontId="0" fillId="12" borderId="1" xfId="0" applyFont="1" applyFill="1" applyBorder="1"/>
    <xf numFmtId="0" fontId="1" fillId="12" borderId="0" xfId="0" applyFont="1" applyFill="1" applyBorder="1" applyAlignment="1">
      <alignment horizontal="left"/>
    </xf>
    <xf numFmtId="2" fontId="0" fillId="12" borderId="0" xfId="0" applyNumberFormat="1" applyFont="1" applyFill="1" applyBorder="1" applyAlignment="1">
      <alignment horizontal="left"/>
    </xf>
    <xf numFmtId="2" fontId="0" fillId="12" borderId="1" xfId="0" applyNumberFormat="1" applyFont="1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2" fillId="12" borderId="0" xfId="0" applyFont="1" applyFill="1" applyBorder="1" applyAlignment="1">
      <alignment horizontal="left"/>
    </xf>
    <xf numFmtId="0" fontId="5" fillId="12" borderId="0" xfId="0" applyFont="1" applyFill="1" applyBorder="1" applyAlignment="1">
      <alignment horizontal="left"/>
    </xf>
    <xf numFmtId="0" fontId="0" fillId="12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11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1"/>
  <sheetViews>
    <sheetView zoomScale="80" zoomScaleNormal="80" workbookViewId="0">
      <pane ySplit="1" topLeftCell="A119" activePane="bottomLeft" state="frozen"/>
      <selection pane="bottomLeft" activeCell="B164" sqref="B164"/>
    </sheetView>
  </sheetViews>
  <sheetFormatPr defaultRowHeight="15" x14ac:dyDescent="0.25"/>
  <cols>
    <col min="1" max="1" width="13.28515625" style="53" customWidth="1"/>
    <col min="2" max="2" width="17.5703125" style="53" customWidth="1"/>
    <col min="3" max="3" width="11.5703125" style="15" customWidth="1"/>
    <col min="4" max="5" width="11.5703125" style="14" customWidth="1"/>
    <col min="6" max="6" width="11.5703125" style="15" customWidth="1"/>
    <col min="7" max="8" width="11.5703125" style="14" customWidth="1"/>
    <col min="9" max="9" width="11.5703125" style="15" customWidth="1"/>
    <col min="10" max="11" width="11.5703125" style="14" customWidth="1"/>
    <col min="12" max="13" width="6.28515625" style="15" customWidth="1"/>
    <col min="14" max="14" width="5" style="15" customWidth="1"/>
    <col min="15" max="15" width="6.28515625" style="15" customWidth="1"/>
    <col min="16" max="16" width="7.7109375" style="15" customWidth="1"/>
    <col min="17" max="17" width="6.85546875" style="15" customWidth="1"/>
    <col min="18" max="18" width="9.140625" style="15" customWidth="1"/>
    <col min="19" max="19" width="4.85546875" style="53" customWidth="1"/>
    <col min="20" max="20" width="7.7109375" style="53" customWidth="1"/>
    <col min="21" max="21" width="9.140625" style="53"/>
    <col min="22" max="22" width="8.85546875" style="53" customWidth="1"/>
    <col min="23" max="16384" width="9.140625" style="53"/>
  </cols>
  <sheetData>
    <row r="1" spans="1:23" x14ac:dyDescent="0.25">
      <c r="A1" s="21" t="s">
        <v>0</v>
      </c>
      <c r="B1" s="85" t="s">
        <v>64</v>
      </c>
      <c r="C1" s="68" t="s">
        <v>3</v>
      </c>
      <c r="D1" s="69" t="s">
        <v>11</v>
      </c>
      <c r="E1" s="88" t="s">
        <v>12</v>
      </c>
      <c r="F1" s="68" t="s">
        <v>4</v>
      </c>
      <c r="G1" s="69" t="s">
        <v>11</v>
      </c>
      <c r="H1" s="88" t="s">
        <v>12</v>
      </c>
      <c r="I1" s="68" t="s">
        <v>5</v>
      </c>
      <c r="J1" s="69" t="s">
        <v>11</v>
      </c>
      <c r="K1" s="88" t="s">
        <v>12</v>
      </c>
      <c r="L1" s="68" t="s">
        <v>2</v>
      </c>
      <c r="M1" s="68" t="s">
        <v>7</v>
      </c>
      <c r="N1" s="68" t="s">
        <v>8</v>
      </c>
      <c r="O1" s="68" t="s">
        <v>18</v>
      </c>
      <c r="P1" s="68" t="s">
        <v>9</v>
      </c>
      <c r="Q1" s="68" t="s">
        <v>22</v>
      </c>
      <c r="R1" s="91" t="s">
        <v>23</v>
      </c>
      <c r="S1" s="1" t="s">
        <v>14</v>
      </c>
      <c r="T1" s="1" t="s">
        <v>15</v>
      </c>
      <c r="U1" s="1" t="s">
        <v>16</v>
      </c>
      <c r="V1" s="1" t="s">
        <v>41</v>
      </c>
      <c r="W1" s="94" t="s">
        <v>42</v>
      </c>
    </row>
    <row r="2" spans="1:23" x14ac:dyDescent="0.25">
      <c r="A2" s="21" t="s">
        <v>6</v>
      </c>
      <c r="B2" s="85"/>
      <c r="C2" s="68">
        <f ca="1">LOOKUP("TotalRawSNPs.vcf",FamA_Final_Filter!A2:A128,FamA_Final_Filter!B2:B127)</f>
        <v>179012</v>
      </c>
      <c r="D2" s="69"/>
      <c r="E2" s="88"/>
      <c r="F2" s="68">
        <f>LOOKUP("TotalRawSNPs.vcf",FamA_Final_Filter!$A$2:$A$127,FamA_Final_Filter!$C$2:$C$127)</f>
        <v>4396</v>
      </c>
      <c r="G2" s="69"/>
      <c r="H2" s="88"/>
      <c r="I2" s="68">
        <f>LOOKUP("TotalRawSNPs.vcf",FamA_Final_Filter!$A$2:$A$127,FamA_Final_Filter!$D$2:$D$127)</f>
        <v>183</v>
      </c>
      <c r="J2" s="69"/>
      <c r="K2" s="88"/>
      <c r="L2" s="68"/>
      <c r="M2" s="68"/>
      <c r="N2" s="68"/>
      <c r="O2" s="68"/>
      <c r="P2" s="68"/>
      <c r="Q2" s="68"/>
      <c r="R2" s="91"/>
      <c r="S2" s="1"/>
      <c r="T2" s="1"/>
      <c r="U2" s="1"/>
      <c r="V2" s="1"/>
      <c r="W2" s="94"/>
    </row>
    <row r="3" spans="1:23" s="24" customFormat="1" x14ac:dyDescent="0.25">
      <c r="A3" s="70" t="s">
        <v>123</v>
      </c>
      <c r="B3" s="86"/>
      <c r="C3" s="71">
        <f ca="1">C2</f>
        <v>179012</v>
      </c>
      <c r="D3" s="72">
        <f ca="1">1-C3/C3</f>
        <v>0</v>
      </c>
      <c r="E3" s="89">
        <f ca="1">C3/C3</f>
        <v>1</v>
      </c>
      <c r="F3" s="71">
        <f>F2</f>
        <v>4396</v>
      </c>
      <c r="G3" s="72">
        <f>1-F3/F3</f>
        <v>0</v>
      </c>
      <c r="H3" s="89">
        <f>F3/F3</f>
        <v>1</v>
      </c>
      <c r="I3" s="71">
        <f>I2</f>
        <v>183</v>
      </c>
      <c r="J3" s="72">
        <f>1-I3/I3</f>
        <v>0</v>
      </c>
      <c r="K3" s="89">
        <f>I3/I3</f>
        <v>1</v>
      </c>
      <c r="L3" s="71"/>
      <c r="M3" s="71"/>
      <c r="N3" s="71"/>
      <c r="O3" s="71"/>
      <c r="P3" s="71"/>
      <c r="Q3" s="71"/>
      <c r="R3" s="92"/>
      <c r="S3" s="70"/>
      <c r="T3" s="70"/>
      <c r="U3" s="70"/>
      <c r="V3" s="70"/>
      <c r="W3" s="86"/>
    </row>
    <row r="4" spans="1:23" s="24" customFormat="1" x14ac:dyDescent="0.25">
      <c r="A4" s="75" t="s">
        <v>1</v>
      </c>
      <c r="B4" s="18">
        <v>0</v>
      </c>
      <c r="C4" s="68">
        <f>LOOKUP("SFL.F0",FamA_Final_Filter!$A$2:$A$127,FamA_Final_Filter!$B$2:$B$127)</f>
        <v>142052</v>
      </c>
      <c r="D4" s="22">
        <f ca="1">1-C4/C3</f>
        <v>0.20646660559068664</v>
      </c>
      <c r="E4" s="23">
        <f ca="1">C4/C3</f>
        <v>0.79353339440931336</v>
      </c>
      <c r="F4" s="68">
        <f>LOOKUP("SFL.F0",FamA_Final_Filter!$A$2:$A$127,FamA_Final_Filter!$C$2:$C$127)</f>
        <v>37304</v>
      </c>
      <c r="G4" s="22">
        <f>1-F4/F3</f>
        <v>-7.4858962693357594</v>
      </c>
      <c r="H4" s="23">
        <f>F4/F3</f>
        <v>8.4858962693357594</v>
      </c>
      <c r="I4" s="68">
        <f>LOOKUP("SFL.F0",FamA_Final_Filter!$A$2:$A$127,FamA_Final_Filter!$D$2:$D$127)</f>
        <v>185</v>
      </c>
      <c r="J4" s="22">
        <f>1-I4/I3</f>
        <v>-1.0928961748633892E-2</v>
      </c>
      <c r="K4" s="23">
        <f>I4/I3</f>
        <v>1.0109289617486339</v>
      </c>
      <c r="L4" s="104">
        <v>20</v>
      </c>
      <c r="M4" s="2"/>
      <c r="N4" s="2"/>
      <c r="O4" s="2"/>
      <c r="P4" s="2"/>
      <c r="Q4" s="2"/>
      <c r="R4" s="11"/>
      <c r="W4" s="6"/>
    </row>
    <row r="5" spans="1:23" x14ac:dyDescent="0.25">
      <c r="A5" s="73" t="s">
        <v>1</v>
      </c>
      <c r="B5" s="60" t="s">
        <v>113</v>
      </c>
      <c r="C5" s="68">
        <f>LOOKUP("SFL.F0a",FamA_Final_Filter!$A$2:$A$127,FamA_Final_Filter!$B$2:$B$127)</f>
        <v>149975</v>
      </c>
      <c r="D5" s="61">
        <f ca="1">1-C5/C3</f>
        <v>0.16220700288248835</v>
      </c>
      <c r="E5" s="62">
        <f ca="1">C5/C3</f>
        <v>0.83779299711751165</v>
      </c>
      <c r="F5" s="68">
        <f>LOOKUP("SFL.F0a",FamA_Final_Filter!$A$2:$A$127,FamA_Final_Filter!$C$2:$C$127)</f>
        <v>38142</v>
      </c>
      <c r="G5" s="61">
        <f>1-F5/F3</f>
        <v>-7.6765241128298456</v>
      </c>
      <c r="H5" s="62">
        <f>F5/F3</f>
        <v>8.6765241128298456</v>
      </c>
      <c r="I5" s="68">
        <f>LOOKUP("SFL.F0a",FamA_Final_Filter!$A$2:$A$127,FamA_Final_Filter!$D$2:$D$127)</f>
        <v>185</v>
      </c>
      <c r="J5" s="61">
        <f>1-I5/I3</f>
        <v>-1.0928961748633892E-2</v>
      </c>
      <c r="K5" s="62">
        <f>I5/I3</f>
        <v>1.0109289617486339</v>
      </c>
      <c r="L5" s="105">
        <v>10</v>
      </c>
      <c r="R5" s="5"/>
      <c r="W5" s="3"/>
    </row>
    <row r="6" spans="1:23" x14ac:dyDescent="0.25">
      <c r="A6" s="73" t="s">
        <v>1</v>
      </c>
      <c r="B6" s="60" t="s">
        <v>122</v>
      </c>
      <c r="C6" s="68">
        <f>LOOKUP("SFL.F0b",FamA_Final_Filter!$A$2:$A$127,FamA_Final_Filter!$B$2:$B$127)</f>
        <v>145938</v>
      </c>
      <c r="D6" s="61">
        <f ca="1">1-C6/C3</f>
        <v>0.18475856367170918</v>
      </c>
      <c r="E6" s="62"/>
      <c r="F6" s="68">
        <f>LOOKUP("SFL.F0b",FamA_Final_Filter!$A$2:$A$127,FamA_Final_Filter!$C$2:$C$127)</f>
        <v>37789</v>
      </c>
      <c r="G6" s="61">
        <f>1-F6/F3</f>
        <v>-7.5962238398544137</v>
      </c>
      <c r="H6" s="62"/>
      <c r="I6" s="68">
        <f>LOOKUP("SFL.F0b",FamA_Final_Filter!$A$2:$A$127,FamA_Final_Filter!$D$2:$D$127)</f>
        <v>185</v>
      </c>
      <c r="J6" s="61">
        <f>1-I6/I3</f>
        <v>-1.0928961748633892E-2</v>
      </c>
      <c r="K6" s="62"/>
      <c r="L6" s="105">
        <v>15</v>
      </c>
      <c r="R6" s="5"/>
      <c r="W6" s="3"/>
    </row>
    <row r="7" spans="1:23" x14ac:dyDescent="0.25">
      <c r="A7" s="74"/>
      <c r="B7" s="63"/>
      <c r="C7" s="64"/>
      <c r="D7" s="65"/>
      <c r="E7" s="66"/>
      <c r="F7" s="64"/>
      <c r="G7" s="65"/>
      <c r="H7" s="66"/>
      <c r="I7" s="64"/>
      <c r="J7" s="65"/>
      <c r="K7" s="66"/>
      <c r="L7" s="64"/>
      <c r="M7" s="55"/>
      <c r="N7" s="55"/>
      <c r="O7" s="55"/>
      <c r="P7" s="55"/>
      <c r="Q7" s="55"/>
      <c r="R7" s="58"/>
      <c r="S7" s="67"/>
      <c r="T7" s="67"/>
      <c r="U7" s="67"/>
      <c r="V7" s="67"/>
      <c r="W7" s="54"/>
    </row>
    <row r="8" spans="1:23" x14ac:dyDescent="0.25">
      <c r="A8" s="75" t="s">
        <v>10</v>
      </c>
      <c r="B8" s="12" t="s">
        <v>43</v>
      </c>
      <c r="C8" s="68">
        <f>LOOKUP("A",FamA_Final_Filter!$A$2:$A$127,FamA_Final_Filter!$B$2:$B$127)</f>
        <v>83085</v>
      </c>
      <c r="D8" s="22">
        <f>1-C8/C4</f>
        <v>0.41510855179793316</v>
      </c>
      <c r="E8" s="23">
        <f ca="1">C8/C3</f>
        <v>0.46413089625276516</v>
      </c>
      <c r="F8" s="68">
        <f>LOOKUP("A",FamA_Final_Filter!$A$2:$A$127,FamA_Final_Filter!$C$2:$C$127)</f>
        <v>25030</v>
      </c>
      <c r="G8" s="22">
        <f>1-F8/F4</f>
        <v>0.32902637786832512</v>
      </c>
      <c r="H8" s="23">
        <f>F8/F3</f>
        <v>5.6938125568698821</v>
      </c>
      <c r="I8" s="68">
        <f>LOOKUP("A",FamA_Final_Filter!$A$2:$A$127,FamA_Final_Filter!$D$2:$D$127)</f>
        <v>185</v>
      </c>
      <c r="J8" s="22">
        <f>1-I8/I4</f>
        <v>0</v>
      </c>
      <c r="K8" s="23">
        <f>I8/I3</f>
        <v>1.0109289617486339</v>
      </c>
      <c r="L8" s="17">
        <v>20</v>
      </c>
      <c r="M8" s="104">
        <v>0.3</v>
      </c>
      <c r="N8" s="104">
        <v>3</v>
      </c>
      <c r="R8" s="5"/>
      <c r="W8" s="3"/>
    </row>
    <row r="9" spans="1:23" x14ac:dyDescent="0.25">
      <c r="A9" s="53" t="s">
        <v>10</v>
      </c>
      <c r="B9" s="3" t="s">
        <v>114</v>
      </c>
      <c r="C9" s="68">
        <f>LOOKUP("B0",FamA_Final_Filter!$A$2:$A$127,FamA_Final_Filter!$B$2:$B$127)</f>
        <v>64689</v>
      </c>
      <c r="D9" s="14">
        <f>1-C9/C4</f>
        <v>0.54461042435164586</v>
      </c>
      <c r="E9" s="4">
        <f ca="1">C9/C3</f>
        <v>0.36136683574285522</v>
      </c>
      <c r="F9" s="68">
        <f>LOOKUP("B0",FamA_Final_Filter!$A$2:$A$127,FamA_Final_Filter!$C$2:$C$127)</f>
        <v>19570</v>
      </c>
      <c r="G9" s="14">
        <f>1-F9/F4</f>
        <v>0.47539137894059613</v>
      </c>
      <c r="H9" s="4">
        <f>F9/F3</f>
        <v>4.4517743403093721</v>
      </c>
      <c r="I9" s="68">
        <f>LOOKUP("B0",FamA_Final_Filter!$A$2:$A$127,FamA_Final_Filter!$D$2:$D$127)</f>
        <v>185</v>
      </c>
      <c r="J9" s="14">
        <f>1-I9/I4</f>
        <v>0</v>
      </c>
      <c r="K9" s="4">
        <f>I9/I3</f>
        <v>1.0109289617486339</v>
      </c>
      <c r="L9" s="15">
        <v>20</v>
      </c>
      <c r="M9" s="106">
        <v>0.5</v>
      </c>
      <c r="N9" s="106">
        <v>5</v>
      </c>
      <c r="R9" s="5"/>
      <c r="W9" s="3"/>
    </row>
    <row r="10" spans="1:23" x14ac:dyDescent="0.25">
      <c r="A10" s="78" t="s">
        <v>10</v>
      </c>
      <c r="B10" s="9" t="s">
        <v>46</v>
      </c>
      <c r="C10" s="68">
        <f>LOOKUP("B",FamA_Final_Filter!$A$2:$A$127,FamA_Final_Filter!$B$2:$B$127)</f>
        <v>65373</v>
      </c>
      <c r="D10" s="25">
        <f>1-C10/C4</f>
        <v>0.53979528623321038</v>
      </c>
      <c r="E10" s="26">
        <f ca="1">C10/C3</f>
        <v>0.36518780863852701</v>
      </c>
      <c r="F10" s="68">
        <f>LOOKUP("B",FamA_Final_Filter!$A$2:$A$127,FamA_Final_Filter!$C$2:$C$127)</f>
        <v>19704</v>
      </c>
      <c r="G10" s="25">
        <f>1-F10/F4</f>
        <v>0.4717992708556723</v>
      </c>
      <c r="H10" s="26">
        <f>F10/F3</f>
        <v>4.4822565969062786</v>
      </c>
      <c r="I10" s="68">
        <f>LOOKUP("B",FamA_Final_Filter!$A$2:$A$127,FamA_Final_Filter!$D$2:$D$127)</f>
        <v>185</v>
      </c>
      <c r="J10" s="25">
        <f>1-I10/I4</f>
        <v>0</v>
      </c>
      <c r="K10" s="26">
        <f>I10/I3</f>
        <v>1.0109289617486339</v>
      </c>
      <c r="L10" s="16">
        <v>20</v>
      </c>
      <c r="M10" s="107">
        <v>0.5</v>
      </c>
      <c r="N10" s="107">
        <v>3</v>
      </c>
      <c r="R10" s="5"/>
      <c r="W10" s="3"/>
    </row>
    <row r="11" spans="1:23" x14ac:dyDescent="0.25">
      <c r="A11" s="67"/>
      <c r="B11" s="54"/>
      <c r="C11" s="55"/>
      <c r="D11" s="56"/>
      <c r="E11" s="57"/>
      <c r="F11" s="55"/>
      <c r="G11" s="56"/>
      <c r="H11" s="57"/>
      <c r="I11" s="55"/>
      <c r="J11" s="56"/>
      <c r="K11" s="57"/>
      <c r="L11" s="55"/>
      <c r="M11" s="55"/>
      <c r="N11" s="55"/>
      <c r="O11" s="55"/>
      <c r="P11" s="55"/>
      <c r="Q11" s="55"/>
      <c r="R11" s="58"/>
      <c r="S11" s="67"/>
      <c r="T11" s="67"/>
      <c r="U11" s="67"/>
      <c r="V11" s="67"/>
      <c r="W11" s="54"/>
    </row>
    <row r="12" spans="1:23" x14ac:dyDescent="0.25">
      <c r="A12" s="75" t="s">
        <v>13</v>
      </c>
      <c r="B12" s="12" t="s">
        <v>44</v>
      </c>
      <c r="C12" s="68">
        <f>LOOKUP("A.1",FamA_Final_Filter!$A$2:$A$127,FamA_Final_Filter!$B$2:$B$127)</f>
        <v>83085</v>
      </c>
      <c r="D12" s="22">
        <f>1-C12/C8</f>
        <v>0</v>
      </c>
      <c r="E12" s="23">
        <f ca="1">C12/C3</f>
        <v>0.46413089625276516</v>
      </c>
      <c r="F12" s="68">
        <f>LOOKUP("A.1",FamA_Final_Filter!$A$2:$A$127,FamA_Final_Filter!$C$2:$C$127)</f>
        <v>25030</v>
      </c>
      <c r="G12" s="22">
        <f>1-F12/F8</f>
        <v>0</v>
      </c>
      <c r="H12" s="23">
        <f>F12/F3</f>
        <v>5.6938125568698821</v>
      </c>
      <c r="I12" s="68">
        <f>LOOKUP("A.1",FamA_Final_Filter!$A$2:$A$127,FamA_Final_Filter!$D$2:$D$127)</f>
        <v>185</v>
      </c>
      <c r="J12" s="22">
        <f>1-I12/I8</f>
        <v>0</v>
      </c>
      <c r="K12" s="23">
        <f>I12/I3</f>
        <v>1.0109289617486339</v>
      </c>
      <c r="L12" s="17">
        <v>20</v>
      </c>
      <c r="M12" s="17">
        <v>0.3</v>
      </c>
      <c r="N12" s="17">
        <v>3</v>
      </c>
      <c r="O12" s="104">
        <v>3</v>
      </c>
      <c r="R12" s="5"/>
      <c r="W12" s="3"/>
    </row>
    <row r="13" spans="1:23" x14ac:dyDescent="0.25">
      <c r="A13" s="76" t="s">
        <v>13</v>
      </c>
      <c r="B13" s="29" t="s">
        <v>45</v>
      </c>
      <c r="C13" s="68">
        <f>LOOKUP("A.2",FamA_Final_Filter!$A$2:$A$127,FamA_Final_Filter!$B$2:$B$127)</f>
        <v>83085</v>
      </c>
      <c r="D13" s="31">
        <f>1-C13/C8</f>
        <v>0</v>
      </c>
      <c r="E13" s="32">
        <f t="shared" ref="E13" si="0">C13/C4</f>
        <v>0.58489144820206684</v>
      </c>
      <c r="F13" s="68">
        <f>LOOKUP("A.2",FamA_Final_Filter!$A$2:$A$127,FamA_Final_Filter!$C$2:$C$127)</f>
        <v>25030</v>
      </c>
      <c r="G13" s="31">
        <f>1-F13/F8</f>
        <v>0</v>
      </c>
      <c r="H13" s="32">
        <f t="shared" ref="H13" si="1">F13/F4</f>
        <v>0.67097362213167488</v>
      </c>
      <c r="I13" s="68">
        <f>LOOKUP("A.2",FamA_Final_Filter!$A$2:$A$127,FamA_Final_Filter!$D$2:$D$127)</f>
        <v>185</v>
      </c>
      <c r="J13" s="31">
        <f>1-I13/I8</f>
        <v>0</v>
      </c>
      <c r="K13" s="32">
        <f t="shared" ref="K13" si="2">I13/I4</f>
        <v>1</v>
      </c>
      <c r="L13" s="30">
        <v>20</v>
      </c>
      <c r="M13" s="30">
        <v>0.3</v>
      </c>
      <c r="N13" s="30">
        <v>3</v>
      </c>
      <c r="O13" s="108">
        <v>5</v>
      </c>
      <c r="R13" s="5"/>
      <c r="W13" s="3"/>
    </row>
    <row r="14" spans="1:23" x14ac:dyDescent="0.25">
      <c r="A14" s="77" t="s">
        <v>13</v>
      </c>
      <c r="B14" s="33" t="s">
        <v>47</v>
      </c>
      <c r="C14" s="68">
        <f>LOOKUP("A.3",FamA_Final_Filter!$A$2:$A$127,FamA_Final_Filter!$B$2:$B$127)</f>
        <v>83085</v>
      </c>
      <c r="D14" s="35"/>
      <c r="E14" s="36"/>
      <c r="F14" s="68">
        <f>LOOKUP("A.3",FamA_Final_Filter!$A$2:$A$127,FamA_Final_Filter!$C$2:$C$127)</f>
        <v>25030</v>
      </c>
      <c r="G14" s="35"/>
      <c r="H14" s="36"/>
      <c r="I14" s="68">
        <f>LOOKUP("A.3",FamA_Final_Filter!$A$2:$A$127,FamA_Final_Filter!$D$2:$D$127)</f>
        <v>185</v>
      </c>
      <c r="J14" s="35"/>
      <c r="K14" s="36"/>
      <c r="L14" s="34">
        <v>20</v>
      </c>
      <c r="M14" s="34">
        <v>0.3</v>
      </c>
      <c r="N14" s="34">
        <v>3</v>
      </c>
      <c r="O14" s="109">
        <v>10</v>
      </c>
      <c r="R14" s="5"/>
      <c r="W14" s="3"/>
    </row>
    <row r="15" spans="1:23" ht="8.25" customHeight="1" x14ac:dyDescent="0.25">
      <c r="A15" s="82"/>
      <c r="B15" s="87"/>
      <c r="C15" s="83"/>
      <c r="D15" s="84"/>
      <c r="E15" s="90"/>
      <c r="F15" s="83"/>
      <c r="G15" s="84"/>
      <c r="H15" s="90"/>
      <c r="I15" s="83"/>
      <c r="J15" s="84"/>
      <c r="K15" s="90"/>
      <c r="L15" s="83"/>
      <c r="M15" s="83"/>
      <c r="N15" s="83"/>
      <c r="O15" s="83"/>
      <c r="P15" s="83"/>
      <c r="Q15" s="83"/>
      <c r="R15" s="93"/>
      <c r="S15" s="82"/>
      <c r="T15" s="82"/>
      <c r="U15" s="82"/>
      <c r="V15" s="82"/>
      <c r="W15" s="87"/>
    </row>
    <row r="16" spans="1:23" x14ac:dyDescent="0.25">
      <c r="A16" s="78" t="s">
        <v>13</v>
      </c>
      <c r="B16" s="9" t="s">
        <v>48</v>
      </c>
      <c r="C16" s="68">
        <f>LOOKUP("B.1",FamA_Final_Filter!$A$2:$A$127,FamA_Final_Filter!$B$2:$B$127)</f>
        <v>65373</v>
      </c>
      <c r="D16" s="25">
        <f>1-C16/C10</f>
        <v>0</v>
      </c>
      <c r="E16" s="26">
        <f>C16/C5</f>
        <v>0.43589264877479578</v>
      </c>
      <c r="F16" s="68">
        <f>LOOKUP("B.1",FamA_Final_Filter!$A$2:$A$127,FamA_Final_Filter!$C$2:$C$127)</f>
        <v>19704</v>
      </c>
      <c r="G16" s="25">
        <f>1-F16/F10</f>
        <v>0</v>
      </c>
      <c r="H16" s="26">
        <f>F16/F5</f>
        <v>0.51659587855906874</v>
      </c>
      <c r="I16" s="68">
        <f>LOOKUP("B.1",FamA_Final_Filter!$A$2:$A$127,FamA_Final_Filter!$D$2:$D$127)</f>
        <v>185</v>
      </c>
      <c r="J16" s="25">
        <f>1-I16/I10</f>
        <v>0</v>
      </c>
      <c r="K16" s="26">
        <f>I16/I5</f>
        <v>1</v>
      </c>
      <c r="L16" s="16">
        <v>20</v>
      </c>
      <c r="M16" s="16">
        <v>0.5</v>
      </c>
      <c r="N16" s="16">
        <v>3</v>
      </c>
      <c r="O16" s="107">
        <v>3</v>
      </c>
      <c r="R16" s="5"/>
      <c r="W16" s="3"/>
    </row>
    <row r="17" spans="1:23" x14ac:dyDescent="0.25">
      <c r="A17" s="79" t="s">
        <v>13</v>
      </c>
      <c r="B17" s="13" t="s">
        <v>49</v>
      </c>
      <c r="C17" s="68">
        <f>LOOKUP("B.2",FamA_Final_Filter!$A$2:$A$127,FamA_Final_Filter!$B$2:$B$127)</f>
        <v>65373</v>
      </c>
      <c r="D17" s="27">
        <f>1-C17/C10</f>
        <v>0</v>
      </c>
      <c r="E17" s="28">
        <f ca="1">C17/C3</f>
        <v>0.36518780863852701</v>
      </c>
      <c r="F17" s="68">
        <f>LOOKUP("B.2",FamA_Final_Filter!$A$2:$A$127,FamA_Final_Filter!$C$2:$C$127)</f>
        <v>19704</v>
      </c>
      <c r="G17" s="27">
        <f>1-F17/F10</f>
        <v>0</v>
      </c>
      <c r="H17" s="28">
        <f>F17/F3</f>
        <v>4.4822565969062786</v>
      </c>
      <c r="I17" s="68">
        <f>LOOKUP("B.2",FamA_Final_Filter!$A$2:$A$127,FamA_Final_Filter!$D$2:$D$127)</f>
        <v>185</v>
      </c>
      <c r="J17" s="27">
        <f>1-I17/I10</f>
        <v>0</v>
      </c>
      <c r="K17" s="28">
        <f>I17/I3</f>
        <v>1.0109289617486339</v>
      </c>
      <c r="L17" s="19">
        <v>20</v>
      </c>
      <c r="M17" s="19">
        <v>0.5</v>
      </c>
      <c r="N17" s="19">
        <v>3</v>
      </c>
      <c r="O17" s="110">
        <v>5</v>
      </c>
      <c r="R17" s="5"/>
      <c r="W17" s="3"/>
    </row>
    <row r="18" spans="1:23" x14ac:dyDescent="0.25">
      <c r="A18" s="53" t="s">
        <v>13</v>
      </c>
      <c r="B18" s="3" t="s">
        <v>65</v>
      </c>
      <c r="C18" s="68">
        <f>LOOKUP("B.3",FamA_Final_Filter!$A$2:$A$127,FamA_Final_Filter!$B$2:$B$127)</f>
        <v>65373</v>
      </c>
      <c r="D18" s="14">
        <f>1-C18/C10</f>
        <v>0</v>
      </c>
      <c r="E18" s="4">
        <f ca="1">C18/C3</f>
        <v>0.36518780863852701</v>
      </c>
      <c r="F18" s="68">
        <f>LOOKUP("B.3",FamA_Final_Filter!$A$2:$A$127,FamA_Final_Filter!$C$2:$C$127)</f>
        <v>19704</v>
      </c>
      <c r="G18" s="14">
        <f>1-F18/F10</f>
        <v>0</v>
      </c>
      <c r="H18" s="4">
        <f>F18/F3</f>
        <v>4.4822565969062786</v>
      </c>
      <c r="I18" s="68">
        <f>LOOKUP("B.3",FamA_Final_Filter!$A$2:$A$127,FamA_Final_Filter!$D$2:$D$127)</f>
        <v>185</v>
      </c>
      <c r="J18" s="14">
        <f>1-I18/I10</f>
        <v>0</v>
      </c>
      <c r="K18" s="4">
        <f>I18/I3</f>
        <v>1.0109289617486339</v>
      </c>
      <c r="L18" s="15">
        <v>20</v>
      </c>
      <c r="M18" s="15">
        <v>0.5</v>
      </c>
      <c r="N18" s="15">
        <v>3</v>
      </c>
      <c r="O18" s="105">
        <v>10</v>
      </c>
      <c r="R18" s="5"/>
      <c r="W18" s="3"/>
    </row>
    <row r="19" spans="1:23" x14ac:dyDescent="0.25">
      <c r="A19" s="67"/>
      <c r="B19" s="54"/>
      <c r="C19" s="55"/>
      <c r="D19" s="56"/>
      <c r="E19" s="57"/>
      <c r="F19" s="55"/>
      <c r="G19" s="56"/>
      <c r="H19" s="57"/>
      <c r="I19" s="55"/>
      <c r="J19" s="56"/>
      <c r="K19" s="57"/>
      <c r="L19" s="55"/>
      <c r="M19" s="55"/>
      <c r="N19" s="55"/>
      <c r="O19" s="55"/>
      <c r="P19" s="55"/>
      <c r="Q19" s="55"/>
      <c r="R19" s="58"/>
      <c r="S19" s="67"/>
      <c r="T19" s="67"/>
      <c r="U19" s="67"/>
      <c r="V19" s="67"/>
      <c r="W19" s="54"/>
    </row>
    <row r="20" spans="1:23" x14ac:dyDescent="0.25">
      <c r="A20" s="75" t="s">
        <v>17</v>
      </c>
      <c r="B20" s="12" t="s">
        <v>115</v>
      </c>
      <c r="C20" s="68">
        <f>LOOKUP("A.1a",FamA_Final_Filter!$A$2:$A$127,FamA_Final_Filter!$B$2:$B$127)</f>
        <v>32375</v>
      </c>
      <c r="D20" s="22">
        <f>1-C20/C12</f>
        <v>0.61033880965276521</v>
      </c>
      <c r="E20" s="23">
        <f ca="1">C20/C3</f>
        <v>0.1808537975107814</v>
      </c>
      <c r="F20" s="68">
        <f>LOOKUP("A.1a",FamA_Final_Filter!$A$2:$A$127,FamA_Final_Filter!$C$2:$C$127)</f>
        <v>9300</v>
      </c>
      <c r="G20" s="22">
        <f>1-F20/F12</f>
        <v>0.62844586496204546</v>
      </c>
      <c r="H20" s="23">
        <f>F20/F3</f>
        <v>2.1155595996360326</v>
      </c>
      <c r="I20" s="68">
        <f>LOOKUP("A.1a",FamA_Final_Filter!$A$2:$A$127,FamA_Final_Filter!$D$2:$D$127)</f>
        <v>185</v>
      </c>
      <c r="J20" s="22">
        <f>1-I20/I12</f>
        <v>0</v>
      </c>
      <c r="K20" s="23">
        <f>I20/I3</f>
        <v>1.0109289617486339</v>
      </c>
      <c r="L20" s="17">
        <v>20</v>
      </c>
      <c r="M20" s="104" t="s">
        <v>19</v>
      </c>
      <c r="N20" s="17">
        <v>3</v>
      </c>
      <c r="O20" s="17">
        <v>3</v>
      </c>
      <c r="R20" s="5"/>
      <c r="W20" s="3"/>
    </row>
    <row r="21" spans="1:23" x14ac:dyDescent="0.25">
      <c r="A21" s="76" t="s">
        <v>17</v>
      </c>
      <c r="B21" s="29" t="s">
        <v>116</v>
      </c>
      <c r="C21" s="68">
        <f>LOOKUP("A.2a",FamA_Final_Filter!$A$2:$A$127,FamA_Final_Filter!$B$2:$B$127)</f>
        <v>26293</v>
      </c>
      <c r="D21" s="31">
        <f>1-C21/C13</f>
        <v>0.68354095203707055</v>
      </c>
      <c r="E21" s="32">
        <f ca="1">C21/C3</f>
        <v>0.14687842155833128</v>
      </c>
      <c r="F21" s="68">
        <f>LOOKUP("A.2a",FamA_Final_Filter!$A$2:$A$127,FamA_Final_Filter!$C$2:$C$127)</f>
        <v>7383</v>
      </c>
      <c r="G21" s="31">
        <f>1-F21/F13</f>
        <v>0.70503395924890133</v>
      </c>
      <c r="H21" s="32">
        <f>F21/F3</f>
        <v>1.679481346678799</v>
      </c>
      <c r="I21" s="68">
        <f>LOOKUP("A.2a",FamA_Final_Filter!$A$2:$A$127,FamA_Final_Filter!$D$2:$D$127)</f>
        <v>185</v>
      </c>
      <c r="J21" s="31">
        <f>1-I21/I13</f>
        <v>0</v>
      </c>
      <c r="K21" s="32">
        <f>I21/I3</f>
        <v>1.0109289617486339</v>
      </c>
      <c r="L21" s="30">
        <v>20</v>
      </c>
      <c r="M21" s="108" t="s">
        <v>19</v>
      </c>
      <c r="N21" s="30">
        <v>3</v>
      </c>
      <c r="O21" s="30">
        <v>5</v>
      </c>
      <c r="R21" s="5"/>
      <c r="W21" s="3"/>
    </row>
    <row r="22" spans="1:23" x14ac:dyDescent="0.25">
      <c r="A22" s="77" t="s">
        <v>17</v>
      </c>
      <c r="B22" s="33" t="s">
        <v>117</v>
      </c>
      <c r="C22" s="68">
        <f>LOOKUP("A.3a",FamA_Final_Filter!$A$2:$A$127,FamA_Final_Filter!$B$2:$B$127)</f>
        <v>20874</v>
      </c>
      <c r="D22" s="35">
        <f>1-C22/C12</f>
        <v>0.74876331467773971</v>
      </c>
      <c r="E22" s="36">
        <f ca="1">C22/C3</f>
        <v>0.11660670793019462</v>
      </c>
      <c r="F22" s="68">
        <f>LOOKUP("A.3a",FamA_Final_Filter!$A$2:$A$127,FamA_Final_Filter!$C$2:$C$127)</f>
        <v>5842</v>
      </c>
      <c r="G22" s="35">
        <f>1-F22/F12</f>
        <v>0.76660007990411505</v>
      </c>
      <c r="H22" s="36">
        <f>F22/F3</f>
        <v>1.3289353958143768</v>
      </c>
      <c r="I22" s="68">
        <f>LOOKUP("A.3a",FamA_Final_Filter!$A$2:$A$127,FamA_Final_Filter!$D$2:$D$127)</f>
        <v>185</v>
      </c>
      <c r="J22" s="35">
        <f>1-I22/I12</f>
        <v>0</v>
      </c>
      <c r="K22" s="36">
        <f>I22/I3</f>
        <v>1.0109289617486339</v>
      </c>
      <c r="L22" s="34">
        <v>20</v>
      </c>
      <c r="M22" s="109" t="s">
        <v>19</v>
      </c>
      <c r="N22" s="34">
        <v>3</v>
      </c>
      <c r="O22" s="34">
        <v>10</v>
      </c>
      <c r="R22" s="5"/>
      <c r="W22" s="3"/>
    </row>
    <row r="23" spans="1:23" ht="8.25" customHeight="1" x14ac:dyDescent="0.25">
      <c r="A23" s="82"/>
      <c r="B23" s="87"/>
      <c r="C23" s="83"/>
      <c r="D23" s="84"/>
      <c r="E23" s="90"/>
      <c r="F23" s="83"/>
      <c r="G23" s="84"/>
      <c r="H23" s="90"/>
      <c r="I23" s="83"/>
      <c r="J23" s="84"/>
      <c r="K23" s="90"/>
      <c r="L23" s="83"/>
      <c r="M23" s="111"/>
      <c r="N23" s="83"/>
      <c r="O23" s="83"/>
      <c r="P23" s="83"/>
      <c r="Q23" s="83"/>
      <c r="R23" s="93"/>
      <c r="S23" s="82"/>
      <c r="T23" s="82"/>
      <c r="U23" s="82"/>
      <c r="V23" s="82"/>
      <c r="W23" s="87"/>
    </row>
    <row r="24" spans="1:23" x14ac:dyDescent="0.25">
      <c r="A24" s="78" t="s">
        <v>17</v>
      </c>
      <c r="B24" s="9" t="s">
        <v>118</v>
      </c>
      <c r="C24" s="68">
        <f>LOOKUP("B.1a",FamA_Final_Filter!$A$2:$A$127,FamA_Final_Filter!$B$2:$B$127)</f>
        <v>27908</v>
      </c>
      <c r="D24" s="25">
        <f>1-C24/C16</f>
        <v>0.57309592645281693</v>
      </c>
      <c r="E24" s="26">
        <f ca="1">C24/C3</f>
        <v>0.15590016311755636</v>
      </c>
      <c r="F24" s="68">
        <f>LOOKUP("B.1a",FamA_Final_Filter!$A$2:$A$127,FamA_Final_Filter!$C$2:$C$127)</f>
        <v>7880</v>
      </c>
      <c r="G24" s="25">
        <f>1-F24/F16</f>
        <v>0.60008120178643931</v>
      </c>
      <c r="H24" s="26">
        <f>F24/F3</f>
        <v>1.7925386715195633</v>
      </c>
      <c r="I24" s="68">
        <f>LOOKUP("B.1a",FamA_Final_Filter!$A$2:$A$127,FamA_Final_Filter!$D$2:$D$127)</f>
        <v>185</v>
      </c>
      <c r="J24" s="25">
        <f>1-I24/I16</f>
        <v>0</v>
      </c>
      <c r="K24" s="26">
        <f>I24/I3</f>
        <v>1.0109289617486339</v>
      </c>
      <c r="L24" s="16">
        <v>20</v>
      </c>
      <c r="M24" s="107">
        <v>0.6</v>
      </c>
      <c r="N24" s="16">
        <v>3</v>
      </c>
      <c r="O24" s="16">
        <v>3</v>
      </c>
      <c r="R24" s="5"/>
      <c r="W24" s="3"/>
    </row>
    <row r="25" spans="1:23" ht="8.25" customHeight="1" x14ac:dyDescent="0.25">
      <c r="A25" s="112"/>
      <c r="B25" s="113"/>
      <c r="C25" s="114"/>
      <c r="D25" s="115"/>
      <c r="E25" s="116"/>
      <c r="F25" s="114"/>
      <c r="G25" s="115"/>
      <c r="H25" s="116"/>
      <c r="I25" s="114"/>
      <c r="J25" s="115"/>
      <c r="K25" s="116"/>
      <c r="L25" s="114"/>
      <c r="M25" s="111"/>
      <c r="N25" s="114"/>
      <c r="O25" s="114"/>
      <c r="P25" s="83"/>
      <c r="Q25" s="83"/>
      <c r="R25" s="93"/>
      <c r="S25" s="82"/>
      <c r="T25" s="82"/>
      <c r="U25" s="82"/>
      <c r="V25" s="82"/>
      <c r="W25" s="87"/>
    </row>
    <row r="26" spans="1:23" x14ac:dyDescent="0.25">
      <c r="A26" s="79" t="s">
        <v>17</v>
      </c>
      <c r="B26" s="13" t="s">
        <v>119</v>
      </c>
      <c r="C26" s="68">
        <f>LOOKUP("B.2b",FamA_Final_Filter!$A$2:$A$127,FamA_Final_Filter!$B$2:$B$127)</f>
        <v>23508</v>
      </c>
      <c r="D26" s="27">
        <f>1-C26/C16</f>
        <v>0.64040200082602916</v>
      </c>
      <c r="E26" s="28">
        <f ca="1">C26/C3</f>
        <v>0.13132080530914128</v>
      </c>
      <c r="F26" s="68">
        <f>LOOKUP("B.2b",FamA_Final_Filter!$A$2:$A$127,FamA_Final_Filter!$C$2:$C$127)</f>
        <v>6590</v>
      </c>
      <c r="G26" s="27">
        <f>1-F26/F16</f>
        <v>0.66555014210312624</v>
      </c>
      <c r="H26" s="28">
        <f>F26/F3</f>
        <v>1.4990900818926296</v>
      </c>
      <c r="I26" s="68">
        <f>LOOKUP("B.2b",FamA_Final_Filter!$A$2:$A$127,FamA_Final_Filter!$D$2:$D$127)</f>
        <v>185</v>
      </c>
      <c r="J26" s="27">
        <f>1-I26/I16</f>
        <v>0</v>
      </c>
      <c r="K26" s="28">
        <f>I26/I3</f>
        <v>1.0109289617486339</v>
      </c>
      <c r="L26" s="19">
        <v>20</v>
      </c>
      <c r="M26" s="110">
        <v>0.6</v>
      </c>
      <c r="N26" s="19">
        <v>3</v>
      </c>
      <c r="O26" s="19">
        <v>5</v>
      </c>
      <c r="R26" s="5"/>
      <c r="W26" s="3"/>
    </row>
    <row r="27" spans="1:23" x14ac:dyDescent="0.25">
      <c r="A27" s="67"/>
      <c r="B27" s="54"/>
      <c r="C27" s="55"/>
      <c r="D27" s="56"/>
      <c r="E27" s="57"/>
      <c r="F27" s="55"/>
      <c r="G27" s="56"/>
      <c r="H27" s="57"/>
      <c r="I27" s="55"/>
      <c r="J27" s="56"/>
      <c r="K27" s="57"/>
      <c r="L27" s="55"/>
      <c r="M27" s="117"/>
      <c r="N27" s="55"/>
      <c r="O27" s="55"/>
      <c r="P27" s="55"/>
      <c r="Q27" s="55"/>
      <c r="R27" s="58"/>
      <c r="S27" s="67"/>
      <c r="T27" s="67"/>
      <c r="U27" s="67"/>
      <c r="V27" s="67"/>
      <c r="W27" s="54"/>
    </row>
    <row r="28" spans="1:23" x14ac:dyDescent="0.25">
      <c r="A28" s="75" t="s">
        <v>20</v>
      </c>
      <c r="B28" s="12" t="s">
        <v>50</v>
      </c>
      <c r="C28" s="68">
        <f>LOOKUP("A.1.1",FamA_Final_Filter!$A$2:$A$127,FamA_Final_Filter!$B$2:$B$127)</f>
        <v>32375</v>
      </c>
      <c r="D28" s="22"/>
      <c r="E28" s="23">
        <f ca="1">C28/C3</f>
        <v>0.1808537975107814</v>
      </c>
      <c r="F28" s="68">
        <f>LOOKUP("A.1.1",FamA_Final_Filter!$A$2:$A$127,FamA_Final_Filter!$C$2:$C$127)</f>
        <v>9300</v>
      </c>
      <c r="G28" s="22"/>
      <c r="H28" s="23">
        <f>F28/F3</f>
        <v>2.1155595996360326</v>
      </c>
      <c r="I28" s="68">
        <f>LOOKUP("A.1.1",FamA_Final_Filter!$A$2:$A$127,FamA_Final_Filter!$D$2:$D$127)</f>
        <v>184</v>
      </c>
      <c r="J28" s="22"/>
      <c r="K28" s="23">
        <f>I28/I3</f>
        <v>1.0054644808743169</v>
      </c>
      <c r="L28" s="17">
        <v>20</v>
      </c>
      <c r="M28" s="17" t="s">
        <v>19</v>
      </c>
      <c r="N28" s="17">
        <v>3</v>
      </c>
      <c r="O28" s="17">
        <v>3</v>
      </c>
      <c r="P28" s="104">
        <v>0.99</v>
      </c>
      <c r="Q28" s="2"/>
      <c r="R28" s="5"/>
      <c r="W28" s="3"/>
    </row>
    <row r="29" spans="1:23" x14ac:dyDescent="0.25">
      <c r="A29" s="53" t="s">
        <v>20</v>
      </c>
      <c r="B29" s="3" t="s">
        <v>51</v>
      </c>
      <c r="C29" s="68">
        <f>LOOKUP("A.1.2",FamA_Final_Filter!$A$2:$A$127,FamA_Final_Filter!$B$2:$B$127)</f>
        <v>32375</v>
      </c>
      <c r="E29" s="4">
        <f ca="1">C29/C3</f>
        <v>0.1808537975107814</v>
      </c>
      <c r="F29" s="68">
        <f>LOOKUP("A.1.2",FamA_Final_Filter!$A$2:$A$127,FamA_Final_Filter!$C$2:$C$127)</f>
        <v>9300</v>
      </c>
      <c r="H29" s="4">
        <f>F29/F3</f>
        <v>2.1155595996360326</v>
      </c>
      <c r="I29" s="68">
        <f>LOOKUP("A.1.2",FamA_Final_Filter!$A$2:$A$127,FamA_Final_Filter!$D$2:$D$127)</f>
        <v>183</v>
      </c>
      <c r="K29" s="4">
        <f>I29/I3</f>
        <v>1</v>
      </c>
      <c r="L29" s="15">
        <v>20</v>
      </c>
      <c r="M29" s="15" t="s">
        <v>19</v>
      </c>
      <c r="N29" s="15">
        <v>3</v>
      </c>
      <c r="O29" s="2">
        <v>3</v>
      </c>
      <c r="P29" s="105">
        <v>0.95</v>
      </c>
      <c r="Q29" s="2"/>
      <c r="R29" s="5"/>
      <c r="W29" s="3"/>
    </row>
    <row r="30" spans="1:23" x14ac:dyDescent="0.25">
      <c r="A30" s="53" t="s">
        <v>20</v>
      </c>
      <c r="B30" s="3" t="s">
        <v>52</v>
      </c>
      <c r="C30" s="68">
        <f>LOOKUP("A.1.3",FamA_Final_Filter!$A$2:$A$127,FamA_Final_Filter!$B$2:$B$127)</f>
        <v>32375</v>
      </c>
      <c r="E30" s="4">
        <f ca="1">C30/C3</f>
        <v>0.1808537975107814</v>
      </c>
      <c r="F30" s="68">
        <f>LOOKUP("A.1.3",FamA_Final_Filter!$A$2:$A$127,FamA_Final_Filter!$C$2:$C$127)</f>
        <v>9300</v>
      </c>
      <c r="H30" s="4">
        <f>F30/F3</f>
        <v>2.1155595996360326</v>
      </c>
      <c r="I30" s="68">
        <f>LOOKUP("A.1.3",FamA_Final_Filter!$A$2:$A$127,FamA_Final_Filter!$D$2:$D$127)</f>
        <v>183</v>
      </c>
      <c r="K30" s="4">
        <f>I30/I3</f>
        <v>1</v>
      </c>
      <c r="L30" s="15">
        <v>20</v>
      </c>
      <c r="M30" s="15" t="s">
        <v>19</v>
      </c>
      <c r="N30" s="15">
        <v>3</v>
      </c>
      <c r="O30" s="2">
        <v>3</v>
      </c>
      <c r="P30" s="105">
        <v>0.9</v>
      </c>
      <c r="Q30" s="2"/>
      <c r="R30" s="5"/>
      <c r="W30" s="3"/>
    </row>
    <row r="31" spans="1:23" ht="8.25" customHeight="1" x14ac:dyDescent="0.25">
      <c r="A31" s="82"/>
      <c r="B31" s="87"/>
      <c r="C31" s="83"/>
      <c r="D31" s="84"/>
      <c r="E31" s="90"/>
      <c r="F31" s="83"/>
      <c r="G31" s="84"/>
      <c r="H31" s="90"/>
      <c r="I31" s="83"/>
      <c r="J31" s="84"/>
      <c r="K31" s="90"/>
      <c r="L31" s="83"/>
      <c r="M31" s="83"/>
      <c r="N31" s="83"/>
      <c r="O31" s="83"/>
      <c r="P31" s="111"/>
      <c r="Q31" s="83"/>
      <c r="R31" s="93"/>
      <c r="S31" s="82"/>
      <c r="T31" s="82"/>
      <c r="U31" s="82"/>
      <c r="V31" s="82"/>
      <c r="W31" s="87"/>
    </row>
    <row r="32" spans="1:23" x14ac:dyDescent="0.25">
      <c r="A32" s="76" t="s">
        <v>20</v>
      </c>
      <c r="B32" s="29" t="s">
        <v>109</v>
      </c>
      <c r="C32" s="68">
        <f>LOOKUP("A.2.1",FamA_Final_Filter!$A$2:$A$127,FamA_Final_Filter!$B$2:$B$127)</f>
        <v>26293</v>
      </c>
      <c r="D32" s="31"/>
      <c r="E32" s="32">
        <f ca="1">C32/C3</f>
        <v>0.14687842155833128</v>
      </c>
      <c r="F32" s="68">
        <f>LOOKUP("A.2.1",FamA_Final_Filter!$A$2:$A$127,FamA_Final_Filter!$C$2:$C$127)</f>
        <v>7383</v>
      </c>
      <c r="G32" s="31"/>
      <c r="H32" s="32">
        <f>F32/F3</f>
        <v>1.679481346678799</v>
      </c>
      <c r="I32" s="68">
        <f>LOOKUP("A.2.1",FamA_Final_Filter!$A$2:$A$127,FamA_Final_Filter!$D$2:$D$127)</f>
        <v>183</v>
      </c>
      <c r="J32" s="31"/>
      <c r="K32" s="32">
        <f>I32/I3</f>
        <v>1</v>
      </c>
      <c r="L32" s="30">
        <v>20</v>
      </c>
      <c r="M32" s="30" t="s">
        <v>19</v>
      </c>
      <c r="N32" s="30">
        <v>3</v>
      </c>
      <c r="O32" s="30">
        <v>5</v>
      </c>
      <c r="P32" s="108">
        <v>0.9</v>
      </c>
      <c r="R32" s="5"/>
      <c r="W32" s="3"/>
    </row>
    <row r="33" spans="1:23" ht="8.25" customHeight="1" x14ac:dyDescent="0.25">
      <c r="A33" s="82"/>
      <c r="B33" s="87"/>
      <c r="C33" s="83"/>
      <c r="D33" s="84"/>
      <c r="E33" s="90"/>
      <c r="F33" s="83"/>
      <c r="G33" s="84"/>
      <c r="H33" s="90"/>
      <c r="I33" s="83"/>
      <c r="J33" s="84"/>
      <c r="K33" s="90"/>
      <c r="L33" s="83"/>
      <c r="M33" s="83"/>
      <c r="N33" s="83"/>
      <c r="O33" s="83"/>
      <c r="P33" s="111"/>
      <c r="Q33" s="83"/>
      <c r="R33" s="93"/>
      <c r="S33" s="82"/>
      <c r="T33" s="82"/>
      <c r="U33" s="82"/>
      <c r="V33" s="82"/>
      <c r="W33" s="87"/>
    </row>
    <row r="34" spans="1:23" x14ac:dyDescent="0.25">
      <c r="A34" s="53" t="s">
        <v>20</v>
      </c>
      <c r="B34" s="3" t="s">
        <v>53</v>
      </c>
      <c r="C34" s="68">
        <f>LOOKUP("B.1.1",FamA_Final_Filter!$A$2:$A$127,FamA_Final_Filter!$B$2:$B$127)</f>
        <v>27908</v>
      </c>
      <c r="E34" s="4">
        <f ca="1">C34/C3</f>
        <v>0.15590016311755636</v>
      </c>
      <c r="F34" s="68">
        <f>LOOKUP("B.1.1",FamA_Final_Filter!$A$2:$A$127,FamA_Final_Filter!$C$2:$C$127)</f>
        <v>7880</v>
      </c>
      <c r="H34" s="4">
        <f>F34/F3</f>
        <v>1.7925386715195633</v>
      </c>
      <c r="I34" s="68">
        <f>LOOKUP("B.1.1",FamA_Final_Filter!$A$2:$A$127,FamA_Final_Filter!$D$2:$D$127)</f>
        <v>184</v>
      </c>
      <c r="K34" s="4">
        <f>I34/I3</f>
        <v>1.0054644808743169</v>
      </c>
      <c r="L34" s="15">
        <v>20</v>
      </c>
      <c r="M34" s="15">
        <v>0.6</v>
      </c>
      <c r="N34" s="15">
        <v>3</v>
      </c>
      <c r="O34" s="2">
        <v>3</v>
      </c>
      <c r="P34" s="106">
        <v>0.99</v>
      </c>
      <c r="R34" s="5"/>
      <c r="W34" s="3"/>
    </row>
    <row r="35" spans="1:23" x14ac:dyDescent="0.25">
      <c r="A35" s="53" t="s">
        <v>20</v>
      </c>
      <c r="B35" s="3" t="s">
        <v>54</v>
      </c>
      <c r="C35" s="68">
        <f>LOOKUP("B.1.2",FamA_Final_Filter!$A$2:$A$127,FamA_Final_Filter!$B$2:$B$127)</f>
        <v>27908</v>
      </c>
      <c r="E35" s="4">
        <f ca="1">C35/C3</f>
        <v>0.15590016311755636</v>
      </c>
      <c r="F35" s="68">
        <f>LOOKUP("B.1.2",FamA_Final_Filter!$A$2:$A$127,FamA_Final_Filter!$C$2:$C$127)</f>
        <v>7880</v>
      </c>
      <c r="H35" s="4">
        <f>F35/F3</f>
        <v>1.7925386715195633</v>
      </c>
      <c r="I35" s="68">
        <f>LOOKUP("B.1.2",FamA_Final_Filter!$A$2:$A$127,FamA_Final_Filter!$D$2:$D$127)</f>
        <v>183</v>
      </c>
      <c r="K35" s="4">
        <f>I35/I3</f>
        <v>1</v>
      </c>
      <c r="L35" s="15">
        <v>20</v>
      </c>
      <c r="M35" s="15">
        <v>0.6</v>
      </c>
      <c r="N35" s="15">
        <v>3</v>
      </c>
      <c r="O35" s="2">
        <v>3</v>
      </c>
      <c r="P35" s="106">
        <v>0.95</v>
      </c>
      <c r="R35" s="5"/>
      <c r="W35" s="3"/>
    </row>
    <row r="36" spans="1:23" x14ac:dyDescent="0.25">
      <c r="A36" s="78" t="s">
        <v>20</v>
      </c>
      <c r="B36" s="9" t="s">
        <v>55</v>
      </c>
      <c r="C36" s="68">
        <f>LOOKUP("B.1.3",FamA_Final_Filter!$A$2:$A$127,FamA_Final_Filter!$B$2:$B$127)</f>
        <v>27908</v>
      </c>
      <c r="D36" s="25"/>
      <c r="E36" s="26">
        <f ca="1">C36/C3</f>
        <v>0.15590016311755636</v>
      </c>
      <c r="F36" s="68">
        <f>LOOKUP("B.1.3",FamA_Final_Filter!$A$2:$A$127,FamA_Final_Filter!$C$2:$C$127)</f>
        <v>7880</v>
      </c>
      <c r="G36" s="25"/>
      <c r="H36" s="26">
        <f>F36/F3</f>
        <v>1.7925386715195633</v>
      </c>
      <c r="I36" s="68">
        <f>LOOKUP("B.1.3",FamA_Final_Filter!$A$2:$A$127,FamA_Final_Filter!$D$2:$D$127)</f>
        <v>183</v>
      </c>
      <c r="J36" s="25"/>
      <c r="K36" s="26">
        <f>I36/I3</f>
        <v>1</v>
      </c>
      <c r="L36" s="16">
        <v>20</v>
      </c>
      <c r="M36" s="16">
        <v>0.6</v>
      </c>
      <c r="N36" s="16">
        <v>3</v>
      </c>
      <c r="O36" s="16">
        <v>3</v>
      </c>
      <c r="P36" s="107">
        <v>0.9</v>
      </c>
      <c r="R36" s="5"/>
      <c r="W36" s="3"/>
    </row>
    <row r="37" spans="1:23" x14ac:dyDescent="0.25">
      <c r="A37" s="67"/>
      <c r="B37" s="54"/>
      <c r="C37" s="55"/>
      <c r="D37" s="56"/>
      <c r="E37" s="57"/>
      <c r="F37" s="55"/>
      <c r="G37" s="56"/>
      <c r="H37" s="57"/>
      <c r="I37" s="55"/>
      <c r="J37" s="56"/>
      <c r="K37" s="57"/>
      <c r="L37" s="55"/>
      <c r="M37" s="55"/>
      <c r="N37" s="55"/>
      <c r="O37" s="55"/>
      <c r="P37" s="55"/>
      <c r="Q37" s="55"/>
      <c r="R37" s="58"/>
      <c r="S37" s="67"/>
      <c r="T37" s="67"/>
      <c r="U37" s="67"/>
      <c r="V37" s="67"/>
      <c r="W37" s="54"/>
    </row>
    <row r="38" spans="1:23" x14ac:dyDescent="0.25">
      <c r="A38" s="75" t="s">
        <v>21</v>
      </c>
      <c r="B38" s="12" t="s">
        <v>56</v>
      </c>
      <c r="C38" s="68">
        <f>LOOKUP("A.1.1.1",FamA_Final_Filter!$A$2:$A$127,FamA_Final_Filter!$B$2:$B$127)</f>
        <v>30361</v>
      </c>
      <c r="D38" s="22">
        <f>1-C38/C28</f>
        <v>6.2208494208494169E-2</v>
      </c>
      <c r="E38" s="23">
        <f ca="1">C38/C3</f>
        <v>0.16960315509574778</v>
      </c>
      <c r="F38" s="68">
        <f>LOOKUP("A.1.1.1",FamA_Final_Filter!$A$2:$A$127,FamA_Final_Filter!$C$2:$C$127)</f>
        <v>8695</v>
      </c>
      <c r="G38" s="22">
        <f>1-F38/F28</f>
        <v>6.5053763440860224E-2</v>
      </c>
      <c r="H38" s="23">
        <f>F38/F3</f>
        <v>1.9779344858962693</v>
      </c>
      <c r="I38" s="68">
        <f>LOOKUP("A.1.1.1",FamA_Final_Filter!$A$2:$A$127,FamA_Final_Filter!$D$2:$D$127)</f>
        <v>184</v>
      </c>
      <c r="J38" s="22">
        <f>1-I38/I28</f>
        <v>0</v>
      </c>
      <c r="K38" s="23">
        <f>I38/I3</f>
        <v>1.0054644808743169</v>
      </c>
      <c r="L38" s="17">
        <v>20</v>
      </c>
      <c r="M38" s="17" t="s">
        <v>19</v>
      </c>
      <c r="N38" s="17">
        <v>3</v>
      </c>
      <c r="O38" s="17">
        <v>3</v>
      </c>
      <c r="P38" s="17">
        <v>0.99</v>
      </c>
      <c r="Q38" s="17">
        <v>0.01</v>
      </c>
      <c r="R38" s="118">
        <v>5</v>
      </c>
      <c r="W38" s="3"/>
    </row>
    <row r="39" spans="1:23" x14ac:dyDescent="0.25">
      <c r="A39" s="53" t="s">
        <v>21</v>
      </c>
      <c r="B39" s="3" t="s">
        <v>57</v>
      </c>
      <c r="C39" s="68">
        <f>LOOKUP("A.1.1.2",FamA_Final_Filter!$A$2:$A$127,FamA_Final_Filter!$B$2:$B$127)</f>
        <v>29952</v>
      </c>
      <c r="D39" s="14">
        <f>1-C39/C28</f>
        <v>7.4841698841698889E-2</v>
      </c>
      <c r="E39" s="4">
        <f ca="1">C39/C3</f>
        <v>0.16731839206310192</v>
      </c>
      <c r="F39" s="68">
        <f>LOOKUP("A.1.1.2",FamA_Final_Filter!$A$2:$A$127,FamA_Final_Filter!$C$2:$C$127)</f>
        <v>8645</v>
      </c>
      <c r="G39" s="14">
        <f>1-F39/F28</f>
        <v>7.0430107526881724E-2</v>
      </c>
      <c r="H39" s="4">
        <f>F39/F3</f>
        <v>1.9665605095541401</v>
      </c>
      <c r="I39" s="68">
        <f>LOOKUP("A.1.1.2",FamA_Final_Filter!$A$2:$A$127,FamA_Final_Filter!$D$2:$D$127)</f>
        <v>184</v>
      </c>
      <c r="J39" s="14">
        <f>1-I39/I28</f>
        <v>0</v>
      </c>
      <c r="K39" s="4">
        <f>I39/I3</f>
        <v>1.0054644808743169</v>
      </c>
      <c r="L39" s="15">
        <v>20</v>
      </c>
      <c r="M39" s="15" t="s">
        <v>19</v>
      </c>
      <c r="N39" s="15">
        <v>3</v>
      </c>
      <c r="O39" s="15">
        <v>3</v>
      </c>
      <c r="P39" s="2">
        <v>0.99</v>
      </c>
      <c r="Q39" s="15">
        <v>0.02</v>
      </c>
      <c r="R39" s="119">
        <v>5</v>
      </c>
      <c r="W39" s="3"/>
    </row>
    <row r="40" spans="1:23" x14ac:dyDescent="0.25">
      <c r="A40" s="53" t="s">
        <v>21</v>
      </c>
      <c r="B40" s="3" t="s">
        <v>60</v>
      </c>
      <c r="C40" s="68">
        <f>LOOKUP("A.1.1.3",FamA_Final_Filter!$A$2:$A$127,FamA_Final_Filter!$B$2:$B$127)</f>
        <v>25005</v>
      </c>
      <c r="D40" s="14">
        <f>C40/C28</f>
        <v>0.77235521235521232</v>
      </c>
      <c r="E40" s="4">
        <f ca="1">C40/C3</f>
        <v>0.13968337318168614</v>
      </c>
      <c r="F40" s="68">
        <f>LOOKUP("A.1.1.3",FamA_Final_Filter!$A$2:$A$127,FamA_Final_Filter!$C$2:$C$127)</f>
        <v>7051</v>
      </c>
      <c r="G40" s="14">
        <f>F40/F28</f>
        <v>0.75817204301075269</v>
      </c>
      <c r="H40" s="4">
        <f>F40/F3</f>
        <v>1.6039581437670609</v>
      </c>
      <c r="I40" s="68">
        <f>LOOKUP("A.1.1.3",FamA_Final_Filter!$A$2:$A$127,FamA_Final_Filter!$D$2:$D$127)</f>
        <v>184</v>
      </c>
      <c r="J40" s="14">
        <f>I40/I28</f>
        <v>1</v>
      </c>
      <c r="K40" s="4">
        <f>I40/I3</f>
        <v>1.0054644808743169</v>
      </c>
      <c r="L40" s="15">
        <v>20</v>
      </c>
      <c r="M40" s="15" t="s">
        <v>19</v>
      </c>
      <c r="N40" s="15">
        <v>3</v>
      </c>
      <c r="O40" s="15">
        <v>3</v>
      </c>
      <c r="P40" s="2">
        <v>0.99</v>
      </c>
      <c r="Q40" s="2">
        <v>0.01</v>
      </c>
      <c r="R40" s="119">
        <v>10</v>
      </c>
      <c r="W40" s="3"/>
    </row>
    <row r="41" spans="1:23" x14ac:dyDescent="0.25">
      <c r="A41" s="53" t="s">
        <v>21</v>
      </c>
      <c r="B41" s="3" t="s">
        <v>61</v>
      </c>
      <c r="C41" s="68">
        <f>LOOKUP("A.1.1.4",FamA_Final_Filter!$A$2:$A$127,FamA_Final_Filter!$B$2:$B$127)</f>
        <v>24656</v>
      </c>
      <c r="D41" s="14">
        <f>C41/C28</f>
        <v>0.76157528957528953</v>
      </c>
      <c r="E41" s="4">
        <f ca="1">C41/C3</f>
        <v>0.13773378321006413</v>
      </c>
      <c r="F41" s="68">
        <f>LOOKUP("A.1.1.4",FamA_Final_Filter!$A$2:$A$127,FamA_Final_Filter!$C$2:$C$127)</f>
        <v>7006</v>
      </c>
      <c r="G41" s="14">
        <f>F41/F28</f>
        <v>0.7533333333333333</v>
      </c>
      <c r="H41" s="4">
        <f>F41/F3</f>
        <v>1.5937215650591448</v>
      </c>
      <c r="I41" s="68">
        <f>LOOKUP("A.1.1.4",FamA_Final_Filter!$A$2:$A$127,FamA_Final_Filter!$D$2:$D$127)</f>
        <v>184</v>
      </c>
      <c r="J41" s="14">
        <f>I41/I28</f>
        <v>1</v>
      </c>
      <c r="K41" s="4">
        <f>I41/I3</f>
        <v>1.0054644808743169</v>
      </c>
      <c r="L41" s="15">
        <v>20</v>
      </c>
      <c r="M41" s="15" t="s">
        <v>19</v>
      </c>
      <c r="N41" s="15">
        <v>3</v>
      </c>
      <c r="O41" s="15">
        <v>3</v>
      </c>
      <c r="P41" s="2">
        <v>0.99</v>
      </c>
      <c r="Q41" s="15">
        <v>0.02</v>
      </c>
      <c r="R41" s="119">
        <v>10</v>
      </c>
      <c r="W41" s="3"/>
    </row>
    <row r="42" spans="1:23" ht="8.25" customHeight="1" x14ac:dyDescent="0.25">
      <c r="A42" s="82"/>
      <c r="B42" s="87"/>
      <c r="C42" s="83"/>
      <c r="D42" s="84"/>
      <c r="E42" s="90"/>
      <c r="F42" s="83"/>
      <c r="G42" s="84"/>
      <c r="H42" s="90"/>
      <c r="I42" s="83"/>
      <c r="J42" s="84"/>
      <c r="K42" s="90"/>
      <c r="L42" s="83"/>
      <c r="M42" s="83"/>
      <c r="N42" s="83"/>
      <c r="O42" s="83"/>
      <c r="P42" s="83"/>
      <c r="Q42" s="83"/>
      <c r="R42" s="120"/>
      <c r="S42" s="82"/>
      <c r="T42" s="82"/>
      <c r="U42" s="82"/>
      <c r="V42" s="82"/>
      <c r="W42" s="87"/>
    </row>
    <row r="43" spans="1:23" x14ac:dyDescent="0.25">
      <c r="A43" s="53" t="s">
        <v>21</v>
      </c>
      <c r="B43" s="3" t="s">
        <v>66</v>
      </c>
      <c r="C43" s="68">
        <f>LOOKUP("B.1.3.1",FamA_Final_Filter!$A$2:$A$127,FamA_Final_Filter!$B$2:$B$127)</f>
        <v>27367</v>
      </c>
      <c r="D43" s="14">
        <f>C43/C36</f>
        <v>0.98061487745449338</v>
      </c>
      <c r="E43" s="4">
        <f ca="1">C43/C3</f>
        <v>0.15287801935065806</v>
      </c>
      <c r="F43" s="68">
        <f>LOOKUP("B.1.3.1",FamA_Final_Filter!$A$2:$A$127,FamA_Final_Filter!$C$2:$C$127)</f>
        <v>7757</v>
      </c>
      <c r="G43" s="14">
        <f>F43/F36</f>
        <v>0.98439086294416245</v>
      </c>
      <c r="H43" s="4">
        <f>F43/F3</f>
        <v>1.7645586897179253</v>
      </c>
      <c r="I43" s="68">
        <f>LOOKUP("B.1.3.1",FamA_Final_Filter!$A$2:$A$127,FamA_Final_Filter!$D$2:$D$127)</f>
        <v>183</v>
      </c>
      <c r="J43" s="14">
        <f>I43/I36</f>
        <v>1</v>
      </c>
      <c r="K43" s="4">
        <f>I43/I3</f>
        <v>1</v>
      </c>
      <c r="L43" s="15">
        <v>20</v>
      </c>
      <c r="M43" s="15">
        <v>0.6</v>
      </c>
      <c r="N43" s="15">
        <v>3</v>
      </c>
      <c r="O43" s="2">
        <v>3</v>
      </c>
      <c r="P43" s="15">
        <v>0.9</v>
      </c>
      <c r="Q43" s="15">
        <v>0.01</v>
      </c>
      <c r="R43" s="119">
        <v>5</v>
      </c>
      <c r="W43" s="3"/>
    </row>
    <row r="44" spans="1:23" x14ac:dyDescent="0.25">
      <c r="A44" s="53" t="s">
        <v>21</v>
      </c>
      <c r="B44" s="3" t="s">
        <v>67</v>
      </c>
      <c r="C44" s="68">
        <f>LOOKUP("B.1.3.2",FamA_Final_Filter!$A$2:$A$127,FamA_Final_Filter!$B$2:$B$127)</f>
        <v>23769</v>
      </c>
      <c r="D44" s="14">
        <f>C44/C36</f>
        <v>0.85169127132005162</v>
      </c>
      <c r="E44" s="4">
        <f ca="1">C44/C3</f>
        <v>0.132778808124595</v>
      </c>
      <c r="F44" s="68">
        <f>LOOKUP("B.1.3.2",FamA_Final_Filter!$A$2:$A$127,FamA_Final_Filter!$C$2:$C$127)</f>
        <v>6674</v>
      </c>
      <c r="G44" s="14">
        <f>F44/F36</f>
        <v>0.84695431472081217</v>
      </c>
      <c r="H44" s="4">
        <f>F44/F3</f>
        <v>1.5181983621474067</v>
      </c>
      <c r="I44" s="68">
        <f>LOOKUP("B.1.3.2",FamA_Final_Filter!$A$2:$A$127,FamA_Final_Filter!$D$2:$D$127)</f>
        <v>183</v>
      </c>
      <c r="J44" s="14">
        <f>I44/I36</f>
        <v>1</v>
      </c>
      <c r="K44" s="4">
        <f>I44/I3</f>
        <v>1</v>
      </c>
      <c r="L44" s="15">
        <v>20</v>
      </c>
      <c r="M44" s="15">
        <v>0.6</v>
      </c>
      <c r="N44" s="15">
        <v>3</v>
      </c>
      <c r="O44" s="2">
        <v>3</v>
      </c>
      <c r="P44" s="15">
        <v>0.9</v>
      </c>
      <c r="Q44" s="15">
        <v>0.01</v>
      </c>
      <c r="R44" s="119">
        <v>10</v>
      </c>
      <c r="W44" s="3"/>
    </row>
    <row r="45" spans="1:23" x14ac:dyDescent="0.25">
      <c r="A45" s="78" t="s">
        <v>21</v>
      </c>
      <c r="B45" s="9" t="s">
        <v>62</v>
      </c>
      <c r="C45" s="68">
        <f>LOOKUP("B.1.3.3",FamA_Final_Filter!$A$2:$A$127,FamA_Final_Filter!$B$2:$B$127)</f>
        <v>27083</v>
      </c>
      <c r="D45" s="25">
        <f>C45/C36</f>
        <v>0.97043858391858961</v>
      </c>
      <c r="E45" s="26">
        <f ca="1">C45/C3</f>
        <v>0.15129153352847854</v>
      </c>
      <c r="F45" s="68">
        <f>LOOKUP("B.1.3.3",FamA_Final_Filter!$A$2:$A$127,FamA_Final_Filter!$C$2:$C$127)</f>
        <v>7736</v>
      </c>
      <c r="G45" s="25">
        <f>F45/F36</f>
        <v>0.98172588832487306</v>
      </c>
      <c r="H45" s="26">
        <f>F45/F3</f>
        <v>1.7597816196542311</v>
      </c>
      <c r="I45" s="68">
        <f>LOOKUP("B.1.3.3",FamA_Final_Filter!$A$2:$A$127,FamA_Final_Filter!$D$2:$D$127)</f>
        <v>183</v>
      </c>
      <c r="J45" s="25">
        <f>I45/I36</f>
        <v>1</v>
      </c>
      <c r="K45" s="26">
        <f>I45/I3</f>
        <v>1</v>
      </c>
      <c r="L45" s="16">
        <v>20</v>
      </c>
      <c r="M45" s="16">
        <v>0.6</v>
      </c>
      <c r="N45" s="16">
        <v>3</v>
      </c>
      <c r="O45" s="16">
        <v>3</v>
      </c>
      <c r="P45" s="16">
        <v>0.9</v>
      </c>
      <c r="Q45" s="16">
        <v>0.02</v>
      </c>
      <c r="R45" s="121">
        <v>5</v>
      </c>
      <c r="W45" s="3"/>
    </row>
    <row r="46" spans="1:23" x14ac:dyDescent="0.25">
      <c r="A46" s="53" t="s">
        <v>21</v>
      </c>
      <c r="B46" s="3" t="s">
        <v>110</v>
      </c>
      <c r="C46" s="68">
        <f>LOOKUP("B.1.3.4",FamA_Final_Filter!$A$2:$A$127,FamA_Final_Filter!$B$2:$B$127)</f>
        <v>23529</v>
      </c>
      <c r="D46" s="14">
        <f>C46/C36</f>
        <v>0.84309158664182315</v>
      </c>
      <c r="E46" s="4">
        <f ca="1">C46/C3</f>
        <v>0.13143811588049964</v>
      </c>
      <c r="F46" s="68">
        <f>LOOKUP("B.1.3.4",FamA_Final_Filter!$A$2:$A$127,FamA_Final_Filter!$C$2:$C$127)</f>
        <v>6656</v>
      </c>
      <c r="G46" s="14">
        <f>F46/F36</f>
        <v>0.84467005076142132</v>
      </c>
      <c r="H46" s="4">
        <f>F46/F3</f>
        <v>1.5141037306642402</v>
      </c>
      <c r="I46" s="68">
        <f>LOOKUP("B.1.3.4",FamA_Final_Filter!$A$2:$A$127,FamA_Final_Filter!$D$2:$D$127)</f>
        <v>183</v>
      </c>
      <c r="J46" s="14">
        <f>I46/I36</f>
        <v>1</v>
      </c>
      <c r="K46" s="4">
        <f>I46/I3</f>
        <v>1</v>
      </c>
      <c r="L46" s="15">
        <v>20</v>
      </c>
      <c r="M46" s="15">
        <v>0.6</v>
      </c>
      <c r="N46" s="15">
        <v>3</v>
      </c>
      <c r="O46" s="2">
        <v>3</v>
      </c>
      <c r="P46" s="15">
        <v>0.9</v>
      </c>
      <c r="Q46" s="15">
        <v>0.02</v>
      </c>
      <c r="R46" s="119">
        <v>10</v>
      </c>
      <c r="W46" s="3"/>
    </row>
    <row r="47" spans="1:23" x14ac:dyDescent="0.25">
      <c r="A47" s="67"/>
      <c r="B47" s="54"/>
      <c r="C47" s="55"/>
      <c r="D47" s="56"/>
      <c r="E47" s="57"/>
      <c r="F47" s="55"/>
      <c r="G47" s="56"/>
      <c r="H47" s="57"/>
      <c r="I47" s="55"/>
      <c r="J47" s="56"/>
      <c r="K47" s="57"/>
      <c r="L47" s="55"/>
      <c r="M47" s="55"/>
      <c r="N47" s="55"/>
      <c r="O47" s="55"/>
      <c r="P47" s="55"/>
      <c r="Q47" s="55"/>
      <c r="R47" s="58"/>
      <c r="S47" s="67"/>
      <c r="T47" s="67"/>
      <c r="U47" s="67"/>
      <c r="V47" s="67"/>
      <c r="W47" s="54"/>
    </row>
    <row r="48" spans="1:23" x14ac:dyDescent="0.25">
      <c r="A48" s="76" t="s">
        <v>24</v>
      </c>
      <c r="B48" s="29" t="s">
        <v>58</v>
      </c>
      <c r="C48" s="68">
        <f>LOOKUP("A.1.1.1.1",FamA_Final_Filter!$A$2:$A$127,FamA_Final_Filter!$B$2:$B$127)</f>
        <v>22391</v>
      </c>
      <c r="D48" s="31">
        <f>1-C48/C38</f>
        <v>0.26250782253548965</v>
      </c>
      <c r="E48" s="32">
        <f ca="1">C48/C3</f>
        <v>0.1250810001564141</v>
      </c>
      <c r="F48" s="68">
        <f>LOOKUP("A.1.1.1.1",FamA_Final_Filter!$A$2:$A$127,FamA_Final_Filter!$C$2:$C$127)</f>
        <v>6324</v>
      </c>
      <c r="G48" s="31">
        <f>1-F48/F38</f>
        <v>0.27268545140885569</v>
      </c>
      <c r="H48" s="32">
        <f>F48/F3</f>
        <v>1.4385805277525023</v>
      </c>
      <c r="I48" s="68">
        <f>LOOKUP("A.1.1.1.1",FamA_Final_Filter!$A$2:$A$127,FamA_Final_Filter!$D$2:$D$127)</f>
        <v>184</v>
      </c>
      <c r="J48" s="31">
        <f>1-I48/I38</f>
        <v>0</v>
      </c>
      <c r="K48" s="32">
        <f>I48/I3</f>
        <v>1.0054644808743169</v>
      </c>
      <c r="L48" s="30">
        <v>20</v>
      </c>
      <c r="M48" s="108" t="s">
        <v>25</v>
      </c>
      <c r="N48" s="30">
        <v>3</v>
      </c>
      <c r="O48" s="30">
        <v>3</v>
      </c>
      <c r="P48" s="30">
        <v>0.99</v>
      </c>
      <c r="Q48" s="30">
        <v>0.02</v>
      </c>
      <c r="R48" s="42">
        <v>5</v>
      </c>
      <c r="W48" s="3"/>
    </row>
    <row r="49" spans="1:23" x14ac:dyDescent="0.25">
      <c r="A49" s="75" t="s">
        <v>24</v>
      </c>
      <c r="B49" s="12" t="s">
        <v>59</v>
      </c>
      <c r="C49" s="68">
        <f>LOOKUP("A.1.1.1.2",FamA_Final_Filter!$A$2:$A$127,FamA_Final_Filter!$B$2:$B$127)</f>
        <v>20303</v>
      </c>
      <c r="D49" s="22">
        <f>1-C49/C38</f>
        <v>0.33128026086097295</v>
      </c>
      <c r="E49" s="23">
        <f ca="1">C49/C3</f>
        <v>0.1134169776327844</v>
      </c>
      <c r="F49" s="68">
        <f>LOOKUP("A.1.1.1.2",FamA_Final_Filter!$A$2:$A$127,FamA_Final_Filter!$C$2:$C$127)</f>
        <v>5744</v>
      </c>
      <c r="G49" s="22">
        <f>1-F49/F38</f>
        <v>0.33939045428407133</v>
      </c>
      <c r="H49" s="23">
        <f>F49/F3</f>
        <v>1.3066424021838035</v>
      </c>
      <c r="I49" s="68">
        <f>LOOKUP("A.1.1.1.2",FamA_Final_Filter!$A$2:$A$127,FamA_Final_Filter!$D$2:$D$127)</f>
        <v>184</v>
      </c>
      <c r="J49" s="22">
        <f>1-I49/I38</f>
        <v>0</v>
      </c>
      <c r="K49" s="23">
        <f>I49/I3</f>
        <v>1.0054644808743169</v>
      </c>
      <c r="L49" s="17">
        <v>20</v>
      </c>
      <c r="M49" s="104" t="s">
        <v>26</v>
      </c>
      <c r="N49" s="17">
        <v>3</v>
      </c>
      <c r="O49" s="17">
        <v>3</v>
      </c>
      <c r="P49" s="17">
        <v>0.99</v>
      </c>
      <c r="Q49" s="17">
        <v>0.02</v>
      </c>
      <c r="R49" s="18">
        <v>5</v>
      </c>
      <c r="W49" s="3"/>
    </row>
    <row r="50" spans="1:23" ht="8.25" customHeight="1" x14ac:dyDescent="0.25">
      <c r="A50" s="82"/>
      <c r="B50" s="87"/>
      <c r="C50" s="83"/>
      <c r="D50" s="84"/>
      <c r="E50" s="90"/>
      <c r="F50" s="83"/>
      <c r="G50" s="84"/>
      <c r="H50" s="90"/>
      <c r="I50" s="83"/>
      <c r="J50" s="84"/>
      <c r="K50" s="90"/>
      <c r="L50" s="83"/>
      <c r="M50" s="111"/>
      <c r="N50" s="83"/>
      <c r="O50" s="83"/>
      <c r="P50" s="83"/>
      <c r="Q50" s="83"/>
      <c r="R50" s="93"/>
      <c r="S50" s="82"/>
      <c r="T50" s="82"/>
      <c r="U50" s="82"/>
      <c r="V50" s="82"/>
      <c r="W50" s="87"/>
    </row>
    <row r="51" spans="1:23" x14ac:dyDescent="0.25">
      <c r="A51" s="53" t="s">
        <v>24</v>
      </c>
      <c r="B51" s="3" t="s">
        <v>63</v>
      </c>
      <c r="C51" s="68">
        <f>LOOKUP("B.1.3.3.1",FamA_Final_Filter!$A$2:$A$127,FamA_Final_Filter!$B$2:$B$127)</f>
        <v>22199</v>
      </c>
      <c r="D51" s="14">
        <f>1-C51/C45</f>
        <v>0.18033452719418086</v>
      </c>
      <c r="E51" s="4">
        <f ca="1">C51/C3</f>
        <v>0.12400844636113779</v>
      </c>
      <c r="F51" s="68">
        <f>LOOKUP("B.1.3.3.1",FamA_Final_Filter!$A$2:$A$127,FamA_Final_Filter!$C$2:$C$127)</f>
        <v>6307</v>
      </c>
      <c r="G51" s="14">
        <f>1-F51/F45</f>
        <v>0.18472078593588415</v>
      </c>
      <c r="H51" s="4">
        <f>F51/F3</f>
        <v>1.4347133757961783</v>
      </c>
      <c r="I51" s="68">
        <f>LOOKUP("B.1.3.3.1",FamA_Final_Filter!$A$2:$A$127,FamA_Final_Filter!$D$2:$D$127)</f>
        <v>183</v>
      </c>
      <c r="J51" s="14">
        <f>1-I51/I45</f>
        <v>0</v>
      </c>
      <c r="K51" s="4">
        <f>I51/I3</f>
        <v>1</v>
      </c>
      <c r="L51" s="15">
        <v>20</v>
      </c>
      <c r="M51" s="106">
        <v>0.75</v>
      </c>
      <c r="N51" s="15">
        <v>3</v>
      </c>
      <c r="O51" s="15">
        <v>3</v>
      </c>
      <c r="P51" s="15">
        <v>0.9</v>
      </c>
      <c r="Q51" s="15">
        <v>0.02</v>
      </c>
      <c r="R51" s="5">
        <v>5</v>
      </c>
      <c r="W51" s="3"/>
    </row>
    <row r="52" spans="1:23" x14ac:dyDescent="0.25">
      <c r="A52" s="78" t="s">
        <v>24</v>
      </c>
      <c r="B52" s="9" t="s">
        <v>68</v>
      </c>
      <c r="C52" s="68">
        <f>LOOKUP("B.1.3.3.2",FamA_Final_Filter!$A$2:$A$127,FamA_Final_Filter!$B$2:$B$127)</f>
        <v>20390</v>
      </c>
      <c r="D52" s="25">
        <f>1-C52/C45</f>
        <v>0.24712919543625156</v>
      </c>
      <c r="E52" s="26">
        <f ca="1">C52/C3</f>
        <v>0.11390297857126896</v>
      </c>
      <c r="F52" s="68">
        <f>LOOKUP("B.1.3.3.2",FamA_Final_Filter!$A$2:$A$127,FamA_Final_Filter!$C$2:$C$127)</f>
        <v>5795</v>
      </c>
      <c r="G52" s="25">
        <f>1-F52/F45</f>
        <v>0.25090486039296789</v>
      </c>
      <c r="H52" s="26">
        <f>F52/F3</f>
        <v>1.3182438580527753</v>
      </c>
      <c r="I52" s="68">
        <f>LOOKUP("B.1.3.3.2",FamA_Final_Filter!$A$2:$A$127,FamA_Final_Filter!$D$2:$D$127)</f>
        <v>183</v>
      </c>
      <c r="J52" s="25">
        <f>1-I52/I45</f>
        <v>0</v>
      </c>
      <c r="K52" s="26">
        <f>I52/I3</f>
        <v>1</v>
      </c>
      <c r="L52" s="16">
        <v>20</v>
      </c>
      <c r="M52" s="107">
        <v>0.8</v>
      </c>
      <c r="N52" s="16">
        <v>3</v>
      </c>
      <c r="O52" s="16">
        <v>3</v>
      </c>
      <c r="P52" s="16">
        <v>0.9</v>
      </c>
      <c r="Q52" s="16">
        <v>0.02</v>
      </c>
      <c r="R52" s="10">
        <v>5</v>
      </c>
      <c r="W52" s="3"/>
    </row>
    <row r="53" spans="1:23" x14ac:dyDescent="0.25">
      <c r="A53" s="80" t="s">
        <v>24</v>
      </c>
      <c r="B53" s="37" t="s">
        <v>69</v>
      </c>
      <c r="C53" s="68">
        <f>LOOKUP("B.1.3.3.3",FamA_Final_Filter!$A$2:$A$127,FamA_Final_Filter!$B$2:$B$127)</f>
        <v>18378</v>
      </c>
      <c r="D53" s="39">
        <f>1-C53/C45</f>
        <v>0.32141934054572985</v>
      </c>
      <c r="E53" s="40">
        <f ca="1">C53/C3</f>
        <v>0.1026635085916028</v>
      </c>
      <c r="F53" s="68">
        <f>LOOKUP("B.1.3.3.3",FamA_Final_Filter!$A$2:$A$127,FamA_Final_Filter!$C$2:$C$127)</f>
        <v>5224</v>
      </c>
      <c r="G53" s="39">
        <f>1-F53/F45</f>
        <v>0.32471561530506721</v>
      </c>
      <c r="H53" s="40">
        <f>F53/F3</f>
        <v>1.1883530482256597</v>
      </c>
      <c r="I53" s="68">
        <f>LOOKUP("B.1.3.3.3",FamA_Final_Filter!$A$2:$A$127,FamA_Final_Filter!$D$2:$D$127)</f>
        <v>183</v>
      </c>
      <c r="J53" s="39">
        <f>1-I53/I45</f>
        <v>0</v>
      </c>
      <c r="K53" s="40">
        <f>I53/I3</f>
        <v>1</v>
      </c>
      <c r="L53" s="38">
        <v>20</v>
      </c>
      <c r="M53" s="122">
        <v>0.85</v>
      </c>
      <c r="N53" s="38">
        <v>3</v>
      </c>
      <c r="O53" s="38">
        <v>3</v>
      </c>
      <c r="P53" s="38">
        <v>0.9</v>
      </c>
      <c r="Q53" s="38">
        <v>0.02</v>
      </c>
      <c r="R53" s="41">
        <v>5</v>
      </c>
      <c r="W53" s="3"/>
    </row>
    <row r="54" spans="1:23" x14ac:dyDescent="0.25">
      <c r="A54" s="67"/>
      <c r="B54" s="54"/>
      <c r="C54" s="55"/>
      <c r="D54" s="56"/>
      <c r="E54" s="57"/>
      <c r="F54" s="55"/>
      <c r="G54" s="56"/>
      <c r="H54" s="57"/>
      <c r="I54" s="55"/>
      <c r="J54" s="56"/>
      <c r="K54" s="57"/>
      <c r="L54" s="55"/>
      <c r="M54" s="55"/>
      <c r="N54" s="55"/>
      <c r="O54" s="55"/>
      <c r="P54" s="55"/>
      <c r="Q54" s="55"/>
      <c r="R54" s="58"/>
      <c r="S54" s="67"/>
      <c r="T54" s="67"/>
      <c r="U54" s="67"/>
      <c r="V54" s="67"/>
      <c r="W54" s="54"/>
    </row>
    <row r="55" spans="1:23" x14ac:dyDescent="0.25">
      <c r="A55" s="76" t="s">
        <v>27</v>
      </c>
      <c r="B55" s="29" t="s">
        <v>78</v>
      </c>
      <c r="C55" s="68">
        <f>LOOKUP("A.1.1.1.1.1",FamA_Final_Filter!$A$2:$A$127,FamA_Final_Filter!$B$2:$B$127)</f>
        <v>22391</v>
      </c>
      <c r="D55" s="31"/>
      <c r="E55" s="32">
        <f ca="1">C55/C3</f>
        <v>0.1250810001564141</v>
      </c>
      <c r="F55" s="68">
        <f>LOOKUP("A.1.1.1.1.1",FamA_Final_Filter!$A$2:$A$127,FamA_Final_Filter!$C$2:$C$127)</f>
        <v>6324</v>
      </c>
      <c r="G55" s="31"/>
      <c r="H55" s="32">
        <f>F55/F3</f>
        <v>1.4385805277525023</v>
      </c>
      <c r="I55" s="68">
        <f>LOOKUP("A.1.1.1.1.1",FamA_Final_Filter!$A$2:$A$127,FamA_Final_Filter!$D$2:$D$127)</f>
        <v>183</v>
      </c>
      <c r="J55" s="31"/>
      <c r="K55" s="32">
        <f>I55/I3</f>
        <v>1</v>
      </c>
      <c r="L55" s="30">
        <v>20</v>
      </c>
      <c r="M55" s="30" t="s">
        <v>25</v>
      </c>
      <c r="N55" s="30">
        <v>3</v>
      </c>
      <c r="O55" s="30">
        <v>3</v>
      </c>
      <c r="P55" s="108">
        <v>0.95</v>
      </c>
      <c r="Q55" s="30">
        <v>0.02</v>
      </c>
      <c r="R55" s="42">
        <v>5</v>
      </c>
      <c r="W55" s="3"/>
    </row>
    <row r="56" spans="1:23" ht="8.25" customHeight="1" x14ac:dyDescent="0.25">
      <c r="A56" s="82"/>
      <c r="B56" s="87"/>
      <c r="C56" s="83"/>
      <c r="D56" s="84"/>
      <c r="E56" s="90"/>
      <c r="F56" s="83"/>
      <c r="G56" s="84"/>
      <c r="H56" s="90"/>
      <c r="I56" s="83"/>
      <c r="J56" s="84"/>
      <c r="K56" s="90"/>
      <c r="L56" s="83"/>
      <c r="M56" s="83"/>
      <c r="N56" s="83"/>
      <c r="O56" s="83"/>
      <c r="P56" s="111"/>
      <c r="Q56" s="83"/>
      <c r="R56" s="93"/>
      <c r="S56" s="82"/>
      <c r="T56" s="82"/>
      <c r="U56" s="82"/>
      <c r="V56" s="82"/>
      <c r="W56" s="87"/>
    </row>
    <row r="57" spans="1:23" x14ac:dyDescent="0.25">
      <c r="A57" s="53" t="s">
        <v>27</v>
      </c>
      <c r="B57" s="3" t="s">
        <v>70</v>
      </c>
      <c r="C57" s="68">
        <f>LOOKUP("A.1.1.1.2.1",FamA_Final_Filter!$A$2:$A$127,FamA_Final_Filter!$B$2:$B$127)</f>
        <v>20303</v>
      </c>
      <c r="E57" s="4">
        <f ca="1">C57/C3</f>
        <v>0.1134169776327844</v>
      </c>
      <c r="F57" s="68">
        <f>LOOKUP("A.1.1.1.2.1",FamA_Final_Filter!$A$2:$A$127,FamA_Final_Filter!$C$2:$C$127)</f>
        <v>5744</v>
      </c>
      <c r="H57" s="4">
        <f>F57/F3</f>
        <v>1.3066424021838035</v>
      </c>
      <c r="I57" s="68">
        <f>LOOKUP("A.1.1.1.2.1",FamA_Final_Filter!$A$2:$A$127,FamA_Final_Filter!$D$2:$D$127)</f>
        <v>183</v>
      </c>
      <c r="K57" s="4">
        <f>I57/I3</f>
        <v>1</v>
      </c>
      <c r="L57" s="15">
        <v>20</v>
      </c>
      <c r="M57" s="15" t="s">
        <v>26</v>
      </c>
      <c r="N57" s="15">
        <v>3</v>
      </c>
      <c r="O57" s="15">
        <v>3</v>
      </c>
      <c r="P57" s="105">
        <v>0.9</v>
      </c>
      <c r="Q57" s="15">
        <v>0.02</v>
      </c>
      <c r="R57" s="5">
        <v>5</v>
      </c>
      <c r="W57" s="3"/>
    </row>
    <row r="58" spans="1:23" x14ac:dyDescent="0.25">
      <c r="A58" s="75" t="s">
        <v>27</v>
      </c>
      <c r="B58" s="12" t="s">
        <v>71</v>
      </c>
      <c r="C58" s="68">
        <f>LOOKUP("A.1.1.1.2.2",FamA_Final_Filter!$A$2:$A$127,FamA_Final_Filter!$B$2:$B$127)</f>
        <v>20303</v>
      </c>
      <c r="D58" s="22"/>
      <c r="E58" s="23">
        <f ca="1">C58/C3</f>
        <v>0.1134169776327844</v>
      </c>
      <c r="F58" s="68">
        <f>LOOKUP("A.1.1.1.2.2",FamA_Final_Filter!$A$2:$A$127,FamA_Final_Filter!$C$2:$C$127)</f>
        <v>5744</v>
      </c>
      <c r="G58" s="22"/>
      <c r="H58" s="23">
        <f>F58/F3</f>
        <v>1.3066424021838035</v>
      </c>
      <c r="I58" s="68">
        <f>LOOKUP("A.1.1.1.2.2",FamA_Final_Filter!$A$2:$A$127,FamA_Final_Filter!$D$2:$D$127)</f>
        <v>183</v>
      </c>
      <c r="J58" s="22"/>
      <c r="K58" s="23">
        <f>I58/I3</f>
        <v>1</v>
      </c>
      <c r="L58" s="17">
        <v>20</v>
      </c>
      <c r="M58" s="17" t="s">
        <v>26</v>
      </c>
      <c r="N58" s="17">
        <v>3</v>
      </c>
      <c r="O58" s="17">
        <v>3</v>
      </c>
      <c r="P58" s="104">
        <v>0.95</v>
      </c>
      <c r="Q58" s="17">
        <v>0.02</v>
      </c>
      <c r="R58" s="18">
        <v>5</v>
      </c>
      <c r="W58" s="3"/>
    </row>
    <row r="59" spans="1:23" ht="8.25" customHeight="1" x14ac:dyDescent="0.25">
      <c r="A59" s="82"/>
      <c r="B59" s="87"/>
      <c r="C59" s="83"/>
      <c r="D59" s="84"/>
      <c r="E59" s="90"/>
      <c r="F59" s="83"/>
      <c r="G59" s="84"/>
      <c r="H59" s="90"/>
      <c r="I59" s="83"/>
      <c r="J59" s="84"/>
      <c r="K59" s="90"/>
      <c r="L59" s="83"/>
      <c r="M59" s="83"/>
      <c r="N59" s="83"/>
      <c r="O59" s="83"/>
      <c r="P59" s="111"/>
      <c r="Q59" s="83"/>
      <c r="R59" s="93"/>
      <c r="S59" s="82"/>
      <c r="T59" s="82"/>
      <c r="U59" s="82"/>
      <c r="V59" s="82"/>
      <c r="W59" s="87"/>
    </row>
    <row r="60" spans="1:23" x14ac:dyDescent="0.25">
      <c r="A60" s="53" t="s">
        <v>27</v>
      </c>
      <c r="B60" s="3" t="s">
        <v>72</v>
      </c>
      <c r="C60" s="68">
        <f>LOOKUP("B.1.3.3.2.1",FamA_Final_Filter!$A$2:$A$127,FamA_Final_Filter!$B$2:$B$127)</f>
        <v>20390</v>
      </c>
      <c r="E60" s="4">
        <f ca="1">C60/C3</f>
        <v>0.11390297857126896</v>
      </c>
      <c r="F60" s="68">
        <f>LOOKUP("B.1.3.3.2.1",FamA_Final_Filter!$A$2:$A$127,FamA_Final_Filter!$C$2:$C$127)</f>
        <v>5795</v>
      </c>
      <c r="H60" s="4">
        <f>F60/F3</f>
        <v>1.3182438580527753</v>
      </c>
      <c r="I60" s="68">
        <f>LOOKUP("B.1.3.3.2.1",FamA_Final_Filter!$A$2:$A$127,FamA_Final_Filter!$D$2:$D$127)</f>
        <v>183</v>
      </c>
      <c r="K60" s="4">
        <f>I60/I3</f>
        <v>1</v>
      </c>
      <c r="L60" s="15">
        <v>20</v>
      </c>
      <c r="M60" s="15">
        <v>0.8</v>
      </c>
      <c r="N60" s="15">
        <v>3</v>
      </c>
      <c r="O60" s="15">
        <v>3</v>
      </c>
      <c r="P60" s="106">
        <v>0.85</v>
      </c>
      <c r="Q60" s="15">
        <v>0.02</v>
      </c>
      <c r="R60" s="5">
        <v>5</v>
      </c>
      <c r="W60" s="3"/>
    </row>
    <row r="61" spans="1:23" x14ac:dyDescent="0.25">
      <c r="A61" s="53" t="s">
        <v>27</v>
      </c>
      <c r="B61" s="3" t="s">
        <v>73</v>
      </c>
      <c r="C61" s="68">
        <f>LOOKUP("B.1.3.3.2.2",FamA_Final_Filter!$A$2:$A$127,FamA_Final_Filter!$B$2:$B$127)</f>
        <v>20390</v>
      </c>
      <c r="E61" s="4">
        <f ca="1">C61/C3</f>
        <v>0.11390297857126896</v>
      </c>
      <c r="F61" s="68">
        <f>LOOKUP("B.1.3.3.2.2",FamA_Final_Filter!$A$2:$A$127,FamA_Final_Filter!$C$2:$C$127)</f>
        <v>5795</v>
      </c>
      <c r="H61" s="4">
        <f>F61/F3</f>
        <v>1.3182438580527753</v>
      </c>
      <c r="I61" s="68">
        <f>LOOKUP("B.1.3.3.2.2",FamA_Final_Filter!$A$2:$A$127,FamA_Final_Filter!$D$2:$D$127)</f>
        <v>183</v>
      </c>
      <c r="K61" s="4">
        <f>I61/I3</f>
        <v>1</v>
      </c>
      <c r="L61" s="15">
        <v>20</v>
      </c>
      <c r="M61" s="15">
        <v>0.8</v>
      </c>
      <c r="N61" s="15">
        <v>3</v>
      </c>
      <c r="O61" s="15">
        <v>3</v>
      </c>
      <c r="P61" s="106">
        <v>0.8</v>
      </c>
      <c r="Q61" s="15">
        <v>0.02</v>
      </c>
      <c r="R61" s="5">
        <v>5</v>
      </c>
      <c r="W61" s="3"/>
    </row>
    <row r="62" spans="1:23" x14ac:dyDescent="0.25">
      <c r="A62" s="78" t="s">
        <v>27</v>
      </c>
      <c r="B62" s="9" t="s">
        <v>74</v>
      </c>
      <c r="C62" s="68">
        <f>LOOKUP("B.1.3.3.2.3",FamA_Final_Filter!$A$2:$A$127,FamA_Final_Filter!$B$2:$B$127)</f>
        <v>20390</v>
      </c>
      <c r="D62" s="25"/>
      <c r="E62" s="26">
        <f ca="1">C62/C3</f>
        <v>0.11390297857126896</v>
      </c>
      <c r="F62" s="68">
        <f>LOOKUP("B.1.3.3.2.3",FamA_Final_Filter!$A$2:$A$127,FamA_Final_Filter!$C$2:$C$127)</f>
        <v>5795</v>
      </c>
      <c r="G62" s="25"/>
      <c r="H62" s="26">
        <f>F62/F3</f>
        <v>1.3182438580527753</v>
      </c>
      <c r="I62" s="68">
        <f>LOOKUP("B.1.3.3.2.3",FamA_Final_Filter!$A$2:$A$127,FamA_Final_Filter!$D$2:$D$127)</f>
        <v>183</v>
      </c>
      <c r="J62" s="25"/>
      <c r="K62" s="26">
        <f>I62/I3</f>
        <v>1</v>
      </c>
      <c r="L62" s="16">
        <v>20</v>
      </c>
      <c r="M62" s="16">
        <v>0.8</v>
      </c>
      <c r="N62" s="16">
        <v>3</v>
      </c>
      <c r="O62" s="16">
        <v>3</v>
      </c>
      <c r="P62" s="107">
        <v>0.75</v>
      </c>
      <c r="Q62" s="16">
        <v>0.02</v>
      </c>
      <c r="R62" s="10">
        <v>5</v>
      </c>
      <c r="W62" s="3"/>
    </row>
    <row r="63" spans="1:23" ht="8.25" customHeight="1" x14ac:dyDescent="0.25">
      <c r="A63" s="82"/>
      <c r="B63" s="87"/>
      <c r="C63" s="83"/>
      <c r="D63" s="84"/>
      <c r="E63" s="90"/>
      <c r="F63" s="83"/>
      <c r="G63" s="84"/>
      <c r="H63" s="90"/>
      <c r="I63" s="83"/>
      <c r="J63" s="84"/>
      <c r="K63" s="90"/>
      <c r="L63" s="83"/>
      <c r="M63" s="83"/>
      <c r="N63" s="83"/>
      <c r="O63" s="83"/>
      <c r="P63" s="111"/>
      <c r="Q63" s="83"/>
      <c r="R63" s="93"/>
      <c r="S63" s="82"/>
      <c r="T63" s="82"/>
      <c r="U63" s="82"/>
      <c r="V63" s="82"/>
      <c r="W63" s="87"/>
    </row>
    <row r="64" spans="1:23" x14ac:dyDescent="0.25">
      <c r="A64" s="80" t="s">
        <v>27</v>
      </c>
      <c r="B64" s="37" t="s">
        <v>75</v>
      </c>
      <c r="C64" s="68">
        <f>LOOKUP("B.1.3.3.3.1",FamA_Final_Filter!$A$2:$A$127,FamA_Final_Filter!$B$2:$B$127)</f>
        <v>18378</v>
      </c>
      <c r="D64" s="39"/>
      <c r="E64" s="40">
        <f ca="1">C64/C3</f>
        <v>0.1026635085916028</v>
      </c>
      <c r="F64" s="68">
        <f>LOOKUP("B.1.3.3.3.1",FamA_Final_Filter!$A$2:$A$127,FamA_Final_Filter!$C$2:$C$127)</f>
        <v>5224</v>
      </c>
      <c r="G64" s="39"/>
      <c r="H64" s="40">
        <f>F64/F3</f>
        <v>1.1883530482256597</v>
      </c>
      <c r="I64" s="68">
        <f>LOOKUP("B.1.3.3.3.1",FamA_Final_Filter!$A$2:$A$127,FamA_Final_Filter!$D$2:$D$127)</f>
        <v>183</v>
      </c>
      <c r="J64" s="39"/>
      <c r="K64" s="40">
        <f>I64/I3</f>
        <v>1</v>
      </c>
      <c r="L64" s="38">
        <v>20</v>
      </c>
      <c r="M64" s="38">
        <v>0.85</v>
      </c>
      <c r="N64" s="38">
        <v>3</v>
      </c>
      <c r="O64" s="38">
        <v>3</v>
      </c>
      <c r="P64" s="122">
        <v>0.85</v>
      </c>
      <c r="Q64" s="38">
        <v>0.02</v>
      </c>
      <c r="R64" s="41">
        <v>5</v>
      </c>
      <c r="W64" s="3"/>
    </row>
    <row r="65" spans="1:23" x14ac:dyDescent="0.25">
      <c r="A65" s="53" t="s">
        <v>27</v>
      </c>
      <c r="B65" s="3" t="s">
        <v>76</v>
      </c>
      <c r="C65" s="68">
        <f>LOOKUP("B.1.3.3.3.1",FamA_Final_Filter!$A$2:$A$127,FamA_Final_Filter!$B$2:$B$127)</f>
        <v>18378</v>
      </c>
      <c r="E65" s="4">
        <f ca="1">C65/C3</f>
        <v>0.1026635085916028</v>
      </c>
      <c r="F65" s="68">
        <f>LOOKUP("B.1.3.3.3.1",FamA_Final_Filter!$A$2:$A$127,FamA_Final_Filter!$C$2:$C$127)</f>
        <v>5224</v>
      </c>
      <c r="H65" s="4">
        <f>F65/F3</f>
        <v>1.1883530482256597</v>
      </c>
      <c r="I65" s="68">
        <f>LOOKUP("B.1.3.3.3.1",FamA_Final_Filter!$A$2:$A$127,FamA_Final_Filter!$D$2:$D$127)</f>
        <v>183</v>
      </c>
      <c r="K65" s="4">
        <f>I65/I3</f>
        <v>1</v>
      </c>
      <c r="L65" s="15">
        <v>20</v>
      </c>
      <c r="M65" s="15">
        <v>0.85</v>
      </c>
      <c r="N65" s="15">
        <v>3</v>
      </c>
      <c r="O65" s="15">
        <v>3</v>
      </c>
      <c r="P65" s="106">
        <v>0.8</v>
      </c>
      <c r="Q65" s="15">
        <v>0.02</v>
      </c>
      <c r="R65" s="5">
        <v>5</v>
      </c>
      <c r="W65" s="3"/>
    </row>
    <row r="66" spans="1:23" x14ac:dyDescent="0.25">
      <c r="A66" s="53" t="s">
        <v>27</v>
      </c>
      <c r="B66" s="3" t="s">
        <v>77</v>
      </c>
      <c r="C66" s="68">
        <f>LOOKUP("B.1.3.3.3.1",FamA_Final_Filter!$A$2:$A$127,FamA_Final_Filter!$B$2:$B$127)</f>
        <v>18378</v>
      </c>
      <c r="E66" s="4">
        <f ca="1">C66/C3</f>
        <v>0.1026635085916028</v>
      </c>
      <c r="F66" s="68">
        <f>LOOKUP("B.1.3.3.3.1",FamA_Final_Filter!$A$2:$A$127,FamA_Final_Filter!$C$2:$C$127)</f>
        <v>5224</v>
      </c>
      <c r="H66" s="4">
        <f>F66/F3</f>
        <v>1.1883530482256597</v>
      </c>
      <c r="I66" s="68">
        <f>LOOKUP("B.1.3.3.3.1",FamA_Final_Filter!$A$2:$A$127,FamA_Final_Filter!$D$2:$D$127)</f>
        <v>183</v>
      </c>
      <c r="K66" s="4">
        <f>I66/I3</f>
        <v>1</v>
      </c>
      <c r="L66" s="15">
        <v>20</v>
      </c>
      <c r="M66" s="15">
        <v>0.85</v>
      </c>
      <c r="N66" s="15">
        <v>3</v>
      </c>
      <c r="O66" s="15">
        <v>3</v>
      </c>
      <c r="P66" s="106">
        <v>0.75</v>
      </c>
      <c r="Q66" s="15">
        <v>0.02</v>
      </c>
      <c r="R66" s="5">
        <v>5</v>
      </c>
      <c r="W66" s="3"/>
    </row>
    <row r="67" spans="1:23" x14ac:dyDescent="0.25">
      <c r="A67" s="67"/>
      <c r="B67" s="54"/>
      <c r="C67" s="55"/>
      <c r="D67" s="56"/>
      <c r="E67" s="57"/>
      <c r="F67" s="55"/>
      <c r="G67" s="56"/>
      <c r="H67" s="57"/>
      <c r="I67" s="55"/>
      <c r="J67" s="56"/>
      <c r="K67" s="57"/>
      <c r="L67" s="55"/>
      <c r="M67" s="55"/>
      <c r="N67" s="55"/>
      <c r="O67" s="55"/>
      <c r="P67" s="55"/>
      <c r="Q67" s="55"/>
      <c r="R67" s="58"/>
      <c r="S67" s="67"/>
      <c r="T67" s="67"/>
      <c r="U67" s="67"/>
      <c r="V67" s="67"/>
      <c r="W67" s="54"/>
    </row>
    <row r="68" spans="1:23" x14ac:dyDescent="0.25">
      <c r="A68" s="76" t="s">
        <v>28</v>
      </c>
      <c r="B68" s="29" t="s">
        <v>79</v>
      </c>
      <c r="C68" s="68">
        <f>LOOKUP("A.1.1.1.1.1.1",FamA_Final_Filter!$A$2:$A$127,FamA_Final_Filter!$B$2:$B$127)</f>
        <v>17720</v>
      </c>
      <c r="D68" s="31">
        <f>1-C68/C55</f>
        <v>0.20861060247420837</v>
      </c>
      <c r="E68" s="32">
        <f ca="1">C68/C3</f>
        <v>9.8987777355708004E-2</v>
      </c>
      <c r="F68" s="68">
        <f>LOOKUP("A.1.1.1.1.1.1",FamA_Final_Filter!$A$2:$A$127,FamA_Final_Filter!$C$2:$C$127)</f>
        <v>5044</v>
      </c>
      <c r="G68" s="31">
        <f>1-F68/F55</f>
        <v>0.20240354206198607</v>
      </c>
      <c r="H68" s="32">
        <f>F68/F3</f>
        <v>1.1474067333939946</v>
      </c>
      <c r="I68" s="68">
        <f>LOOKUP("A.1.1.1.1.1.1",FamA_Final_Filter!$A$2:$A$127,FamA_Final_Filter!$D$2:$D$127)</f>
        <v>183</v>
      </c>
      <c r="J68" s="31">
        <f>1-I68/I55</f>
        <v>0</v>
      </c>
      <c r="K68" s="32">
        <f>I68/I3</f>
        <v>1</v>
      </c>
      <c r="L68" s="30">
        <v>20</v>
      </c>
      <c r="M68" s="30" t="s">
        <v>25</v>
      </c>
      <c r="N68" s="30">
        <v>3</v>
      </c>
      <c r="O68" s="30">
        <v>3</v>
      </c>
      <c r="P68" s="30">
        <v>0.95</v>
      </c>
      <c r="Q68" s="108">
        <v>0.03</v>
      </c>
      <c r="R68" s="123">
        <v>20</v>
      </c>
      <c r="W68" s="3"/>
    </row>
    <row r="69" spans="1:23" x14ac:dyDescent="0.25">
      <c r="A69" s="53" t="s">
        <v>28</v>
      </c>
      <c r="B69" s="6" t="s">
        <v>80</v>
      </c>
      <c r="C69" s="68">
        <f>LOOKUP("A.1.1.1.1.1.2",FamA_Final_Filter!$A$2:$A$127,FamA_Final_Filter!$B$2:$B$127)</f>
        <v>17467</v>
      </c>
      <c r="D69" s="14">
        <f>1-C69/C55</f>
        <v>0.21990978518154614</v>
      </c>
      <c r="E69" s="4">
        <f ca="1">C69/C3</f>
        <v>9.757446428172413E-2</v>
      </c>
      <c r="F69" s="68">
        <f>LOOKUP("A.1.1.1.1.1.2",FamA_Final_Filter!$A$2:$A$127,FamA_Final_Filter!$C$2:$C$127)</f>
        <v>5034</v>
      </c>
      <c r="G69" s="14">
        <f>1-F69/F55</f>
        <v>0.20398481973434535</v>
      </c>
      <c r="H69" s="4">
        <f>F69/F3</f>
        <v>1.1451319381255687</v>
      </c>
      <c r="I69" s="68">
        <f>LOOKUP("A.1.1.1.1.1.2",FamA_Final_Filter!$A$2:$A$127,FamA_Final_Filter!$D$2:$D$127)</f>
        <v>183</v>
      </c>
      <c r="J69" s="14">
        <f>1-I69/I55</f>
        <v>0</v>
      </c>
      <c r="K69" s="4">
        <f>I69/I3</f>
        <v>1</v>
      </c>
      <c r="L69" s="15">
        <v>20</v>
      </c>
      <c r="M69" s="15" t="s">
        <v>25</v>
      </c>
      <c r="N69" s="15">
        <v>3</v>
      </c>
      <c r="O69" s="15">
        <v>3</v>
      </c>
      <c r="P69" s="2">
        <v>0.95</v>
      </c>
      <c r="Q69" s="106">
        <v>0.05</v>
      </c>
      <c r="R69" s="119">
        <v>20</v>
      </c>
      <c r="W69" s="3"/>
    </row>
    <row r="70" spans="1:23" ht="8.25" customHeight="1" x14ac:dyDescent="0.25">
      <c r="A70" s="82"/>
      <c r="B70" s="87"/>
      <c r="C70" s="83"/>
      <c r="D70" s="84"/>
      <c r="E70" s="90"/>
      <c r="F70" s="83"/>
      <c r="G70" s="84"/>
      <c r="H70" s="90"/>
      <c r="I70" s="83"/>
      <c r="J70" s="84"/>
      <c r="K70" s="90"/>
      <c r="L70" s="83"/>
      <c r="M70" s="83"/>
      <c r="N70" s="83"/>
      <c r="O70" s="83"/>
      <c r="P70" s="83"/>
      <c r="Q70" s="111"/>
      <c r="R70" s="120"/>
      <c r="S70" s="82"/>
      <c r="T70" s="82"/>
      <c r="U70" s="82"/>
      <c r="V70" s="82"/>
      <c r="W70" s="87"/>
    </row>
    <row r="71" spans="1:23" x14ac:dyDescent="0.25">
      <c r="A71" s="53" t="s">
        <v>28</v>
      </c>
      <c r="B71" s="6" t="s">
        <v>82</v>
      </c>
      <c r="C71" s="68">
        <f>LOOKUP("A.1.1.1.2.2.1",FamA_Final_Filter!$A$2:$A$127,FamA_Final_Filter!$B$2:$B$127)</f>
        <v>19264</v>
      </c>
      <c r="D71" s="14">
        <f>1-C71/C58</f>
        <v>5.1174703245825737E-2</v>
      </c>
      <c r="E71" s="4">
        <f ca="1">C71/C3</f>
        <v>0.10761289745938819</v>
      </c>
      <c r="F71" s="68">
        <f>LOOKUP("A.1.1.1.2.2.1",FamA_Final_Filter!$A$2:$A$127,FamA_Final_Filter!$C$2:$C$127)</f>
        <v>5578</v>
      </c>
      <c r="G71" s="14">
        <f>1-F71/F58</f>
        <v>2.8899721448467974E-2</v>
      </c>
      <c r="H71" s="4">
        <f>F71/F3</f>
        <v>1.2688808007279344</v>
      </c>
      <c r="I71" s="68">
        <f>LOOKUP("A.1.1.1.2.2.1",FamA_Final_Filter!$A$2:$A$127,FamA_Final_Filter!$D$2:$D$127)</f>
        <v>183</v>
      </c>
      <c r="J71" s="14">
        <f>1-I71/I58</f>
        <v>0</v>
      </c>
      <c r="K71" s="4">
        <f>I71/I3</f>
        <v>1</v>
      </c>
      <c r="L71" s="15">
        <v>20</v>
      </c>
      <c r="M71" s="15" t="s">
        <v>26</v>
      </c>
      <c r="N71" s="15">
        <v>3</v>
      </c>
      <c r="O71" s="15">
        <v>3</v>
      </c>
      <c r="P71" s="2">
        <v>0.95</v>
      </c>
      <c r="Q71" s="106">
        <v>0.05</v>
      </c>
      <c r="R71" s="119">
        <v>10</v>
      </c>
      <c r="W71" s="3"/>
    </row>
    <row r="72" spans="1:23" x14ac:dyDescent="0.25">
      <c r="A72" s="53" t="s">
        <v>28</v>
      </c>
      <c r="B72" s="6" t="s">
        <v>83</v>
      </c>
      <c r="C72" s="68">
        <f>LOOKUP("A.1.1.1.2.2.2",FamA_Final_Filter!$A$2:$A$127,FamA_Final_Filter!$B$2:$B$127)</f>
        <v>18094</v>
      </c>
      <c r="D72" s="14">
        <f>1-C72/C58</f>
        <v>0.10880165492784322</v>
      </c>
      <c r="E72" s="4">
        <f ca="1">C72/C3</f>
        <v>0.10107702276942328</v>
      </c>
      <c r="F72" s="68">
        <f>LOOKUP("A.1.1.1.2.2.2",FamA_Final_Filter!$A$2:$A$127,FamA_Final_Filter!$C$2:$C$127)</f>
        <v>5213</v>
      </c>
      <c r="G72" s="14">
        <f>1-F72/F58</f>
        <v>9.2444289693593307E-2</v>
      </c>
      <c r="H72" s="4">
        <f>F72/F3</f>
        <v>1.1858507734303914</v>
      </c>
      <c r="I72" s="68">
        <f>LOOKUP("A.1.1.1.2.2.2",FamA_Final_Filter!$A$2:$A$127,FamA_Final_Filter!$D$2:$D$127)</f>
        <v>183</v>
      </c>
      <c r="J72" s="14">
        <f>1-I72/I58</f>
        <v>0</v>
      </c>
      <c r="K72" s="4">
        <f>I72/I3</f>
        <v>1</v>
      </c>
      <c r="L72" s="15">
        <v>20</v>
      </c>
      <c r="M72" s="15" t="s">
        <v>26</v>
      </c>
      <c r="N72" s="15">
        <v>3</v>
      </c>
      <c r="O72" s="15">
        <v>3</v>
      </c>
      <c r="P72" s="2">
        <v>0.95</v>
      </c>
      <c r="Q72" s="106">
        <v>0.05</v>
      </c>
      <c r="R72" s="119">
        <v>15</v>
      </c>
      <c r="W72" s="3"/>
    </row>
    <row r="73" spans="1:23" x14ac:dyDescent="0.25">
      <c r="A73" s="75" t="s">
        <v>28</v>
      </c>
      <c r="B73" s="12" t="s">
        <v>81</v>
      </c>
      <c r="C73" s="68">
        <f>LOOKUP("A.1.1.1.2.2.3",FamA_Final_Filter!$A$2:$A$127,FamA_Final_Filter!$B$2:$B$127)</f>
        <v>16818</v>
      </c>
      <c r="D73" s="22">
        <f>1-C73/C58</f>
        <v>0.17164950992464167</v>
      </c>
      <c r="E73" s="23">
        <f ca="1">C73/C3</f>
        <v>9.3949009004982903E-2</v>
      </c>
      <c r="F73" s="68">
        <f>LOOKUP("A.1.1.1.2.2.3",FamA_Final_Filter!$A$2:$A$127,FamA_Final_Filter!$C$2:$C$127)</f>
        <v>4837</v>
      </c>
      <c r="G73" s="22">
        <f>1-F73/F58</f>
        <v>0.15790389972144847</v>
      </c>
      <c r="H73" s="23">
        <f>F73/F3</f>
        <v>1.1003184713375795</v>
      </c>
      <c r="I73" s="68">
        <f>LOOKUP("A.1.1.1.2.2.3",FamA_Final_Filter!$A$2:$A$127,FamA_Final_Filter!$D$2:$D$127)</f>
        <v>183</v>
      </c>
      <c r="J73" s="22">
        <f>1-I73/I58</f>
        <v>0</v>
      </c>
      <c r="K73" s="23">
        <f>I73/I3</f>
        <v>1</v>
      </c>
      <c r="L73" s="17">
        <v>20</v>
      </c>
      <c r="M73" s="17" t="s">
        <v>26</v>
      </c>
      <c r="N73" s="17">
        <v>3</v>
      </c>
      <c r="O73" s="17">
        <v>3</v>
      </c>
      <c r="P73" s="17">
        <v>0.95</v>
      </c>
      <c r="Q73" s="104">
        <v>0.05</v>
      </c>
      <c r="R73" s="118">
        <v>20</v>
      </c>
      <c r="W73" s="3"/>
    </row>
    <row r="74" spans="1:23" x14ac:dyDescent="0.25">
      <c r="A74" s="53" t="s">
        <v>28</v>
      </c>
      <c r="B74" s="6" t="s">
        <v>84</v>
      </c>
      <c r="C74" s="68">
        <f>LOOKUP("A.1.1.1.2.2.4",FamA_Final_Filter!$A$2:$A$127,FamA_Final_Filter!$B$2:$B$127)</f>
        <v>19538</v>
      </c>
      <c r="D74" s="14">
        <f>1-C75/C58</f>
        <v>9.6094173274885453E-2</v>
      </c>
      <c r="E74" s="4">
        <f ca="1">C75/C3</f>
        <v>0.10251826693182579</v>
      </c>
      <c r="F74" s="68">
        <f>LOOKUP("A.1.1.1.2.2.4",FamA_Final_Filter!$A$2:$A$127,FamA_Final_Filter!$C$2:$C$127)</f>
        <v>5586</v>
      </c>
      <c r="G74" s="14">
        <f>1-F75/F58</f>
        <v>9.0703342618384419E-2</v>
      </c>
      <c r="H74" s="4">
        <f>F75/F3</f>
        <v>1.188125568698817</v>
      </c>
      <c r="I74" s="68">
        <f>LOOKUP("A.1.1.1.2.2.4",FamA_Final_Filter!$A$2:$A$127,FamA_Final_Filter!$D$2:$D$127)</f>
        <v>183</v>
      </c>
      <c r="J74" s="14">
        <f>1-I75/I58</f>
        <v>0</v>
      </c>
      <c r="K74" s="4">
        <f>I75/I3</f>
        <v>1</v>
      </c>
      <c r="L74" s="15">
        <v>20</v>
      </c>
      <c r="M74" s="15" t="s">
        <v>26</v>
      </c>
      <c r="N74" s="15">
        <v>3</v>
      </c>
      <c r="O74" s="15">
        <v>3</v>
      </c>
      <c r="P74" s="2">
        <v>0.95</v>
      </c>
      <c r="Q74" s="106">
        <v>0.03</v>
      </c>
      <c r="R74" s="119">
        <v>10</v>
      </c>
      <c r="W74" s="3"/>
    </row>
    <row r="75" spans="1:23" x14ac:dyDescent="0.25">
      <c r="A75" s="53" t="s">
        <v>28</v>
      </c>
      <c r="B75" s="6" t="s">
        <v>85</v>
      </c>
      <c r="C75" s="68">
        <f>LOOKUP("A.1.1.1.2.2.5",FamA_Final_Filter!$A$2:$A$127,FamA_Final_Filter!$B$2:$B$127)</f>
        <v>18352</v>
      </c>
      <c r="D75" s="14">
        <f>1-C75/C58</f>
        <v>9.6094173274885453E-2</v>
      </c>
      <c r="E75" s="4">
        <f ca="1">C75/C3</f>
        <v>0.10251826693182579</v>
      </c>
      <c r="F75" s="68">
        <f>LOOKUP("A.1.1.1.2.2.5",FamA_Final_Filter!$A$2:$A$127,FamA_Final_Filter!$C$2:$C$127)</f>
        <v>5223</v>
      </c>
      <c r="G75" s="14">
        <f>1-F75/F58</f>
        <v>9.0703342618384419E-2</v>
      </c>
      <c r="H75" s="4">
        <f>F75/F3</f>
        <v>1.188125568698817</v>
      </c>
      <c r="I75" s="68">
        <f>LOOKUP("A.1.1.1.2.2.5",FamA_Final_Filter!$A$2:$A$127,FamA_Final_Filter!$D$2:$D$127)</f>
        <v>183</v>
      </c>
      <c r="J75" s="14">
        <f>1-I75/I58</f>
        <v>0</v>
      </c>
      <c r="K75" s="4">
        <f>I75/I3</f>
        <v>1</v>
      </c>
      <c r="L75" s="15">
        <v>20</v>
      </c>
      <c r="M75" s="15" t="s">
        <v>26</v>
      </c>
      <c r="N75" s="15">
        <v>3</v>
      </c>
      <c r="O75" s="15">
        <v>3</v>
      </c>
      <c r="P75" s="2">
        <v>0.95</v>
      </c>
      <c r="Q75" s="106">
        <v>0.03</v>
      </c>
      <c r="R75" s="119">
        <v>15</v>
      </c>
      <c r="W75" s="3"/>
    </row>
    <row r="76" spans="1:23" x14ac:dyDescent="0.25">
      <c r="A76" s="53" t="s">
        <v>28</v>
      </c>
      <c r="B76" s="6" t="s">
        <v>86</v>
      </c>
      <c r="C76" s="68">
        <f>LOOKUP("A.1.1.1.2.2.6",FamA_Final_Filter!$A$2:$A$127,FamA_Final_Filter!$B$2:$B$127)</f>
        <v>17051</v>
      </c>
      <c r="D76" s="14">
        <f>1-C76/C58</f>
        <v>0.16017337339309456</v>
      </c>
      <c r="E76" s="4">
        <f ca="1">C76/C3</f>
        <v>9.5250597725292166E-2</v>
      </c>
      <c r="F76" s="68">
        <f>LOOKUP("A.1.1.1.2.2.6",FamA_Final_Filter!$A$2:$A$127,FamA_Final_Filter!$C$2:$C$127)</f>
        <v>4846</v>
      </c>
      <c r="G76" s="14">
        <f>1-F76/F58</f>
        <v>0.15633704735376042</v>
      </c>
      <c r="H76" s="4">
        <f>F76/F3</f>
        <v>1.1023657870791628</v>
      </c>
      <c r="I76" s="68">
        <f>LOOKUP("A.1.1.1.2.2.6",FamA_Final_Filter!$A$2:$A$127,FamA_Final_Filter!$D$2:$D$127)</f>
        <v>183</v>
      </c>
      <c r="J76" s="14">
        <f>1-I76/I58</f>
        <v>0</v>
      </c>
      <c r="K76" s="4">
        <f>I76/I3</f>
        <v>1</v>
      </c>
      <c r="L76" s="15">
        <v>20</v>
      </c>
      <c r="M76" s="15" t="s">
        <v>26</v>
      </c>
      <c r="N76" s="15">
        <v>3</v>
      </c>
      <c r="O76" s="15">
        <v>3</v>
      </c>
      <c r="P76" s="2">
        <v>0.95</v>
      </c>
      <c r="Q76" s="106">
        <v>0.03</v>
      </c>
      <c r="R76" s="119">
        <v>20</v>
      </c>
      <c r="W76" s="3"/>
    </row>
    <row r="77" spans="1:23" ht="8.25" customHeight="1" x14ac:dyDescent="0.25">
      <c r="A77" s="82"/>
      <c r="B77" s="87"/>
      <c r="C77" s="83"/>
      <c r="D77" s="84"/>
      <c r="E77" s="90"/>
      <c r="F77" s="83"/>
      <c r="G77" s="84"/>
      <c r="H77" s="90"/>
      <c r="I77" s="83"/>
      <c r="J77" s="84"/>
      <c r="K77" s="90"/>
      <c r="L77" s="83"/>
      <c r="M77" s="83"/>
      <c r="N77" s="83"/>
      <c r="O77" s="83"/>
      <c r="P77" s="83"/>
      <c r="Q77" s="111"/>
      <c r="R77" s="120"/>
      <c r="S77" s="82"/>
      <c r="T77" s="82"/>
      <c r="U77" s="82"/>
      <c r="V77" s="82"/>
      <c r="W77" s="87"/>
    </row>
    <row r="78" spans="1:23" x14ac:dyDescent="0.25">
      <c r="A78" s="53" t="s">
        <v>28</v>
      </c>
      <c r="B78" s="6" t="s">
        <v>88</v>
      </c>
      <c r="C78" s="68">
        <f>LOOKUP("B.1.3.3.2.3.1",FamA_Final_Filter!$A$2:$A$127,FamA_Final_Filter!$B$2:$B$127)</f>
        <v>19734</v>
      </c>
      <c r="D78" s="14">
        <f>1-C78/C62</f>
        <v>3.2172633643943072E-2</v>
      </c>
      <c r="E78" s="4">
        <f ca="1">C78/C3</f>
        <v>0.11023841977074163</v>
      </c>
      <c r="F78" s="68">
        <f>LOOKUP("B.1.3.3.2.3.1",FamA_Final_Filter!$A$2:$A$127,FamA_Final_Filter!$C$2:$C$127)</f>
        <v>5636</v>
      </c>
      <c r="G78" s="14">
        <f>1-F78/F62</f>
        <v>2.7437446074201843E-2</v>
      </c>
      <c r="H78" s="4">
        <f>F78/F3</f>
        <v>1.2820746132848044</v>
      </c>
      <c r="I78" s="68">
        <f>LOOKUP("B.1.3.3.2.3.1",FamA_Final_Filter!$A$2:$A$127,FamA_Final_Filter!$D$2:$D$127)</f>
        <v>183</v>
      </c>
      <c r="J78" s="14">
        <f>1-I78/I62</f>
        <v>0</v>
      </c>
      <c r="K78" s="4">
        <f>I78/I3</f>
        <v>1</v>
      </c>
      <c r="L78" s="15">
        <v>20</v>
      </c>
      <c r="M78" s="15">
        <v>0.8</v>
      </c>
      <c r="N78" s="15">
        <v>3</v>
      </c>
      <c r="O78" s="15">
        <v>3</v>
      </c>
      <c r="P78" s="15">
        <v>0.75</v>
      </c>
      <c r="Q78" s="106">
        <v>0.03</v>
      </c>
      <c r="R78" s="119">
        <v>10</v>
      </c>
      <c r="W78" s="3"/>
    </row>
    <row r="79" spans="1:23" x14ac:dyDescent="0.25">
      <c r="A79" s="78" t="s">
        <v>28</v>
      </c>
      <c r="B79" s="9" t="s">
        <v>87</v>
      </c>
      <c r="C79" s="68">
        <f>LOOKUP("B.1.3.3.2.3.2",FamA_Final_Filter!$A$2:$A$127,FamA_Final_Filter!$B$2:$B$127)</f>
        <v>17145</v>
      </c>
      <c r="D79" s="25">
        <f>1-C79/C62</f>
        <v>0.15914664051005389</v>
      </c>
      <c r="E79" s="26">
        <f ca="1">C79/C3</f>
        <v>9.5775702187562844E-2</v>
      </c>
      <c r="F79" s="68">
        <f>LOOKUP("B.1.3.3.2.3.2",FamA_Final_Filter!$A$2:$A$127,FamA_Final_Filter!$C$2:$C$127)</f>
        <v>4871</v>
      </c>
      <c r="G79" s="25">
        <f>1-F79/F62</f>
        <v>0.1594477998274374</v>
      </c>
      <c r="H79" s="26">
        <f>F79/F3</f>
        <v>1.1080527752502274</v>
      </c>
      <c r="I79" s="68">
        <f>LOOKUP("B.1.3.3.2.3.2",FamA_Final_Filter!$A$2:$A$127,FamA_Final_Filter!$D$2:$D$127)</f>
        <v>183</v>
      </c>
      <c r="J79" s="25">
        <f>1-I79/I62</f>
        <v>0</v>
      </c>
      <c r="K79" s="26">
        <f>I79/I3</f>
        <v>1</v>
      </c>
      <c r="L79" s="16">
        <v>20</v>
      </c>
      <c r="M79" s="16">
        <v>0.8</v>
      </c>
      <c r="N79" s="16">
        <v>3</v>
      </c>
      <c r="O79" s="16">
        <v>3</v>
      </c>
      <c r="P79" s="16">
        <v>0.75</v>
      </c>
      <c r="Q79" s="107">
        <v>0.03</v>
      </c>
      <c r="R79" s="121">
        <v>20</v>
      </c>
      <c r="W79" s="3"/>
    </row>
    <row r="80" spans="1:23" x14ac:dyDescent="0.25">
      <c r="A80" s="53" t="s">
        <v>28</v>
      </c>
      <c r="B80" s="6" t="s">
        <v>89</v>
      </c>
      <c r="C80" s="68">
        <f>LOOKUP("B.1.3.3.2.3.3",FamA_Final_Filter!$A$2:$A$127,FamA_Final_Filter!$B$2:$B$127)</f>
        <v>19457</v>
      </c>
      <c r="D80" s="14">
        <f>1-C80/C62</f>
        <v>4.5757724374693498E-2</v>
      </c>
      <c r="E80" s="4">
        <f ca="1">C80/C3</f>
        <v>0.10869103747234822</v>
      </c>
      <c r="F80" s="68">
        <f>LOOKUP("B.1.3.3.2.3.3",FamA_Final_Filter!$A$2:$A$127,FamA_Final_Filter!$C$2:$C$127)</f>
        <v>5629</v>
      </c>
      <c r="G80" s="14">
        <f>1-F80/F62</f>
        <v>2.8645383951682479E-2</v>
      </c>
      <c r="H80" s="4">
        <f>F80/F3</f>
        <v>1.2804822565969063</v>
      </c>
      <c r="I80" s="68">
        <f>LOOKUP("B.1.3.3.2.3.3",FamA_Final_Filter!$A$2:$A$127,FamA_Final_Filter!$D$2:$D$127)</f>
        <v>183</v>
      </c>
      <c r="J80" s="14">
        <f>1-I80/I62</f>
        <v>0</v>
      </c>
      <c r="K80" s="4">
        <f>I80/I3</f>
        <v>1</v>
      </c>
      <c r="L80" s="15">
        <v>20</v>
      </c>
      <c r="M80" s="15">
        <v>0.8</v>
      </c>
      <c r="N80" s="15">
        <v>3</v>
      </c>
      <c r="O80" s="15">
        <v>3</v>
      </c>
      <c r="P80" s="15">
        <v>0.75</v>
      </c>
      <c r="Q80" s="106">
        <v>0.05</v>
      </c>
      <c r="R80" s="119">
        <v>10</v>
      </c>
      <c r="W80" s="3"/>
    </row>
    <row r="81" spans="1:23" x14ac:dyDescent="0.25">
      <c r="A81" s="79" t="s">
        <v>28</v>
      </c>
      <c r="B81" s="13" t="s">
        <v>90</v>
      </c>
      <c r="C81" s="68">
        <f>LOOKUP("B.1.3.3.2.3.4",FamA_Final_Filter!$A$2:$A$127,FamA_Final_Filter!$B$2:$B$127)</f>
        <v>16910</v>
      </c>
      <c r="D81" s="27">
        <f>1-C81/C62</f>
        <v>0.17067189798921045</v>
      </c>
      <c r="E81" s="28">
        <f ca="1">C81/C3</f>
        <v>9.4462941031886127E-2</v>
      </c>
      <c r="F81" s="68">
        <f>LOOKUP("B.1.3.3.2.3.4",FamA_Final_Filter!$A$2:$A$127,FamA_Final_Filter!$C$2:$C$127)</f>
        <v>4863</v>
      </c>
      <c r="G81" s="27">
        <f>1-F81/F62</f>
        <v>0.16082830025884387</v>
      </c>
      <c r="H81" s="28">
        <f>F81/F3</f>
        <v>1.1062329390354868</v>
      </c>
      <c r="I81" s="68">
        <f>LOOKUP("B.1.3.3.2.3.4",FamA_Final_Filter!$A$2:$A$127,FamA_Final_Filter!$D$2:$D$127)</f>
        <v>183</v>
      </c>
      <c r="J81" s="27">
        <f>1-I81/I62</f>
        <v>0</v>
      </c>
      <c r="K81" s="28">
        <f>I81/I3</f>
        <v>1</v>
      </c>
      <c r="L81" s="19">
        <v>20</v>
      </c>
      <c r="M81" s="19">
        <v>0.8</v>
      </c>
      <c r="N81" s="19">
        <v>3</v>
      </c>
      <c r="O81" s="19">
        <v>3</v>
      </c>
      <c r="P81" s="19">
        <v>0.75</v>
      </c>
      <c r="Q81" s="110">
        <v>0.05</v>
      </c>
      <c r="R81" s="124">
        <v>20</v>
      </c>
      <c r="W81" s="3"/>
    </row>
    <row r="82" spans="1:23" x14ac:dyDescent="0.25">
      <c r="A82" s="67"/>
      <c r="B82" s="54"/>
      <c r="C82" s="55"/>
      <c r="D82" s="56"/>
      <c r="E82" s="57"/>
      <c r="F82" s="55"/>
      <c r="G82" s="56"/>
      <c r="H82" s="57"/>
      <c r="I82" s="55"/>
      <c r="J82" s="56"/>
      <c r="K82" s="57"/>
      <c r="L82" s="55"/>
      <c r="M82" s="55"/>
      <c r="N82" s="55"/>
      <c r="O82" s="55"/>
      <c r="P82" s="55"/>
      <c r="Q82" s="55"/>
      <c r="R82" s="58"/>
      <c r="S82" s="67"/>
      <c r="T82" s="67"/>
      <c r="U82" s="67"/>
      <c r="V82" s="67"/>
      <c r="W82" s="54"/>
    </row>
    <row r="83" spans="1:23" x14ac:dyDescent="0.25">
      <c r="A83" s="75" t="s">
        <v>29</v>
      </c>
      <c r="B83" s="12" t="s">
        <v>91</v>
      </c>
      <c r="C83" s="68">
        <f>LOOKUP("A.1.1.1.2.2.3.1",FamA_Final_Filter!$A$2:$A$127,FamA_Final_Filter!$B$2:$B$127)</f>
        <v>16253</v>
      </c>
      <c r="D83" s="22">
        <f>1-C83/C73</f>
        <v>3.3594957783327439E-2</v>
      </c>
      <c r="E83" s="23">
        <f ca="1">C83/C3</f>
        <v>9.0792796013675056E-2</v>
      </c>
      <c r="F83" s="68">
        <f>LOOKUP("A.1.1.1.2.2.3.1",FamA_Final_Filter!$A$2:$A$127,FamA_Final_Filter!$C$2:$C$127)</f>
        <v>4674</v>
      </c>
      <c r="G83" s="22">
        <f>1-F83/F73</f>
        <v>3.3698573495968609E-2</v>
      </c>
      <c r="H83" s="23">
        <f>F83/F3</f>
        <v>1.0632393084622385</v>
      </c>
      <c r="I83" s="68">
        <f>LOOKUP("A.1.1.1.2.2.3.1",FamA_Final_Filter!$A$2:$A$127,FamA_Final_Filter!$D$2:$D$127)</f>
        <v>183</v>
      </c>
      <c r="J83" s="22">
        <f>1-I83/I73</f>
        <v>0</v>
      </c>
      <c r="K83" s="23">
        <f>I83/I3</f>
        <v>1</v>
      </c>
      <c r="L83" s="17">
        <v>20</v>
      </c>
      <c r="M83" s="104" t="s">
        <v>30</v>
      </c>
      <c r="N83" s="17">
        <v>3</v>
      </c>
      <c r="O83" s="17">
        <v>3</v>
      </c>
      <c r="P83" s="17">
        <v>0.95</v>
      </c>
      <c r="Q83" s="17">
        <v>0.05</v>
      </c>
      <c r="R83" s="18">
        <v>20</v>
      </c>
      <c r="W83" s="3"/>
    </row>
    <row r="84" spans="1:23" x14ac:dyDescent="0.25">
      <c r="A84" s="53" t="s">
        <v>29</v>
      </c>
      <c r="B84" s="6" t="s">
        <v>92</v>
      </c>
      <c r="C84" s="68">
        <f>LOOKUP("A.1.1.1.2.2.3.2",FamA_Final_Filter!$A$2:$A$127,FamA_Final_Filter!$B$2:$B$127)</f>
        <v>15229</v>
      </c>
      <c r="D84" s="14">
        <f>1-C84/C73</f>
        <v>9.4482102509216292E-2</v>
      </c>
      <c r="E84" s="4">
        <f ca="1">C84/C3</f>
        <v>8.5072509105534821E-2</v>
      </c>
      <c r="F84" s="68">
        <f>LOOKUP("A.1.1.1.2.2.3.2",FamA_Final_Filter!$A$2:$A$127,FamA_Final_Filter!$C$2:$C$127)</f>
        <v>4396</v>
      </c>
      <c r="G84" s="14">
        <f>1-F84/F73</f>
        <v>9.1172214182344447E-2</v>
      </c>
      <c r="H84" s="4">
        <f>F84/F3</f>
        <v>1</v>
      </c>
      <c r="I84" s="68">
        <f>LOOKUP("A.1.1.1.2.2.3.2",FamA_Final_Filter!$A$2:$A$127,FamA_Final_Filter!$D$2:$D$127)</f>
        <v>183</v>
      </c>
      <c r="J84" s="14">
        <f>1-I84/I73</f>
        <v>0</v>
      </c>
      <c r="K84" s="4">
        <f>I84/I3</f>
        <v>1</v>
      </c>
      <c r="L84" s="15">
        <v>20</v>
      </c>
      <c r="M84" s="106" t="s">
        <v>31</v>
      </c>
      <c r="N84" s="15">
        <v>3</v>
      </c>
      <c r="O84" s="15">
        <v>3</v>
      </c>
      <c r="P84" s="2">
        <v>0.95</v>
      </c>
      <c r="Q84" s="15">
        <v>0.05</v>
      </c>
      <c r="R84" s="5">
        <v>20</v>
      </c>
      <c r="W84" s="3"/>
    </row>
    <row r="85" spans="1:23" ht="8.25" customHeight="1" x14ac:dyDescent="0.25">
      <c r="A85" s="82"/>
      <c r="B85" s="87"/>
      <c r="C85" s="83"/>
      <c r="D85" s="84"/>
      <c r="E85" s="90"/>
      <c r="F85" s="83"/>
      <c r="G85" s="84"/>
      <c r="H85" s="90"/>
      <c r="I85" s="83"/>
      <c r="J85" s="84"/>
      <c r="K85" s="90"/>
      <c r="L85" s="83"/>
      <c r="M85" s="111"/>
      <c r="N85" s="83"/>
      <c r="O85" s="83"/>
      <c r="P85" s="83"/>
      <c r="Q85" s="83"/>
      <c r="R85" s="93"/>
      <c r="S85" s="82"/>
      <c r="T85" s="82"/>
      <c r="U85" s="82"/>
      <c r="V85" s="82"/>
      <c r="W85" s="87"/>
    </row>
    <row r="86" spans="1:23" x14ac:dyDescent="0.25">
      <c r="A86" s="78" t="s">
        <v>29</v>
      </c>
      <c r="B86" s="9" t="s">
        <v>93</v>
      </c>
      <c r="C86" s="68">
        <f>LOOKUP("B.1.3.3.2.3.2.1",FamA_Final_Filter!$A$2:$A$127,FamA_Final_Filter!$B$2:$B$127)</f>
        <v>16467</v>
      </c>
      <c r="D86" s="25">
        <f>1-C86/C79</f>
        <v>3.9545056867891559E-2</v>
      </c>
      <c r="E86" s="26">
        <f ca="1">C86/C3</f>
        <v>9.1988246597993428E-2</v>
      </c>
      <c r="F86" s="68">
        <f>LOOKUP("B.1.3.3.2.3.2.1",FamA_Final_Filter!$A$2:$A$127,FamA_Final_Filter!$C$2:$C$127)</f>
        <v>4683</v>
      </c>
      <c r="G86" s="25">
        <f>1-F86/F79</f>
        <v>3.8595770888934511E-2</v>
      </c>
      <c r="H86" s="26">
        <f>F86/F3</f>
        <v>1.0652866242038217</v>
      </c>
      <c r="I86" s="68">
        <f>LOOKUP("B.1.3.3.2.3.2.1",FamA_Final_Filter!$A$2:$A$127,FamA_Final_Filter!$D$2:$D$127)</f>
        <v>183</v>
      </c>
      <c r="J86" s="25">
        <f>1-I86/I79</f>
        <v>0</v>
      </c>
      <c r="K86" s="26">
        <f>I86/I3</f>
        <v>1</v>
      </c>
      <c r="L86" s="16">
        <v>20</v>
      </c>
      <c r="M86" s="107">
        <v>0.85</v>
      </c>
      <c r="N86" s="16">
        <v>3</v>
      </c>
      <c r="O86" s="16">
        <v>3</v>
      </c>
      <c r="P86" s="16">
        <v>0.75</v>
      </c>
      <c r="Q86" s="16">
        <v>0.03</v>
      </c>
      <c r="R86" s="10">
        <v>20</v>
      </c>
      <c r="W86" s="3"/>
    </row>
    <row r="87" spans="1:23" x14ac:dyDescent="0.25">
      <c r="A87" s="81" t="s">
        <v>29</v>
      </c>
      <c r="B87" s="48" t="s">
        <v>94</v>
      </c>
      <c r="C87" s="68">
        <f>LOOKUP("B.1.3.3.2.3.2.2",FamA_Final_Filter!$A$2:$A$127,FamA_Final_Filter!$B$2:$B$127)</f>
        <v>15418</v>
      </c>
      <c r="D87" s="50">
        <f>1-C87/C79</f>
        <v>0.1007290755322251</v>
      </c>
      <c r="E87" s="51">
        <f ca="1">C87/C3</f>
        <v>8.6128304247759926E-2</v>
      </c>
      <c r="F87" s="68">
        <f>LOOKUP("B.1.3.3.2.3.2.2",FamA_Final_Filter!$A$2:$A$127,FamA_Final_Filter!$C$2:$C$127)</f>
        <v>4403</v>
      </c>
      <c r="G87" s="50">
        <f>1-F87/F79</f>
        <v>9.6078833915007156E-2</v>
      </c>
      <c r="H87" s="51">
        <f>F87/F3</f>
        <v>1.0015923566878981</v>
      </c>
      <c r="I87" s="68">
        <f>LOOKUP("B.1.3.3.2.3.2.2",FamA_Final_Filter!$A$2:$A$127,FamA_Final_Filter!$D$2:$D$127)</f>
        <v>183</v>
      </c>
      <c r="J87" s="50">
        <f>1-I87/I79</f>
        <v>0</v>
      </c>
      <c r="K87" s="51">
        <f>I87/I3</f>
        <v>1</v>
      </c>
      <c r="L87" s="49">
        <v>20</v>
      </c>
      <c r="M87" s="125">
        <v>0.9</v>
      </c>
      <c r="N87" s="49">
        <v>3</v>
      </c>
      <c r="O87" s="49">
        <v>3</v>
      </c>
      <c r="P87" s="49">
        <v>0.75</v>
      </c>
      <c r="Q87" s="49">
        <v>0.03</v>
      </c>
      <c r="R87" s="52">
        <v>20</v>
      </c>
      <c r="W87" s="3"/>
    </row>
    <row r="88" spans="1:23" ht="8.25" customHeight="1" x14ac:dyDescent="0.25">
      <c r="A88" s="82"/>
      <c r="B88" s="87"/>
      <c r="C88" s="83"/>
      <c r="D88" s="84"/>
      <c r="E88" s="90"/>
      <c r="F88" s="83"/>
      <c r="G88" s="84"/>
      <c r="H88" s="90"/>
      <c r="I88" s="83"/>
      <c r="J88" s="84"/>
      <c r="K88" s="90"/>
      <c r="L88" s="83"/>
      <c r="M88" s="111"/>
      <c r="N88" s="83"/>
      <c r="O88" s="83"/>
      <c r="P88" s="83"/>
      <c r="Q88" s="83"/>
      <c r="R88" s="93"/>
      <c r="S88" s="82"/>
      <c r="T88" s="82"/>
      <c r="U88" s="82"/>
      <c r="V88" s="82"/>
      <c r="W88" s="87"/>
    </row>
    <row r="89" spans="1:23" x14ac:dyDescent="0.25">
      <c r="A89" s="79" t="s">
        <v>29</v>
      </c>
      <c r="B89" s="13" t="s">
        <v>95</v>
      </c>
      <c r="C89" s="68">
        <f>LOOKUP("B.1.3.3.2.3.4.1",FamA_Final_Filter!$A$2:$A$127,FamA_Final_Filter!$B$2:$B$127)</f>
        <v>16253</v>
      </c>
      <c r="D89" s="27">
        <f>1-C89/C81</f>
        <v>3.8852749852158475E-2</v>
      </c>
      <c r="E89" s="28">
        <f ca="1">C89/C3</f>
        <v>9.0792796013675056E-2</v>
      </c>
      <c r="F89" s="68">
        <f>LOOKUP("B.1.3.3.2.3.4.1",FamA_Final_Filter!$A$2:$A$127,FamA_Final_Filter!$C$2:$C$127)</f>
        <v>4674</v>
      </c>
      <c r="G89" s="27">
        <f>1-F89/F81</f>
        <v>3.8864898210980825E-2</v>
      </c>
      <c r="H89" s="28">
        <f>F89/F3</f>
        <v>1.0632393084622385</v>
      </c>
      <c r="I89" s="68">
        <f>LOOKUP("B.1.3.3.2.3.4.1",FamA_Final_Filter!$A$2:$A$127,FamA_Final_Filter!$D$2:$D$127)</f>
        <v>183</v>
      </c>
      <c r="J89" s="27">
        <f>1-I89/I81</f>
        <v>0</v>
      </c>
      <c r="K89" s="28">
        <f>I89/I3</f>
        <v>1</v>
      </c>
      <c r="L89" s="19">
        <v>20</v>
      </c>
      <c r="M89" s="110">
        <v>0.85</v>
      </c>
      <c r="N89" s="19">
        <v>3</v>
      </c>
      <c r="O89" s="19">
        <v>3</v>
      </c>
      <c r="P89" s="19">
        <v>0.75</v>
      </c>
      <c r="Q89" s="19">
        <v>0.05</v>
      </c>
      <c r="R89" s="20">
        <v>20</v>
      </c>
      <c r="W89" s="3"/>
    </row>
    <row r="90" spans="1:23" x14ac:dyDescent="0.25">
      <c r="A90" s="59" t="s">
        <v>29</v>
      </c>
      <c r="B90" s="43" t="s">
        <v>96</v>
      </c>
      <c r="C90" s="68">
        <f>LOOKUP("B.1.3.3.2.3.4.2",FamA_Final_Filter!$A$2:$A$127,FamA_Final_Filter!$B$2:$B$127)</f>
        <v>15229</v>
      </c>
      <c r="D90" s="45">
        <f>1-C90/C81</f>
        <v>9.9408633944411573E-2</v>
      </c>
      <c r="E90" s="46">
        <f ca="1">C90/C3</f>
        <v>8.5072509105534821E-2</v>
      </c>
      <c r="F90" s="68">
        <f>LOOKUP("B.1.3.3.2.3.4.2",FamA_Final_Filter!$A$2:$A$127,FamA_Final_Filter!$C$2:$C$127)</f>
        <v>4396</v>
      </c>
      <c r="G90" s="45">
        <f>1-F90/F81</f>
        <v>9.6031256426074463E-2</v>
      </c>
      <c r="H90" s="46">
        <f>F90/F3</f>
        <v>1</v>
      </c>
      <c r="I90" s="68">
        <f>LOOKUP("B.1.3.3.2.3.4.2",FamA_Final_Filter!$A$2:$A$127,FamA_Final_Filter!$D$2:$D$127)</f>
        <v>183</v>
      </c>
      <c r="J90" s="45">
        <f>1-I90/I81</f>
        <v>0</v>
      </c>
      <c r="K90" s="46">
        <f>I90/I3</f>
        <v>1</v>
      </c>
      <c r="L90" s="44">
        <v>20</v>
      </c>
      <c r="M90" s="126">
        <v>0.9</v>
      </c>
      <c r="N90" s="44">
        <v>3</v>
      </c>
      <c r="O90" s="44">
        <v>3</v>
      </c>
      <c r="P90" s="44">
        <v>0.75</v>
      </c>
      <c r="Q90" s="44">
        <v>0.05</v>
      </c>
      <c r="R90" s="47">
        <v>20</v>
      </c>
      <c r="W90" s="3"/>
    </row>
    <row r="91" spans="1:23" x14ac:dyDescent="0.25">
      <c r="A91" s="67"/>
      <c r="B91" s="54"/>
      <c r="C91" s="55"/>
      <c r="D91" s="56"/>
      <c r="E91" s="57"/>
      <c r="F91" s="55"/>
      <c r="G91" s="56"/>
      <c r="H91" s="57"/>
      <c r="I91" s="55"/>
      <c r="J91" s="56"/>
      <c r="K91" s="57"/>
      <c r="L91" s="55"/>
      <c r="M91" s="55"/>
      <c r="N91" s="55"/>
      <c r="O91" s="55"/>
      <c r="P91" s="55"/>
      <c r="Q91" s="55"/>
      <c r="R91" s="58"/>
      <c r="S91" s="67"/>
      <c r="T91" s="67"/>
      <c r="U91" s="67"/>
      <c r="V91" s="67"/>
      <c r="W91" s="54"/>
    </row>
    <row r="92" spans="1:23" x14ac:dyDescent="0.25">
      <c r="A92" s="53" t="s">
        <v>32</v>
      </c>
      <c r="B92" s="6" t="s">
        <v>98</v>
      </c>
      <c r="C92" s="68">
        <f>LOOKUP("A.1.1.1.2.2.3.1.1",FamA_Final_Filter!$A$2:$A$127,FamA_Final_Filter!$B$2:$B$127)</f>
        <v>16253</v>
      </c>
      <c r="E92" s="4">
        <f ca="1">C92/C3</f>
        <v>9.0792796013675056E-2</v>
      </c>
      <c r="F92" s="68">
        <f>LOOKUP("A.1.1.1.2.2.3.1.1",FamA_Final_Filter!$A$2:$A$127,FamA_Final_Filter!$C$2:$C$127)</f>
        <v>4674</v>
      </c>
      <c r="H92" s="4">
        <f>F92/F3</f>
        <v>1.0632393084622385</v>
      </c>
      <c r="I92" s="68">
        <f>LOOKUP("A.1.1.1.2.2.3.1.1",FamA_Final_Filter!$A$2:$A$127,FamA_Final_Filter!$D$2:$D$127)</f>
        <v>183</v>
      </c>
      <c r="K92" s="4">
        <f>I92/I3</f>
        <v>1</v>
      </c>
      <c r="L92" s="15">
        <v>20</v>
      </c>
      <c r="M92" s="15" t="s">
        <v>31</v>
      </c>
      <c r="N92" s="15">
        <v>3</v>
      </c>
      <c r="O92" s="15">
        <v>3</v>
      </c>
      <c r="P92" s="105">
        <v>0.85</v>
      </c>
      <c r="Q92" s="15">
        <v>0.05</v>
      </c>
      <c r="R92" s="5">
        <v>20</v>
      </c>
      <c r="W92" s="3"/>
    </row>
    <row r="93" spans="1:23" x14ac:dyDescent="0.25">
      <c r="A93" s="75" t="s">
        <v>32</v>
      </c>
      <c r="B93" s="12" t="s">
        <v>97</v>
      </c>
      <c r="C93" s="68">
        <f>LOOKUP("A.1.1.1.2.2.3.1,1",FamA_Final_Filter!$A$2:$A$127,FamA_Final_Filter!$B$2:$B$127)</f>
        <v>16253</v>
      </c>
      <c r="D93" s="22"/>
      <c r="E93" s="23">
        <f ca="1">C93/C3</f>
        <v>9.0792796013675056E-2</v>
      </c>
      <c r="F93" s="68">
        <f>LOOKUP("A.1.1.1.2.2.3.1,1",FamA_Final_Filter!$A$2:$A$127,FamA_Final_Filter!$C$2:$C$127)</f>
        <v>4674</v>
      </c>
      <c r="G93" s="22"/>
      <c r="H93" s="23">
        <f>F93/F3</f>
        <v>1.0632393084622385</v>
      </c>
      <c r="I93" s="68">
        <f>LOOKUP("A.1.1.1.2.2.3.1,1",FamA_Final_Filter!$A$2:$A$127,FamA_Final_Filter!$D$2:$D$127)</f>
        <v>183</v>
      </c>
      <c r="J93" s="22"/>
      <c r="K93" s="23">
        <f>I93/I3</f>
        <v>1</v>
      </c>
      <c r="L93" s="17">
        <v>20</v>
      </c>
      <c r="M93" s="17" t="s">
        <v>31</v>
      </c>
      <c r="N93" s="17">
        <v>3</v>
      </c>
      <c r="O93" s="17">
        <v>3</v>
      </c>
      <c r="P93" s="104">
        <v>0.8</v>
      </c>
      <c r="Q93" s="17">
        <v>0.05</v>
      </c>
      <c r="R93" s="18">
        <v>20</v>
      </c>
      <c r="W93" s="3"/>
    </row>
    <row r="94" spans="1:23" ht="8.25" customHeight="1" x14ac:dyDescent="0.25">
      <c r="A94" s="82"/>
      <c r="B94" s="87"/>
      <c r="C94" s="83"/>
      <c r="D94" s="84"/>
      <c r="E94" s="90"/>
      <c r="F94" s="83"/>
      <c r="G94" s="84"/>
      <c r="H94" s="90"/>
      <c r="I94" s="83"/>
      <c r="J94" s="84"/>
      <c r="K94" s="90"/>
      <c r="L94" s="83"/>
      <c r="M94" s="83"/>
      <c r="N94" s="83"/>
      <c r="O94" s="83"/>
      <c r="P94" s="111"/>
      <c r="Q94" s="83"/>
      <c r="R94" s="93"/>
      <c r="S94" s="82"/>
      <c r="T94" s="82"/>
      <c r="U94" s="82"/>
      <c r="V94" s="82"/>
      <c r="W94" s="87"/>
    </row>
    <row r="95" spans="1:23" x14ac:dyDescent="0.25">
      <c r="A95" s="53" t="s">
        <v>32</v>
      </c>
      <c r="B95" s="6" t="s">
        <v>102</v>
      </c>
      <c r="C95" s="68">
        <f>LOOKUP("B.1.3.3.2.3.2.1.1",FamA_Final_Filter!$A$2:$A$127,FamA_Final_Filter!$B$2:$B$127)</f>
        <v>16467</v>
      </c>
      <c r="E95" s="4">
        <f ca="1">C95/C3</f>
        <v>9.1988246597993428E-2</v>
      </c>
      <c r="F95" s="68">
        <f>LOOKUP("B.1.3.3.2.3.2.1.1",FamA_Final_Filter!$A$2:$A$127,FamA_Final_Filter!$C$2:$C$127)</f>
        <v>4683</v>
      </c>
      <c r="H95" s="4">
        <f>F95/F3</f>
        <v>1.0652866242038217</v>
      </c>
      <c r="I95" s="68">
        <f>LOOKUP("B.1.3.3.2.3.2.1.1",FamA_Final_Filter!$A$2:$A$127,FamA_Final_Filter!$D$2:$D$127)</f>
        <v>183</v>
      </c>
      <c r="K95" s="4">
        <f>I95/I3</f>
        <v>1</v>
      </c>
      <c r="L95" s="15">
        <v>20</v>
      </c>
      <c r="M95" s="15">
        <v>0.85</v>
      </c>
      <c r="N95" s="15">
        <v>3</v>
      </c>
      <c r="O95" s="15">
        <v>3</v>
      </c>
      <c r="P95" s="106">
        <v>0.7</v>
      </c>
      <c r="Q95" s="15">
        <v>0.03</v>
      </c>
      <c r="R95" s="5">
        <v>20</v>
      </c>
      <c r="W95" s="3"/>
    </row>
    <row r="96" spans="1:23" x14ac:dyDescent="0.25">
      <c r="A96" s="78" t="s">
        <v>32</v>
      </c>
      <c r="B96" s="9" t="s">
        <v>99</v>
      </c>
      <c r="C96" s="68">
        <f>LOOKUP("B.1.3.3.2.3.2.1.2",FamA_Final_Filter!$A$2:$A$127,FamA_Final_Filter!$B$2:$B$127)</f>
        <v>16467</v>
      </c>
      <c r="D96" s="25"/>
      <c r="E96" s="26">
        <f ca="1">C96/C3</f>
        <v>9.1988246597993428E-2</v>
      </c>
      <c r="F96" s="68">
        <f>LOOKUP("B.1.3.3.2.3.2.1.2",FamA_Final_Filter!$A$2:$A$127,FamA_Final_Filter!$C$2:$C$127)</f>
        <v>4683</v>
      </c>
      <c r="G96" s="25"/>
      <c r="H96" s="26">
        <f>F96/F3</f>
        <v>1.0652866242038217</v>
      </c>
      <c r="I96" s="68">
        <f>LOOKUP("B.1.3.3.2.3.2.1.2",FamA_Final_Filter!$A$2:$A$127,FamA_Final_Filter!$D$2:$D$127)</f>
        <v>183</v>
      </c>
      <c r="J96" s="25"/>
      <c r="K96" s="26">
        <f>I96/I3</f>
        <v>1</v>
      </c>
      <c r="L96" s="16">
        <v>20</v>
      </c>
      <c r="M96" s="16">
        <v>0.85</v>
      </c>
      <c r="N96" s="16">
        <v>3</v>
      </c>
      <c r="O96" s="16">
        <v>3</v>
      </c>
      <c r="P96" s="107">
        <v>0.65</v>
      </c>
      <c r="Q96" s="16">
        <v>0.03</v>
      </c>
      <c r="R96" s="10">
        <v>20</v>
      </c>
      <c r="W96" s="3"/>
    </row>
    <row r="97" spans="1:23" x14ac:dyDescent="0.25">
      <c r="A97" s="53" t="s">
        <v>32</v>
      </c>
      <c r="B97" s="6" t="s">
        <v>100</v>
      </c>
      <c r="C97" s="68">
        <f>LOOKUP("B.1.3.3.2.3.2.1.3",FamA_Final_Filter!$A$2:$A$127,FamA_Final_Filter!$B$2:$B$127)</f>
        <v>16467</v>
      </c>
      <c r="E97" s="4">
        <f ca="1">C97/C3</f>
        <v>9.1988246597993428E-2</v>
      </c>
      <c r="F97" s="68">
        <f>LOOKUP("B.1.3.3.2.3.2.1.3",FamA_Final_Filter!$A$2:$A$127,FamA_Final_Filter!$C$2:$C$127)</f>
        <v>4683</v>
      </c>
      <c r="H97" s="4">
        <f>F97/F3</f>
        <v>1.0652866242038217</v>
      </c>
      <c r="I97" s="68">
        <f>LOOKUP("B.1.3.3.2.3.2.1.3",FamA_Final_Filter!$A$2:$A$127,FamA_Final_Filter!$D$2:$D$127)</f>
        <v>183</v>
      </c>
      <c r="K97" s="4">
        <f>I97/I3</f>
        <v>1</v>
      </c>
      <c r="L97" s="15">
        <v>20</v>
      </c>
      <c r="M97" s="15">
        <v>0.85</v>
      </c>
      <c r="N97" s="15">
        <v>3</v>
      </c>
      <c r="O97" s="15">
        <v>3</v>
      </c>
      <c r="P97" s="106">
        <v>0.6</v>
      </c>
      <c r="Q97" s="15">
        <v>0.03</v>
      </c>
      <c r="R97" s="5">
        <v>20</v>
      </c>
      <c r="W97" s="3"/>
    </row>
    <row r="98" spans="1:23" x14ac:dyDescent="0.25">
      <c r="A98" s="53" t="s">
        <v>32</v>
      </c>
      <c r="B98" s="6" t="s">
        <v>101</v>
      </c>
      <c r="C98" s="68">
        <f>LOOKUP("B.1.3.3.2.3.2.1.4",FamA_Final_Filter!$A$2:$A$127,FamA_Final_Filter!$B$2:$B$127)</f>
        <v>16467</v>
      </c>
      <c r="E98" s="4">
        <f ca="1">C98/C3</f>
        <v>9.1988246597993428E-2</v>
      </c>
      <c r="F98" s="68">
        <f>LOOKUP("B.1.3.3.2.3.2.1.4",FamA_Final_Filter!$A$2:$A$127,FamA_Final_Filter!$C$2:$C$127)</f>
        <v>4683</v>
      </c>
      <c r="H98" s="4">
        <f>F98/F3</f>
        <v>1.0652866242038217</v>
      </c>
      <c r="I98" s="68">
        <f>LOOKUP("B.1.3.3.2.3.2.1.4",FamA_Final_Filter!$A$2:$A$127,FamA_Final_Filter!$D$2:$D$127)</f>
        <v>183</v>
      </c>
      <c r="K98" s="4">
        <f>I98/I3</f>
        <v>1</v>
      </c>
      <c r="L98" s="15">
        <v>20</v>
      </c>
      <c r="M98" s="15">
        <v>0.85</v>
      </c>
      <c r="N98" s="15">
        <v>3</v>
      </c>
      <c r="O98" s="15">
        <v>3</v>
      </c>
      <c r="P98" s="106">
        <v>0.5</v>
      </c>
      <c r="Q98" s="15">
        <v>0.03</v>
      </c>
      <c r="R98" s="5">
        <v>20</v>
      </c>
      <c r="W98" s="3"/>
    </row>
    <row r="99" spans="1:23" ht="8.25" customHeight="1" x14ac:dyDescent="0.25">
      <c r="A99" s="82"/>
      <c r="B99" s="87"/>
      <c r="C99" s="83"/>
      <c r="D99" s="84"/>
      <c r="E99" s="90"/>
      <c r="F99" s="83"/>
      <c r="G99" s="84"/>
      <c r="H99" s="90"/>
      <c r="I99" s="83"/>
      <c r="J99" s="84"/>
      <c r="K99" s="90"/>
      <c r="L99" s="83"/>
      <c r="M99" s="83"/>
      <c r="N99" s="83"/>
      <c r="O99" s="83"/>
      <c r="P99" s="111"/>
      <c r="Q99" s="83"/>
      <c r="R99" s="93"/>
      <c r="S99" s="82"/>
      <c r="T99" s="82"/>
      <c r="U99" s="82"/>
      <c r="V99" s="82"/>
      <c r="W99" s="87"/>
    </row>
    <row r="100" spans="1:23" x14ac:dyDescent="0.25">
      <c r="A100" s="24" t="s">
        <v>32</v>
      </c>
      <c r="B100" s="6" t="s">
        <v>104</v>
      </c>
      <c r="C100" s="68">
        <f>LOOKUP("B.1.3.3.2.3.2.2.1",FamA_Final_Filter!$A$2:$A$127,FamA_Final_Filter!$B$2:$B$127)</f>
        <v>15418</v>
      </c>
      <c r="D100" s="7"/>
      <c r="E100" s="8">
        <f ca="1">C100/C3</f>
        <v>8.6128304247759926E-2</v>
      </c>
      <c r="F100" s="68">
        <f>LOOKUP("B.1.3.3.2.3.2.2.1",FamA_Final_Filter!$A$2:$A$127,FamA_Final_Filter!$C$2:$C$127)</f>
        <v>4403</v>
      </c>
      <c r="G100" s="7"/>
      <c r="H100" s="8">
        <f>F100/F3</f>
        <v>1.0015923566878981</v>
      </c>
      <c r="I100" s="68">
        <f>LOOKUP("B.1.3.3.2.3.2.2.1",FamA_Final_Filter!$A$2:$A$127,FamA_Final_Filter!$D$2:$D$127)</f>
        <v>183</v>
      </c>
      <c r="J100" s="7"/>
      <c r="K100" s="8">
        <f>I100/I3</f>
        <v>1</v>
      </c>
      <c r="L100" s="2">
        <v>20</v>
      </c>
      <c r="M100" s="2">
        <v>0.9</v>
      </c>
      <c r="N100" s="2">
        <v>3</v>
      </c>
      <c r="O100" s="2">
        <v>3</v>
      </c>
      <c r="P100" s="105">
        <v>0.7</v>
      </c>
      <c r="Q100" s="2">
        <v>0.03</v>
      </c>
      <c r="R100" s="11">
        <v>20</v>
      </c>
      <c r="W100" s="3"/>
    </row>
    <row r="101" spans="1:23" x14ac:dyDescent="0.25">
      <c r="A101" s="81" t="s">
        <v>32</v>
      </c>
      <c r="B101" s="48" t="s">
        <v>103</v>
      </c>
      <c r="C101" s="68">
        <f>LOOKUP("B.1.3.3.2.3.2.2.1",FamA_Final_Filter!$A$2:$A$127,FamA_Final_Filter!$B$2:$B$127)</f>
        <v>15418</v>
      </c>
      <c r="D101" s="50"/>
      <c r="E101" s="51">
        <f ca="1">C101/C3</f>
        <v>8.6128304247759926E-2</v>
      </c>
      <c r="F101" s="68">
        <f>LOOKUP("B.1.3.3.2.3.2.2.1",FamA_Final_Filter!$A$2:$A$127,FamA_Final_Filter!$C$2:$C$127)</f>
        <v>4403</v>
      </c>
      <c r="G101" s="50"/>
      <c r="H101" s="51">
        <f>F101/F3</f>
        <v>1.0015923566878981</v>
      </c>
      <c r="I101" s="68">
        <f>LOOKUP("B.1.3.3.2.3.2.2.1",FamA_Final_Filter!$A$2:$A$127,FamA_Final_Filter!$D$2:$D$127)</f>
        <v>183</v>
      </c>
      <c r="J101" s="50"/>
      <c r="K101" s="51">
        <f>I101/I3</f>
        <v>1</v>
      </c>
      <c r="L101" s="49">
        <v>20</v>
      </c>
      <c r="M101" s="49">
        <v>0.9</v>
      </c>
      <c r="N101" s="49">
        <v>3</v>
      </c>
      <c r="O101" s="49">
        <v>3</v>
      </c>
      <c r="P101" s="125">
        <v>0.65</v>
      </c>
      <c r="Q101" s="49">
        <v>0.03</v>
      </c>
      <c r="R101" s="52">
        <v>20</v>
      </c>
      <c r="W101" s="3"/>
    </row>
    <row r="102" spans="1:23" x14ac:dyDescent="0.25">
      <c r="A102" s="53" t="s">
        <v>32</v>
      </c>
      <c r="B102" s="6" t="s">
        <v>105</v>
      </c>
      <c r="C102" s="68">
        <f>LOOKUP("B.1.3.3.2.3.2.2.1",FamA_Final_Filter!$A$2:$A$127,FamA_Final_Filter!$B$2:$B$127)</f>
        <v>15418</v>
      </c>
      <c r="E102" s="4">
        <f ca="1">C102/C3</f>
        <v>8.6128304247759926E-2</v>
      </c>
      <c r="F102" s="68">
        <f>LOOKUP("B.1.3.3.2.3.2.2.1",FamA_Final_Filter!$A$2:$A$127,FamA_Final_Filter!$C$2:$C$127)</f>
        <v>4403</v>
      </c>
      <c r="H102" s="4">
        <f>F102/F3</f>
        <v>1.0015923566878981</v>
      </c>
      <c r="I102" s="68">
        <f>LOOKUP("B.1.3.3.2.3.2.2.1",FamA_Final_Filter!$A$2:$A$127,FamA_Final_Filter!$D$2:$D$127)</f>
        <v>183</v>
      </c>
      <c r="K102" s="4">
        <f>I102/I3</f>
        <v>1</v>
      </c>
      <c r="L102" s="15">
        <v>20</v>
      </c>
      <c r="M102" s="15">
        <v>0.9</v>
      </c>
      <c r="N102" s="15">
        <v>3</v>
      </c>
      <c r="O102" s="15">
        <v>3</v>
      </c>
      <c r="P102" s="106">
        <v>0.6</v>
      </c>
      <c r="Q102" s="15">
        <v>0.03</v>
      </c>
      <c r="R102" s="5">
        <v>20</v>
      </c>
      <c r="W102" s="3"/>
    </row>
    <row r="103" spans="1:23" x14ac:dyDescent="0.25">
      <c r="A103" s="53" t="s">
        <v>32</v>
      </c>
      <c r="B103" s="6" t="s">
        <v>106</v>
      </c>
      <c r="C103" s="68">
        <f>LOOKUP("B.1.3.3.2.3.2.2.1",FamA_Final_Filter!$A$2:$A$127,FamA_Final_Filter!$B$2:$B$127)</f>
        <v>15418</v>
      </c>
      <c r="E103" s="4">
        <f ca="1">C103/C3</f>
        <v>8.6128304247759926E-2</v>
      </c>
      <c r="F103" s="68">
        <f>LOOKUP("B.1.3.3.2.3.2.2.1",FamA_Final_Filter!$A$2:$A$127,FamA_Final_Filter!$C$2:$C$127)</f>
        <v>4403</v>
      </c>
      <c r="H103" s="4">
        <f>F103/F3</f>
        <v>1.0015923566878981</v>
      </c>
      <c r="I103" s="68">
        <f>LOOKUP("B.1.3.3.2.3.2.2.1",FamA_Final_Filter!$A$2:$A$127,FamA_Final_Filter!$D$2:$D$127)</f>
        <v>183</v>
      </c>
      <c r="K103" s="4">
        <f>I103/I3</f>
        <v>1</v>
      </c>
      <c r="L103" s="15">
        <v>20</v>
      </c>
      <c r="M103" s="15">
        <v>0.9</v>
      </c>
      <c r="N103" s="15">
        <v>3</v>
      </c>
      <c r="O103" s="15">
        <v>3</v>
      </c>
      <c r="P103" s="106">
        <v>0.5</v>
      </c>
      <c r="Q103" s="15">
        <v>0.03</v>
      </c>
      <c r="R103" s="5">
        <v>20</v>
      </c>
      <c r="W103" s="3"/>
    </row>
    <row r="104" spans="1:23" ht="8.25" customHeight="1" x14ac:dyDescent="0.25">
      <c r="A104" s="82"/>
      <c r="B104" s="87"/>
      <c r="C104" s="83"/>
      <c r="D104" s="84"/>
      <c r="E104" s="90"/>
      <c r="F104" s="83"/>
      <c r="G104" s="84"/>
      <c r="H104" s="90"/>
      <c r="I104" s="83"/>
      <c r="J104" s="84"/>
      <c r="K104" s="90"/>
      <c r="L104" s="83"/>
      <c r="M104" s="83"/>
      <c r="N104" s="83"/>
      <c r="O104" s="83"/>
      <c r="P104" s="111"/>
      <c r="Q104" s="83"/>
      <c r="R104" s="93"/>
      <c r="S104" s="82"/>
      <c r="T104" s="82"/>
      <c r="U104" s="82"/>
      <c r="V104" s="82"/>
      <c r="W104" s="87"/>
    </row>
    <row r="105" spans="1:23" x14ac:dyDescent="0.25">
      <c r="A105" s="53" t="s">
        <v>32</v>
      </c>
      <c r="B105" s="6" t="s">
        <v>108</v>
      </c>
      <c r="C105" s="68">
        <f>LOOKUP("B.1.3.3.2.3.4.1.1",FamA_Final_Filter!$A$2:$A$127,FamA_Final_Filter!$B$2:$B$127)</f>
        <v>16253</v>
      </c>
      <c r="E105" s="4">
        <f ca="1">C105/C3</f>
        <v>9.0792796013675056E-2</v>
      </c>
      <c r="F105" s="68">
        <f>LOOKUP("B.1.3.3.2.3.4.1.1",FamA_Final_Filter!$A$2:$A$127,FamA_Final_Filter!$C$2:$C$127)</f>
        <v>4674</v>
      </c>
      <c r="H105" s="4">
        <f>F105/F3</f>
        <v>1.0632393084622385</v>
      </c>
      <c r="I105" s="68">
        <f>LOOKUP("B.1.3.3.2.3.4.1.1",FamA_Final_Filter!$A$2:$A$127,FamA_Final_Filter!$D$2:$D$127)</f>
        <v>183</v>
      </c>
      <c r="K105" s="4">
        <f>I105/I3</f>
        <v>1</v>
      </c>
      <c r="L105" s="15">
        <v>20</v>
      </c>
      <c r="M105" s="15">
        <v>0.85</v>
      </c>
      <c r="N105" s="15">
        <v>3</v>
      </c>
      <c r="O105" s="15">
        <v>3</v>
      </c>
      <c r="P105" s="106">
        <v>0.7</v>
      </c>
      <c r="Q105" s="15">
        <v>0.05</v>
      </c>
      <c r="R105" s="5">
        <v>20</v>
      </c>
      <c r="W105" s="3"/>
    </row>
    <row r="106" spans="1:23" x14ac:dyDescent="0.25">
      <c r="A106" s="79" t="s">
        <v>32</v>
      </c>
      <c r="B106" s="13" t="s">
        <v>107</v>
      </c>
      <c r="C106" s="68">
        <f>LOOKUP("B.1.3.3.2.3.4.1.2",FamA_Final_Filter!$A$2:$A$127,FamA_Final_Filter!$B$2:$B$127)</f>
        <v>16253</v>
      </c>
      <c r="D106" s="27"/>
      <c r="E106" s="28">
        <f ca="1">C106/C3</f>
        <v>9.0792796013675056E-2</v>
      </c>
      <c r="F106" s="68">
        <f>LOOKUP("B.1.3.3.2.3.4.1.2",FamA_Final_Filter!$A$2:$A$127,FamA_Final_Filter!$C$2:$C$127)</f>
        <v>4674</v>
      </c>
      <c r="G106" s="27"/>
      <c r="H106" s="28">
        <f>F106/F3</f>
        <v>1.0632393084622385</v>
      </c>
      <c r="I106" s="68">
        <f>LOOKUP("B.1.3.3.2.3.4.1.2",FamA_Final_Filter!$A$2:$A$127,FamA_Final_Filter!$D$2:$D$127)</f>
        <v>183</v>
      </c>
      <c r="J106" s="27"/>
      <c r="K106" s="28">
        <f>I106/I3</f>
        <v>1</v>
      </c>
      <c r="L106" s="19">
        <v>20</v>
      </c>
      <c r="M106" s="19">
        <v>0.85</v>
      </c>
      <c r="N106" s="19">
        <v>3</v>
      </c>
      <c r="O106" s="19">
        <v>3</v>
      </c>
      <c r="P106" s="110">
        <v>0.65</v>
      </c>
      <c r="Q106" s="19">
        <v>0.05</v>
      </c>
      <c r="R106" s="20">
        <v>20</v>
      </c>
      <c r="W106" s="3"/>
    </row>
    <row r="107" spans="1:23" ht="8.25" customHeight="1" x14ac:dyDescent="0.25">
      <c r="A107" s="82"/>
      <c r="B107" s="87"/>
      <c r="C107" s="83"/>
      <c r="D107" s="84"/>
      <c r="E107" s="90"/>
      <c r="F107" s="83"/>
      <c r="G107" s="84"/>
      <c r="H107" s="90"/>
      <c r="I107" s="83"/>
      <c r="J107" s="84"/>
      <c r="K107" s="90"/>
      <c r="L107" s="83"/>
      <c r="M107" s="83"/>
      <c r="N107" s="83"/>
      <c r="O107" s="83"/>
      <c r="P107" s="111"/>
      <c r="Q107" s="83"/>
      <c r="R107" s="93"/>
      <c r="S107" s="82"/>
      <c r="T107" s="82"/>
      <c r="U107" s="82"/>
      <c r="V107" s="82"/>
      <c r="W107" s="87"/>
    </row>
    <row r="108" spans="1:23" x14ac:dyDescent="0.25">
      <c r="A108" s="59" t="s">
        <v>32</v>
      </c>
      <c r="B108" s="43" t="s">
        <v>111</v>
      </c>
      <c r="C108" s="68">
        <f>LOOKUP("B.1.3.3.2.3.4.2.1",FamA_Final_Filter!$A$2:$A$127,FamA_Final_Filter!$B$2:$B$127)</f>
        <v>15229</v>
      </c>
      <c r="D108" s="45"/>
      <c r="E108" s="46">
        <f ca="1">C108/C3</f>
        <v>8.5072509105534821E-2</v>
      </c>
      <c r="F108" s="68">
        <f>LOOKUP("B.1.3.3.2.3.4.2.1",FamA_Final_Filter!$A$2:$A$127,FamA_Final_Filter!$C$2:$C$127)</f>
        <v>4396</v>
      </c>
      <c r="G108" s="45"/>
      <c r="H108" s="46">
        <f>F108/F3</f>
        <v>1</v>
      </c>
      <c r="I108" s="68">
        <f>LOOKUP("B.1.3.3.2.3.4.2.1",FamA_Final_Filter!$A$2:$A$127,FamA_Final_Filter!$D$2:$D$127)</f>
        <v>183</v>
      </c>
      <c r="J108" s="45"/>
      <c r="K108" s="46">
        <f>I108/I3</f>
        <v>1</v>
      </c>
      <c r="L108" s="44">
        <v>20</v>
      </c>
      <c r="M108" s="44">
        <v>0.9</v>
      </c>
      <c r="N108" s="44">
        <v>3</v>
      </c>
      <c r="O108" s="44">
        <v>3</v>
      </c>
      <c r="P108" s="126">
        <v>0.7</v>
      </c>
      <c r="Q108" s="44">
        <v>0.05</v>
      </c>
      <c r="R108" s="47">
        <v>20</v>
      </c>
      <c r="W108" s="3"/>
    </row>
    <row r="109" spans="1:23" x14ac:dyDescent="0.25">
      <c r="A109" s="53" t="s">
        <v>32</v>
      </c>
      <c r="B109" s="6" t="s">
        <v>112</v>
      </c>
      <c r="C109" s="68">
        <f>LOOKUP("B.1.3.3.2.3.4.2.1",FamA_Final_Filter!$A$2:$A$127,FamA_Final_Filter!$B$2:$B$127)</f>
        <v>15229</v>
      </c>
      <c r="E109" s="4">
        <f ca="1">C109/C3</f>
        <v>8.5072509105534821E-2</v>
      </c>
      <c r="F109" s="68">
        <f>LOOKUP("B.1.3.3.2.3.4.2.1",FamA_Final_Filter!$A$2:$A$127,FamA_Final_Filter!$C$2:$C$127)</f>
        <v>4396</v>
      </c>
      <c r="H109" s="4">
        <f>F109/F3</f>
        <v>1</v>
      </c>
      <c r="I109" s="68">
        <f>LOOKUP("B.1.3.3.2.3.4.2.1",FamA_Final_Filter!$A$2:$A$127,FamA_Final_Filter!$D$2:$D$127)</f>
        <v>183</v>
      </c>
      <c r="K109" s="4">
        <f>I109/I3</f>
        <v>1</v>
      </c>
      <c r="L109" s="15">
        <v>20</v>
      </c>
      <c r="M109" s="15">
        <v>0.9</v>
      </c>
      <c r="N109" s="15">
        <v>3</v>
      </c>
      <c r="O109" s="15">
        <v>3</v>
      </c>
      <c r="P109" s="106">
        <v>0.65</v>
      </c>
      <c r="Q109" s="15">
        <v>0.05</v>
      </c>
      <c r="R109" s="5">
        <v>20</v>
      </c>
      <c r="W109" s="3"/>
    </row>
    <row r="110" spans="1:23" x14ac:dyDescent="0.25">
      <c r="A110" s="67"/>
      <c r="B110" s="54"/>
      <c r="C110" s="55"/>
      <c r="D110" s="56"/>
      <c r="E110" s="57"/>
      <c r="F110" s="55"/>
      <c r="G110" s="56"/>
      <c r="H110" s="57"/>
      <c r="I110" s="55"/>
      <c r="J110" s="56"/>
      <c r="K110" s="57"/>
      <c r="L110" s="55"/>
      <c r="M110" s="55"/>
      <c r="N110" s="55"/>
      <c r="O110" s="55"/>
      <c r="P110" s="55"/>
      <c r="Q110" s="55"/>
      <c r="R110" s="58"/>
      <c r="S110" s="67"/>
      <c r="T110" s="67"/>
      <c r="U110" s="67"/>
      <c r="V110" s="67"/>
      <c r="W110" s="54"/>
    </row>
    <row r="111" spans="1:23" s="24" customFormat="1" x14ac:dyDescent="0.25">
      <c r="A111" s="78" t="s">
        <v>33</v>
      </c>
      <c r="B111" s="9"/>
      <c r="C111" s="16"/>
      <c r="D111" s="25"/>
      <c r="E111" s="26">
        <f ca="1">C111/C3</f>
        <v>0</v>
      </c>
      <c r="F111" s="16"/>
      <c r="G111" s="25"/>
      <c r="H111" s="26">
        <f>F111/F3</f>
        <v>0</v>
      </c>
      <c r="I111" s="16"/>
      <c r="J111" s="25"/>
      <c r="K111" s="26">
        <f>I111/I3</f>
        <v>0</v>
      </c>
      <c r="L111" s="16">
        <v>20</v>
      </c>
      <c r="M111" s="16">
        <v>0.85</v>
      </c>
      <c r="N111" s="16">
        <v>3</v>
      </c>
      <c r="O111" s="16">
        <v>3</v>
      </c>
      <c r="P111" s="16">
        <v>0.65</v>
      </c>
      <c r="Q111" s="16">
        <v>0.03</v>
      </c>
      <c r="R111" s="10">
        <v>20</v>
      </c>
      <c r="W111" s="6"/>
    </row>
    <row r="112" spans="1:23" s="24" customFormat="1" x14ac:dyDescent="0.25">
      <c r="A112" s="78" t="s">
        <v>34</v>
      </c>
      <c r="B112" s="9"/>
      <c r="C112" s="68">
        <f>LOOKUP("B.1.3.3.2.3.4.1.2.filAB.vcf",FamA_Final_Filter!$A$2:$A$127,FamA_Final_Filter!$B$2:$B$127)</f>
        <v>15027</v>
      </c>
      <c r="D112" s="25"/>
      <c r="E112" s="26">
        <f ca="1">C112/C3</f>
        <v>8.394409313342123E-2</v>
      </c>
      <c r="F112" s="16"/>
      <c r="G112" s="25"/>
      <c r="H112" s="26">
        <f>F112/F3</f>
        <v>0</v>
      </c>
      <c r="I112" s="16"/>
      <c r="J112" s="25"/>
      <c r="K112" s="26">
        <f>I112/I3</f>
        <v>0</v>
      </c>
      <c r="L112" s="16">
        <v>20</v>
      </c>
      <c r="M112" s="16">
        <v>0.85</v>
      </c>
      <c r="N112" s="16">
        <v>3</v>
      </c>
      <c r="O112" s="16">
        <v>3</v>
      </c>
      <c r="P112" s="16">
        <v>0.65</v>
      </c>
      <c r="Q112" s="16">
        <v>0.03</v>
      </c>
      <c r="R112" s="10">
        <v>20</v>
      </c>
      <c r="W112" s="6"/>
    </row>
    <row r="113" spans="1:23" s="24" customFormat="1" x14ac:dyDescent="0.25">
      <c r="A113" s="78" t="s">
        <v>35</v>
      </c>
      <c r="B113" s="9"/>
      <c r="C113" s="68">
        <f>LOOKUP("B.1.3.3.2.3.4.1.2.fil.vcf",FamA_Final_Filter!$A$2:$A$127,FamA_Final_Filter!$B$2:$B$127)</f>
        <v>14964</v>
      </c>
      <c r="D113" s="25"/>
      <c r="E113" s="26">
        <f ca="1">C113/C3</f>
        <v>8.3592161419346195E-2</v>
      </c>
      <c r="F113" s="16"/>
      <c r="G113" s="25"/>
      <c r="H113" s="26">
        <f>F113/F3</f>
        <v>0</v>
      </c>
      <c r="I113" s="16"/>
      <c r="J113" s="25"/>
      <c r="K113" s="26">
        <f>I113/I3</f>
        <v>0</v>
      </c>
      <c r="L113" s="16">
        <v>20</v>
      </c>
      <c r="M113" s="16">
        <v>0.85</v>
      </c>
      <c r="N113" s="16">
        <v>3</v>
      </c>
      <c r="O113" s="16">
        <v>3</v>
      </c>
      <c r="P113" s="16">
        <v>0.65</v>
      </c>
      <c r="Q113" s="16">
        <v>0.03</v>
      </c>
      <c r="R113" s="10">
        <v>20</v>
      </c>
      <c r="W113" s="6"/>
    </row>
    <row r="114" spans="1:23" s="24" customFormat="1" x14ac:dyDescent="0.25">
      <c r="A114" s="78" t="s">
        <v>36</v>
      </c>
      <c r="B114" s="9" t="s">
        <v>99</v>
      </c>
      <c r="C114" s="68">
        <f>LOOKUP("B.1.3.3.2.3.4.1.2.FIL",FamA_Final_Filter!$A$2:$A$127,FamA_Final_Filter!$B$2:$B$127)</f>
        <v>14187</v>
      </c>
      <c r="D114" s="25">
        <f>1-C114/C96</f>
        <v>0.13845873565312439</v>
      </c>
      <c r="E114" s="26">
        <f ca="1">C114/C3</f>
        <v>7.925167027908743E-2</v>
      </c>
      <c r="F114" s="68">
        <f>LOOKUP("B.1.3.3.2.3.4.1.2.FIL",FamA_Final_Filter!$A$2:$A$127,FamA_Final_Filter!$C$2:$C$127)</f>
        <v>4288</v>
      </c>
      <c r="G114" s="25">
        <f>1-F114/F96</f>
        <v>8.434764040145204E-2</v>
      </c>
      <c r="H114" s="26">
        <f>F114/F3</f>
        <v>0.97543221110100087</v>
      </c>
      <c r="I114" s="68">
        <f>LOOKUP("B.1.3.3.2.3.4.1.2.FIL",FamA_Final_Filter!$A$2:$A$127,FamA_Final_Filter!$D$2:$D$127)</f>
        <v>183</v>
      </c>
      <c r="J114" s="25">
        <f>1-I114/I96</f>
        <v>0</v>
      </c>
      <c r="K114" s="26">
        <f>I114/I3</f>
        <v>1</v>
      </c>
      <c r="L114" s="16">
        <v>20</v>
      </c>
      <c r="M114" s="16">
        <v>0.85</v>
      </c>
      <c r="N114" s="16">
        <v>3</v>
      </c>
      <c r="O114" s="16">
        <v>3</v>
      </c>
      <c r="P114" s="16">
        <v>0.65</v>
      </c>
      <c r="Q114" s="16">
        <v>0.03</v>
      </c>
      <c r="R114" s="10">
        <v>20</v>
      </c>
      <c r="W114" s="6"/>
    </row>
    <row r="115" spans="1:23" s="24" customFormat="1" ht="8.25" customHeight="1" x14ac:dyDescent="0.25">
      <c r="A115" s="82"/>
      <c r="B115" s="87"/>
      <c r="C115" s="83"/>
      <c r="D115" s="84"/>
      <c r="E115" s="90"/>
      <c r="F115" s="83"/>
      <c r="G115" s="84"/>
      <c r="H115" s="90"/>
      <c r="I115" s="83"/>
      <c r="J115" s="84"/>
      <c r="K115" s="90"/>
      <c r="L115" s="83"/>
      <c r="M115" s="83"/>
      <c r="N115" s="83"/>
      <c r="O115" s="83"/>
      <c r="P115" s="83"/>
      <c r="Q115" s="83"/>
      <c r="R115" s="93"/>
      <c r="S115" s="82"/>
      <c r="T115" s="82"/>
      <c r="U115" s="82"/>
      <c r="V115" s="82"/>
      <c r="W115" s="87"/>
    </row>
    <row r="116" spans="1:23" s="24" customFormat="1" x14ac:dyDescent="0.25">
      <c r="A116" s="81" t="s">
        <v>33</v>
      </c>
      <c r="B116" s="48"/>
      <c r="C116" s="49"/>
      <c r="D116" s="50"/>
      <c r="E116" s="51"/>
      <c r="F116" s="49"/>
      <c r="G116" s="50"/>
      <c r="H116" s="51"/>
      <c r="I116" s="49"/>
      <c r="J116" s="50"/>
      <c r="K116" s="51"/>
      <c r="L116" s="49">
        <v>20</v>
      </c>
      <c r="M116" s="49">
        <v>0.9</v>
      </c>
      <c r="N116" s="49">
        <v>3</v>
      </c>
      <c r="O116" s="49">
        <v>3</v>
      </c>
      <c r="P116" s="49">
        <v>0.65</v>
      </c>
      <c r="Q116" s="49">
        <v>0.03</v>
      </c>
      <c r="R116" s="52">
        <v>20</v>
      </c>
      <c r="W116" s="6"/>
    </row>
    <row r="117" spans="1:23" s="24" customFormat="1" x14ac:dyDescent="0.25">
      <c r="A117" s="81" t="s">
        <v>34</v>
      </c>
      <c r="B117" s="48"/>
      <c r="C117" s="68">
        <f>LOOKUP("B.1.3.3.2.3.2.2.2.filAB.vcf",FamA_Final_Filter!$A$2:$A$127,FamA_Final_Filter!$B$2:$B$127)</f>
        <v>14180</v>
      </c>
      <c r="D117" s="50"/>
      <c r="E117" s="51"/>
      <c r="F117" s="49"/>
      <c r="G117" s="50"/>
      <c r="H117" s="51"/>
      <c r="I117" s="49"/>
      <c r="J117" s="50"/>
      <c r="K117" s="51"/>
      <c r="L117" s="49">
        <v>20</v>
      </c>
      <c r="M117" s="49">
        <v>0.9</v>
      </c>
      <c r="N117" s="49">
        <v>3</v>
      </c>
      <c r="O117" s="49">
        <v>3</v>
      </c>
      <c r="P117" s="49">
        <v>0.65</v>
      </c>
      <c r="Q117" s="49">
        <v>0.03</v>
      </c>
      <c r="R117" s="52">
        <v>20</v>
      </c>
      <c r="W117" s="6"/>
    </row>
    <row r="118" spans="1:23" s="24" customFormat="1" x14ac:dyDescent="0.25">
      <c r="A118" s="81" t="s">
        <v>35</v>
      </c>
      <c r="B118" s="48"/>
      <c r="C118" s="68">
        <f>LOOKUP("B.1.3.3.2.3.2.2.2.fil.vcf",FamA_Final_Filter!$A$2:$A$127,FamA_Final_Filter!$B$2:$B$127)</f>
        <v>14119</v>
      </c>
      <c r="D118" s="50"/>
      <c r="E118" s="51"/>
      <c r="F118" s="49"/>
      <c r="G118" s="50"/>
      <c r="H118" s="51"/>
      <c r="I118" s="49"/>
      <c r="J118" s="50"/>
      <c r="K118" s="51"/>
      <c r="L118" s="49">
        <v>20</v>
      </c>
      <c r="M118" s="49">
        <v>0.9</v>
      </c>
      <c r="N118" s="49">
        <v>3</v>
      </c>
      <c r="O118" s="49">
        <v>3</v>
      </c>
      <c r="P118" s="49">
        <v>0.65</v>
      </c>
      <c r="Q118" s="49">
        <v>0.03</v>
      </c>
      <c r="R118" s="52">
        <v>20</v>
      </c>
      <c r="W118" s="6"/>
    </row>
    <row r="119" spans="1:23" s="24" customFormat="1" x14ac:dyDescent="0.25">
      <c r="A119" s="81" t="s">
        <v>36</v>
      </c>
      <c r="B119" s="48" t="s">
        <v>103</v>
      </c>
      <c r="C119" s="68">
        <f>LOOKUP("B.1.3.3.2.3.2.2.2.FIL",FamA_Final_Filter!$A$2:$A$127,FamA_Final_Filter!$B$2:$B$127)</f>
        <v>13399</v>
      </c>
      <c r="D119" s="50">
        <f>1-C119/C101</f>
        <v>0.13095083668439489</v>
      </c>
      <c r="E119" s="51">
        <f ca="1">C119/C3</f>
        <v>7.4849730744307647E-2</v>
      </c>
      <c r="F119" s="68">
        <f>LOOKUP("B.1.3.3.2.3.2.2.2.FIL",FamA_Final_Filter!$A$2:$A$127,FamA_Final_Filter!$C$2:$C$127)</f>
        <v>4043</v>
      </c>
      <c r="G119" s="50">
        <f>1-F119/F101</f>
        <v>8.176243470361122E-2</v>
      </c>
      <c r="H119" s="51">
        <f>F119/F3</f>
        <v>0.91969972702456781</v>
      </c>
      <c r="I119" s="68">
        <f>LOOKUP("B.1.3.3.2.3.2.2.2.FIL",FamA_Final_Filter!$A$2:$A$127,FamA_Final_Filter!$D$2:$D$127)</f>
        <v>183</v>
      </c>
      <c r="J119" s="50">
        <f>1-I119/I101</f>
        <v>0</v>
      </c>
      <c r="K119" s="51">
        <f>I119/I3</f>
        <v>1</v>
      </c>
      <c r="L119" s="49">
        <v>20</v>
      </c>
      <c r="M119" s="49">
        <v>0.9</v>
      </c>
      <c r="N119" s="49">
        <v>3</v>
      </c>
      <c r="O119" s="49">
        <v>3</v>
      </c>
      <c r="P119" s="49">
        <v>0.65</v>
      </c>
      <c r="Q119" s="49">
        <v>0.03</v>
      </c>
      <c r="R119" s="52">
        <v>20</v>
      </c>
      <c r="W119" s="6"/>
    </row>
    <row r="120" spans="1:23" s="24" customFormat="1" ht="8.25" customHeight="1" x14ac:dyDescent="0.25">
      <c r="A120" s="82"/>
      <c r="B120" s="87"/>
      <c r="C120" s="83"/>
      <c r="D120" s="84"/>
      <c r="E120" s="90"/>
      <c r="F120" s="83"/>
      <c r="G120" s="84"/>
      <c r="H120" s="90"/>
      <c r="I120" s="83"/>
      <c r="J120" s="84"/>
      <c r="K120" s="90"/>
      <c r="L120" s="83"/>
      <c r="M120" s="83"/>
      <c r="N120" s="83"/>
      <c r="O120" s="83"/>
      <c r="P120" s="83"/>
      <c r="Q120" s="83"/>
      <c r="R120" s="93"/>
      <c r="S120" s="82"/>
      <c r="T120" s="82"/>
      <c r="U120" s="82"/>
      <c r="V120" s="82"/>
      <c r="W120" s="87"/>
    </row>
    <row r="121" spans="1:23" s="24" customFormat="1" x14ac:dyDescent="0.25">
      <c r="A121" s="75" t="s">
        <v>33</v>
      </c>
      <c r="B121" s="12"/>
      <c r="C121" s="17"/>
      <c r="D121" s="22"/>
      <c r="E121" s="23"/>
      <c r="F121" s="17"/>
      <c r="G121" s="22"/>
      <c r="H121" s="23"/>
      <c r="I121" s="17"/>
      <c r="J121" s="22"/>
      <c r="K121" s="23"/>
      <c r="L121" s="95">
        <v>20</v>
      </c>
      <c r="M121" s="95" t="s">
        <v>31</v>
      </c>
      <c r="N121" s="95">
        <v>3</v>
      </c>
      <c r="O121" s="95">
        <v>3</v>
      </c>
      <c r="P121" s="95">
        <v>0.8</v>
      </c>
      <c r="Q121" s="95">
        <v>0.05</v>
      </c>
      <c r="R121" s="96">
        <v>20</v>
      </c>
      <c r="W121" s="6"/>
    </row>
    <row r="122" spans="1:23" s="24" customFormat="1" x14ac:dyDescent="0.25">
      <c r="A122" s="75" t="s">
        <v>34</v>
      </c>
      <c r="B122" s="12"/>
      <c r="C122" s="68">
        <f>LOOKUP("A.1.1.1.2.2.3.1.2.filAB.vcf",FamA_Final_Filter!$A$2:$A$127,FamA_Final_Filter!$B$2:$B$127)</f>
        <v>15027</v>
      </c>
      <c r="D122" s="22"/>
      <c r="E122" s="23"/>
      <c r="F122" s="17"/>
      <c r="G122" s="22"/>
      <c r="H122" s="23"/>
      <c r="I122" s="17"/>
      <c r="J122" s="22"/>
      <c r="K122" s="23"/>
      <c r="L122" s="95">
        <v>20</v>
      </c>
      <c r="M122" s="95" t="s">
        <v>31</v>
      </c>
      <c r="N122" s="95">
        <v>3</v>
      </c>
      <c r="O122" s="95">
        <v>3</v>
      </c>
      <c r="P122" s="95">
        <v>0.8</v>
      </c>
      <c r="Q122" s="95">
        <v>0.05</v>
      </c>
      <c r="R122" s="96">
        <v>20</v>
      </c>
      <c r="W122" s="6"/>
    </row>
    <row r="123" spans="1:23" s="24" customFormat="1" x14ac:dyDescent="0.25">
      <c r="A123" s="75" t="s">
        <v>35</v>
      </c>
      <c r="B123" s="12"/>
      <c r="C123" s="68">
        <f>LOOKUP("A.1.1.1.2.2.3.1.2.fil.vcf",FamA_Final_Filter!$A$2:$A$127,FamA_Final_Filter!$B$2:$B$127)</f>
        <v>14964</v>
      </c>
      <c r="D123" s="22"/>
      <c r="E123" s="23"/>
      <c r="F123" s="17"/>
      <c r="G123" s="22"/>
      <c r="H123" s="23"/>
      <c r="I123" s="17"/>
      <c r="J123" s="22"/>
      <c r="K123" s="23"/>
      <c r="L123" s="95">
        <v>20</v>
      </c>
      <c r="M123" s="95" t="s">
        <v>31</v>
      </c>
      <c r="N123" s="95">
        <v>3</v>
      </c>
      <c r="O123" s="95">
        <v>3</v>
      </c>
      <c r="P123" s="95">
        <v>0.8</v>
      </c>
      <c r="Q123" s="95">
        <v>0.05</v>
      </c>
      <c r="R123" s="96">
        <v>20</v>
      </c>
      <c r="W123" s="6"/>
    </row>
    <row r="124" spans="1:23" s="24" customFormat="1" x14ac:dyDescent="0.25">
      <c r="A124" s="75" t="s">
        <v>36</v>
      </c>
      <c r="B124" s="12" t="s">
        <v>97</v>
      </c>
      <c r="C124" s="68">
        <f>LOOKUP("A.1.1.1.2.2.3.1.2.FIL",FamA_Final_Filter!$A$2:$A$127,FamA_Final_Filter!$B$2:$B$127)</f>
        <v>14187</v>
      </c>
      <c r="D124" s="22">
        <f>1-C124/C93</f>
        <v>0.12711499415492522</v>
      </c>
      <c r="E124" s="23">
        <f ca="1">C124/C3</f>
        <v>7.925167027908743E-2</v>
      </c>
      <c r="F124" s="68">
        <f>LOOKUP("A.1.1.1.2.2.3.1.2.FIL",FamA_Final_Filter!$A$2:$A$127,FamA_Final_Filter!$C$2:$C$127)</f>
        <v>4288</v>
      </c>
      <c r="G124" s="22">
        <f>1-F124/F93</f>
        <v>8.2584510055626836E-2</v>
      </c>
      <c r="H124" s="23">
        <f>F124/F3</f>
        <v>0.97543221110100087</v>
      </c>
      <c r="I124" s="68">
        <f>LOOKUP("A.1.1.1.2.2.3.1.2.FIL",FamA_Final_Filter!$A$2:$A$127,FamA_Final_Filter!$D$2:$D$127)</f>
        <v>183</v>
      </c>
      <c r="J124" s="22">
        <f>1-I124/I93</f>
        <v>0</v>
      </c>
      <c r="K124" s="23">
        <f>I124/I3</f>
        <v>1</v>
      </c>
      <c r="L124" s="95">
        <v>20</v>
      </c>
      <c r="M124" s="95" t="s">
        <v>31</v>
      </c>
      <c r="N124" s="95">
        <v>3</v>
      </c>
      <c r="O124" s="95">
        <v>3</v>
      </c>
      <c r="P124" s="95">
        <v>0.8</v>
      </c>
      <c r="Q124" s="95">
        <v>0.05</v>
      </c>
      <c r="R124" s="96">
        <v>20</v>
      </c>
      <c r="W124" s="6"/>
    </row>
    <row r="125" spans="1:23" s="24" customFormat="1" ht="8.25" customHeight="1" x14ac:dyDescent="0.25">
      <c r="A125" s="82"/>
      <c r="B125" s="87"/>
      <c r="C125" s="83"/>
      <c r="D125" s="84"/>
      <c r="E125" s="90"/>
      <c r="F125" s="83"/>
      <c r="G125" s="84"/>
      <c r="H125" s="90"/>
      <c r="I125" s="83"/>
      <c r="J125" s="84"/>
      <c r="K125" s="90"/>
      <c r="L125" s="83"/>
      <c r="M125" s="83"/>
      <c r="N125" s="83"/>
      <c r="O125" s="83"/>
      <c r="P125" s="83"/>
      <c r="Q125" s="83"/>
      <c r="R125" s="93"/>
      <c r="S125" s="82"/>
      <c r="T125" s="82"/>
      <c r="U125" s="82"/>
      <c r="V125" s="82"/>
      <c r="W125" s="87"/>
    </row>
    <row r="126" spans="1:23" x14ac:dyDescent="0.25">
      <c r="A126" s="79" t="s">
        <v>33</v>
      </c>
      <c r="B126" s="13"/>
      <c r="C126" s="19"/>
      <c r="D126" s="27"/>
      <c r="E126" s="28"/>
      <c r="F126" s="19"/>
      <c r="G126" s="27"/>
      <c r="H126" s="28"/>
      <c r="I126" s="19"/>
      <c r="J126" s="27"/>
      <c r="K126" s="28"/>
      <c r="L126" s="97">
        <v>20</v>
      </c>
      <c r="M126" s="97">
        <v>0.85</v>
      </c>
      <c r="N126" s="97">
        <v>3</v>
      </c>
      <c r="O126" s="97">
        <v>3</v>
      </c>
      <c r="P126" s="97">
        <v>0.65</v>
      </c>
      <c r="Q126" s="97">
        <v>0.05</v>
      </c>
      <c r="R126" s="98">
        <v>20</v>
      </c>
      <c r="W126" s="3"/>
    </row>
    <row r="127" spans="1:23" x14ac:dyDescent="0.25">
      <c r="A127" s="79" t="s">
        <v>34</v>
      </c>
      <c r="B127" s="13"/>
      <c r="C127" s="68">
        <f>LOOKUP("B.1.3.3.2.3.4.1.2.filAB.vcf",FamA_Final_Filter!$A$2:$A$127,FamA_Final_Filter!$B$2:$B$127)</f>
        <v>15027</v>
      </c>
      <c r="D127" s="27"/>
      <c r="E127" s="28"/>
      <c r="F127" s="19"/>
      <c r="G127" s="27"/>
      <c r="H127" s="28"/>
      <c r="I127" s="19"/>
      <c r="J127" s="27"/>
      <c r="K127" s="28"/>
      <c r="L127" s="97">
        <v>20</v>
      </c>
      <c r="M127" s="97">
        <v>0.85</v>
      </c>
      <c r="N127" s="97">
        <v>3</v>
      </c>
      <c r="O127" s="97">
        <v>3</v>
      </c>
      <c r="P127" s="97">
        <v>0.65</v>
      </c>
      <c r="Q127" s="97">
        <v>0.05</v>
      </c>
      <c r="R127" s="98">
        <v>20</v>
      </c>
      <c r="W127" s="3"/>
    </row>
    <row r="128" spans="1:23" x14ac:dyDescent="0.25">
      <c r="A128" s="79" t="s">
        <v>35</v>
      </c>
      <c r="B128" s="13"/>
      <c r="C128" s="68">
        <f>LOOKUP("B.1.3.3.2.3.4.1.2.fil.vcf",FamA_Final_Filter!$A$2:$A$127,FamA_Final_Filter!$B$2:$B$127)</f>
        <v>14964</v>
      </c>
      <c r="D128" s="27"/>
      <c r="E128" s="28"/>
      <c r="F128" s="19"/>
      <c r="G128" s="27"/>
      <c r="H128" s="28"/>
      <c r="I128" s="19"/>
      <c r="J128" s="27"/>
      <c r="K128" s="28"/>
      <c r="L128" s="97">
        <v>20</v>
      </c>
      <c r="M128" s="97">
        <v>0.85</v>
      </c>
      <c r="N128" s="97">
        <v>3</v>
      </c>
      <c r="O128" s="97">
        <v>3</v>
      </c>
      <c r="P128" s="97">
        <v>0.65</v>
      </c>
      <c r="Q128" s="97">
        <v>0.05</v>
      </c>
      <c r="R128" s="98">
        <v>20</v>
      </c>
      <c r="W128" s="3"/>
    </row>
    <row r="129" spans="1:23" x14ac:dyDescent="0.25">
      <c r="A129" s="79" t="s">
        <v>36</v>
      </c>
      <c r="B129" s="13" t="s">
        <v>107</v>
      </c>
      <c r="C129" s="68">
        <f>LOOKUP("B.1.3.3.2.3.4.1.2.FIL",FamA_Final_Filter!$A$2:$A$127,FamA_Final_Filter!$B$2:$B$127)</f>
        <v>14187</v>
      </c>
      <c r="D129" s="27">
        <f>1-C129/C106</f>
        <v>0.12711499415492522</v>
      </c>
      <c r="E129" s="28">
        <f ca="1">C129/C3</f>
        <v>7.925167027908743E-2</v>
      </c>
      <c r="F129" s="68">
        <f>LOOKUP("B.1.3.3.2.3.4.1.2.FIL",FamA_Final_Filter!$A$2:$A$127,FamA_Final_Filter!$C$2:$C$127)</f>
        <v>4288</v>
      </c>
      <c r="G129" s="27">
        <f>1-F129/F106</f>
        <v>8.2584510055626836E-2</v>
      </c>
      <c r="H129" s="28">
        <f>F129/F3</f>
        <v>0.97543221110100087</v>
      </c>
      <c r="I129" s="68">
        <f>LOOKUP("B.1.3.3.2.3.4.1.2.FIL",FamA_Final_Filter!$A$2:$A$127,FamA_Final_Filter!$D$2:$D$127)</f>
        <v>183</v>
      </c>
      <c r="J129" s="27">
        <f>1-I129/I106</f>
        <v>0</v>
      </c>
      <c r="K129" s="28">
        <f>I129/I3</f>
        <v>1</v>
      </c>
      <c r="L129" s="97">
        <v>20</v>
      </c>
      <c r="M129" s="97">
        <v>0.85</v>
      </c>
      <c r="N129" s="97">
        <v>3</v>
      </c>
      <c r="O129" s="97">
        <v>3</v>
      </c>
      <c r="P129" s="97">
        <v>0.65</v>
      </c>
      <c r="Q129" s="97">
        <v>0.05</v>
      </c>
      <c r="R129" s="98">
        <v>20</v>
      </c>
      <c r="W129" s="3"/>
    </row>
    <row r="130" spans="1:23" s="24" customFormat="1" ht="8.25" customHeight="1" x14ac:dyDescent="0.25">
      <c r="A130" s="82"/>
      <c r="B130" s="87"/>
      <c r="C130" s="83"/>
      <c r="D130" s="84"/>
      <c r="E130" s="90"/>
      <c r="F130" s="83"/>
      <c r="G130" s="84"/>
      <c r="H130" s="90"/>
      <c r="I130" s="83"/>
      <c r="J130" s="84"/>
      <c r="K130" s="90"/>
      <c r="L130" s="83"/>
      <c r="M130" s="83"/>
      <c r="N130" s="83"/>
      <c r="O130" s="83"/>
      <c r="P130" s="83"/>
      <c r="Q130" s="83"/>
      <c r="R130" s="93"/>
      <c r="S130" s="82"/>
      <c r="T130" s="82"/>
      <c r="U130" s="82"/>
      <c r="V130" s="82"/>
      <c r="W130" s="87"/>
    </row>
    <row r="131" spans="1:23" s="24" customFormat="1" x14ac:dyDescent="0.25">
      <c r="A131" s="59" t="s">
        <v>33</v>
      </c>
      <c r="B131" s="43"/>
      <c r="C131" s="44"/>
      <c r="D131" s="45"/>
      <c r="E131" s="46"/>
      <c r="F131" s="44"/>
      <c r="G131" s="45"/>
      <c r="H131" s="46"/>
      <c r="I131" s="44"/>
      <c r="J131" s="45"/>
      <c r="K131" s="46"/>
      <c r="L131" s="44">
        <v>20</v>
      </c>
      <c r="M131" s="44">
        <v>0.9</v>
      </c>
      <c r="N131" s="44">
        <v>3</v>
      </c>
      <c r="O131" s="44">
        <v>3</v>
      </c>
      <c r="P131" s="99">
        <v>0.7</v>
      </c>
      <c r="Q131" s="44">
        <v>0.05</v>
      </c>
      <c r="R131" s="47">
        <v>20</v>
      </c>
      <c r="W131" s="6"/>
    </row>
    <row r="132" spans="1:23" s="24" customFormat="1" x14ac:dyDescent="0.25">
      <c r="A132" s="59" t="s">
        <v>34</v>
      </c>
      <c r="B132" s="43"/>
      <c r="C132" s="68">
        <f>LOOKUP("B.1.3.3.2.3.4.2.1.filAB.vcf",FamA_Final_Filter!$A$2:$A$127,FamA_Final_Filter!$B$2:$B$127)</f>
        <v>14177</v>
      </c>
      <c r="D132" s="45"/>
      <c r="E132" s="46"/>
      <c r="F132" s="44"/>
      <c r="G132" s="45"/>
      <c r="H132" s="46"/>
      <c r="I132" s="44"/>
      <c r="J132" s="45"/>
      <c r="K132" s="46"/>
      <c r="L132" s="44">
        <v>20</v>
      </c>
      <c r="M132" s="44">
        <v>0.9</v>
      </c>
      <c r="N132" s="44">
        <v>3</v>
      </c>
      <c r="O132" s="44">
        <v>3</v>
      </c>
      <c r="P132" s="99">
        <v>0.7</v>
      </c>
      <c r="Q132" s="44">
        <v>0.05</v>
      </c>
      <c r="R132" s="47">
        <v>20</v>
      </c>
      <c r="W132" s="6"/>
    </row>
    <row r="133" spans="1:23" s="24" customFormat="1" x14ac:dyDescent="0.25">
      <c r="A133" s="59" t="s">
        <v>35</v>
      </c>
      <c r="B133" s="43"/>
      <c r="C133" s="68">
        <f>LOOKUP("B.1.3.3.2.3.4.2.1.fil.vcf",FamA_Final_Filter!$A$2:$A$127,FamA_Final_Filter!$B$2:$B$127)</f>
        <v>14117</v>
      </c>
      <c r="D133" s="45"/>
      <c r="E133" s="46"/>
      <c r="F133" s="44"/>
      <c r="G133" s="45"/>
      <c r="H133" s="46"/>
      <c r="I133" s="44"/>
      <c r="J133" s="45"/>
      <c r="K133" s="46"/>
      <c r="L133" s="44">
        <v>20</v>
      </c>
      <c r="M133" s="44">
        <v>0.9</v>
      </c>
      <c r="N133" s="44">
        <v>3</v>
      </c>
      <c r="O133" s="44">
        <v>3</v>
      </c>
      <c r="P133" s="99">
        <v>0.7</v>
      </c>
      <c r="Q133" s="44">
        <v>0.05</v>
      </c>
      <c r="R133" s="47">
        <v>20</v>
      </c>
      <c r="W133" s="6"/>
    </row>
    <row r="134" spans="1:23" s="24" customFormat="1" x14ac:dyDescent="0.25">
      <c r="A134" s="59" t="s">
        <v>36</v>
      </c>
      <c r="B134" s="43" t="s">
        <v>111</v>
      </c>
      <c r="C134" s="68">
        <f>LOOKUP("B.1.3.3.2.3.4.2.1.FIL",FamA_Final_Filter!$A$2:$A$127,FamA_Final_Filter!$B$2:$B$127)</f>
        <v>13397</v>
      </c>
      <c r="D134" s="45">
        <f>1-C134/C108</f>
        <v>0.12029680215378558</v>
      </c>
      <c r="E134" s="46">
        <f ca="1">C134/C3</f>
        <v>7.4838558308940178E-2</v>
      </c>
      <c r="F134" s="68">
        <f>LOOKUP("B.1.3.3.2.3.4.2.1.FIL",FamA_Final_Filter!$A$2:$A$127,FamA_Final_Filter!$C$2:$C$127)</f>
        <v>4043</v>
      </c>
      <c r="G134" s="45">
        <f>1-F134/F108</f>
        <v>8.0300272975432185E-2</v>
      </c>
      <c r="H134" s="46">
        <f>F134/F3</f>
        <v>0.91969972702456781</v>
      </c>
      <c r="I134" s="68">
        <f>LOOKUP("B.1.3.3.2.3.4.2.1.FIL",FamA_Final_Filter!$A$2:$A$127,FamA_Final_Filter!$D$2:$D$127)</f>
        <v>183</v>
      </c>
      <c r="J134" s="45">
        <f>1-I134/I108</f>
        <v>0</v>
      </c>
      <c r="K134" s="46">
        <f>I134/I3</f>
        <v>1</v>
      </c>
      <c r="L134" s="44">
        <v>20</v>
      </c>
      <c r="M134" s="44">
        <v>0.9</v>
      </c>
      <c r="N134" s="44">
        <v>3</v>
      </c>
      <c r="O134" s="44">
        <v>3</v>
      </c>
      <c r="P134" s="99">
        <v>0.7</v>
      </c>
      <c r="Q134" s="44">
        <v>0.05</v>
      </c>
      <c r="R134" s="47">
        <v>20</v>
      </c>
      <c r="W134" s="6"/>
    </row>
    <row r="135" spans="1:23" s="24" customFormat="1" x14ac:dyDescent="0.25">
      <c r="A135" s="67"/>
      <c r="B135" s="54"/>
      <c r="C135" s="55"/>
      <c r="D135" s="56"/>
      <c r="E135" s="57"/>
      <c r="F135" s="55"/>
      <c r="G135" s="56"/>
      <c r="H135" s="57"/>
      <c r="I135" s="55"/>
      <c r="J135" s="56"/>
      <c r="K135" s="57"/>
      <c r="L135" s="55"/>
      <c r="M135" s="55"/>
      <c r="N135" s="55"/>
      <c r="O135" s="55"/>
      <c r="P135" s="55"/>
      <c r="Q135" s="55"/>
      <c r="R135" s="58"/>
      <c r="S135" s="67"/>
      <c r="T135" s="67"/>
      <c r="U135" s="67"/>
      <c r="V135" s="67"/>
      <c r="W135" s="54"/>
    </row>
    <row r="136" spans="1:23" x14ac:dyDescent="0.25">
      <c r="A136" s="75" t="s">
        <v>37</v>
      </c>
      <c r="B136" s="12" t="s">
        <v>97</v>
      </c>
      <c r="C136" s="68">
        <f>LOOKUP("A.1.1.1.2.2.3.1.2.SNP",FamA_Final_Filter!$A$2:$A$127,FamA_Final_Filter!$B$2:$B$127)</f>
        <v>16703</v>
      </c>
      <c r="D136" s="22"/>
      <c r="E136" s="23">
        <f ca="1">C136/C3</f>
        <v>9.3306593971353879E-2</v>
      </c>
      <c r="F136" s="68">
        <f>LOOKUP("A.1.1.1.2.2.3.1.2.SNP",FamA_Final_Filter!$A$2:$A$127,FamA_Final_Filter!$C$2:$C$127)</f>
        <v>4567</v>
      </c>
      <c r="G136" s="22"/>
      <c r="H136" s="23">
        <f>F136/F3</f>
        <v>1.0388989990900819</v>
      </c>
      <c r="I136" s="68">
        <f>LOOKUP("A.1.1.1.2.2.3.1.2.SNP",FamA_Final_Filter!$A$2:$A$127,FamA_Final_Filter!$D$2:$D$127)</f>
        <v>183</v>
      </c>
      <c r="J136" s="22"/>
      <c r="K136" s="23">
        <f>I136/I3</f>
        <v>1</v>
      </c>
      <c r="L136" s="95">
        <v>20</v>
      </c>
      <c r="M136" s="95" t="s">
        <v>31</v>
      </c>
      <c r="N136" s="95">
        <v>3</v>
      </c>
      <c r="O136" s="95">
        <v>3</v>
      </c>
      <c r="P136" s="95">
        <v>0.8</v>
      </c>
      <c r="Q136" s="95">
        <v>0.05</v>
      </c>
      <c r="R136" s="96">
        <v>20</v>
      </c>
      <c r="W136" s="3"/>
    </row>
    <row r="137" spans="1:23" x14ac:dyDescent="0.25">
      <c r="A137" s="78" t="s">
        <v>37</v>
      </c>
      <c r="B137" s="9" t="s">
        <v>99</v>
      </c>
      <c r="C137" s="68">
        <f>LOOKUP("B.1.3.3.2.3.4.1.2.SNP",FamA_Final_Filter!$A$2:$A$127,FamA_Final_Filter!$B$2:$B$127)</f>
        <v>16703</v>
      </c>
      <c r="D137" s="25"/>
      <c r="E137" s="26">
        <f ca="1">C137/C3</f>
        <v>9.3306593971353879E-2</v>
      </c>
      <c r="F137" s="68">
        <f>LOOKUP("B.1.3.3.2.3.4.1.2.SNP",FamA_Final_Filter!$A$2:$A$127,FamA_Final_Filter!$C$2:$C$127)</f>
        <v>4567</v>
      </c>
      <c r="G137" s="25"/>
      <c r="H137" s="26">
        <f>F137/F3</f>
        <v>1.0388989990900819</v>
      </c>
      <c r="I137" s="68">
        <f>LOOKUP("B.1.3.3.2.3.4.1.2.SNP",FamA_Final_Filter!$A$2:$A$127,FamA_Final_Filter!$D$2:$D$127)</f>
        <v>183</v>
      </c>
      <c r="J137" s="25"/>
      <c r="K137" s="26">
        <f>I137/I3</f>
        <v>1</v>
      </c>
      <c r="L137" s="16">
        <v>20</v>
      </c>
      <c r="M137" s="16">
        <v>0.85</v>
      </c>
      <c r="N137" s="16">
        <v>3</v>
      </c>
      <c r="O137" s="16">
        <v>3</v>
      </c>
      <c r="P137" s="16">
        <v>0.65</v>
      </c>
      <c r="Q137" s="16">
        <v>0.03</v>
      </c>
      <c r="R137" s="10">
        <v>20</v>
      </c>
      <c r="W137" s="3"/>
    </row>
    <row r="138" spans="1:23" x14ac:dyDescent="0.25">
      <c r="A138" s="79" t="s">
        <v>37</v>
      </c>
      <c r="B138" s="13" t="s">
        <v>107</v>
      </c>
      <c r="C138" s="68">
        <f>LOOKUP("B.1.3.3.2.3.4.1.2.SNP",FamA_Final_Filter!$A$2:$A$127,FamA_Final_Filter!$B$2:$B$127)</f>
        <v>16703</v>
      </c>
      <c r="D138" s="27"/>
      <c r="E138" s="28">
        <f ca="1">C138/C3</f>
        <v>9.3306593971353879E-2</v>
      </c>
      <c r="F138" s="68">
        <f>LOOKUP("B.1.3.3.2.3.4.1.2.SNP",FamA_Final_Filter!$A$2:$A$127,FamA_Final_Filter!$C$2:$C$127)</f>
        <v>4567</v>
      </c>
      <c r="G138" s="27"/>
      <c r="H138" s="28">
        <f>F138/F3</f>
        <v>1.0388989990900819</v>
      </c>
      <c r="I138" s="68">
        <f>LOOKUP("B.1.3.3.2.3.4.1.2.SNP",FamA_Final_Filter!$A$2:$A$127,FamA_Final_Filter!$D$2:$D$127)</f>
        <v>183</v>
      </c>
      <c r="J138" s="27"/>
      <c r="K138" s="28">
        <f>I138/I3</f>
        <v>1</v>
      </c>
      <c r="L138" s="19">
        <v>20</v>
      </c>
      <c r="M138" s="19">
        <v>0.85</v>
      </c>
      <c r="N138" s="19">
        <v>3</v>
      </c>
      <c r="O138" s="19">
        <v>3</v>
      </c>
      <c r="P138" s="19">
        <v>0.65</v>
      </c>
      <c r="Q138" s="19">
        <v>0.05</v>
      </c>
      <c r="R138" s="20">
        <v>20</v>
      </c>
      <c r="W138" s="3"/>
    </row>
    <row r="139" spans="1:23" x14ac:dyDescent="0.25">
      <c r="A139" s="59" t="s">
        <v>37</v>
      </c>
      <c r="B139" s="43" t="s">
        <v>111</v>
      </c>
      <c r="C139" s="68">
        <f>LOOKUP("B.1.3.3.2.3.4.2.1.SNP",FamA_Final_Filter!$A$2:$A$127,FamA_Final_Filter!$B$2:$B$127)</f>
        <v>15637</v>
      </c>
      <c r="D139" s="45"/>
      <c r="E139" s="46">
        <f ca="1">C139/C3</f>
        <v>8.7351685920496955E-2</v>
      </c>
      <c r="F139" s="68">
        <f>LOOKUP("B.1.3.3.2.3.4.2.1.SNP",FamA_Final_Filter!$A$2:$A$127,FamA_Final_Filter!$C$2:$C$127)</f>
        <v>4300</v>
      </c>
      <c r="G139" s="45"/>
      <c r="H139" s="46">
        <f>F139/F3</f>
        <v>0.97816196542311196</v>
      </c>
      <c r="I139" s="68">
        <f>LOOKUP("B.1.3.3.2.3.4.2.1.SNP",FamA_Final_Filter!$A$2:$A$127,FamA_Final_Filter!$D$2:$D$127)</f>
        <v>183</v>
      </c>
      <c r="J139" s="45"/>
      <c r="K139" s="46">
        <f>I139/I3</f>
        <v>1</v>
      </c>
      <c r="L139" s="44">
        <v>20</v>
      </c>
      <c r="M139" s="44">
        <v>0.9</v>
      </c>
      <c r="N139" s="44">
        <v>3</v>
      </c>
      <c r="O139" s="44">
        <v>3</v>
      </c>
      <c r="P139" s="99">
        <v>0.7</v>
      </c>
      <c r="Q139" s="44">
        <v>0.05</v>
      </c>
      <c r="R139" s="47">
        <v>20</v>
      </c>
      <c r="W139" s="3"/>
    </row>
    <row r="140" spans="1:23" x14ac:dyDescent="0.25">
      <c r="A140" s="81" t="s">
        <v>37</v>
      </c>
      <c r="B140" s="48" t="s">
        <v>103</v>
      </c>
      <c r="C140" s="68">
        <f>LOOKUP("B.1.3.3.2.3.2.2.2.SNP",FamA_Final_Filter!$A$2:$A$127,FamA_Final_Filter!$B$2:$B$127)</f>
        <v>15873</v>
      </c>
      <c r="D140" s="50"/>
      <c r="E140" s="51">
        <f ca="1">C140/C3</f>
        <v>8.8670033293857392E-2</v>
      </c>
      <c r="F140" s="68">
        <f>LOOKUP("B.1.3.3.2.3.2.2.2.SNP",FamA_Final_Filter!$A$2:$A$127,FamA_Final_Filter!$C$2:$C$127)</f>
        <v>4306</v>
      </c>
      <c r="G140" s="50"/>
      <c r="H140" s="51">
        <f>F140/F3</f>
        <v>0.97952684258416745</v>
      </c>
      <c r="I140" s="68">
        <f>LOOKUP("B.1.3.3.2.3.2.2.2.SNP",FamA_Final_Filter!$A$2:$A$127,FamA_Final_Filter!$D$2:$D$127)</f>
        <v>183</v>
      </c>
      <c r="J140" s="50"/>
      <c r="K140" s="51">
        <f>I140/I3</f>
        <v>1</v>
      </c>
      <c r="L140" s="49">
        <v>20</v>
      </c>
      <c r="M140" s="49">
        <v>0.9</v>
      </c>
      <c r="N140" s="49">
        <v>3</v>
      </c>
      <c r="O140" s="49">
        <v>3</v>
      </c>
      <c r="P140" s="49">
        <v>0.65</v>
      </c>
      <c r="Q140" s="49">
        <v>0.03</v>
      </c>
      <c r="R140" s="52">
        <v>20</v>
      </c>
      <c r="W140" s="3"/>
    </row>
    <row r="141" spans="1:23" x14ac:dyDescent="0.25">
      <c r="A141" s="67"/>
      <c r="B141" s="54"/>
      <c r="C141" s="55"/>
      <c r="D141" s="56"/>
      <c r="E141" s="57"/>
      <c r="F141" s="55"/>
      <c r="G141" s="56"/>
      <c r="H141" s="57"/>
      <c r="I141" s="55"/>
      <c r="J141" s="56"/>
      <c r="K141" s="57"/>
      <c r="L141" s="55"/>
      <c r="M141" s="55"/>
      <c r="N141" s="55"/>
      <c r="O141" s="55"/>
      <c r="P141" s="55"/>
      <c r="Q141" s="55"/>
      <c r="R141" s="58"/>
      <c r="S141" s="67"/>
      <c r="T141" s="67"/>
      <c r="U141" s="67"/>
      <c r="V141" s="67"/>
      <c r="W141" s="54"/>
    </row>
    <row r="142" spans="1:23" x14ac:dyDescent="0.25">
      <c r="A142" s="24" t="s">
        <v>40</v>
      </c>
      <c r="B142" s="12" t="s">
        <v>97</v>
      </c>
      <c r="C142" s="68">
        <f>LOOKUP("A.1.1.1.2.2.3.1.2.SNP.final0",FamA_Final_Filter!$A$2:$A$127,FamA_Final_Filter!$B$2:$B$127)</f>
        <v>16703</v>
      </c>
      <c r="D142" s="7">
        <f>1-C142/C137</f>
        <v>0</v>
      </c>
      <c r="E142" s="8">
        <f ca="1">C142/C3</f>
        <v>9.3306593971353879E-2</v>
      </c>
      <c r="F142" s="68">
        <f>LOOKUP("A.1.1.1.2.2.3.1.2.SNP.final0",FamA_Final_Filter!$A$2:$A$127,FamA_Final_Filter!$C$2:$C$127)</f>
        <v>4567</v>
      </c>
      <c r="G142" s="7">
        <f>1-F142/F137</f>
        <v>0</v>
      </c>
      <c r="H142" s="8">
        <f>F142/F3</f>
        <v>1.0388989990900819</v>
      </c>
      <c r="I142" s="68">
        <f>LOOKUP("A.1.1.1.2.2.3.1.2.SNP.final0",FamA_Final_Filter!$A$2:$A$127,FamA_Final_Filter!$D$2:$D$127)</f>
        <v>183</v>
      </c>
      <c r="J142" s="7">
        <f>1-I142/I137</f>
        <v>0</v>
      </c>
      <c r="K142" s="8">
        <f>I142/I3</f>
        <v>1</v>
      </c>
      <c r="L142" s="95">
        <v>20</v>
      </c>
      <c r="M142" s="95" t="s">
        <v>31</v>
      </c>
      <c r="N142" s="95">
        <v>3</v>
      </c>
      <c r="O142" s="95">
        <v>3</v>
      </c>
      <c r="P142" s="95">
        <v>0.8</v>
      </c>
      <c r="Q142" s="95">
        <v>0.05</v>
      </c>
      <c r="R142" s="96">
        <v>20</v>
      </c>
      <c r="W142" s="3"/>
    </row>
    <row r="143" spans="1:23" x14ac:dyDescent="0.25">
      <c r="A143" s="24" t="s">
        <v>40</v>
      </c>
      <c r="B143" s="9" t="s">
        <v>99</v>
      </c>
      <c r="C143" s="68">
        <f>LOOKUP("B.1.3.3.2.3.2.1.2.SNP.final0",FamA_Final_Filter!$A$2:$A$127,FamA_Final_Filter!$B$2:$B$127)</f>
        <v>16767</v>
      </c>
      <c r="D143" s="7">
        <f>1-C143/C137</f>
        <v>-3.8316470095192123E-3</v>
      </c>
      <c r="E143" s="8">
        <f ca="1">C143/C3</f>
        <v>9.3664111903112635E-2</v>
      </c>
      <c r="F143" s="68">
        <f>LOOKUP("B.1.3.3.2.3.4.1.2.SNP.final0",FamA_Final_Filter!$A$2:$A$127,FamA_Final_Filter!$C$2:$C$127)</f>
        <v>4567</v>
      </c>
      <c r="G143" s="7">
        <f>1-F143/F137</f>
        <v>0</v>
      </c>
      <c r="H143" s="8">
        <f>F143/F3</f>
        <v>1.0388989990900819</v>
      </c>
      <c r="I143" s="68">
        <f>LOOKUP("B.1.3.3.2.3.4.1.2.SNP.final0",FamA_Final_Filter!$A$2:$A$127,FamA_Final_Filter!$D$2:$D$127)</f>
        <v>183</v>
      </c>
      <c r="J143" s="7">
        <f>1-I143/I137</f>
        <v>0</v>
      </c>
      <c r="K143" s="8">
        <f>I143/I3</f>
        <v>1</v>
      </c>
      <c r="L143" s="16">
        <v>20</v>
      </c>
      <c r="M143" s="16">
        <v>0.85</v>
      </c>
      <c r="N143" s="16">
        <v>3</v>
      </c>
      <c r="O143" s="16">
        <v>3</v>
      </c>
      <c r="P143" s="16">
        <v>0.65</v>
      </c>
      <c r="Q143" s="107">
        <v>0.05</v>
      </c>
      <c r="R143" s="10">
        <v>20</v>
      </c>
      <c r="W143" s="3"/>
    </row>
    <row r="144" spans="1:23" x14ac:dyDescent="0.25">
      <c r="A144" s="24" t="s">
        <v>40</v>
      </c>
      <c r="B144" s="13" t="s">
        <v>107</v>
      </c>
      <c r="C144" s="68">
        <f>LOOKUP("B.1.3.3.2.3.4.1.2.SNP.final0",FamA_Final_Filter!$A$2:$A$127,FamA_Final_Filter!$B$2:$B$127)</f>
        <v>16703</v>
      </c>
      <c r="D144" s="7">
        <f>1-C144/C138</f>
        <v>0</v>
      </c>
      <c r="E144" s="8">
        <f ca="1">C144/C3</f>
        <v>9.3306593971353879E-2</v>
      </c>
      <c r="F144" s="68">
        <f>LOOKUP("B.1.3.3.2.3.4.1.2.SNP.final0",FamA_Final_Filter!$A$2:$A$127,FamA_Final_Filter!$C$2:$C$127)</f>
        <v>4567</v>
      </c>
      <c r="G144" s="7">
        <f>1-F144/F138</f>
        <v>0</v>
      </c>
      <c r="H144" s="8">
        <f>F144/F3</f>
        <v>1.0388989990900819</v>
      </c>
      <c r="I144" s="68">
        <f>LOOKUP("B.1.3.3.2.3.4.1.2.SNP.final0",FamA_Final_Filter!$A$2:$A$127,FamA_Final_Filter!$D$2:$D$127)</f>
        <v>183</v>
      </c>
      <c r="J144" s="7">
        <f>1-I144/I138</f>
        <v>0</v>
      </c>
      <c r="K144" s="8">
        <f>I144/I3</f>
        <v>1</v>
      </c>
      <c r="L144" s="19">
        <v>20</v>
      </c>
      <c r="M144" s="19">
        <v>0.85</v>
      </c>
      <c r="N144" s="19">
        <v>3</v>
      </c>
      <c r="O144" s="19">
        <v>3</v>
      </c>
      <c r="P144" s="19">
        <v>0.65</v>
      </c>
      <c r="Q144" s="19">
        <v>0.05</v>
      </c>
      <c r="R144" s="20">
        <v>20</v>
      </c>
      <c r="W144" s="3"/>
    </row>
    <row r="145" spans="1:23" x14ac:dyDescent="0.25">
      <c r="A145" s="24" t="s">
        <v>40</v>
      </c>
      <c r="B145" s="43" t="s">
        <v>111</v>
      </c>
      <c r="C145" s="68">
        <f>LOOKUP("B.1.3.3.2.3.4.2.1.SNP.final0",FamA_Final_Filter!$A$2:$A$127,FamA_Final_Filter!$B$2:$B$127)</f>
        <v>15637</v>
      </c>
      <c r="D145" s="7">
        <f>1-C145/C139</f>
        <v>0</v>
      </c>
      <c r="E145" s="8">
        <f ca="1">C145/C3</f>
        <v>8.7351685920496955E-2</v>
      </c>
      <c r="F145" s="68">
        <f>LOOKUP("B.1.3.3.2.3.4.2.1.SNP.final0",FamA_Final_Filter!$A$2:$A$127,FamA_Final_Filter!$C$2:$C$127)</f>
        <v>4300</v>
      </c>
      <c r="G145" s="7">
        <f>1-F145/F139</f>
        <v>0</v>
      </c>
      <c r="H145" s="8">
        <f>F145/F3</f>
        <v>0.97816196542311196</v>
      </c>
      <c r="I145" s="68">
        <f>LOOKUP("B.1.3.3.2.3.4.2.1.SNP.final0",FamA_Final_Filter!$A$2:$A$127,FamA_Final_Filter!$D$2:$D$127)</f>
        <v>183</v>
      </c>
      <c r="J145" s="7">
        <f>1-I145/I139</f>
        <v>0</v>
      </c>
      <c r="K145" s="8">
        <f>I145/I3</f>
        <v>1</v>
      </c>
      <c r="L145" s="44">
        <v>20</v>
      </c>
      <c r="M145" s="44">
        <v>0.9</v>
      </c>
      <c r="N145" s="44">
        <v>3</v>
      </c>
      <c r="O145" s="44">
        <v>3</v>
      </c>
      <c r="P145" s="99">
        <v>0.7</v>
      </c>
      <c r="Q145" s="44">
        <v>0.05</v>
      </c>
      <c r="R145" s="47">
        <v>20</v>
      </c>
      <c r="W145" s="3"/>
    </row>
    <row r="146" spans="1:23" x14ac:dyDescent="0.25">
      <c r="A146" s="24" t="s">
        <v>40</v>
      </c>
      <c r="B146" s="48" t="s">
        <v>103</v>
      </c>
      <c r="C146" s="68">
        <f>LOOKUP("B.1.3.3.2.3.2.2.2.SNP.final0",FamA_Final_Filter!$A$2:$A$127,FamA_Final_Filter!$B$2:$B$127)</f>
        <v>15693</v>
      </c>
      <c r="D146" s="14">
        <f>1-C146/C140</f>
        <v>1.1340011340011391E-2</v>
      </c>
      <c r="E146" s="4">
        <f ca="1">C146/C3</f>
        <v>8.7664514110785866E-2</v>
      </c>
      <c r="F146" s="68">
        <f>LOOKUP("B.1.3.3.2.3.2.2.2.SNP.final0",FamA_Final_Filter!$A$2:$A$127,FamA_Final_Filter!$C$2:$C$127)</f>
        <v>4300</v>
      </c>
      <c r="G146" s="14">
        <f>1-F146/F140</f>
        <v>1.3934045517881577E-3</v>
      </c>
      <c r="H146" s="4">
        <f>F146/F3</f>
        <v>0.97816196542311196</v>
      </c>
      <c r="I146" s="68">
        <f>LOOKUP("B.1.3.3.2.3.2.2.2.SNP.final0",FamA_Final_Filter!$A$2:$A$127,FamA_Final_Filter!$D$2:$D$127)</f>
        <v>183</v>
      </c>
      <c r="J146" s="14">
        <f>1-I146/I140</f>
        <v>0</v>
      </c>
      <c r="K146" s="4">
        <f>I146/I3</f>
        <v>1</v>
      </c>
      <c r="L146" s="49">
        <v>20</v>
      </c>
      <c r="M146" s="49">
        <v>0.9</v>
      </c>
      <c r="N146" s="49">
        <v>3</v>
      </c>
      <c r="O146" s="49">
        <v>3</v>
      </c>
      <c r="P146" s="49">
        <v>0.65</v>
      </c>
      <c r="Q146" s="125">
        <v>0.05</v>
      </c>
      <c r="R146" s="52">
        <v>20</v>
      </c>
      <c r="W146" s="3"/>
    </row>
    <row r="147" spans="1:23" x14ac:dyDescent="0.25">
      <c r="A147" s="67"/>
      <c r="B147" s="54"/>
      <c r="C147" s="55"/>
      <c r="D147" s="56"/>
      <c r="E147" s="57"/>
      <c r="F147" s="55"/>
      <c r="G147" s="56"/>
      <c r="H147" s="57"/>
      <c r="I147" s="55"/>
      <c r="J147" s="56"/>
      <c r="K147" s="57"/>
      <c r="L147" s="55"/>
      <c r="M147" s="55"/>
      <c r="N147" s="55"/>
      <c r="O147" s="55"/>
      <c r="P147" s="55"/>
      <c r="Q147" s="55"/>
      <c r="R147" s="58"/>
      <c r="S147" s="67"/>
      <c r="T147" s="67"/>
      <c r="U147" s="67"/>
      <c r="V147" s="67"/>
      <c r="W147" s="54"/>
    </row>
    <row r="148" spans="1:23" x14ac:dyDescent="0.25">
      <c r="A148" s="24" t="s">
        <v>38</v>
      </c>
      <c r="B148" s="12" t="s">
        <v>97</v>
      </c>
      <c r="C148" s="68">
        <f>LOOKUP("A.1.1.1.2.2.3.1.2.finala.1",FamA_Final_Filter!$A$2:$A$127,FamA_Final_Filter!$B$2:$B$127)</f>
        <v>13421</v>
      </c>
      <c r="D148" s="14">
        <f>1-C148/C142</f>
        <v>0.1964916482069089</v>
      </c>
      <c r="E148" s="4">
        <f ca="1">C148/C3</f>
        <v>7.4972627533349726E-2</v>
      </c>
      <c r="F148" s="68">
        <f>LOOKUP("A.1.1.1.2.2.3.1.2.finala.1",FamA_Final_Filter!$A$2:$A$127,FamA_Final_Filter!$C$2:$C$127)</f>
        <v>3766</v>
      </c>
      <c r="G148" s="14">
        <f>1-F148/F142</f>
        <v>0.17538865776220713</v>
      </c>
      <c r="H148" s="4">
        <f>F148/F3</f>
        <v>0.85668789808917201</v>
      </c>
      <c r="I148" s="68">
        <f>LOOKUP("A.1.1.1.2.2.3.1.2.finala.1",FamA_Final_Filter!$A$2:$A$127,FamA_Final_Filter!$D$2:$D$127)</f>
        <v>183</v>
      </c>
      <c r="J148" s="14">
        <f>1-I148/I142</f>
        <v>0</v>
      </c>
      <c r="K148" s="4">
        <f>I148/I3</f>
        <v>1</v>
      </c>
      <c r="L148" s="95">
        <v>20</v>
      </c>
      <c r="M148" s="104">
        <v>0.95</v>
      </c>
      <c r="N148" s="95">
        <v>3</v>
      </c>
      <c r="O148" s="95">
        <v>3</v>
      </c>
      <c r="P148" s="95">
        <v>0.8</v>
      </c>
      <c r="Q148" s="95">
        <v>0.05</v>
      </c>
      <c r="R148" s="96">
        <v>20</v>
      </c>
      <c r="W148" s="3"/>
    </row>
    <row r="149" spans="1:23" x14ac:dyDescent="0.25">
      <c r="A149" s="24" t="s">
        <v>38</v>
      </c>
      <c r="B149" s="12" t="s">
        <v>97</v>
      </c>
      <c r="C149" s="68">
        <f>LOOKUP("A.1.1.1.2.2.3.1.2.finala.2",FamA_Final_Filter!$A$2:$A$127,FamA_Final_Filter!$B$2:$B$127)</f>
        <v>15896</v>
      </c>
      <c r="E149" s="4"/>
      <c r="F149" s="68">
        <f>LOOKUP("A.1.1.1.2.2.3.1.2.finala.2",FamA_Final_Filter!$A$2:$A$127,FamA_Final_Filter!$C$2:$C$127)</f>
        <v>4381</v>
      </c>
      <c r="H149" s="4"/>
      <c r="I149" s="68">
        <f>LOOKUP("A.1.1.1.2.2.3.1.2.finala.2",FamA_Final_Filter!$A$2:$A$127,FamA_Final_Filter!$D$2:$D$127)</f>
        <v>183</v>
      </c>
      <c r="K149" s="4"/>
      <c r="L149" s="95">
        <v>20</v>
      </c>
      <c r="M149" s="104">
        <v>0.9</v>
      </c>
      <c r="N149" s="95">
        <v>3</v>
      </c>
      <c r="O149" s="95">
        <v>3</v>
      </c>
      <c r="P149" s="95">
        <v>0.8</v>
      </c>
      <c r="Q149" s="95">
        <v>0.05</v>
      </c>
      <c r="R149" s="96">
        <v>20</v>
      </c>
      <c r="W149" s="3"/>
    </row>
    <row r="150" spans="1:23" x14ac:dyDescent="0.25">
      <c r="A150" s="24" t="s">
        <v>38</v>
      </c>
      <c r="B150" s="9" t="s">
        <v>99</v>
      </c>
      <c r="C150" s="68">
        <f>LOOKUP("B.1.3.3.2.3.4.1.2.finala.1",FamA_Final_Filter!$A$2:$A$127,FamA_Final_Filter!$B$2:$B$127)</f>
        <v>13421</v>
      </c>
      <c r="D150" s="14">
        <f>1-C150/C143</f>
        <v>0.19955865688554897</v>
      </c>
      <c r="E150" s="4">
        <f ca="1">C150/C3</f>
        <v>7.4972627533349726E-2</v>
      </c>
      <c r="F150" s="68">
        <f>LOOKUP("B.1.3.3.2.3.4.1.2.finala.1",FamA_Final_Filter!$A$2:$A$127,FamA_Final_Filter!$C$2:$C$127)</f>
        <v>3766</v>
      </c>
      <c r="G150" s="14">
        <f>1-F150/F143</f>
        <v>0.17538865776220713</v>
      </c>
      <c r="H150" s="4">
        <f>F150/F3</f>
        <v>0.85668789808917201</v>
      </c>
      <c r="I150" s="68">
        <f>LOOKUP("B.1.3.3.2.3.4.1.2.finala.1",FamA_Final_Filter!$A$2:$A$127,FamA_Final_Filter!$D$2:$D$127)</f>
        <v>183</v>
      </c>
      <c r="J150" s="14">
        <f>1-I150/I143</f>
        <v>0</v>
      </c>
      <c r="K150" s="4">
        <f>I150/I3</f>
        <v>1</v>
      </c>
      <c r="L150" s="16">
        <v>20</v>
      </c>
      <c r="M150" s="107">
        <v>0.95</v>
      </c>
      <c r="N150" s="16">
        <v>3</v>
      </c>
      <c r="O150" s="16">
        <v>3</v>
      </c>
      <c r="P150" s="16">
        <v>0.65</v>
      </c>
      <c r="Q150" s="100">
        <v>0.05</v>
      </c>
      <c r="R150" s="10">
        <v>20</v>
      </c>
      <c r="W150" s="3"/>
    </row>
    <row r="151" spans="1:23" x14ac:dyDescent="0.25">
      <c r="A151" s="24" t="s">
        <v>38</v>
      </c>
      <c r="B151" s="9" t="s">
        <v>99</v>
      </c>
      <c r="C151" s="68">
        <f>LOOKUP("B.1.3.3.2.3.4.1.2.finala.2",FamA_Final_Filter!$A$2:$A$127,FamA_Final_Filter!$B$2:$B$127)</f>
        <v>15896</v>
      </c>
      <c r="E151" s="4"/>
      <c r="F151" s="68">
        <f>LOOKUP("B.1.3.3.2.3.4.1.2.finala.2",FamA_Final_Filter!$A$2:$A$127,FamA_Final_Filter!$C$2:$C$127)</f>
        <v>4381</v>
      </c>
      <c r="H151" s="4"/>
      <c r="I151" s="68">
        <f>LOOKUP("B.1.3.3.2.3.4.1.2.finala.2",FamA_Final_Filter!$A$2:$A$127,FamA_Final_Filter!$D$2:$D$127)</f>
        <v>183</v>
      </c>
      <c r="K151" s="4"/>
      <c r="L151" s="100">
        <v>20</v>
      </c>
      <c r="M151" s="107">
        <v>0.9</v>
      </c>
      <c r="N151" s="100">
        <v>3</v>
      </c>
      <c r="O151" s="100">
        <v>3</v>
      </c>
      <c r="P151" s="100">
        <v>0.8</v>
      </c>
      <c r="Q151" s="100">
        <v>0.05</v>
      </c>
      <c r="R151" s="127">
        <v>20</v>
      </c>
      <c r="W151" s="3"/>
    </row>
    <row r="152" spans="1:23" x14ac:dyDescent="0.25">
      <c r="A152" s="24" t="s">
        <v>38</v>
      </c>
      <c r="B152" s="13" t="s">
        <v>107</v>
      </c>
      <c r="C152" s="68">
        <f>LOOKUP("B.1.3.3.2.3.4.1.2.finala.1",FamA_Final_Filter!$A$2:$A$127,FamA_Final_Filter!$B$2:$B$127)</f>
        <v>13421</v>
      </c>
      <c r="D152" s="14">
        <f>1-C152/C144</f>
        <v>0.1964916482069089</v>
      </c>
      <c r="E152" s="4">
        <f ca="1">C152/C3</f>
        <v>7.4972627533349726E-2</v>
      </c>
      <c r="F152" s="68">
        <f>LOOKUP("B.1.3.3.2.3.4.1.2.finala.1",FamA_Final_Filter!$A$2:$A$127,FamA_Final_Filter!$C$2:$C$127)</f>
        <v>3766</v>
      </c>
      <c r="G152" s="14">
        <f>1-F152/F144</f>
        <v>0.17538865776220713</v>
      </c>
      <c r="H152" s="4">
        <f>F152/F3</f>
        <v>0.85668789808917201</v>
      </c>
      <c r="I152" s="68">
        <f>LOOKUP("B.1.3.3.2.3.4.1.2.finala.1",FamA_Final_Filter!$A$2:$A$127,FamA_Final_Filter!$D$2:$D$127)</f>
        <v>183</v>
      </c>
      <c r="J152" s="14">
        <f>1-I152/I144</f>
        <v>0</v>
      </c>
      <c r="K152" s="4">
        <f>I152/I3</f>
        <v>1</v>
      </c>
      <c r="L152" s="19">
        <v>20</v>
      </c>
      <c r="M152" s="110">
        <v>0.95</v>
      </c>
      <c r="N152" s="19">
        <v>3</v>
      </c>
      <c r="O152" s="19">
        <v>3</v>
      </c>
      <c r="P152" s="19">
        <v>0.65</v>
      </c>
      <c r="Q152" s="97">
        <v>0.05</v>
      </c>
      <c r="R152" s="20">
        <v>20</v>
      </c>
      <c r="W152" s="3"/>
    </row>
    <row r="153" spans="1:23" x14ac:dyDescent="0.25">
      <c r="A153" s="24" t="s">
        <v>38</v>
      </c>
      <c r="B153" s="13" t="s">
        <v>107</v>
      </c>
      <c r="C153" s="68">
        <f>LOOKUP("B.1.3.3.2.3.4.1.2.finala.2",FamA_Final_Filter!$A$2:$A$127,FamA_Final_Filter!$B$2:$B$127)</f>
        <v>15896</v>
      </c>
      <c r="E153" s="4"/>
      <c r="F153" s="68">
        <f>LOOKUP("B.1.3.3.2.3.4.1.2.finala.2",FamA_Final_Filter!$A$2:$A$127,FamA_Final_Filter!$C$2:$C$127)</f>
        <v>4381</v>
      </c>
      <c r="H153" s="4"/>
      <c r="I153" s="68">
        <f>LOOKUP("B.1.3.3.2.3.4.1.2.finala.2",FamA_Final_Filter!$A$2:$A$127,FamA_Final_Filter!$D$2:$D$127)</f>
        <v>183</v>
      </c>
      <c r="K153" s="4"/>
      <c r="L153" s="97">
        <v>20</v>
      </c>
      <c r="M153" s="110">
        <v>0.9</v>
      </c>
      <c r="N153" s="97">
        <v>3</v>
      </c>
      <c r="O153" s="97">
        <v>3</v>
      </c>
      <c r="P153" s="97">
        <v>0.8</v>
      </c>
      <c r="Q153" s="97">
        <v>0.05</v>
      </c>
      <c r="R153" s="98">
        <v>20</v>
      </c>
      <c r="W153" s="3"/>
    </row>
    <row r="154" spans="1:23" x14ac:dyDescent="0.25">
      <c r="A154" s="24" t="s">
        <v>38</v>
      </c>
      <c r="B154" s="43" t="s">
        <v>111</v>
      </c>
      <c r="C154" s="68">
        <f>LOOKUP("B.1.3.3.2.3.4.2.1.finala.1",FamA_Final_Filter!$A$2:$A$127,FamA_Final_Filter!$B$2:$B$127)</f>
        <v>13421</v>
      </c>
      <c r="D154" s="14">
        <f>1-C154/C145</f>
        <v>0.14171516275500418</v>
      </c>
      <c r="E154" s="4">
        <f ca="1">C154/C3</f>
        <v>7.4972627533349726E-2</v>
      </c>
      <c r="F154" s="68">
        <f>LOOKUP("B.1.3.3.2.3.4.2.1.finala.1",FamA_Final_Filter!$A$2:$A$127,FamA_Final_Filter!$C$2:$C$127)</f>
        <v>3766</v>
      </c>
      <c r="G154" s="14">
        <f>1-F154/F145</f>
        <v>0.1241860465116279</v>
      </c>
      <c r="H154" s="4">
        <f>F154/F3</f>
        <v>0.85668789808917201</v>
      </c>
      <c r="I154" s="68">
        <f>LOOKUP("B.1.3.3.2.3.4.2.1.finala.1",FamA_Final_Filter!$A$2:$A$127,FamA_Final_Filter!$D$2:$D$127)</f>
        <v>183</v>
      </c>
      <c r="J154" s="14">
        <f>1-I154/I145</f>
        <v>0</v>
      </c>
      <c r="K154" s="4">
        <f>I154/I3</f>
        <v>1</v>
      </c>
      <c r="L154" s="44">
        <v>20</v>
      </c>
      <c r="M154" s="126">
        <v>0.95</v>
      </c>
      <c r="N154" s="44">
        <v>3</v>
      </c>
      <c r="O154" s="44">
        <v>3</v>
      </c>
      <c r="P154" s="99">
        <v>0.7</v>
      </c>
      <c r="Q154" s="99">
        <v>0.05</v>
      </c>
      <c r="R154" s="47">
        <v>20</v>
      </c>
      <c r="W154" s="3"/>
    </row>
    <row r="155" spans="1:23" x14ac:dyDescent="0.25">
      <c r="A155" s="24" t="s">
        <v>38</v>
      </c>
      <c r="B155" s="43" t="s">
        <v>111</v>
      </c>
      <c r="C155" s="68">
        <f>LOOKUP("B.1.3.3.2.3.4.2.1.finala.2",FamA_Final_Filter!$A$2:$A$127,FamA_Final_Filter!$B$2:$B$127)</f>
        <v>15637</v>
      </c>
      <c r="E155" s="4"/>
      <c r="F155" s="68">
        <f>LOOKUP("B.1.3.3.2.3.4.2.1.finala.2",FamA_Final_Filter!$A$2:$A$127,FamA_Final_Filter!$C$2:$C$127)</f>
        <v>4300</v>
      </c>
      <c r="H155" s="4"/>
      <c r="I155" s="68">
        <f>LOOKUP("B.1.3.3.2.3.4.2.1.finala.2",FamA_Final_Filter!$A$2:$A$127,FamA_Final_Filter!$D$2:$D$127)</f>
        <v>183</v>
      </c>
      <c r="K155" s="4"/>
      <c r="L155" s="99">
        <v>20</v>
      </c>
      <c r="M155" s="126">
        <v>0.9</v>
      </c>
      <c r="N155" s="99">
        <v>3</v>
      </c>
      <c r="O155" s="99">
        <v>3</v>
      </c>
      <c r="P155" s="99">
        <v>0.8</v>
      </c>
      <c r="Q155" s="99">
        <v>0.05</v>
      </c>
      <c r="R155" s="129">
        <v>20</v>
      </c>
      <c r="W155" s="3"/>
    </row>
    <row r="156" spans="1:23" x14ac:dyDescent="0.25">
      <c r="A156" s="24" t="s">
        <v>38</v>
      </c>
      <c r="B156" s="48" t="s">
        <v>103</v>
      </c>
      <c r="C156" s="68">
        <f>LOOKUP("B.1.3.3.2.3.2.2.2.finala.1",FamA_Final_Filter!$A$2:$A$127,FamA_Final_Filter!$B$2:$B$127)</f>
        <v>13468</v>
      </c>
      <c r="D156" s="7">
        <f>1-C156/C142</f>
        <v>0.19367778243429323</v>
      </c>
      <c r="E156" s="8">
        <f ca="1">C156/C3</f>
        <v>7.5235179764485058E-2</v>
      </c>
      <c r="F156" s="68">
        <f>LOOKUP("B.1.3.3.2.3.2.2.2.finala.1",FamA_Final_Filter!$A$2:$A$127,FamA_Final_Filter!$C$2:$C$127)</f>
        <v>3766</v>
      </c>
      <c r="G156" s="7">
        <f>1-F156/F142</f>
        <v>0.17538865776220713</v>
      </c>
      <c r="H156" s="8">
        <f>F156/F3</f>
        <v>0.85668789808917201</v>
      </c>
      <c r="I156" s="68">
        <f>LOOKUP("B.1.3.3.2.3.2.2.2.finala.1",FamA_Final_Filter!$A$2:$A$127,FamA_Final_Filter!$D$2:$D$127)</f>
        <v>183</v>
      </c>
      <c r="J156" s="7">
        <f>1-I156/I142</f>
        <v>0</v>
      </c>
      <c r="K156" s="8">
        <f>I156/I3</f>
        <v>1</v>
      </c>
      <c r="L156" s="49">
        <v>20</v>
      </c>
      <c r="M156" s="125">
        <v>0.95</v>
      </c>
      <c r="N156" s="49">
        <v>3</v>
      </c>
      <c r="O156" s="49">
        <v>3</v>
      </c>
      <c r="P156" s="49">
        <v>0.65</v>
      </c>
      <c r="Q156" s="101">
        <v>0.05</v>
      </c>
      <c r="R156" s="52">
        <v>20</v>
      </c>
      <c r="W156" s="3"/>
    </row>
    <row r="157" spans="1:23" x14ac:dyDescent="0.25">
      <c r="A157" s="24" t="s">
        <v>38</v>
      </c>
      <c r="B157" s="48" t="s">
        <v>103</v>
      </c>
      <c r="C157" s="68">
        <f>LOOKUP("B.1.3.3.2.3.2.2.2.finala.2",FamA_Final_Filter!$A$2:$A$127,FamA_Final_Filter!$B$2:$B$127)</f>
        <v>15693</v>
      </c>
      <c r="D157" s="7"/>
      <c r="E157" s="8"/>
      <c r="F157" s="68">
        <f>LOOKUP("B.1.3.3.2.3.2.2.2.finala.2",FamA_Final_Filter!$A$2:$A$127,FamA_Final_Filter!$C$2:$C$127)</f>
        <v>4300</v>
      </c>
      <c r="G157" s="7"/>
      <c r="H157" s="8"/>
      <c r="I157" s="68">
        <f>LOOKUP("B.1.3.3.2.3.2.2.2.finala.2",FamA_Final_Filter!$A$2:$A$127,FamA_Final_Filter!$D$2:$D$127)</f>
        <v>183</v>
      </c>
      <c r="J157" s="7"/>
      <c r="K157" s="8"/>
      <c r="L157" s="101">
        <v>20</v>
      </c>
      <c r="M157" s="125">
        <v>0.9</v>
      </c>
      <c r="N157" s="101">
        <v>3</v>
      </c>
      <c r="O157" s="101">
        <v>3</v>
      </c>
      <c r="P157" s="101">
        <v>0.8</v>
      </c>
      <c r="Q157" s="101">
        <v>0.05</v>
      </c>
      <c r="R157" s="128">
        <v>20</v>
      </c>
      <c r="W157" s="3"/>
    </row>
    <row r="158" spans="1:23" x14ac:dyDescent="0.25">
      <c r="A158" s="67"/>
      <c r="B158" s="54"/>
      <c r="C158" s="55"/>
      <c r="D158" s="56"/>
      <c r="E158" s="57"/>
      <c r="F158" s="55"/>
      <c r="G158" s="56"/>
      <c r="H158" s="57"/>
      <c r="I158" s="55"/>
      <c r="J158" s="56"/>
      <c r="K158" s="57"/>
      <c r="L158" s="55"/>
      <c r="M158" s="55"/>
      <c r="N158" s="55"/>
      <c r="O158" s="55"/>
      <c r="P158" s="55"/>
      <c r="Q158" s="55"/>
      <c r="R158" s="58"/>
      <c r="S158" s="67"/>
      <c r="T158" s="67"/>
      <c r="U158" s="67"/>
      <c r="V158" s="67"/>
      <c r="W158" s="54"/>
    </row>
    <row r="159" spans="1:23" x14ac:dyDescent="0.25">
      <c r="A159" s="24" t="s">
        <v>39</v>
      </c>
      <c r="B159" s="12" t="s">
        <v>97</v>
      </c>
      <c r="C159" s="68">
        <f>LOOKUP("A.1.1.1.2.2.3.1.2.SNP.finalb.1",FamA_Final_Filter!A2:A127,FamA_Final_Filter!$B$2:$B$127)</f>
        <v>13421</v>
      </c>
      <c r="D159" s="7"/>
      <c r="E159" s="8">
        <f ca="1">C159/C3</f>
        <v>7.4972627533349726E-2</v>
      </c>
      <c r="F159" s="68">
        <f>LOOKUP("A.1.1.1.2.2.3.1.2.SNP.finalb.1",FamA_Final_Filter!$A$2:$A$127,FamA_Final_Filter!$C$2:$C$127)</f>
        <v>3766</v>
      </c>
      <c r="G159" s="7"/>
      <c r="H159" s="8">
        <f>F159/F3</f>
        <v>0.85668789808917201</v>
      </c>
      <c r="I159" s="68">
        <f>LOOKUP("A.1.1.1.2.2.3.1.2.SNP.finalb.1",FamA_Final_Filter!$A$2:$A$127,FamA_Final_Filter!$D$2:$D$127)</f>
        <v>183</v>
      </c>
      <c r="J159" s="7"/>
      <c r="K159" s="8">
        <f>I159/I3</f>
        <v>1</v>
      </c>
      <c r="L159" s="95">
        <v>20</v>
      </c>
      <c r="M159" s="95">
        <v>0.95</v>
      </c>
      <c r="N159" s="95">
        <v>3</v>
      </c>
      <c r="O159" s="95">
        <v>3</v>
      </c>
      <c r="P159" s="104">
        <v>0.5</v>
      </c>
      <c r="Q159" s="95">
        <v>0.05</v>
      </c>
      <c r="R159" s="96">
        <v>20</v>
      </c>
      <c r="W159" s="3"/>
    </row>
    <row r="160" spans="1:23" x14ac:dyDescent="0.25">
      <c r="A160" s="24" t="s">
        <v>39</v>
      </c>
      <c r="B160" s="12" t="s">
        <v>97</v>
      </c>
      <c r="C160" s="68">
        <f ca="1">LOOKUP("A.1.1.1.2.2.3.1.2.SNP.finalb.2",FamA_Final_Filter!A2:A128,FamA_Final_Filter!$B$2:$B$127)</f>
        <v>15896</v>
      </c>
      <c r="D160" s="7"/>
      <c r="E160" s="8"/>
      <c r="F160" s="68">
        <f>LOOKUP("A.1.1.1.2.2.3.1.2.SNP.finalb.2",FamA_Final_Filter!$A$2:$A$127,FamA_Final_Filter!$C$2:$C$127)</f>
        <v>4381</v>
      </c>
      <c r="G160" s="7"/>
      <c r="H160" s="8"/>
      <c r="I160" s="68">
        <f>LOOKUP("A.1.1.1.2.2.3.1.2.SNP.finalb.2",FamA_Final_Filter!$A$2:$A$127,FamA_Final_Filter!$D$2:$D$127)</f>
        <v>183</v>
      </c>
      <c r="J160" s="7"/>
      <c r="K160" s="8"/>
      <c r="L160" s="95">
        <v>20</v>
      </c>
      <c r="M160" s="95">
        <v>0.9</v>
      </c>
      <c r="N160" s="95">
        <v>3</v>
      </c>
      <c r="O160" s="95">
        <v>3</v>
      </c>
      <c r="P160" s="104">
        <v>0.5</v>
      </c>
      <c r="Q160" s="95">
        <v>0.05</v>
      </c>
      <c r="R160" s="96">
        <v>20</v>
      </c>
      <c r="W160" s="3"/>
    </row>
    <row r="161" spans="1:23" x14ac:dyDescent="0.25">
      <c r="A161" s="24" t="s">
        <v>39</v>
      </c>
      <c r="B161" s="9" t="s">
        <v>99</v>
      </c>
      <c r="C161" s="68">
        <f>LOOKUP("B.1.3.3.2.3.4.1.2.SNP.finalb.1",FamA_Final_Filter!$A$2:$A$127,FamA_Final_Filter!$B$2:$B$127)</f>
        <v>13421</v>
      </c>
      <c r="D161" s="7"/>
      <c r="E161" s="8">
        <f ca="1">C161/C3</f>
        <v>7.4972627533349726E-2</v>
      </c>
      <c r="F161" s="68">
        <f>LOOKUP("B.1.3.3.2.3.4.1.2.SNP.finalb.1",FamA_Final_Filter!$A$2:$A$127,FamA_Final_Filter!$C$2:$C$127)</f>
        <v>3766</v>
      </c>
      <c r="G161" s="7"/>
      <c r="H161" s="8">
        <f>F161/F3</f>
        <v>0.85668789808917201</v>
      </c>
      <c r="I161" s="68">
        <f>LOOKUP("B.1.3.3.2.3.4.1.2.SNP.finalb.1",FamA_Final_Filter!$A$2:$A$127,FamA_Final_Filter!$D$2:$D$127)</f>
        <v>183</v>
      </c>
      <c r="J161" s="7"/>
      <c r="K161" s="8">
        <f>I161/I3</f>
        <v>1</v>
      </c>
      <c r="L161" s="16">
        <v>20</v>
      </c>
      <c r="M161" s="100">
        <v>0.95</v>
      </c>
      <c r="N161" s="16">
        <v>3</v>
      </c>
      <c r="O161" s="16">
        <v>3</v>
      </c>
      <c r="P161" s="107">
        <v>0.5</v>
      </c>
      <c r="Q161" s="100">
        <v>0.05</v>
      </c>
      <c r="R161" s="10">
        <v>20</v>
      </c>
      <c r="W161" s="3"/>
    </row>
    <row r="162" spans="1:23" x14ac:dyDescent="0.25">
      <c r="A162" s="24" t="s">
        <v>39</v>
      </c>
      <c r="B162" s="9" t="s">
        <v>99</v>
      </c>
      <c r="C162" s="68">
        <f>LOOKUP("B.1.3.3.2.3.4.1.2.SNP.finalb.2",FamA_Final_Filter!$A$2:$A$127,FamA_Final_Filter!$B$2:$B$127)</f>
        <v>15896</v>
      </c>
      <c r="D162" s="7"/>
      <c r="E162" s="8"/>
      <c r="F162" s="68">
        <f>LOOKUP("B.1.3.3.2.3.4.1.2.SNP.finalb.2",FamA_Final_Filter!$A$2:$A$127,FamA_Final_Filter!$C$2:$C$127)</f>
        <v>4381</v>
      </c>
      <c r="G162" s="7"/>
      <c r="H162" s="8"/>
      <c r="I162" s="68">
        <f>LOOKUP("B.1.3.3.2.3.4.1.2.SNP.finalb.2",FamA_Final_Filter!$A$2:$A$127,FamA_Final_Filter!$D$2:$D$127)</f>
        <v>183</v>
      </c>
      <c r="J162" s="7"/>
      <c r="K162" s="8"/>
      <c r="L162" s="16">
        <v>20</v>
      </c>
      <c r="M162" s="100">
        <v>0.9</v>
      </c>
      <c r="N162" s="16">
        <v>3</v>
      </c>
      <c r="O162" s="16">
        <v>3</v>
      </c>
      <c r="P162" s="107">
        <v>0.5</v>
      </c>
      <c r="Q162" s="100">
        <v>0.05</v>
      </c>
      <c r="R162" s="10">
        <v>20</v>
      </c>
      <c r="W162" s="3"/>
    </row>
    <row r="163" spans="1:23" x14ac:dyDescent="0.25">
      <c r="A163" s="24" t="s">
        <v>39</v>
      </c>
      <c r="B163" s="13" t="s">
        <v>107</v>
      </c>
      <c r="C163" s="68">
        <f>LOOKUP("B.1.3.3.2.3.4.1.2.SNP.finalb.1",FamA_Final_Filter!$A$2:$A$127,FamA_Final_Filter!$B$2:$B$127)</f>
        <v>13421</v>
      </c>
      <c r="D163" s="7"/>
      <c r="E163" s="8">
        <f ca="1">C163/C3</f>
        <v>7.4972627533349726E-2</v>
      </c>
      <c r="F163" s="68">
        <f>LOOKUP("B.1.3.3.2.3.4.1.2.SNP.finalb.1",FamA_Final_Filter!$A$2:$A$127,FamA_Final_Filter!$C$2:$C$127)</f>
        <v>3766</v>
      </c>
      <c r="G163" s="7"/>
      <c r="H163" s="8">
        <f>F163/F3</f>
        <v>0.85668789808917201</v>
      </c>
      <c r="I163" s="68">
        <f>LOOKUP("B.1.3.3.2.3.4.1.2.SNP.finalb.1",FamA_Final_Filter!$A$2:$A$127,FamA_Final_Filter!$D$2:$D$127)</f>
        <v>183</v>
      </c>
      <c r="J163" s="7"/>
      <c r="K163" s="8">
        <f>I163/I3</f>
        <v>1</v>
      </c>
      <c r="L163" s="19">
        <v>20</v>
      </c>
      <c r="M163" s="97">
        <v>0.95</v>
      </c>
      <c r="N163" s="19">
        <v>3</v>
      </c>
      <c r="O163" s="19">
        <v>3</v>
      </c>
      <c r="P163" s="110">
        <v>0.5</v>
      </c>
      <c r="Q163" s="97">
        <v>0.05</v>
      </c>
      <c r="R163" s="20">
        <v>20</v>
      </c>
      <c r="W163" s="3"/>
    </row>
    <row r="164" spans="1:23" x14ac:dyDescent="0.25">
      <c r="A164" s="130" t="s">
        <v>39</v>
      </c>
      <c r="B164" s="131" t="s">
        <v>107</v>
      </c>
      <c r="C164" s="132">
        <f>LOOKUP("B.1.3.3.2.3.4.1.2.SNP.finalb.2",FamA_Final_Filter!$A$2:$A$127,FamA_Final_Filter!$B$2:$B$127)</f>
        <v>15896</v>
      </c>
      <c r="D164" s="133"/>
      <c r="E164" s="134"/>
      <c r="F164" s="132">
        <f>LOOKUP("B.1.3.3.2.3.4.1.2.SNP.finalb.2",FamA_Final_Filter!$A$2:$A$127,FamA_Final_Filter!$C$2:$C$127)</f>
        <v>4381</v>
      </c>
      <c r="G164" s="133"/>
      <c r="H164" s="134"/>
      <c r="I164" s="132">
        <f>LOOKUP("B.1.3.3.2.3.4.1.2.SNP.finalb.2",FamA_Final_Filter!$A$2:$A$127,FamA_Final_Filter!$D$2:$D$127)</f>
        <v>183</v>
      </c>
      <c r="J164" s="133"/>
      <c r="K164" s="134"/>
      <c r="L164" s="135">
        <v>20</v>
      </c>
      <c r="M164" s="136">
        <v>0.9</v>
      </c>
      <c r="N164" s="135">
        <v>3</v>
      </c>
      <c r="O164" s="135">
        <v>3</v>
      </c>
      <c r="P164" s="137">
        <v>0.5</v>
      </c>
      <c r="Q164" s="136">
        <v>0.05</v>
      </c>
      <c r="R164" s="138">
        <v>20</v>
      </c>
      <c r="S164" s="130"/>
      <c r="T164" s="130"/>
      <c r="U164" s="130"/>
      <c r="V164" s="130"/>
      <c r="W164" s="131"/>
    </row>
    <row r="165" spans="1:23" x14ac:dyDescent="0.25">
      <c r="A165" s="24" t="s">
        <v>39</v>
      </c>
      <c r="B165" s="43" t="s">
        <v>111</v>
      </c>
      <c r="C165" s="68">
        <f>LOOKUP("B.1.3.3.2.3.4.2.1.SNP.finalb.1",FamA_Final_Filter!$A$2:$A$127,FamA_Final_Filter!$B$2:$B$127)</f>
        <v>13421</v>
      </c>
      <c r="D165" s="7"/>
      <c r="E165" s="8">
        <f ca="1">C165/C3</f>
        <v>7.4972627533349726E-2</v>
      </c>
      <c r="F165" s="68">
        <f>LOOKUP("B.1.3.3.2.3.4.2.1.SNP.finalb.1",FamA_Final_Filter!$A$2:$A$127,FamA_Final_Filter!$C$2:$C$127)</f>
        <v>3766</v>
      </c>
      <c r="G165" s="7"/>
      <c r="H165" s="8">
        <f>F165/F3</f>
        <v>0.85668789808917201</v>
      </c>
      <c r="I165" s="68">
        <f>LOOKUP("B.1.3.3.2.3.4.2.1.SNP.finalb.1",FamA_Final_Filter!$A$2:$A$127,FamA_Final_Filter!$D$2:$D$127)</f>
        <v>183</v>
      </c>
      <c r="J165" s="7"/>
      <c r="K165" s="8">
        <f>I165/I3</f>
        <v>1</v>
      </c>
      <c r="L165" s="44">
        <v>20</v>
      </c>
      <c r="M165" s="99">
        <v>0.95</v>
      </c>
      <c r="N165" s="44">
        <v>3</v>
      </c>
      <c r="O165" s="44">
        <v>3</v>
      </c>
      <c r="P165" s="126">
        <v>0.5</v>
      </c>
      <c r="Q165" s="99">
        <v>0.05</v>
      </c>
      <c r="R165" s="47">
        <v>20</v>
      </c>
      <c r="W165" s="3"/>
    </row>
    <row r="166" spans="1:23" x14ac:dyDescent="0.25">
      <c r="A166" s="24" t="s">
        <v>39</v>
      </c>
      <c r="B166" s="43" t="s">
        <v>111</v>
      </c>
      <c r="C166" s="68">
        <f>LOOKUP("B.1.3.3.2.3.4.2.1.SNP.finalb.2",FamA_Final_Filter!$A$2:$A$127,FamA_Final_Filter!$B$2:$B$127)</f>
        <v>15637</v>
      </c>
      <c r="D166" s="7"/>
      <c r="E166" s="8"/>
      <c r="F166" s="68">
        <f>LOOKUP("B.1.3.3.2.3.4.2.1.SNP.finalb.2",FamA_Final_Filter!$A$2:$A$127,FamA_Final_Filter!$C$2:$C$127)</f>
        <v>4300</v>
      </c>
      <c r="G166" s="7"/>
      <c r="H166" s="8"/>
      <c r="I166" s="68">
        <f>LOOKUP("B.1.3.3.2.3.4.2.1.SNP.finalb.2",FamA_Final_Filter!$A$2:$A$127,FamA_Final_Filter!$D$2:$D$127)</f>
        <v>183</v>
      </c>
      <c r="J166" s="7"/>
      <c r="K166" s="8"/>
      <c r="L166" s="44">
        <v>20</v>
      </c>
      <c r="M166" s="99">
        <v>0.9</v>
      </c>
      <c r="N166" s="44">
        <v>3</v>
      </c>
      <c r="O166" s="44">
        <v>3</v>
      </c>
      <c r="P166" s="126">
        <v>0.5</v>
      </c>
      <c r="Q166" s="99">
        <v>0.05</v>
      </c>
      <c r="R166" s="47">
        <v>20</v>
      </c>
      <c r="W166" s="3"/>
    </row>
    <row r="167" spans="1:23" x14ac:dyDescent="0.25">
      <c r="A167" s="24" t="s">
        <v>39</v>
      </c>
      <c r="B167" s="48" t="s">
        <v>103</v>
      </c>
      <c r="C167" s="68">
        <f>LOOKUP("B.1.3.3.2.3.2.2.2.SNP.finalb.1",FamA_Final_Filter!$A$2:$A$127,FamA_Final_Filter!$B$2:$B$127)</f>
        <v>13468</v>
      </c>
      <c r="D167" s="7"/>
      <c r="E167" s="8">
        <f ca="1">C168/C3</f>
        <v>8.7664514110785866E-2</v>
      </c>
      <c r="F167" s="68">
        <f>LOOKUP("B.1.3.3.2.3.2.2.2.SNP.finalb.1",FamA_Final_Filter!$A$2:$A$127,FamA_Final_Filter!$C$2:$C$127)</f>
        <v>3766</v>
      </c>
      <c r="G167" s="7"/>
      <c r="H167" s="8">
        <f>F168/F3</f>
        <v>0.97816196542311196</v>
      </c>
      <c r="I167" s="68">
        <f>LOOKUP("B.1.3.3.2.3.2.2.2.SNP.finalb.1",FamA_Final_Filter!$A$2:$A$127,FamA_Final_Filter!$D$2:$D$127)</f>
        <v>183</v>
      </c>
      <c r="J167" s="7"/>
      <c r="K167" s="8">
        <f>I168/I3</f>
        <v>1</v>
      </c>
      <c r="L167" s="49">
        <v>20</v>
      </c>
      <c r="M167" s="101">
        <v>0.95</v>
      </c>
      <c r="N167" s="49">
        <v>3</v>
      </c>
      <c r="O167" s="49">
        <v>3</v>
      </c>
      <c r="P167" s="125">
        <v>0.5</v>
      </c>
      <c r="Q167" s="101">
        <v>0.05</v>
      </c>
      <c r="R167" s="52">
        <v>20</v>
      </c>
      <c r="W167" s="3"/>
    </row>
    <row r="168" spans="1:23" x14ac:dyDescent="0.25">
      <c r="A168" s="24" t="s">
        <v>39</v>
      </c>
      <c r="B168" s="48" t="s">
        <v>103</v>
      </c>
      <c r="C168" s="68">
        <f>LOOKUP("B.1.3.3.2.3.2.2.2.SNP.finalb.2",FamA_Final_Filter!$A$2:$A$127,FamA_Final_Filter!$B$2:$B$127)</f>
        <v>15693</v>
      </c>
      <c r="D168" s="7"/>
      <c r="E168" s="8"/>
      <c r="F168" s="68">
        <f>LOOKUP("B.1.3.3.2.3.2.2.2.SNP.finalb.2",FamA_Final_Filter!$A$2:$A$127,FamA_Final_Filter!$C$2:$C$127)</f>
        <v>4300</v>
      </c>
      <c r="G168" s="7"/>
      <c r="H168" s="8"/>
      <c r="I168" s="68">
        <f>LOOKUP("B.1.3.3.2.3.2.2.2.SNP.finalb.2",FamA_Final_Filter!$A$2:$A$127,FamA_Final_Filter!$D$2:$D$127)</f>
        <v>183</v>
      </c>
      <c r="J168" s="7"/>
      <c r="K168" s="8"/>
      <c r="L168" s="49">
        <v>20</v>
      </c>
      <c r="M168" s="101">
        <v>0.9</v>
      </c>
      <c r="N168" s="49">
        <v>3</v>
      </c>
      <c r="O168" s="49">
        <v>3</v>
      </c>
      <c r="P168" s="125">
        <v>0.5</v>
      </c>
      <c r="Q168" s="101">
        <v>0.05</v>
      </c>
      <c r="R168" s="52">
        <v>20</v>
      </c>
      <c r="W168" s="3"/>
    </row>
    <row r="169" spans="1:23" x14ac:dyDescent="0.25">
      <c r="A169" s="70" t="s">
        <v>120</v>
      </c>
      <c r="B169" s="86" t="str">
        <f>B164</f>
        <v>B.1.3.3.2.3.4.1.2</v>
      </c>
      <c r="C169" s="71">
        <f>C164</f>
        <v>15896</v>
      </c>
      <c r="D169" s="72"/>
      <c r="E169" s="89"/>
      <c r="F169" s="71">
        <f>F164</f>
        <v>4381</v>
      </c>
      <c r="G169" s="72"/>
      <c r="H169" s="89"/>
      <c r="I169" s="71">
        <f>I164</f>
        <v>183</v>
      </c>
      <c r="J169" s="72"/>
      <c r="K169" s="89"/>
      <c r="L169" s="71">
        <f>L164</f>
        <v>20</v>
      </c>
      <c r="M169" s="71">
        <f t="shared" ref="M169:R169" si="3">M164</f>
        <v>0.9</v>
      </c>
      <c r="N169" s="71">
        <f t="shared" si="3"/>
        <v>3</v>
      </c>
      <c r="O169" s="71">
        <f t="shared" si="3"/>
        <v>3</v>
      </c>
      <c r="P169" s="71">
        <f t="shared" si="3"/>
        <v>0.5</v>
      </c>
      <c r="Q169" s="71">
        <f t="shared" si="3"/>
        <v>0.05</v>
      </c>
      <c r="R169" s="71">
        <f t="shared" si="3"/>
        <v>20</v>
      </c>
      <c r="S169" s="102"/>
      <c r="T169" s="102"/>
      <c r="U169" s="102"/>
      <c r="V169" s="102"/>
      <c r="W169" s="103"/>
    </row>
    <row r="171" spans="1:23" x14ac:dyDescent="0.25">
      <c r="A171" s="53" t="s">
        <v>121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workbookViewId="0">
      <selection activeCell="A68" sqref="A68"/>
    </sheetView>
  </sheetViews>
  <sheetFormatPr defaultRowHeight="15" x14ac:dyDescent="0.25"/>
  <cols>
    <col min="1" max="1" width="40.140625" customWidth="1"/>
  </cols>
  <sheetData>
    <row r="1" spans="1:4" x14ac:dyDescent="0.25">
      <c r="A1" t="s">
        <v>0</v>
      </c>
      <c r="B1" t="s">
        <v>124</v>
      </c>
      <c r="C1" t="s">
        <v>125</v>
      </c>
      <c r="D1" t="s">
        <v>5</v>
      </c>
    </row>
    <row r="2" spans="1:4" x14ac:dyDescent="0.25">
      <c r="A2" t="s">
        <v>43</v>
      </c>
      <c r="B2">
        <v>83085</v>
      </c>
      <c r="C2">
        <v>25030</v>
      </c>
      <c r="D2">
        <v>185</v>
      </c>
    </row>
    <row r="3" spans="1:4" x14ac:dyDescent="0.25">
      <c r="A3" t="s">
        <v>44</v>
      </c>
      <c r="B3">
        <v>83085</v>
      </c>
      <c r="C3">
        <v>25030</v>
      </c>
      <c r="D3">
        <v>185</v>
      </c>
    </row>
    <row r="4" spans="1:4" x14ac:dyDescent="0.25">
      <c r="A4" t="s">
        <v>50</v>
      </c>
      <c r="B4">
        <v>32375</v>
      </c>
      <c r="C4">
        <v>9300</v>
      </c>
      <c r="D4">
        <v>184</v>
      </c>
    </row>
    <row r="5" spans="1:4" x14ac:dyDescent="0.25">
      <c r="A5" t="s">
        <v>56</v>
      </c>
      <c r="B5">
        <v>30361</v>
      </c>
      <c r="C5">
        <v>8695</v>
      </c>
      <c r="D5">
        <v>184</v>
      </c>
    </row>
    <row r="6" spans="1:4" x14ac:dyDescent="0.25">
      <c r="A6" t="s">
        <v>58</v>
      </c>
      <c r="B6">
        <v>22391</v>
      </c>
      <c r="C6">
        <v>6324</v>
      </c>
      <c r="D6">
        <v>184</v>
      </c>
    </row>
    <row r="7" spans="1:4" x14ac:dyDescent="0.25">
      <c r="A7" t="s">
        <v>78</v>
      </c>
      <c r="B7">
        <v>22391</v>
      </c>
      <c r="C7">
        <v>6324</v>
      </c>
      <c r="D7">
        <v>183</v>
      </c>
    </row>
    <row r="8" spans="1:4" x14ac:dyDescent="0.25">
      <c r="A8" t="s">
        <v>79</v>
      </c>
      <c r="B8">
        <v>17720</v>
      </c>
      <c r="C8">
        <v>5044</v>
      </c>
      <c r="D8">
        <v>183</v>
      </c>
    </row>
    <row r="9" spans="1:4" x14ac:dyDescent="0.25">
      <c r="A9" t="s">
        <v>80</v>
      </c>
      <c r="B9">
        <v>17467</v>
      </c>
      <c r="C9">
        <v>5034</v>
      </c>
      <c r="D9">
        <v>183</v>
      </c>
    </row>
    <row r="10" spans="1:4" x14ac:dyDescent="0.25">
      <c r="A10" t="s">
        <v>59</v>
      </c>
      <c r="B10">
        <v>20303</v>
      </c>
      <c r="C10">
        <v>5744</v>
      </c>
      <c r="D10">
        <v>184</v>
      </c>
    </row>
    <row r="11" spans="1:4" x14ac:dyDescent="0.25">
      <c r="A11" t="s">
        <v>70</v>
      </c>
      <c r="B11">
        <v>20303</v>
      </c>
      <c r="C11">
        <v>5744</v>
      </c>
      <c r="D11">
        <v>183</v>
      </c>
    </row>
    <row r="12" spans="1:4" x14ac:dyDescent="0.25">
      <c r="A12" t="s">
        <v>71</v>
      </c>
      <c r="B12">
        <v>20303</v>
      </c>
      <c r="C12">
        <v>5744</v>
      </c>
      <c r="D12">
        <v>183</v>
      </c>
    </row>
    <row r="13" spans="1:4" x14ac:dyDescent="0.25">
      <c r="A13" t="s">
        <v>82</v>
      </c>
      <c r="B13">
        <v>19264</v>
      </c>
      <c r="C13">
        <v>5578</v>
      </c>
      <c r="D13">
        <v>183</v>
      </c>
    </row>
    <row r="14" spans="1:4" x14ac:dyDescent="0.25">
      <c r="A14" t="s">
        <v>83</v>
      </c>
      <c r="B14">
        <v>18094</v>
      </c>
      <c r="C14">
        <v>5213</v>
      </c>
      <c r="D14">
        <v>183</v>
      </c>
    </row>
    <row r="15" spans="1:4" x14ac:dyDescent="0.25">
      <c r="A15" t="s">
        <v>81</v>
      </c>
      <c r="B15">
        <v>16818</v>
      </c>
      <c r="C15">
        <v>4837</v>
      </c>
      <c r="D15">
        <v>183</v>
      </c>
    </row>
    <row r="16" spans="1:4" x14ac:dyDescent="0.25">
      <c r="A16" t="s">
        <v>91</v>
      </c>
      <c r="B16">
        <v>16253</v>
      </c>
      <c r="C16">
        <v>4674</v>
      </c>
      <c r="D16">
        <v>183</v>
      </c>
    </row>
    <row r="17" spans="1:4" x14ac:dyDescent="0.25">
      <c r="A17" t="s">
        <v>98</v>
      </c>
      <c r="B17">
        <v>16253</v>
      </c>
      <c r="C17">
        <v>4674</v>
      </c>
      <c r="D17">
        <v>183</v>
      </c>
    </row>
    <row r="18" spans="1:4" x14ac:dyDescent="0.25">
      <c r="A18" t="s">
        <v>97</v>
      </c>
      <c r="B18">
        <v>16253</v>
      </c>
      <c r="C18">
        <v>4674</v>
      </c>
      <c r="D18">
        <v>183</v>
      </c>
    </row>
    <row r="19" spans="1:4" x14ac:dyDescent="0.25">
      <c r="A19" t="s">
        <v>126</v>
      </c>
      <c r="B19">
        <v>14187</v>
      </c>
      <c r="C19">
        <v>4288</v>
      </c>
      <c r="D19">
        <v>183</v>
      </c>
    </row>
    <row r="20" spans="1:4" x14ac:dyDescent="0.25">
      <c r="A20" t="s">
        <v>127</v>
      </c>
      <c r="B20">
        <v>14964</v>
      </c>
      <c r="C20">
        <v>4530</v>
      </c>
      <c r="D20">
        <v>183</v>
      </c>
    </row>
    <row r="21" spans="1:4" x14ac:dyDescent="0.25">
      <c r="A21" t="s">
        <v>128</v>
      </c>
      <c r="B21">
        <v>15027</v>
      </c>
      <c r="C21">
        <v>4554</v>
      </c>
      <c r="D21">
        <v>183</v>
      </c>
    </row>
    <row r="22" spans="1:4" x14ac:dyDescent="0.25">
      <c r="A22" t="s">
        <v>129</v>
      </c>
      <c r="B22">
        <v>13421</v>
      </c>
      <c r="C22">
        <v>3766</v>
      </c>
      <c r="D22">
        <v>183</v>
      </c>
    </row>
    <row r="23" spans="1:4" x14ac:dyDescent="0.25">
      <c r="A23" t="s">
        <v>130</v>
      </c>
      <c r="B23">
        <v>15896</v>
      </c>
      <c r="C23">
        <v>4381</v>
      </c>
      <c r="D23">
        <v>183</v>
      </c>
    </row>
    <row r="24" spans="1:4" x14ac:dyDescent="0.25">
      <c r="A24" t="s">
        <v>131</v>
      </c>
      <c r="B24">
        <v>16703</v>
      </c>
      <c r="C24">
        <v>4567</v>
      </c>
      <c r="D24">
        <v>183</v>
      </c>
    </row>
    <row r="25" spans="1:4" x14ac:dyDescent="0.25">
      <c r="A25" t="s">
        <v>132</v>
      </c>
      <c r="B25">
        <v>16703</v>
      </c>
      <c r="C25">
        <v>4567</v>
      </c>
      <c r="D25">
        <v>183</v>
      </c>
    </row>
    <row r="26" spans="1:4" x14ac:dyDescent="0.25">
      <c r="A26" t="s">
        <v>133</v>
      </c>
      <c r="B26">
        <v>13421</v>
      </c>
      <c r="C26">
        <v>3766</v>
      </c>
      <c r="D26">
        <v>183</v>
      </c>
    </row>
    <row r="27" spans="1:4" x14ac:dyDescent="0.25">
      <c r="A27" t="s">
        <v>134</v>
      </c>
      <c r="B27">
        <v>15896</v>
      </c>
      <c r="C27">
        <v>4381</v>
      </c>
      <c r="D27">
        <v>183</v>
      </c>
    </row>
    <row r="28" spans="1:4" x14ac:dyDescent="0.25">
      <c r="A28" t="s">
        <v>92</v>
      </c>
      <c r="B28">
        <v>15229</v>
      </c>
      <c r="C28">
        <v>4396</v>
      </c>
      <c r="D28">
        <v>183</v>
      </c>
    </row>
    <row r="29" spans="1:4" x14ac:dyDescent="0.25">
      <c r="A29" t="s">
        <v>84</v>
      </c>
      <c r="B29">
        <v>19538</v>
      </c>
      <c r="C29">
        <v>5586</v>
      </c>
      <c r="D29">
        <v>183</v>
      </c>
    </row>
    <row r="30" spans="1:4" x14ac:dyDescent="0.25">
      <c r="A30" t="s">
        <v>85</v>
      </c>
      <c r="B30">
        <v>18352</v>
      </c>
      <c r="C30">
        <v>5223</v>
      </c>
      <c r="D30">
        <v>183</v>
      </c>
    </row>
    <row r="31" spans="1:4" x14ac:dyDescent="0.25">
      <c r="A31" t="s">
        <v>86</v>
      </c>
      <c r="B31">
        <v>17051</v>
      </c>
      <c r="C31">
        <v>4846</v>
      </c>
      <c r="D31">
        <v>183</v>
      </c>
    </row>
    <row r="32" spans="1:4" x14ac:dyDescent="0.25">
      <c r="A32" t="s">
        <v>57</v>
      </c>
      <c r="B32">
        <v>29952</v>
      </c>
      <c r="C32">
        <v>8645</v>
      </c>
      <c r="D32">
        <v>184</v>
      </c>
    </row>
    <row r="33" spans="1:4" x14ac:dyDescent="0.25">
      <c r="A33" t="s">
        <v>60</v>
      </c>
      <c r="B33">
        <v>25005</v>
      </c>
      <c r="C33">
        <v>7051</v>
      </c>
      <c r="D33">
        <v>184</v>
      </c>
    </row>
    <row r="34" spans="1:4" x14ac:dyDescent="0.25">
      <c r="A34" t="s">
        <v>61</v>
      </c>
      <c r="B34">
        <v>24656</v>
      </c>
      <c r="C34">
        <v>7006</v>
      </c>
      <c r="D34">
        <v>184</v>
      </c>
    </row>
    <row r="35" spans="1:4" x14ac:dyDescent="0.25">
      <c r="A35" t="s">
        <v>51</v>
      </c>
      <c r="B35">
        <v>32375</v>
      </c>
      <c r="C35">
        <v>9300</v>
      </c>
      <c r="D35">
        <v>183</v>
      </c>
    </row>
    <row r="36" spans="1:4" x14ac:dyDescent="0.25">
      <c r="A36" t="s">
        <v>52</v>
      </c>
      <c r="B36">
        <v>32375</v>
      </c>
      <c r="C36">
        <v>9300</v>
      </c>
      <c r="D36">
        <v>183</v>
      </c>
    </row>
    <row r="37" spans="1:4" x14ac:dyDescent="0.25">
      <c r="A37" t="s">
        <v>115</v>
      </c>
      <c r="B37">
        <v>32375</v>
      </c>
      <c r="C37">
        <v>9300</v>
      </c>
      <c r="D37">
        <v>185</v>
      </c>
    </row>
    <row r="38" spans="1:4" x14ac:dyDescent="0.25">
      <c r="A38" t="s">
        <v>45</v>
      </c>
      <c r="B38">
        <v>83085</v>
      </c>
      <c r="C38">
        <v>25030</v>
      </c>
      <c r="D38">
        <v>185</v>
      </c>
    </row>
    <row r="39" spans="1:4" x14ac:dyDescent="0.25">
      <c r="A39" t="s">
        <v>109</v>
      </c>
      <c r="B39">
        <v>26293</v>
      </c>
      <c r="C39">
        <v>7383</v>
      </c>
      <c r="D39">
        <v>183</v>
      </c>
    </row>
    <row r="40" spans="1:4" x14ac:dyDescent="0.25">
      <c r="A40" t="s">
        <v>116</v>
      </c>
      <c r="B40">
        <v>26293</v>
      </c>
      <c r="C40">
        <v>7383</v>
      </c>
      <c r="D40">
        <v>185</v>
      </c>
    </row>
    <row r="41" spans="1:4" x14ac:dyDescent="0.25">
      <c r="A41" t="s">
        <v>47</v>
      </c>
      <c r="B41">
        <v>83085</v>
      </c>
      <c r="C41">
        <v>25030</v>
      </c>
      <c r="D41">
        <v>185</v>
      </c>
    </row>
    <row r="42" spans="1:4" x14ac:dyDescent="0.25">
      <c r="A42" t="s">
        <v>117</v>
      </c>
      <c r="B42">
        <v>20874</v>
      </c>
      <c r="C42">
        <v>5842</v>
      </c>
      <c r="D42">
        <v>185</v>
      </c>
    </row>
    <row r="43" spans="1:4" x14ac:dyDescent="0.25">
      <c r="A43" t="s">
        <v>46</v>
      </c>
      <c r="B43">
        <v>65373</v>
      </c>
      <c r="C43">
        <v>19704</v>
      </c>
      <c r="D43">
        <v>185</v>
      </c>
    </row>
    <row r="44" spans="1:4" x14ac:dyDescent="0.25">
      <c r="A44" t="s">
        <v>48</v>
      </c>
      <c r="B44">
        <v>65373</v>
      </c>
      <c r="C44">
        <v>19704</v>
      </c>
      <c r="D44">
        <v>185</v>
      </c>
    </row>
    <row r="45" spans="1:4" x14ac:dyDescent="0.25">
      <c r="A45" t="s">
        <v>53</v>
      </c>
      <c r="B45">
        <v>27908</v>
      </c>
      <c r="C45">
        <v>7880</v>
      </c>
      <c r="D45">
        <v>184</v>
      </c>
    </row>
    <row r="46" spans="1:4" x14ac:dyDescent="0.25">
      <c r="A46" t="s">
        <v>54</v>
      </c>
      <c r="B46">
        <v>27908</v>
      </c>
      <c r="C46">
        <v>7880</v>
      </c>
      <c r="D46">
        <v>183</v>
      </c>
    </row>
    <row r="47" spans="1:4" x14ac:dyDescent="0.25">
      <c r="A47" t="s">
        <v>55</v>
      </c>
      <c r="B47">
        <v>27908</v>
      </c>
      <c r="C47">
        <v>7880</v>
      </c>
      <c r="D47">
        <v>183</v>
      </c>
    </row>
    <row r="48" spans="1:4" x14ac:dyDescent="0.25">
      <c r="A48" t="s">
        <v>66</v>
      </c>
      <c r="B48">
        <v>27367</v>
      </c>
      <c r="C48">
        <v>7757</v>
      </c>
      <c r="D48">
        <v>183</v>
      </c>
    </row>
    <row r="49" spans="1:4" x14ac:dyDescent="0.25">
      <c r="A49" t="s">
        <v>67</v>
      </c>
      <c r="B49">
        <v>23769</v>
      </c>
      <c r="C49">
        <v>6674</v>
      </c>
      <c r="D49">
        <v>183</v>
      </c>
    </row>
    <row r="50" spans="1:4" x14ac:dyDescent="0.25">
      <c r="A50" t="s">
        <v>62</v>
      </c>
      <c r="B50">
        <v>27083</v>
      </c>
      <c r="C50">
        <v>7736</v>
      </c>
      <c r="D50">
        <v>183</v>
      </c>
    </row>
    <row r="51" spans="1:4" x14ac:dyDescent="0.25">
      <c r="A51" t="s">
        <v>63</v>
      </c>
      <c r="B51">
        <v>22199</v>
      </c>
      <c r="C51">
        <v>6307</v>
      </c>
      <c r="D51">
        <v>183</v>
      </c>
    </row>
    <row r="52" spans="1:4" x14ac:dyDescent="0.25">
      <c r="A52" t="s">
        <v>68</v>
      </c>
      <c r="B52">
        <v>20390</v>
      </c>
      <c r="C52">
        <v>5795</v>
      </c>
      <c r="D52">
        <v>183</v>
      </c>
    </row>
    <row r="53" spans="1:4" x14ac:dyDescent="0.25">
      <c r="A53" t="s">
        <v>72</v>
      </c>
      <c r="B53">
        <v>20390</v>
      </c>
      <c r="C53">
        <v>5795</v>
      </c>
      <c r="D53">
        <v>183</v>
      </c>
    </row>
    <row r="54" spans="1:4" x14ac:dyDescent="0.25">
      <c r="A54" t="s">
        <v>73</v>
      </c>
      <c r="B54">
        <v>20390</v>
      </c>
      <c r="C54">
        <v>5795</v>
      </c>
      <c r="D54">
        <v>183</v>
      </c>
    </row>
    <row r="55" spans="1:4" x14ac:dyDescent="0.25">
      <c r="A55" t="s">
        <v>74</v>
      </c>
      <c r="B55">
        <v>20390</v>
      </c>
      <c r="C55">
        <v>5795</v>
      </c>
      <c r="D55">
        <v>183</v>
      </c>
    </row>
    <row r="56" spans="1:4" x14ac:dyDescent="0.25">
      <c r="A56" t="s">
        <v>88</v>
      </c>
      <c r="B56">
        <v>19734</v>
      </c>
      <c r="C56">
        <v>5636</v>
      </c>
      <c r="D56">
        <v>183</v>
      </c>
    </row>
    <row r="57" spans="1:4" x14ac:dyDescent="0.25">
      <c r="A57" t="s">
        <v>87</v>
      </c>
      <c r="B57">
        <v>17145</v>
      </c>
      <c r="C57">
        <v>4871</v>
      </c>
      <c r="D57">
        <v>183</v>
      </c>
    </row>
    <row r="58" spans="1:4" x14ac:dyDescent="0.25">
      <c r="A58" t="s">
        <v>93</v>
      </c>
      <c r="B58">
        <v>16467</v>
      </c>
      <c r="C58">
        <v>4683</v>
      </c>
      <c r="D58">
        <v>183</v>
      </c>
    </row>
    <row r="59" spans="1:4" x14ac:dyDescent="0.25">
      <c r="A59" t="s">
        <v>102</v>
      </c>
      <c r="B59">
        <v>16467</v>
      </c>
      <c r="C59">
        <v>4683</v>
      </c>
      <c r="D59">
        <v>183</v>
      </c>
    </row>
    <row r="60" spans="1:4" x14ac:dyDescent="0.25">
      <c r="A60" t="s">
        <v>99</v>
      </c>
      <c r="B60">
        <v>16467</v>
      </c>
      <c r="C60">
        <v>4683</v>
      </c>
      <c r="D60">
        <v>183</v>
      </c>
    </row>
    <row r="61" spans="1:4" x14ac:dyDescent="0.25">
      <c r="A61" t="s">
        <v>135</v>
      </c>
      <c r="B61">
        <v>14190</v>
      </c>
      <c r="C61">
        <v>4288</v>
      </c>
      <c r="D61">
        <v>183</v>
      </c>
    </row>
    <row r="62" spans="1:4" x14ac:dyDescent="0.25">
      <c r="A62" t="s">
        <v>136</v>
      </c>
      <c r="B62">
        <v>14967</v>
      </c>
      <c r="C62">
        <v>4530</v>
      </c>
      <c r="D62">
        <v>183</v>
      </c>
    </row>
    <row r="63" spans="1:4" x14ac:dyDescent="0.25">
      <c r="A63" t="s">
        <v>137</v>
      </c>
      <c r="B63">
        <v>15031</v>
      </c>
      <c r="C63">
        <v>4554</v>
      </c>
      <c r="D63">
        <v>183</v>
      </c>
    </row>
    <row r="64" spans="1:4" x14ac:dyDescent="0.25">
      <c r="A64" t="s">
        <v>138</v>
      </c>
      <c r="B64">
        <v>13468</v>
      </c>
      <c r="C64">
        <v>3766</v>
      </c>
      <c r="D64">
        <v>183</v>
      </c>
    </row>
    <row r="65" spans="1:4" x14ac:dyDescent="0.25">
      <c r="A65" t="s">
        <v>139</v>
      </c>
      <c r="B65">
        <v>15960</v>
      </c>
      <c r="C65">
        <v>4383</v>
      </c>
      <c r="D65">
        <v>183</v>
      </c>
    </row>
    <row r="66" spans="1:4" x14ac:dyDescent="0.25">
      <c r="A66" t="s">
        <v>140</v>
      </c>
      <c r="B66">
        <v>16972</v>
      </c>
      <c r="C66">
        <v>4575</v>
      </c>
      <c r="D66">
        <v>183</v>
      </c>
    </row>
    <row r="67" spans="1:4" x14ac:dyDescent="0.25">
      <c r="A67" t="s">
        <v>141</v>
      </c>
      <c r="B67">
        <v>16767</v>
      </c>
      <c r="C67">
        <v>4567</v>
      </c>
      <c r="D67">
        <v>183</v>
      </c>
    </row>
    <row r="68" spans="1:4" x14ac:dyDescent="0.25">
      <c r="A68" t="s">
        <v>142</v>
      </c>
      <c r="B68">
        <v>13468</v>
      </c>
      <c r="C68">
        <v>3766</v>
      </c>
      <c r="D68">
        <v>183</v>
      </c>
    </row>
    <row r="69" spans="1:4" x14ac:dyDescent="0.25">
      <c r="A69" t="s">
        <v>143</v>
      </c>
      <c r="B69">
        <v>15960</v>
      </c>
      <c r="C69">
        <v>4383</v>
      </c>
      <c r="D69">
        <v>183</v>
      </c>
    </row>
    <row r="70" spans="1:4" x14ac:dyDescent="0.25">
      <c r="A70" t="s">
        <v>100</v>
      </c>
      <c r="B70">
        <v>16467</v>
      </c>
      <c r="C70">
        <v>4683</v>
      </c>
      <c r="D70">
        <v>183</v>
      </c>
    </row>
    <row r="71" spans="1:4" x14ac:dyDescent="0.25">
      <c r="A71" t="s">
        <v>101</v>
      </c>
      <c r="B71">
        <v>16467</v>
      </c>
      <c r="C71">
        <v>4683</v>
      </c>
      <c r="D71">
        <v>183</v>
      </c>
    </row>
    <row r="72" spans="1:4" x14ac:dyDescent="0.25">
      <c r="A72" t="s">
        <v>94</v>
      </c>
      <c r="B72">
        <v>15418</v>
      </c>
      <c r="C72">
        <v>4403</v>
      </c>
      <c r="D72">
        <v>183</v>
      </c>
    </row>
    <row r="73" spans="1:4" x14ac:dyDescent="0.25">
      <c r="A73" t="s">
        <v>104</v>
      </c>
      <c r="B73">
        <v>15418</v>
      </c>
      <c r="C73">
        <v>4403</v>
      </c>
      <c r="D73">
        <v>183</v>
      </c>
    </row>
    <row r="74" spans="1:4" x14ac:dyDescent="0.25">
      <c r="A74" t="s">
        <v>103</v>
      </c>
      <c r="B74">
        <v>15418</v>
      </c>
      <c r="C74">
        <v>4403</v>
      </c>
      <c r="D74">
        <v>183</v>
      </c>
    </row>
    <row r="75" spans="1:4" x14ac:dyDescent="0.25">
      <c r="A75" t="s">
        <v>144</v>
      </c>
      <c r="B75">
        <v>13399</v>
      </c>
      <c r="C75">
        <v>4043</v>
      </c>
      <c r="D75">
        <v>183</v>
      </c>
    </row>
    <row r="76" spans="1:4" x14ac:dyDescent="0.25">
      <c r="A76" t="s">
        <v>145</v>
      </c>
      <c r="B76">
        <v>14119</v>
      </c>
      <c r="C76">
        <v>4268</v>
      </c>
      <c r="D76">
        <v>183</v>
      </c>
    </row>
    <row r="77" spans="1:4" x14ac:dyDescent="0.25">
      <c r="A77" t="s">
        <v>146</v>
      </c>
      <c r="B77">
        <v>14180</v>
      </c>
      <c r="C77">
        <v>4291</v>
      </c>
      <c r="D77">
        <v>183</v>
      </c>
    </row>
    <row r="78" spans="1:4" x14ac:dyDescent="0.25">
      <c r="A78" t="s">
        <v>147</v>
      </c>
      <c r="B78">
        <v>13468</v>
      </c>
      <c r="C78">
        <v>3766</v>
      </c>
      <c r="D78">
        <v>183</v>
      </c>
    </row>
    <row r="79" spans="1:4" x14ac:dyDescent="0.25">
      <c r="A79" t="s">
        <v>148</v>
      </c>
      <c r="B79">
        <v>15693</v>
      </c>
      <c r="C79">
        <v>4300</v>
      </c>
      <c r="D79">
        <v>183</v>
      </c>
    </row>
    <row r="80" spans="1:4" x14ac:dyDescent="0.25">
      <c r="A80" t="s">
        <v>149</v>
      </c>
      <c r="B80">
        <v>15873</v>
      </c>
      <c r="C80">
        <v>4306</v>
      </c>
      <c r="D80">
        <v>183</v>
      </c>
    </row>
    <row r="81" spans="1:4" x14ac:dyDescent="0.25">
      <c r="A81" t="s">
        <v>150</v>
      </c>
      <c r="B81">
        <v>15693</v>
      </c>
      <c r="C81">
        <v>4300</v>
      </c>
      <c r="D81">
        <v>183</v>
      </c>
    </row>
    <row r="82" spans="1:4" x14ac:dyDescent="0.25">
      <c r="A82" t="s">
        <v>151</v>
      </c>
      <c r="B82">
        <v>13468</v>
      </c>
      <c r="C82">
        <v>3766</v>
      </c>
      <c r="D82">
        <v>183</v>
      </c>
    </row>
    <row r="83" spans="1:4" x14ac:dyDescent="0.25">
      <c r="A83" t="s">
        <v>152</v>
      </c>
      <c r="B83">
        <v>15693</v>
      </c>
      <c r="C83">
        <v>4300</v>
      </c>
      <c r="D83">
        <v>183</v>
      </c>
    </row>
    <row r="84" spans="1:4" x14ac:dyDescent="0.25">
      <c r="A84" t="s">
        <v>105</v>
      </c>
      <c r="B84">
        <v>15418</v>
      </c>
      <c r="C84">
        <v>4403</v>
      </c>
      <c r="D84">
        <v>183</v>
      </c>
    </row>
    <row r="85" spans="1:4" x14ac:dyDescent="0.25">
      <c r="A85" t="s">
        <v>106</v>
      </c>
      <c r="B85">
        <v>15418</v>
      </c>
      <c r="C85">
        <v>4403</v>
      </c>
      <c r="D85">
        <v>183</v>
      </c>
    </row>
    <row r="86" spans="1:4" x14ac:dyDescent="0.25">
      <c r="A86" t="s">
        <v>89</v>
      </c>
      <c r="B86">
        <v>19457</v>
      </c>
      <c r="C86">
        <v>5629</v>
      </c>
      <c r="D86">
        <v>183</v>
      </c>
    </row>
    <row r="87" spans="1:4" x14ac:dyDescent="0.25">
      <c r="A87" t="s">
        <v>90</v>
      </c>
      <c r="B87">
        <v>16910</v>
      </c>
      <c r="C87">
        <v>4863</v>
      </c>
      <c r="D87">
        <v>183</v>
      </c>
    </row>
    <row r="88" spans="1:4" x14ac:dyDescent="0.25">
      <c r="A88" t="s">
        <v>95</v>
      </c>
      <c r="B88">
        <v>16253</v>
      </c>
      <c r="C88">
        <v>4674</v>
      </c>
      <c r="D88">
        <v>183</v>
      </c>
    </row>
    <row r="89" spans="1:4" x14ac:dyDescent="0.25">
      <c r="A89" t="s">
        <v>108</v>
      </c>
      <c r="B89">
        <v>16253</v>
      </c>
      <c r="C89">
        <v>4674</v>
      </c>
      <c r="D89">
        <v>183</v>
      </c>
    </row>
    <row r="90" spans="1:4" x14ac:dyDescent="0.25">
      <c r="A90" t="s">
        <v>107</v>
      </c>
      <c r="B90">
        <v>16253</v>
      </c>
      <c r="C90">
        <v>4674</v>
      </c>
      <c r="D90">
        <v>183</v>
      </c>
    </row>
    <row r="91" spans="1:4" x14ac:dyDescent="0.25">
      <c r="A91" t="s">
        <v>153</v>
      </c>
      <c r="B91">
        <v>14187</v>
      </c>
      <c r="C91">
        <v>4288</v>
      </c>
      <c r="D91">
        <v>183</v>
      </c>
    </row>
    <row r="92" spans="1:4" x14ac:dyDescent="0.25">
      <c r="A92" t="s">
        <v>154</v>
      </c>
      <c r="B92">
        <v>14964</v>
      </c>
      <c r="C92">
        <v>4530</v>
      </c>
      <c r="D92">
        <v>183</v>
      </c>
    </row>
    <row r="93" spans="1:4" x14ac:dyDescent="0.25">
      <c r="A93" t="s">
        <v>155</v>
      </c>
      <c r="B93">
        <v>15027</v>
      </c>
      <c r="C93">
        <v>4554</v>
      </c>
      <c r="D93">
        <v>183</v>
      </c>
    </row>
    <row r="94" spans="1:4" x14ac:dyDescent="0.25">
      <c r="A94" t="s">
        <v>156</v>
      </c>
      <c r="B94">
        <v>13421</v>
      </c>
      <c r="C94">
        <v>3766</v>
      </c>
      <c r="D94">
        <v>183</v>
      </c>
    </row>
    <row r="95" spans="1:4" x14ac:dyDescent="0.25">
      <c r="A95" t="s">
        <v>157</v>
      </c>
      <c r="B95">
        <v>15896</v>
      </c>
      <c r="C95">
        <v>4381</v>
      </c>
      <c r="D95">
        <v>183</v>
      </c>
    </row>
    <row r="96" spans="1:4" x14ac:dyDescent="0.25">
      <c r="A96" t="s">
        <v>158</v>
      </c>
      <c r="B96">
        <v>16703</v>
      </c>
      <c r="C96">
        <v>4567</v>
      </c>
      <c r="D96">
        <v>183</v>
      </c>
    </row>
    <row r="97" spans="1:4" x14ac:dyDescent="0.25">
      <c r="A97" t="s">
        <v>159</v>
      </c>
      <c r="B97">
        <v>16703</v>
      </c>
      <c r="C97">
        <v>4567</v>
      </c>
      <c r="D97">
        <v>183</v>
      </c>
    </row>
    <row r="98" spans="1:4" x14ac:dyDescent="0.25">
      <c r="A98" t="s">
        <v>160</v>
      </c>
      <c r="B98">
        <v>13421</v>
      </c>
      <c r="C98">
        <v>3766</v>
      </c>
      <c r="D98">
        <v>183</v>
      </c>
    </row>
    <row r="99" spans="1:4" x14ac:dyDescent="0.25">
      <c r="A99" t="s">
        <v>161</v>
      </c>
      <c r="B99">
        <v>15896</v>
      </c>
      <c r="C99">
        <v>4381</v>
      </c>
      <c r="D99">
        <v>183</v>
      </c>
    </row>
    <row r="100" spans="1:4" x14ac:dyDescent="0.25">
      <c r="A100" t="s">
        <v>96</v>
      </c>
      <c r="B100">
        <v>15229</v>
      </c>
      <c r="C100">
        <v>4396</v>
      </c>
      <c r="D100">
        <v>183</v>
      </c>
    </row>
    <row r="101" spans="1:4" x14ac:dyDescent="0.25">
      <c r="A101" t="s">
        <v>111</v>
      </c>
      <c r="B101">
        <v>15229</v>
      </c>
      <c r="C101">
        <v>4396</v>
      </c>
      <c r="D101">
        <v>183</v>
      </c>
    </row>
    <row r="102" spans="1:4" x14ac:dyDescent="0.25">
      <c r="A102" t="s">
        <v>162</v>
      </c>
      <c r="B102">
        <v>13397</v>
      </c>
      <c r="C102">
        <v>4043</v>
      </c>
      <c r="D102">
        <v>183</v>
      </c>
    </row>
    <row r="103" spans="1:4" x14ac:dyDescent="0.25">
      <c r="A103" t="s">
        <v>163</v>
      </c>
      <c r="B103">
        <v>14117</v>
      </c>
      <c r="C103">
        <v>4268</v>
      </c>
      <c r="D103">
        <v>183</v>
      </c>
    </row>
    <row r="104" spans="1:4" x14ac:dyDescent="0.25">
      <c r="A104" t="s">
        <v>164</v>
      </c>
      <c r="B104">
        <v>14177</v>
      </c>
      <c r="C104">
        <v>4291</v>
      </c>
      <c r="D104">
        <v>183</v>
      </c>
    </row>
    <row r="105" spans="1:4" x14ac:dyDescent="0.25">
      <c r="A105" t="s">
        <v>165</v>
      </c>
      <c r="B105">
        <v>13421</v>
      </c>
      <c r="C105">
        <v>3766</v>
      </c>
      <c r="D105">
        <v>183</v>
      </c>
    </row>
    <row r="106" spans="1:4" x14ac:dyDescent="0.25">
      <c r="A106" t="s">
        <v>166</v>
      </c>
      <c r="B106">
        <v>15637</v>
      </c>
      <c r="C106">
        <v>4300</v>
      </c>
      <c r="D106">
        <v>183</v>
      </c>
    </row>
    <row r="107" spans="1:4" x14ac:dyDescent="0.25">
      <c r="A107" t="s">
        <v>167</v>
      </c>
      <c r="B107">
        <v>15637</v>
      </c>
      <c r="C107">
        <v>4300</v>
      </c>
      <c r="D107">
        <v>183</v>
      </c>
    </row>
    <row r="108" spans="1:4" x14ac:dyDescent="0.25">
      <c r="A108" t="s">
        <v>168</v>
      </c>
      <c r="B108">
        <v>15637</v>
      </c>
      <c r="C108">
        <v>4300</v>
      </c>
      <c r="D108">
        <v>183</v>
      </c>
    </row>
    <row r="109" spans="1:4" x14ac:dyDescent="0.25">
      <c r="A109" t="s">
        <v>169</v>
      </c>
      <c r="B109">
        <v>13421</v>
      </c>
      <c r="C109">
        <v>3766</v>
      </c>
      <c r="D109">
        <v>183</v>
      </c>
    </row>
    <row r="110" spans="1:4" x14ac:dyDescent="0.25">
      <c r="A110" t="s">
        <v>170</v>
      </c>
      <c r="B110">
        <v>15637</v>
      </c>
      <c r="C110">
        <v>4300</v>
      </c>
      <c r="D110">
        <v>183</v>
      </c>
    </row>
    <row r="111" spans="1:4" x14ac:dyDescent="0.25">
      <c r="A111" t="s">
        <v>112</v>
      </c>
      <c r="B111">
        <v>15229</v>
      </c>
      <c r="C111">
        <v>4396</v>
      </c>
      <c r="D111">
        <v>183</v>
      </c>
    </row>
    <row r="112" spans="1:4" x14ac:dyDescent="0.25">
      <c r="A112" t="s">
        <v>69</v>
      </c>
      <c r="B112">
        <v>18378</v>
      </c>
      <c r="C112">
        <v>5224</v>
      </c>
      <c r="D112">
        <v>183</v>
      </c>
    </row>
    <row r="113" spans="1:4" x14ac:dyDescent="0.25">
      <c r="A113" t="s">
        <v>75</v>
      </c>
      <c r="B113">
        <v>18378</v>
      </c>
      <c r="C113">
        <v>5224</v>
      </c>
      <c r="D113">
        <v>183</v>
      </c>
    </row>
    <row r="114" spans="1:4" x14ac:dyDescent="0.25">
      <c r="A114" t="s">
        <v>76</v>
      </c>
      <c r="B114">
        <v>18378</v>
      </c>
      <c r="C114">
        <v>5224</v>
      </c>
      <c r="D114">
        <v>183</v>
      </c>
    </row>
    <row r="115" spans="1:4" x14ac:dyDescent="0.25">
      <c r="A115" t="s">
        <v>77</v>
      </c>
      <c r="B115">
        <v>18378</v>
      </c>
      <c r="C115">
        <v>5224</v>
      </c>
      <c r="D115">
        <v>183</v>
      </c>
    </row>
    <row r="116" spans="1:4" x14ac:dyDescent="0.25">
      <c r="A116" t="s">
        <v>110</v>
      </c>
      <c r="B116">
        <v>23529</v>
      </c>
      <c r="C116">
        <v>6656</v>
      </c>
      <c r="D116">
        <v>183</v>
      </c>
    </row>
    <row r="117" spans="1:4" x14ac:dyDescent="0.25">
      <c r="A117" t="s">
        <v>118</v>
      </c>
      <c r="B117">
        <v>27908</v>
      </c>
      <c r="C117">
        <v>7880</v>
      </c>
      <c r="D117">
        <v>185</v>
      </c>
    </row>
    <row r="118" spans="1:4" x14ac:dyDescent="0.25">
      <c r="A118" t="s">
        <v>49</v>
      </c>
      <c r="B118">
        <v>65373</v>
      </c>
      <c r="C118">
        <v>19704</v>
      </c>
      <c r="D118">
        <v>185</v>
      </c>
    </row>
    <row r="119" spans="1:4" x14ac:dyDescent="0.25">
      <c r="A119" t="s">
        <v>119</v>
      </c>
      <c r="B119">
        <v>23508</v>
      </c>
      <c r="C119">
        <v>6590</v>
      </c>
      <c r="D119">
        <v>185</v>
      </c>
    </row>
    <row r="120" spans="1:4" x14ac:dyDescent="0.25">
      <c r="A120" t="s">
        <v>65</v>
      </c>
      <c r="B120">
        <v>65373</v>
      </c>
      <c r="C120">
        <v>19704</v>
      </c>
      <c r="D120">
        <v>185</v>
      </c>
    </row>
    <row r="121" spans="1:4" x14ac:dyDescent="0.25">
      <c r="A121" t="s">
        <v>114</v>
      </c>
      <c r="B121">
        <v>64689</v>
      </c>
      <c r="C121">
        <v>19570</v>
      </c>
      <c r="D121">
        <v>185</v>
      </c>
    </row>
    <row r="122" spans="1:4" x14ac:dyDescent="0.25">
      <c r="A122" t="s">
        <v>171</v>
      </c>
      <c r="B122">
        <v>22547</v>
      </c>
      <c r="C122">
        <v>6333</v>
      </c>
      <c r="D122">
        <v>185</v>
      </c>
    </row>
    <row r="123" spans="1:4" x14ac:dyDescent="0.25">
      <c r="A123" t="s">
        <v>172</v>
      </c>
      <c r="B123">
        <v>0</v>
      </c>
      <c r="C123">
        <v>0</v>
      </c>
      <c r="D123">
        <v>0</v>
      </c>
    </row>
    <row r="124" spans="1:4" x14ac:dyDescent="0.25">
      <c r="A124" t="s">
        <v>173</v>
      </c>
      <c r="B124">
        <v>142052</v>
      </c>
      <c r="C124">
        <v>37304</v>
      </c>
      <c r="D124">
        <v>185</v>
      </c>
    </row>
    <row r="125" spans="1:4" x14ac:dyDescent="0.25">
      <c r="A125" t="s">
        <v>174</v>
      </c>
      <c r="B125">
        <v>149975</v>
      </c>
      <c r="C125">
        <v>38142</v>
      </c>
      <c r="D125">
        <v>185</v>
      </c>
    </row>
    <row r="126" spans="1:4" x14ac:dyDescent="0.25">
      <c r="A126" t="s">
        <v>175</v>
      </c>
      <c r="B126">
        <v>145938</v>
      </c>
      <c r="C126">
        <v>37789</v>
      </c>
      <c r="D126">
        <v>185</v>
      </c>
    </row>
    <row r="127" spans="1:4" x14ac:dyDescent="0.25">
      <c r="A127" t="s">
        <v>176</v>
      </c>
      <c r="B127">
        <v>17401</v>
      </c>
      <c r="C127">
        <v>4396</v>
      </c>
      <c r="D127">
        <v>183</v>
      </c>
    </row>
    <row r="128" spans="1:4" x14ac:dyDescent="0.25">
      <c r="A128" t="s">
        <v>177</v>
      </c>
      <c r="B128">
        <v>179012</v>
      </c>
      <c r="C128">
        <v>39183</v>
      </c>
      <c r="D128">
        <v>185</v>
      </c>
    </row>
  </sheetData>
  <sortState ref="A2:D128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1"/>
  <sheetViews>
    <sheetView tabSelected="1" zoomScaleNormal="100" workbookViewId="0">
      <pane ySplit="1" topLeftCell="A32" activePane="bottomLeft" state="frozen"/>
      <selection pane="bottomLeft" activeCell="Q38" sqref="Q38:Q46"/>
    </sheetView>
  </sheetViews>
  <sheetFormatPr defaultRowHeight="15" x14ac:dyDescent="0.25"/>
  <cols>
    <col min="1" max="1" width="13.28515625" style="53" customWidth="1"/>
    <col min="2" max="2" width="17.5703125" style="53" customWidth="1"/>
    <col min="3" max="3" width="11.5703125" style="15" hidden="1" customWidth="1"/>
    <col min="4" max="5" width="11.5703125" style="14" hidden="1" customWidth="1"/>
    <col min="6" max="6" width="11.5703125" style="15" hidden="1" customWidth="1"/>
    <col min="7" max="8" width="11.5703125" style="14" hidden="1" customWidth="1"/>
    <col min="9" max="9" width="11.5703125" style="15" hidden="1" customWidth="1"/>
    <col min="10" max="11" width="11.5703125" style="14" hidden="1" customWidth="1"/>
    <col min="12" max="13" width="6.28515625" style="15" customWidth="1"/>
    <col min="14" max="14" width="5" style="15" customWidth="1"/>
    <col min="15" max="15" width="6.28515625" style="15" customWidth="1"/>
    <col min="16" max="16" width="7.7109375" style="15" customWidth="1"/>
    <col min="17" max="17" width="6.85546875" style="15" customWidth="1"/>
    <col min="18" max="18" width="9.140625" style="15" customWidth="1"/>
    <col min="19" max="19" width="4.85546875" style="53" customWidth="1"/>
    <col min="20" max="20" width="7.7109375" style="53" customWidth="1"/>
    <col min="21" max="21" width="9.140625" style="53"/>
    <col min="22" max="22" width="8.85546875" style="53" customWidth="1"/>
    <col min="23" max="16384" width="9.140625" style="53"/>
  </cols>
  <sheetData>
    <row r="1" spans="1:23" x14ac:dyDescent="0.25">
      <c r="A1" s="21" t="s">
        <v>0</v>
      </c>
      <c r="B1" s="85" t="s">
        <v>64</v>
      </c>
      <c r="C1" s="68" t="s">
        <v>3</v>
      </c>
      <c r="D1" s="69" t="s">
        <v>11</v>
      </c>
      <c r="E1" s="88" t="s">
        <v>12</v>
      </c>
      <c r="F1" s="68" t="s">
        <v>4</v>
      </c>
      <c r="G1" s="69" t="s">
        <v>11</v>
      </c>
      <c r="H1" s="88" t="s">
        <v>12</v>
      </c>
      <c r="I1" s="68" t="s">
        <v>5</v>
      </c>
      <c r="J1" s="69" t="s">
        <v>11</v>
      </c>
      <c r="K1" s="88" t="s">
        <v>12</v>
      </c>
      <c r="L1" s="68" t="s">
        <v>2</v>
      </c>
      <c r="M1" s="68" t="s">
        <v>7</v>
      </c>
      <c r="N1" s="68" t="s">
        <v>8</v>
      </c>
      <c r="O1" s="68" t="s">
        <v>18</v>
      </c>
      <c r="P1" s="68" t="s">
        <v>9</v>
      </c>
      <c r="Q1" s="68" t="s">
        <v>22</v>
      </c>
      <c r="R1" s="91" t="s">
        <v>23</v>
      </c>
      <c r="S1" s="1" t="s">
        <v>14</v>
      </c>
      <c r="T1" s="1" t="s">
        <v>15</v>
      </c>
      <c r="U1" s="1" t="s">
        <v>16</v>
      </c>
      <c r="V1" s="1" t="s">
        <v>41</v>
      </c>
      <c r="W1" s="94" t="s">
        <v>42</v>
      </c>
    </row>
    <row r="2" spans="1:23" x14ac:dyDescent="0.25">
      <c r="A2" s="21" t="s">
        <v>6</v>
      </c>
      <c r="B2" s="85"/>
      <c r="C2" s="68">
        <f>LOOKUP("TotalRawSNPs.vcf",FamB_Final_Filter!$A$2:$A$127,FamB_Final_Filter!$B$2:$B$127)</f>
        <v>449919</v>
      </c>
      <c r="D2" s="69"/>
      <c r="E2" s="88"/>
      <c r="F2" s="68">
        <f>LOOKUP("TotalRawSNPs.vcf",FamB_Final_Filter!$A$2:$A$127,FamB_Final_Filter!$C$2:$C$127)</f>
        <v>40296</v>
      </c>
      <c r="G2" s="69"/>
      <c r="H2" s="88"/>
      <c r="I2" s="68">
        <f>LOOKUP("TotalRawSNPs.vcf",FamB_Final_Filter!$A$2:$A$127,FamB_Final_Filter!$D$2:$D$127)</f>
        <v>175</v>
      </c>
      <c r="J2" s="69"/>
      <c r="K2" s="88"/>
      <c r="L2" s="68"/>
      <c r="M2" s="68"/>
      <c r="N2" s="68"/>
      <c r="O2" s="68"/>
      <c r="P2" s="68"/>
      <c r="Q2" s="68"/>
      <c r="R2" s="91"/>
      <c r="S2" s="1"/>
      <c r="T2" s="1"/>
      <c r="U2" s="1"/>
      <c r="V2" s="1"/>
      <c r="W2" s="94"/>
    </row>
    <row r="3" spans="1:23" s="24" customFormat="1" x14ac:dyDescent="0.25">
      <c r="A3" s="70" t="s">
        <v>123</v>
      </c>
      <c r="B3" s="86"/>
      <c r="C3" s="71">
        <f>C2</f>
        <v>449919</v>
      </c>
      <c r="D3" s="72">
        <f>1-C3/C3</f>
        <v>0</v>
      </c>
      <c r="E3" s="89">
        <f>C3/C3</f>
        <v>1</v>
      </c>
      <c r="F3" s="71">
        <f>F2</f>
        <v>40296</v>
      </c>
      <c r="G3" s="72">
        <f>1-F3/F3</f>
        <v>0</v>
      </c>
      <c r="H3" s="89">
        <f>F3/F3</f>
        <v>1</v>
      </c>
      <c r="I3" s="71">
        <f>I2</f>
        <v>175</v>
      </c>
      <c r="J3" s="72">
        <f>1-I3/I3</f>
        <v>0</v>
      </c>
      <c r="K3" s="89">
        <f>I3/I3</f>
        <v>1</v>
      </c>
      <c r="L3" s="71"/>
      <c r="M3" s="71"/>
      <c r="N3" s="71"/>
      <c r="O3" s="71"/>
      <c r="P3" s="71"/>
      <c r="Q3" s="71"/>
      <c r="R3" s="92"/>
      <c r="S3" s="70"/>
      <c r="T3" s="70"/>
      <c r="U3" s="70"/>
      <c r="V3" s="70"/>
      <c r="W3" s="86"/>
    </row>
    <row r="4" spans="1:23" s="24" customFormat="1" x14ac:dyDescent="0.25">
      <c r="A4" s="75" t="s">
        <v>1</v>
      </c>
      <c r="B4" s="18">
        <v>0</v>
      </c>
      <c r="C4" s="68">
        <f>LOOKUP("SFL.F0",FamB_Final_Filter!$A$2:$A$127,FamB_Final_Filter!$B$2:$B$127)</f>
        <v>283218</v>
      </c>
      <c r="D4" s="22">
        <f>1-C4/C3</f>
        <v>0.37051335907129945</v>
      </c>
      <c r="E4" s="23">
        <f>C4/C3</f>
        <v>0.62948664092870055</v>
      </c>
      <c r="F4" s="68">
        <f>LOOKUP("SFL.F0",FamB_Final_Filter!$A$2:$A$127,FamB_Final_Filter!$C$2:$C$127)</f>
        <v>39494</v>
      </c>
      <c r="G4" s="22">
        <f>1-F4/F3</f>
        <v>1.9902719872940233E-2</v>
      </c>
      <c r="H4" s="23">
        <f>F4/F3</f>
        <v>0.98009728012705977</v>
      </c>
      <c r="I4" s="68">
        <f>LOOKUP("SFL.F0",FamB_Final_Filter!$A$2:$A$127,FamB_Final_Filter!$D$2:$D$127)</f>
        <v>175</v>
      </c>
      <c r="J4" s="22">
        <f>1-I4/I3</f>
        <v>0</v>
      </c>
      <c r="K4" s="23">
        <f>I4/I3</f>
        <v>1</v>
      </c>
      <c r="L4" s="104">
        <v>20</v>
      </c>
      <c r="M4" s="2"/>
      <c r="N4" s="2"/>
      <c r="O4" s="2"/>
      <c r="P4" s="2"/>
      <c r="Q4" s="2"/>
      <c r="R4" s="11"/>
      <c r="W4" s="6"/>
    </row>
    <row r="5" spans="1:23" x14ac:dyDescent="0.25">
      <c r="A5" s="73" t="s">
        <v>1</v>
      </c>
      <c r="B5" s="60" t="s">
        <v>113</v>
      </c>
      <c r="C5" s="68">
        <f>LOOKUP("SFL.F0a",FamB_Final_Filter!$A$2:$A$127,FamB_Final_Filter!$B$2:$B$127)</f>
        <v>331186</v>
      </c>
      <c r="D5" s="61">
        <f>1-C5/C3</f>
        <v>0.26389861286142613</v>
      </c>
      <c r="E5" s="62">
        <f>C5/C3</f>
        <v>0.73610138713857387</v>
      </c>
      <c r="F5" s="68">
        <f>LOOKUP("SFL.F0a",FamB_Final_Filter!$A$2:$A$127,FamB_Final_Filter!$C$2:$C$127)</f>
        <v>39768</v>
      </c>
      <c r="G5" s="61">
        <f>1-F5/F3</f>
        <v>1.3103037522334771E-2</v>
      </c>
      <c r="H5" s="62">
        <f>F5/F3</f>
        <v>0.98689696247766523</v>
      </c>
      <c r="I5" s="68">
        <f>LOOKUP("SFL.F0a",FamB_Final_Filter!$A$2:$A$127,FamB_Final_Filter!$D$2:$D$127)</f>
        <v>175</v>
      </c>
      <c r="J5" s="61">
        <f>1-I5/I3</f>
        <v>0</v>
      </c>
      <c r="K5" s="62">
        <f>I5/I3</f>
        <v>1</v>
      </c>
      <c r="L5" s="105">
        <v>10</v>
      </c>
      <c r="R5" s="5"/>
      <c r="W5" s="3"/>
    </row>
    <row r="6" spans="1:23" x14ac:dyDescent="0.25">
      <c r="A6" s="73" t="s">
        <v>1</v>
      </c>
      <c r="B6" s="60" t="s">
        <v>122</v>
      </c>
      <c r="C6" s="68">
        <f>LOOKUP("SFL.F0b",FamB_Final_Filter!$A$2:$A$127,FamB_Final_Filter!$B$2:$B$127)</f>
        <v>308858</v>
      </c>
      <c r="D6" s="61">
        <f>1-C6/C3</f>
        <v>0.31352532344710937</v>
      </c>
      <c r="E6" s="62"/>
      <c r="F6" s="68">
        <f>LOOKUP("SFL.F0b",FamB_Final_Filter!$A$2:$A$127,FamB_Final_Filter!$C$2:$C$127)</f>
        <v>39650</v>
      </c>
      <c r="G6" s="61">
        <f>1-F6/F3</f>
        <v>1.6031367877704983E-2</v>
      </c>
      <c r="H6" s="62"/>
      <c r="I6" s="68">
        <f>LOOKUP("SFL.F0b",FamB_Final_Filter!$A$2:$A$127,FamB_Final_Filter!$D$2:$D$127)</f>
        <v>175</v>
      </c>
      <c r="J6" s="61">
        <f>1-I6/I3</f>
        <v>0</v>
      </c>
      <c r="K6" s="62"/>
      <c r="L6" s="105">
        <v>15</v>
      </c>
      <c r="R6" s="5"/>
      <c r="W6" s="3"/>
    </row>
    <row r="7" spans="1:23" x14ac:dyDescent="0.25">
      <c r="A7" s="74"/>
      <c r="B7" s="63"/>
      <c r="C7" s="64"/>
      <c r="D7" s="65"/>
      <c r="E7" s="66"/>
      <c r="F7" s="64"/>
      <c r="G7" s="65"/>
      <c r="H7" s="66"/>
      <c r="I7" s="64"/>
      <c r="J7" s="65"/>
      <c r="K7" s="66"/>
      <c r="L7" s="64"/>
      <c r="M7" s="55"/>
      <c r="N7" s="55"/>
      <c r="O7" s="55"/>
      <c r="P7" s="55"/>
      <c r="Q7" s="55"/>
      <c r="R7" s="58"/>
      <c r="S7" s="67"/>
      <c r="T7" s="67"/>
      <c r="U7" s="67"/>
      <c r="V7" s="67"/>
      <c r="W7" s="54"/>
    </row>
    <row r="8" spans="1:23" x14ac:dyDescent="0.25">
      <c r="A8" s="75" t="s">
        <v>10</v>
      </c>
      <c r="B8" s="12" t="s">
        <v>43</v>
      </c>
      <c r="C8" s="68">
        <f>LOOKUP("A",FamB_Final_Filter!$A$2:$A$127,FamB_Final_Filter!$B$2:$B$127)</f>
        <v>185944</v>
      </c>
      <c r="D8" s="22">
        <f>1-C8/C4</f>
        <v>0.34345980834551482</v>
      </c>
      <c r="E8" s="23">
        <f>C8/C3</f>
        <v>0.41328327987926716</v>
      </c>
      <c r="F8" s="68">
        <f>LOOKUP("A",FamB_Final_Filter!$A$2:$A$127,FamB_Final_Filter!$C$2:$C$127)</f>
        <v>32040</v>
      </c>
      <c r="G8" s="22">
        <f>1-F8/F4</f>
        <v>0.1887375297513546</v>
      </c>
      <c r="H8" s="23">
        <f>F8/F3</f>
        <v>0.79511614055985702</v>
      </c>
      <c r="I8" s="68">
        <f>LOOKUP("A",FamB_Final_Filter!$A$2:$A$127,FamB_Final_Filter!$D$2:$D$127)</f>
        <v>175</v>
      </c>
      <c r="J8" s="22">
        <f>1-I8/I4</f>
        <v>0</v>
      </c>
      <c r="K8" s="23">
        <f>I8/I3</f>
        <v>1</v>
      </c>
      <c r="L8" s="17">
        <v>20</v>
      </c>
      <c r="M8" s="104">
        <v>0.3</v>
      </c>
      <c r="N8" s="104">
        <v>3</v>
      </c>
      <c r="R8" s="5"/>
      <c r="W8" s="3"/>
    </row>
    <row r="9" spans="1:23" x14ac:dyDescent="0.25">
      <c r="A9" s="53" t="s">
        <v>10</v>
      </c>
      <c r="B9" s="3" t="s">
        <v>114</v>
      </c>
      <c r="C9" s="68">
        <f>LOOKUP("B0",FamB_Final_Filter!$A$2:$A$127,FamB_Final_Filter!$B$2:$B$127)</f>
        <v>130928</v>
      </c>
      <c r="D9" s="14">
        <f>1-C9/C4</f>
        <v>0.53771299846761145</v>
      </c>
      <c r="E9" s="4">
        <f>C9/C3</f>
        <v>0.29100349173962425</v>
      </c>
      <c r="F9" s="68">
        <f>LOOKUP("B0",FamB_Final_Filter!$A$2:$A$127,FamB_Final_Filter!$C$2:$C$127)</f>
        <v>27402</v>
      </c>
      <c r="G9" s="14">
        <f>1-F9/F4</f>
        <v>0.30617308958322786</v>
      </c>
      <c r="H9" s="4">
        <f>F9/F3</f>
        <v>0.68001786777843953</v>
      </c>
      <c r="I9" s="68">
        <f>LOOKUP("B0",FamB_Final_Filter!$A$2:$A$127,FamB_Final_Filter!$D$2:$D$127)</f>
        <v>175</v>
      </c>
      <c r="J9" s="14">
        <f>1-I9/I4</f>
        <v>0</v>
      </c>
      <c r="K9" s="4">
        <f>I9/I3</f>
        <v>1</v>
      </c>
      <c r="L9" s="15">
        <v>20</v>
      </c>
      <c r="M9" s="106">
        <v>0.5</v>
      </c>
      <c r="N9" s="106">
        <v>5</v>
      </c>
      <c r="R9" s="5"/>
      <c r="W9" s="3"/>
    </row>
    <row r="10" spans="1:23" x14ac:dyDescent="0.25">
      <c r="A10" s="78" t="s">
        <v>10</v>
      </c>
      <c r="B10" s="9" t="s">
        <v>46</v>
      </c>
      <c r="C10" s="68">
        <f>LOOKUP("B",FamB_Final_Filter!$A$2:$A$127,FamB_Final_Filter!$B$2:$B$127)</f>
        <v>170417</v>
      </c>
      <c r="D10" s="25">
        <f>1-C10/C4</f>
        <v>0.39828330120260713</v>
      </c>
      <c r="E10" s="26">
        <f>C10/C3</f>
        <v>0.37877262351667745</v>
      </c>
      <c r="F10" s="68">
        <f>LOOKUP("B",FamB_Final_Filter!$A$2:$A$127,FamB_Final_Filter!$C$2:$C$127)</f>
        <v>28398</v>
      </c>
      <c r="G10" s="25">
        <f>1-F10/F4</f>
        <v>0.28095406897250219</v>
      </c>
      <c r="H10" s="26">
        <f>F10/F3</f>
        <v>0.70473496128648005</v>
      </c>
      <c r="I10" s="68">
        <f>LOOKUP("B",FamB_Final_Filter!$A$2:$A$127,FamB_Final_Filter!$D$2:$D$127)</f>
        <v>175</v>
      </c>
      <c r="J10" s="25">
        <f>1-I10/I4</f>
        <v>0</v>
      </c>
      <c r="K10" s="26">
        <f>I10/I3</f>
        <v>1</v>
      </c>
      <c r="L10" s="16">
        <v>20</v>
      </c>
      <c r="M10" s="107">
        <v>0.5</v>
      </c>
      <c r="N10" s="107">
        <v>3</v>
      </c>
      <c r="R10" s="5"/>
      <c r="W10" s="3"/>
    </row>
    <row r="11" spans="1:23" x14ac:dyDescent="0.25">
      <c r="A11" s="67"/>
      <c r="B11" s="54"/>
      <c r="C11" s="55"/>
      <c r="D11" s="56"/>
      <c r="E11" s="57"/>
      <c r="F11" s="55"/>
      <c r="G11" s="56"/>
      <c r="H11" s="57"/>
      <c r="I11" s="55"/>
      <c r="J11" s="56"/>
      <c r="K11" s="57"/>
      <c r="L11" s="55"/>
      <c r="M11" s="55"/>
      <c r="N11" s="55"/>
      <c r="O11" s="55"/>
      <c r="P11" s="55"/>
      <c r="Q11" s="55"/>
      <c r="R11" s="58"/>
      <c r="S11" s="67"/>
      <c r="T11" s="67"/>
      <c r="U11" s="67"/>
      <c r="V11" s="67"/>
      <c r="W11" s="54"/>
    </row>
    <row r="12" spans="1:23" x14ac:dyDescent="0.25">
      <c r="A12" s="75" t="s">
        <v>13</v>
      </c>
      <c r="B12" s="12" t="s">
        <v>44</v>
      </c>
      <c r="C12" s="68">
        <f>LOOKUP("A.1",FamB_Final_Filter!$A$2:$A$127,FamB_Final_Filter!$B$2:$B$127)</f>
        <v>185944</v>
      </c>
      <c r="D12" s="22">
        <f>1-C12/C8</f>
        <v>0</v>
      </c>
      <c r="E12" s="23">
        <f>C12/C3</f>
        <v>0.41328327987926716</v>
      </c>
      <c r="F12" s="68">
        <f>LOOKUP("A.1",FamB_Final_Filter!$A$2:$A$127,FamB_Final_Filter!$C$2:$C$127)</f>
        <v>32040</v>
      </c>
      <c r="G12" s="22">
        <f>1-F12/F8</f>
        <v>0</v>
      </c>
      <c r="H12" s="23">
        <f>F12/F3</f>
        <v>0.79511614055985702</v>
      </c>
      <c r="I12" s="68">
        <f>LOOKUP("A.1",FamB_Final_Filter!$A$2:$A$127,FamB_Final_Filter!$D$2:$D$127)</f>
        <v>175</v>
      </c>
      <c r="J12" s="22">
        <f>1-I12/I8</f>
        <v>0</v>
      </c>
      <c r="K12" s="23">
        <f>I12/I3</f>
        <v>1</v>
      </c>
      <c r="L12" s="17">
        <v>20</v>
      </c>
      <c r="M12" s="17">
        <v>0.3</v>
      </c>
      <c r="N12" s="17">
        <v>3</v>
      </c>
      <c r="O12" s="104">
        <v>3</v>
      </c>
      <c r="R12" s="5"/>
      <c r="W12" s="3"/>
    </row>
    <row r="13" spans="1:23" x14ac:dyDescent="0.25">
      <c r="A13" s="76" t="s">
        <v>13</v>
      </c>
      <c r="B13" s="29" t="s">
        <v>45</v>
      </c>
      <c r="C13" s="68">
        <f>LOOKUP("A.2",FamB_Final_Filter!$A$2:$A$127,FamB_Final_Filter!$B$2:$B$127)</f>
        <v>185944</v>
      </c>
      <c r="D13" s="31">
        <f>1-C13/C8</f>
        <v>0</v>
      </c>
      <c r="E13" s="32">
        <f t="shared" ref="E13" si="0">C13/C4</f>
        <v>0.65654019165448518</v>
      </c>
      <c r="F13" s="68">
        <f>LOOKUP("A.2",FamB_Final_Filter!$A$2:$A$127,FamB_Final_Filter!$C$2:$C$127)</f>
        <v>32040</v>
      </c>
      <c r="G13" s="31">
        <f>1-F13/F8</f>
        <v>0</v>
      </c>
      <c r="H13" s="32">
        <f t="shared" ref="H13" si="1">F13/F4</f>
        <v>0.8112624702486454</v>
      </c>
      <c r="I13" s="68">
        <f>LOOKUP("A.2",FamB_Final_Filter!$A$2:$A$127,FamB_Final_Filter!$D$2:$D$127)</f>
        <v>175</v>
      </c>
      <c r="J13" s="31">
        <f>1-I13/I8</f>
        <v>0</v>
      </c>
      <c r="K13" s="32">
        <f t="shared" ref="K13" si="2">I13/I4</f>
        <v>1</v>
      </c>
      <c r="L13" s="30">
        <v>20</v>
      </c>
      <c r="M13" s="30">
        <v>0.3</v>
      </c>
      <c r="N13" s="30">
        <v>3</v>
      </c>
      <c r="O13" s="108">
        <v>5</v>
      </c>
      <c r="R13" s="5"/>
      <c r="W13" s="3"/>
    </row>
    <row r="14" spans="1:23" x14ac:dyDescent="0.25">
      <c r="A14" s="77" t="s">
        <v>13</v>
      </c>
      <c r="B14" s="33" t="s">
        <v>47</v>
      </c>
      <c r="C14" s="68">
        <f>LOOKUP("A.3",FamB_Final_Filter!$A$2:$A$127,FamB_Final_Filter!$B$2:$B$127)</f>
        <v>185944</v>
      </c>
      <c r="D14" s="35"/>
      <c r="E14" s="36"/>
      <c r="F14" s="68">
        <f>LOOKUP("A.3",FamB_Final_Filter!$A$2:$A$127,FamB_Final_Filter!$C$2:$C$127)</f>
        <v>32040</v>
      </c>
      <c r="G14" s="35"/>
      <c r="H14" s="36"/>
      <c r="I14" s="68">
        <f>LOOKUP("A.3",FamB_Final_Filter!$A$2:$A$127,FamB_Final_Filter!$D$2:$D$127)</f>
        <v>175</v>
      </c>
      <c r="J14" s="35"/>
      <c r="K14" s="36"/>
      <c r="L14" s="34">
        <v>20</v>
      </c>
      <c r="M14" s="34">
        <v>0.3</v>
      </c>
      <c r="N14" s="34">
        <v>3</v>
      </c>
      <c r="O14" s="109">
        <v>10</v>
      </c>
      <c r="R14" s="5"/>
      <c r="W14" s="3"/>
    </row>
    <row r="15" spans="1:23" ht="8.25" customHeight="1" x14ac:dyDescent="0.25">
      <c r="A15" s="82"/>
      <c r="B15" s="87"/>
      <c r="C15" s="83"/>
      <c r="D15" s="84"/>
      <c r="E15" s="90"/>
      <c r="F15" s="83"/>
      <c r="G15" s="84"/>
      <c r="H15" s="90"/>
      <c r="I15" s="83"/>
      <c r="J15" s="84"/>
      <c r="K15" s="90"/>
      <c r="L15" s="83"/>
      <c r="M15" s="83"/>
      <c r="N15" s="83"/>
      <c r="O15" s="83"/>
      <c r="P15" s="83"/>
      <c r="Q15" s="83"/>
      <c r="R15" s="93"/>
      <c r="S15" s="82"/>
      <c r="T15" s="82"/>
      <c r="U15" s="82"/>
      <c r="V15" s="82"/>
      <c r="W15" s="87"/>
    </row>
    <row r="16" spans="1:23" x14ac:dyDescent="0.25">
      <c r="A16" s="78" t="s">
        <v>13</v>
      </c>
      <c r="B16" s="9" t="s">
        <v>48</v>
      </c>
      <c r="C16" s="68">
        <f>LOOKUP("B.1",FamB_Final_Filter!$A$2:$A$127,FamB_Final_Filter!$B$2:$B$127)</f>
        <v>170417</v>
      </c>
      <c r="D16" s="25">
        <f>1-C16/C10</f>
        <v>0</v>
      </c>
      <c r="E16" s="26">
        <f>C16/C5</f>
        <v>0.5145658330968097</v>
      </c>
      <c r="F16" s="68">
        <f>LOOKUP("B.1",FamB_Final_Filter!$A$2:$A$127,FamB_Final_Filter!$C$2:$C$127)</f>
        <v>28398</v>
      </c>
      <c r="G16" s="25">
        <f>1-F16/F10</f>
        <v>0</v>
      </c>
      <c r="H16" s="26">
        <f>F16/F5</f>
        <v>0.71409173204586607</v>
      </c>
      <c r="I16" s="68">
        <f>LOOKUP("B.1",FamB_Final_Filter!$A$2:$A$127,FamB_Final_Filter!$D$2:$D$127)</f>
        <v>175</v>
      </c>
      <c r="J16" s="25">
        <f>1-I16/I10</f>
        <v>0</v>
      </c>
      <c r="K16" s="26">
        <f>I16/I5</f>
        <v>1</v>
      </c>
      <c r="L16" s="16">
        <v>20</v>
      </c>
      <c r="M16" s="16">
        <v>0.5</v>
      </c>
      <c r="N16" s="16">
        <v>3</v>
      </c>
      <c r="O16" s="107">
        <v>3</v>
      </c>
      <c r="R16" s="5"/>
      <c r="W16" s="3"/>
    </row>
    <row r="17" spans="1:23" x14ac:dyDescent="0.25">
      <c r="A17" s="79" t="s">
        <v>13</v>
      </c>
      <c r="B17" s="13" t="s">
        <v>49</v>
      </c>
      <c r="C17" s="68">
        <f>LOOKUP("B.2",FamB_Final_Filter!$A$2:$A$127,FamB_Final_Filter!$B$2:$B$127)</f>
        <v>170417</v>
      </c>
      <c r="D17" s="27">
        <f>1-C17/C10</f>
        <v>0</v>
      </c>
      <c r="E17" s="28">
        <f>C17/C3</f>
        <v>0.37877262351667745</v>
      </c>
      <c r="F17" s="68">
        <f>LOOKUP("B.2",FamB_Final_Filter!$A$2:$A$127,FamB_Final_Filter!$C$2:$C$127)</f>
        <v>28398</v>
      </c>
      <c r="G17" s="27">
        <f>1-F17/F10</f>
        <v>0</v>
      </c>
      <c r="H17" s="28">
        <f>F17/F3</f>
        <v>0.70473496128648005</v>
      </c>
      <c r="I17" s="68">
        <f>LOOKUP("B.2",FamB_Final_Filter!$A$2:$A$127,FamB_Final_Filter!$D$2:$D$127)</f>
        <v>175</v>
      </c>
      <c r="J17" s="27">
        <f>1-I17/I10</f>
        <v>0</v>
      </c>
      <c r="K17" s="28">
        <f>I17/I3</f>
        <v>1</v>
      </c>
      <c r="L17" s="19">
        <v>20</v>
      </c>
      <c r="M17" s="19">
        <v>0.5</v>
      </c>
      <c r="N17" s="19">
        <v>3</v>
      </c>
      <c r="O17" s="110">
        <v>5</v>
      </c>
      <c r="R17" s="5"/>
      <c r="W17" s="3"/>
    </row>
    <row r="18" spans="1:23" x14ac:dyDescent="0.25">
      <c r="A18" s="53" t="s">
        <v>13</v>
      </c>
      <c r="B18" s="3" t="s">
        <v>65</v>
      </c>
      <c r="C18" s="68">
        <f>LOOKUP("B.3",FamB_Final_Filter!$A$2:$A$127,FamB_Final_Filter!$B$2:$B$127)</f>
        <v>170417</v>
      </c>
      <c r="D18" s="14">
        <f>1-C18/C10</f>
        <v>0</v>
      </c>
      <c r="E18" s="4">
        <f>C18/C3</f>
        <v>0.37877262351667745</v>
      </c>
      <c r="F18" s="68">
        <f>LOOKUP("B.3",FamB_Final_Filter!$A$2:$A$127,FamB_Final_Filter!$C$2:$C$127)</f>
        <v>28398</v>
      </c>
      <c r="G18" s="14">
        <f>1-F18/F10</f>
        <v>0</v>
      </c>
      <c r="H18" s="4">
        <f>F18/F3</f>
        <v>0.70473496128648005</v>
      </c>
      <c r="I18" s="68">
        <f>LOOKUP("B.3",FamB_Final_Filter!$A$2:$A$127,FamB_Final_Filter!$D$2:$D$127)</f>
        <v>175</v>
      </c>
      <c r="J18" s="14">
        <f>1-I18/I10</f>
        <v>0</v>
      </c>
      <c r="K18" s="4">
        <f>I18/I3</f>
        <v>1</v>
      </c>
      <c r="L18" s="15">
        <v>20</v>
      </c>
      <c r="M18" s="15">
        <v>0.5</v>
      </c>
      <c r="N18" s="15">
        <v>3</v>
      </c>
      <c r="O18" s="105">
        <v>10</v>
      </c>
      <c r="R18" s="5"/>
      <c r="W18" s="3"/>
    </row>
    <row r="19" spans="1:23" x14ac:dyDescent="0.25">
      <c r="A19" s="67"/>
      <c r="B19" s="54"/>
      <c r="C19" s="55"/>
      <c r="D19" s="56"/>
      <c r="E19" s="57"/>
      <c r="F19" s="55"/>
      <c r="G19" s="56"/>
      <c r="H19" s="57"/>
      <c r="I19" s="55"/>
      <c r="J19" s="56"/>
      <c r="K19" s="57"/>
      <c r="L19" s="55"/>
      <c r="M19" s="55"/>
      <c r="N19" s="55"/>
      <c r="O19" s="55"/>
      <c r="P19" s="55"/>
      <c r="Q19" s="55"/>
      <c r="R19" s="58"/>
      <c r="S19" s="67"/>
      <c r="T19" s="67"/>
      <c r="U19" s="67"/>
      <c r="V19" s="67"/>
      <c r="W19" s="54"/>
    </row>
    <row r="20" spans="1:23" x14ac:dyDescent="0.25">
      <c r="A20" s="75" t="s">
        <v>17</v>
      </c>
      <c r="B20" s="12" t="s">
        <v>115</v>
      </c>
      <c r="C20" s="68">
        <f>LOOKUP("A.1a",FamB_Final_Filter!$A$2:$A$127,FamB_Final_Filter!$B$2:$B$127)</f>
        <v>74662</v>
      </c>
      <c r="D20" s="22">
        <f>1-C20/C12</f>
        <v>0.59847050724949447</v>
      </c>
      <c r="E20" s="23">
        <f>C20/C3</f>
        <v>0.16594542573218735</v>
      </c>
      <c r="F20" s="68">
        <f>LOOKUP("A.1a",FamB_Final_Filter!$A$2:$A$127,FamB_Final_Filter!$C$2:$C$127)</f>
        <v>14398</v>
      </c>
      <c r="G20" s="22">
        <f>1-F20/F12</f>
        <v>0.55062421972534326</v>
      </c>
      <c r="H20" s="23">
        <f>F20/F3</f>
        <v>0.35730593607305938</v>
      </c>
      <c r="I20" s="68">
        <f>LOOKUP("A.1a",FamB_Final_Filter!$A$2:$A$127,FamB_Final_Filter!$D$2:$D$127)</f>
        <v>175</v>
      </c>
      <c r="J20" s="22">
        <f>1-I20/I12</f>
        <v>0</v>
      </c>
      <c r="K20" s="23">
        <f>I20/I3</f>
        <v>1</v>
      </c>
      <c r="L20" s="17">
        <v>20</v>
      </c>
      <c r="M20" s="104" t="s">
        <v>19</v>
      </c>
      <c r="N20" s="17">
        <v>3</v>
      </c>
      <c r="O20" s="17">
        <v>3</v>
      </c>
      <c r="R20" s="5"/>
      <c r="W20" s="3"/>
    </row>
    <row r="21" spans="1:23" x14ac:dyDescent="0.25">
      <c r="A21" s="76" t="s">
        <v>17</v>
      </c>
      <c r="B21" s="29" t="s">
        <v>116</v>
      </c>
      <c r="C21" s="68">
        <f>LOOKUP("A.2a",FamB_Final_Filter!$A$2:$A$127,FamB_Final_Filter!$B$2:$B$127)</f>
        <v>47278</v>
      </c>
      <c r="D21" s="31">
        <f>1-C21/C13</f>
        <v>0.74574065309985804</v>
      </c>
      <c r="E21" s="32">
        <f>C21/C3</f>
        <v>0.10508113682685105</v>
      </c>
      <c r="F21" s="68">
        <f>LOOKUP("A.2a",FamB_Final_Filter!$A$2:$A$127,FamB_Final_Filter!$C$2:$C$127)</f>
        <v>9410</v>
      </c>
      <c r="G21" s="31">
        <f>1-F21/F13</f>
        <v>0.70630461922596754</v>
      </c>
      <c r="H21" s="32">
        <f>F21/F3</f>
        <v>0.23352193766130633</v>
      </c>
      <c r="I21" s="68">
        <f>LOOKUP("A.2a",FamB_Final_Filter!$A$2:$A$127,FamB_Final_Filter!$D$2:$D$127)</f>
        <v>175</v>
      </c>
      <c r="J21" s="31">
        <f>1-I21/I13</f>
        <v>0</v>
      </c>
      <c r="K21" s="32">
        <f>I21/I3</f>
        <v>1</v>
      </c>
      <c r="L21" s="30">
        <v>20</v>
      </c>
      <c r="M21" s="108" t="s">
        <v>19</v>
      </c>
      <c r="N21" s="30">
        <v>3</v>
      </c>
      <c r="O21" s="30">
        <v>5</v>
      </c>
      <c r="R21" s="5"/>
      <c r="W21" s="3"/>
    </row>
    <row r="22" spans="1:23" x14ac:dyDescent="0.25">
      <c r="A22" s="77" t="s">
        <v>17</v>
      </c>
      <c r="B22" s="33" t="s">
        <v>117</v>
      </c>
      <c r="C22" s="68">
        <f>LOOKUP("A.3a",FamB_Final_Filter!$A$2:$A$127,FamB_Final_Filter!$B$2:$B$127)</f>
        <v>33528</v>
      </c>
      <c r="D22" s="35">
        <f>1-C22/C12</f>
        <v>0.81968764789398962</v>
      </c>
      <c r="E22" s="36">
        <f>C22/C3</f>
        <v>7.4520080281117271E-2</v>
      </c>
      <c r="F22" s="68">
        <f>LOOKUP("A.3a",FamB_Final_Filter!$A$2:$A$127,FamB_Final_Filter!$C$2:$C$127)</f>
        <v>7326</v>
      </c>
      <c r="G22" s="35">
        <f>1-F22/F12</f>
        <v>0.77134831460674158</v>
      </c>
      <c r="H22" s="36">
        <f>F22/F3</f>
        <v>0.18180464562239429</v>
      </c>
      <c r="I22" s="68">
        <f>LOOKUP("A.3a",FamB_Final_Filter!$A$2:$A$127,FamB_Final_Filter!$D$2:$D$127)</f>
        <v>175</v>
      </c>
      <c r="J22" s="35">
        <f>1-I22/I12</f>
        <v>0</v>
      </c>
      <c r="K22" s="36">
        <f>I22/I3</f>
        <v>1</v>
      </c>
      <c r="L22" s="34">
        <v>20</v>
      </c>
      <c r="M22" s="109" t="s">
        <v>19</v>
      </c>
      <c r="N22" s="34">
        <v>3</v>
      </c>
      <c r="O22" s="34">
        <v>10</v>
      </c>
      <c r="R22" s="5"/>
      <c r="W22" s="3"/>
    </row>
    <row r="23" spans="1:23" ht="8.25" customHeight="1" x14ac:dyDescent="0.25">
      <c r="A23" s="82"/>
      <c r="B23" s="87"/>
      <c r="C23" s="83"/>
      <c r="D23" s="84"/>
      <c r="E23" s="90"/>
      <c r="F23" s="83"/>
      <c r="G23" s="84"/>
      <c r="H23" s="90"/>
      <c r="I23" s="83"/>
      <c r="J23" s="84"/>
      <c r="K23" s="90"/>
      <c r="L23" s="83"/>
      <c r="M23" s="111"/>
      <c r="N23" s="83"/>
      <c r="O23" s="83"/>
      <c r="P23" s="83"/>
      <c r="Q23" s="83"/>
      <c r="R23" s="93"/>
      <c r="S23" s="82"/>
      <c r="T23" s="82"/>
      <c r="U23" s="82"/>
      <c r="V23" s="82"/>
      <c r="W23" s="87"/>
    </row>
    <row r="24" spans="1:23" x14ac:dyDescent="0.25">
      <c r="A24" s="78" t="s">
        <v>17</v>
      </c>
      <c r="B24" s="9" t="s">
        <v>118</v>
      </c>
      <c r="C24" s="68">
        <f>LOOKUP("B.1a",FamB_Final_Filter!$A$2:$A$127,FamB_Final_Filter!$B$2:$B$127)</f>
        <v>57415</v>
      </c>
      <c r="D24" s="25">
        <f>1-C24/C16</f>
        <v>0.6630911235381447</v>
      </c>
      <c r="E24" s="26">
        <f>C24/C3</f>
        <v>0.12761185902351313</v>
      </c>
      <c r="F24" s="68">
        <f>LOOKUP("B.1a",FamB_Final_Filter!$A$2:$A$127,FamB_Final_Filter!$C$2:$C$127)</f>
        <v>10857</v>
      </c>
      <c r="G24" s="25">
        <f>1-F24/F16</f>
        <v>0.61768434396788507</v>
      </c>
      <c r="H24" s="26">
        <f>F24/F3</f>
        <v>0.26943120905300777</v>
      </c>
      <c r="I24" s="68">
        <f>LOOKUP("B.1a",FamB_Final_Filter!$A$2:$A$127,FamB_Final_Filter!$D$2:$D$127)</f>
        <v>175</v>
      </c>
      <c r="J24" s="25">
        <f>1-I24/I16</f>
        <v>0</v>
      </c>
      <c r="K24" s="26">
        <f>I24/I3</f>
        <v>1</v>
      </c>
      <c r="L24" s="16">
        <v>20</v>
      </c>
      <c r="M24" s="107">
        <v>0.6</v>
      </c>
      <c r="N24" s="16">
        <v>3</v>
      </c>
      <c r="O24" s="16">
        <v>3</v>
      </c>
      <c r="R24" s="5"/>
      <c r="W24" s="3"/>
    </row>
    <row r="25" spans="1:23" ht="8.25" customHeight="1" x14ac:dyDescent="0.25">
      <c r="A25" s="112"/>
      <c r="B25" s="113"/>
      <c r="C25" s="114"/>
      <c r="D25" s="115"/>
      <c r="E25" s="116"/>
      <c r="F25" s="114"/>
      <c r="G25" s="115"/>
      <c r="H25" s="116"/>
      <c r="I25" s="114"/>
      <c r="J25" s="115"/>
      <c r="K25" s="116"/>
      <c r="L25" s="114"/>
      <c r="M25" s="111"/>
      <c r="N25" s="114"/>
      <c r="O25" s="114"/>
      <c r="P25" s="83"/>
      <c r="Q25" s="83"/>
      <c r="R25" s="93"/>
      <c r="S25" s="82"/>
      <c r="T25" s="82"/>
      <c r="U25" s="82"/>
      <c r="V25" s="82"/>
      <c r="W25" s="87"/>
    </row>
    <row r="26" spans="1:23" x14ac:dyDescent="0.25">
      <c r="A26" s="79" t="s">
        <v>17</v>
      </c>
      <c r="B26" s="13" t="s">
        <v>119</v>
      </c>
      <c r="C26" s="68">
        <f>LOOKUP("B.2b",FamB_Final_Filter!$A$2:$A$127,FamB_Final_Filter!$B$2:$B$127)</f>
        <v>41430</v>
      </c>
      <c r="D26" s="27">
        <f>1-C26/C16</f>
        <v>0.7568904510700224</v>
      </c>
      <c r="E26" s="28">
        <f>C26/C3</f>
        <v>9.2083241650163697E-2</v>
      </c>
      <c r="F26" s="68">
        <f>LOOKUP("B.2b",FamB_Final_Filter!$A$2:$A$127,FamB_Final_Filter!$C$2:$C$127)</f>
        <v>8368</v>
      </c>
      <c r="G26" s="27">
        <f>1-F26/F16</f>
        <v>0.70533136136347629</v>
      </c>
      <c r="H26" s="28">
        <f>F26/F3</f>
        <v>0.20766329164185029</v>
      </c>
      <c r="I26" s="68">
        <f>LOOKUP("B.2b",FamB_Final_Filter!$A$2:$A$127,FamB_Final_Filter!$D$2:$D$127)</f>
        <v>175</v>
      </c>
      <c r="J26" s="27">
        <f>1-I26/I16</f>
        <v>0</v>
      </c>
      <c r="K26" s="28">
        <f>I26/I3</f>
        <v>1</v>
      </c>
      <c r="L26" s="19">
        <v>20</v>
      </c>
      <c r="M26" s="110">
        <v>0.6</v>
      </c>
      <c r="N26" s="19">
        <v>3</v>
      </c>
      <c r="O26" s="19">
        <v>5</v>
      </c>
      <c r="R26" s="5"/>
      <c r="W26" s="3"/>
    </row>
    <row r="27" spans="1:23" x14ac:dyDescent="0.25">
      <c r="A27" s="67"/>
      <c r="B27" s="54"/>
      <c r="C27" s="55"/>
      <c r="D27" s="56"/>
      <c r="E27" s="57"/>
      <c r="F27" s="55"/>
      <c r="G27" s="56"/>
      <c r="H27" s="57"/>
      <c r="I27" s="55"/>
      <c r="J27" s="56"/>
      <c r="K27" s="57"/>
      <c r="L27" s="55"/>
      <c r="M27" s="117"/>
      <c r="N27" s="55"/>
      <c r="O27" s="55"/>
      <c r="P27" s="55"/>
      <c r="Q27" s="55"/>
      <c r="R27" s="58"/>
      <c r="S27" s="67"/>
      <c r="T27" s="67"/>
      <c r="U27" s="67"/>
      <c r="V27" s="67"/>
      <c r="W27" s="54"/>
    </row>
    <row r="28" spans="1:23" x14ac:dyDescent="0.25">
      <c r="A28" s="75" t="s">
        <v>20</v>
      </c>
      <c r="B28" s="12" t="s">
        <v>50</v>
      </c>
      <c r="C28" s="68">
        <f>LOOKUP("A.1.1",FamB_Final_Filter!$A$2:$A$127,FamB_Final_Filter!$B$2:$B$127)</f>
        <v>74662</v>
      </c>
      <c r="D28" s="22"/>
      <c r="E28" s="23">
        <f>C28/C3</f>
        <v>0.16594542573218735</v>
      </c>
      <c r="F28" s="68">
        <f>LOOKUP("A.1.1",FamB_Final_Filter!$A$2:$A$127,FamB_Final_Filter!$C$2:$C$127)</f>
        <v>14398</v>
      </c>
      <c r="G28" s="22"/>
      <c r="H28" s="23">
        <f>F28/F3</f>
        <v>0.35730593607305938</v>
      </c>
      <c r="I28" s="68">
        <f>LOOKUP("A.1.1",FamB_Final_Filter!$A$2:$A$127,FamB_Final_Filter!$D$2:$D$127)</f>
        <v>175</v>
      </c>
      <c r="J28" s="22"/>
      <c r="K28" s="23">
        <f>I28/I3</f>
        <v>1</v>
      </c>
      <c r="L28" s="17">
        <v>20</v>
      </c>
      <c r="M28" s="17" t="s">
        <v>19</v>
      </c>
      <c r="N28" s="17">
        <v>3</v>
      </c>
      <c r="O28" s="17">
        <v>3</v>
      </c>
      <c r="P28" s="104">
        <v>0.99</v>
      </c>
      <c r="Q28" s="2"/>
      <c r="R28" s="5"/>
      <c r="W28" s="3"/>
    </row>
    <row r="29" spans="1:23" x14ac:dyDescent="0.25">
      <c r="A29" s="53" t="s">
        <v>20</v>
      </c>
      <c r="B29" s="3" t="s">
        <v>51</v>
      </c>
      <c r="C29" s="68">
        <f>LOOKUP("A.1.2",FamB_Final_Filter!$A$2:$A$127,FamB_Final_Filter!$B$2:$B$127)</f>
        <v>74662</v>
      </c>
      <c r="E29" s="4">
        <f>C29/C3</f>
        <v>0.16594542573218735</v>
      </c>
      <c r="F29" s="68">
        <f>LOOKUP("A.1.2",FamB_Final_Filter!$A$2:$A$127,FamB_Final_Filter!$C$2:$C$127)</f>
        <v>14398</v>
      </c>
      <c r="H29" s="4">
        <f>F29/F3</f>
        <v>0.35730593607305938</v>
      </c>
      <c r="I29" s="68">
        <f>LOOKUP("A.1.2",FamB_Final_Filter!$A$2:$A$127,FamB_Final_Filter!$D$2:$D$127)</f>
        <v>174</v>
      </c>
      <c r="K29" s="4">
        <f>I29/I3</f>
        <v>0.99428571428571433</v>
      </c>
      <c r="L29" s="15">
        <v>20</v>
      </c>
      <c r="M29" s="15" t="s">
        <v>19</v>
      </c>
      <c r="N29" s="15">
        <v>3</v>
      </c>
      <c r="O29" s="2">
        <v>3</v>
      </c>
      <c r="P29" s="105">
        <v>0.95</v>
      </c>
      <c r="Q29" s="2"/>
      <c r="R29" s="5"/>
      <c r="W29" s="3"/>
    </row>
    <row r="30" spans="1:23" x14ac:dyDescent="0.25">
      <c r="A30" s="53" t="s">
        <v>20</v>
      </c>
      <c r="B30" s="3" t="s">
        <v>52</v>
      </c>
      <c r="C30" s="68">
        <f>LOOKUP("A.1.3",FamB_Final_Filter!$A$2:$A$127,FamB_Final_Filter!$B$2:$B$127)</f>
        <v>74662</v>
      </c>
      <c r="E30" s="4">
        <f>C30/C3</f>
        <v>0.16594542573218735</v>
      </c>
      <c r="F30" s="68">
        <f>LOOKUP("A.1.3",FamB_Final_Filter!$A$2:$A$127,FamB_Final_Filter!$C$2:$C$127)</f>
        <v>14398</v>
      </c>
      <c r="H30" s="4">
        <f>F30/F3</f>
        <v>0.35730593607305938</v>
      </c>
      <c r="I30" s="68">
        <f>LOOKUP("A.1.3",FamB_Final_Filter!$A$2:$A$127,FamB_Final_Filter!$D$2:$D$127)</f>
        <v>174</v>
      </c>
      <c r="K30" s="4">
        <f>I30/I3</f>
        <v>0.99428571428571433</v>
      </c>
      <c r="L30" s="15">
        <v>20</v>
      </c>
      <c r="M30" s="15" t="s">
        <v>19</v>
      </c>
      <c r="N30" s="15">
        <v>3</v>
      </c>
      <c r="O30" s="2">
        <v>3</v>
      </c>
      <c r="P30" s="105">
        <v>0.9</v>
      </c>
      <c r="Q30" s="2"/>
      <c r="R30" s="5"/>
      <c r="W30" s="3"/>
    </row>
    <row r="31" spans="1:23" ht="8.25" customHeight="1" x14ac:dyDescent="0.25">
      <c r="A31" s="82"/>
      <c r="B31" s="87"/>
      <c r="C31" s="83"/>
      <c r="D31" s="84"/>
      <c r="E31" s="90"/>
      <c r="F31" s="83"/>
      <c r="G31" s="84"/>
      <c r="H31" s="90"/>
      <c r="I31" s="83"/>
      <c r="J31" s="84"/>
      <c r="K31" s="90"/>
      <c r="L31" s="83"/>
      <c r="M31" s="83"/>
      <c r="N31" s="83"/>
      <c r="O31" s="83"/>
      <c r="P31" s="111"/>
      <c r="Q31" s="83"/>
      <c r="R31" s="93"/>
      <c r="S31" s="82"/>
      <c r="T31" s="82"/>
      <c r="U31" s="82"/>
      <c r="V31" s="82"/>
      <c r="W31" s="87"/>
    </row>
    <row r="32" spans="1:23" x14ac:dyDescent="0.25">
      <c r="A32" s="76" t="s">
        <v>20</v>
      </c>
      <c r="B32" s="29" t="s">
        <v>109</v>
      </c>
      <c r="C32" s="68">
        <f>LOOKUP("A.2.1",FamB_Final_Filter!$A$2:$A$127,FamB_Final_Filter!$B$2:$B$127)</f>
        <v>47278</v>
      </c>
      <c r="D32" s="31"/>
      <c r="E32" s="32">
        <f>C32/C3</f>
        <v>0.10508113682685105</v>
      </c>
      <c r="F32" s="68">
        <f>LOOKUP("A.2.1",FamB_Final_Filter!$A$2:$A$127,FamB_Final_Filter!$C$2:$C$127)</f>
        <v>9410</v>
      </c>
      <c r="G32" s="31"/>
      <c r="H32" s="32">
        <f>F32/F3</f>
        <v>0.23352193766130633</v>
      </c>
      <c r="I32" s="68">
        <f>LOOKUP("A.2.1",FamB_Final_Filter!$A$2:$A$127,FamB_Final_Filter!$D$2:$D$127)</f>
        <v>173</v>
      </c>
      <c r="J32" s="31"/>
      <c r="K32" s="32">
        <f>I32/I3</f>
        <v>0.98857142857142855</v>
      </c>
      <c r="L32" s="30">
        <v>20</v>
      </c>
      <c r="M32" s="30" t="s">
        <v>19</v>
      </c>
      <c r="N32" s="30">
        <v>3</v>
      </c>
      <c r="O32" s="30">
        <v>5</v>
      </c>
      <c r="P32" s="108">
        <v>0.9</v>
      </c>
      <c r="R32" s="5"/>
      <c r="W32" s="3"/>
    </row>
    <row r="33" spans="1:23" ht="8.25" customHeight="1" x14ac:dyDescent="0.25">
      <c r="A33" s="82"/>
      <c r="B33" s="87"/>
      <c r="C33" s="83"/>
      <c r="D33" s="84"/>
      <c r="E33" s="90"/>
      <c r="F33" s="83"/>
      <c r="G33" s="84"/>
      <c r="H33" s="90"/>
      <c r="I33" s="83"/>
      <c r="J33" s="84"/>
      <c r="K33" s="90"/>
      <c r="L33" s="83"/>
      <c r="M33" s="83"/>
      <c r="N33" s="83"/>
      <c r="O33" s="83"/>
      <c r="P33" s="111"/>
      <c r="Q33" s="83"/>
      <c r="R33" s="93"/>
      <c r="S33" s="82"/>
      <c r="T33" s="82"/>
      <c r="U33" s="82"/>
      <c r="V33" s="82"/>
      <c r="W33" s="87"/>
    </row>
    <row r="34" spans="1:23" x14ac:dyDescent="0.25">
      <c r="A34" s="53" t="s">
        <v>20</v>
      </c>
      <c r="B34" s="3" t="s">
        <v>53</v>
      </c>
      <c r="C34" s="68">
        <f>LOOKUP("B.1.1",FamB_Final_Filter!$A$2:$A$127,FamB_Final_Filter!$B$2:$B$127)</f>
        <v>57415</v>
      </c>
      <c r="E34" s="4">
        <f>C34/C3</f>
        <v>0.12761185902351313</v>
      </c>
      <c r="F34" s="68">
        <f>LOOKUP("B.1.1",FamB_Final_Filter!$A$2:$A$127,FamB_Final_Filter!$C$2:$C$127)</f>
        <v>10857</v>
      </c>
      <c r="H34" s="4">
        <f>F34/F3</f>
        <v>0.26943120905300777</v>
      </c>
      <c r="I34" s="68">
        <f>LOOKUP("B.1.1",FamB_Final_Filter!$A$2:$A$127,FamB_Final_Filter!$D$2:$D$127)</f>
        <v>175</v>
      </c>
      <c r="K34" s="4">
        <f>I34/I3</f>
        <v>1</v>
      </c>
      <c r="L34" s="15">
        <v>20</v>
      </c>
      <c r="M34" s="15">
        <v>0.6</v>
      </c>
      <c r="N34" s="15">
        <v>3</v>
      </c>
      <c r="O34" s="2">
        <v>3</v>
      </c>
      <c r="P34" s="106">
        <v>0.99</v>
      </c>
      <c r="R34" s="5"/>
      <c r="W34" s="3"/>
    </row>
    <row r="35" spans="1:23" x14ac:dyDescent="0.25">
      <c r="A35" s="53" t="s">
        <v>20</v>
      </c>
      <c r="B35" s="3" t="s">
        <v>54</v>
      </c>
      <c r="C35" s="68">
        <f>LOOKUP("B.1.2",FamB_Final_Filter!$A$2:$A$127,FamB_Final_Filter!$B$2:$B$127)</f>
        <v>57415</v>
      </c>
      <c r="E35" s="4">
        <f>C35/C3</f>
        <v>0.12761185902351313</v>
      </c>
      <c r="F35" s="68">
        <f>LOOKUP("B.1.2",FamB_Final_Filter!$A$2:$A$127,FamB_Final_Filter!$C$2:$C$127)</f>
        <v>10857</v>
      </c>
      <c r="H35" s="4">
        <f>F35/F3</f>
        <v>0.26943120905300777</v>
      </c>
      <c r="I35" s="68">
        <f>LOOKUP("B.1.2",FamB_Final_Filter!$A$2:$A$127,FamB_Final_Filter!$D$2:$D$127)</f>
        <v>174</v>
      </c>
      <c r="K35" s="4">
        <f>I35/I3</f>
        <v>0.99428571428571433</v>
      </c>
      <c r="L35" s="15">
        <v>20</v>
      </c>
      <c r="M35" s="15">
        <v>0.6</v>
      </c>
      <c r="N35" s="15">
        <v>3</v>
      </c>
      <c r="O35" s="2">
        <v>3</v>
      </c>
      <c r="P35" s="106">
        <v>0.95</v>
      </c>
      <c r="R35" s="5"/>
      <c r="W35" s="3"/>
    </row>
    <row r="36" spans="1:23" x14ac:dyDescent="0.25">
      <c r="A36" s="78" t="s">
        <v>20</v>
      </c>
      <c r="B36" s="9" t="s">
        <v>55</v>
      </c>
      <c r="C36" s="68">
        <f>LOOKUP("B.1.3",FamB_Final_Filter!$A$2:$A$127,FamB_Final_Filter!$B$2:$B$127)</f>
        <v>57415</v>
      </c>
      <c r="D36" s="25"/>
      <c r="E36" s="26">
        <f>C36/C3</f>
        <v>0.12761185902351313</v>
      </c>
      <c r="F36" s="68">
        <f>LOOKUP("B.1.3",FamB_Final_Filter!$A$2:$A$127,FamB_Final_Filter!$C$2:$C$127)</f>
        <v>10857</v>
      </c>
      <c r="G36" s="25"/>
      <c r="H36" s="26">
        <f>F36/F3</f>
        <v>0.26943120905300777</v>
      </c>
      <c r="I36" s="68">
        <f>LOOKUP("B.1.3",FamB_Final_Filter!$A$2:$A$127,FamB_Final_Filter!$D$2:$D$127)</f>
        <v>174</v>
      </c>
      <c r="J36" s="25"/>
      <c r="K36" s="26">
        <f>I36/I3</f>
        <v>0.99428571428571433</v>
      </c>
      <c r="L36" s="16">
        <v>20</v>
      </c>
      <c r="M36" s="16">
        <v>0.6</v>
      </c>
      <c r="N36" s="16">
        <v>3</v>
      </c>
      <c r="O36" s="16">
        <v>3</v>
      </c>
      <c r="P36" s="107">
        <v>0.9</v>
      </c>
      <c r="R36" s="5"/>
      <c r="W36" s="3"/>
    </row>
    <row r="37" spans="1:23" x14ac:dyDescent="0.25">
      <c r="A37" s="67"/>
      <c r="B37" s="54"/>
      <c r="C37" s="55"/>
      <c r="D37" s="56"/>
      <c r="E37" s="57"/>
      <c r="F37" s="55"/>
      <c r="G37" s="56"/>
      <c r="H37" s="57"/>
      <c r="I37" s="55"/>
      <c r="J37" s="56"/>
      <c r="K37" s="57"/>
      <c r="L37" s="55"/>
      <c r="M37" s="55"/>
      <c r="N37" s="55"/>
      <c r="O37" s="55"/>
      <c r="P37" s="55"/>
      <c r="Q37" s="55"/>
      <c r="R37" s="58"/>
      <c r="S37" s="67"/>
      <c r="T37" s="67"/>
      <c r="U37" s="67"/>
      <c r="V37" s="67"/>
      <c r="W37" s="54"/>
    </row>
    <row r="38" spans="1:23" x14ac:dyDescent="0.25">
      <c r="A38" s="75" t="s">
        <v>21</v>
      </c>
      <c r="B38" s="12" t="s">
        <v>56</v>
      </c>
      <c r="C38" s="68">
        <f>LOOKUP("A.1.1.1",FamB_Final_Filter!$A$2:$A$127,FamB_Final_Filter!$B$2:$B$127)</f>
        <v>58647</v>
      </c>
      <c r="D38" s="22">
        <f>1-C38/C28</f>
        <v>0.21450001339369429</v>
      </c>
      <c r="E38" s="23">
        <f>C38/C3</f>
        <v>0.13035012969001086</v>
      </c>
      <c r="F38" s="68">
        <f>LOOKUP("A.1.1.1",FamB_Final_Filter!$A$2:$A$127,FamB_Final_Filter!$C$2:$C$127)</f>
        <v>12052</v>
      </c>
      <c r="G38" s="22">
        <f>1-F38/F28</f>
        <v>0.16293929712460065</v>
      </c>
      <c r="H38" s="23">
        <f>F38/F3</f>
        <v>0.29908675799086759</v>
      </c>
      <c r="I38" s="68">
        <f>LOOKUP("A.1.1.1",FamB_Final_Filter!$A$2:$A$127,FamB_Final_Filter!$D$2:$D$127)</f>
        <v>175</v>
      </c>
      <c r="J38" s="22">
        <f>1-I38/I28</f>
        <v>0</v>
      </c>
      <c r="K38" s="23">
        <f>I38/I3</f>
        <v>1</v>
      </c>
      <c r="L38" s="17">
        <v>20</v>
      </c>
      <c r="M38" s="17" t="s">
        <v>19</v>
      </c>
      <c r="N38" s="17">
        <v>3</v>
      </c>
      <c r="O38" s="17">
        <v>3</v>
      </c>
      <c r="P38" s="17">
        <v>0.99</v>
      </c>
      <c r="Q38" s="141">
        <v>0.01</v>
      </c>
      <c r="R38" s="118">
        <v>5</v>
      </c>
      <c r="W38" s="3"/>
    </row>
    <row r="39" spans="1:23" x14ac:dyDescent="0.25">
      <c r="A39" s="53" t="s">
        <v>21</v>
      </c>
      <c r="B39" s="3" t="s">
        <v>57</v>
      </c>
      <c r="C39" s="68">
        <f>LOOKUP("A.1.1.2",FamB_Final_Filter!$A$2:$A$127,FamB_Final_Filter!$B$2:$B$127)</f>
        <v>49756</v>
      </c>
      <c r="D39" s="14">
        <f>1-C39/C28</f>
        <v>0.33358334895930997</v>
      </c>
      <c r="E39" s="4">
        <f>C39/C3</f>
        <v>0.11058879487196584</v>
      </c>
      <c r="F39" s="68">
        <f>LOOKUP("A.1.1.2",FamB_Final_Filter!$A$2:$A$127,FamB_Final_Filter!$C$2:$C$127)</f>
        <v>11274</v>
      </c>
      <c r="G39" s="14">
        <f>1-F39/F28</f>
        <v>0.21697457980275037</v>
      </c>
      <c r="H39" s="4">
        <f>F39/F3</f>
        <v>0.27977963073257894</v>
      </c>
      <c r="I39" s="68">
        <f>LOOKUP("A.1.1.2",FamB_Final_Filter!$A$2:$A$127,FamB_Final_Filter!$D$2:$D$127)</f>
        <v>175</v>
      </c>
      <c r="J39" s="14">
        <f>1-I39/I28</f>
        <v>0</v>
      </c>
      <c r="K39" s="4">
        <f>I39/I3</f>
        <v>1</v>
      </c>
      <c r="L39" s="15">
        <v>20</v>
      </c>
      <c r="M39" s="15" t="s">
        <v>19</v>
      </c>
      <c r="N39" s="15">
        <v>3</v>
      </c>
      <c r="O39" s="15">
        <v>3</v>
      </c>
      <c r="P39" s="2">
        <v>0.99</v>
      </c>
      <c r="Q39" s="142">
        <v>0.02</v>
      </c>
      <c r="R39" s="119">
        <v>5</v>
      </c>
      <c r="W39" s="3"/>
    </row>
    <row r="40" spans="1:23" x14ac:dyDescent="0.25">
      <c r="A40" s="53" t="s">
        <v>21</v>
      </c>
      <c r="B40" s="3" t="s">
        <v>60</v>
      </c>
      <c r="C40" s="68">
        <f>LOOKUP("A.1.1.3",FamB_Final_Filter!$A$2:$A$127,FamB_Final_Filter!$B$2:$B$127)</f>
        <v>38544</v>
      </c>
      <c r="D40" s="14">
        <f>C40/C28</f>
        <v>0.51624655112373097</v>
      </c>
      <c r="E40" s="4">
        <f>C40/C3</f>
        <v>8.5668753709000955E-2</v>
      </c>
      <c r="F40" s="68">
        <f>LOOKUP("A.1.1.3",FamB_Final_Filter!$A$2:$A$127,FamB_Final_Filter!$C$2:$C$127)</f>
        <v>8688</v>
      </c>
      <c r="G40" s="14">
        <f>F40/F28</f>
        <v>0.60341714126962076</v>
      </c>
      <c r="H40" s="4">
        <f>F40/F3</f>
        <v>0.21560452650387135</v>
      </c>
      <c r="I40" s="68">
        <f>LOOKUP("A.1.1.3",FamB_Final_Filter!$A$2:$A$127,FamB_Final_Filter!$D$2:$D$127)</f>
        <v>175</v>
      </c>
      <c r="J40" s="14">
        <f>I40/I28</f>
        <v>1</v>
      </c>
      <c r="K40" s="4">
        <f>I40/I3</f>
        <v>1</v>
      </c>
      <c r="L40" s="15">
        <v>20</v>
      </c>
      <c r="M40" s="15" t="s">
        <v>19</v>
      </c>
      <c r="N40" s="15">
        <v>3</v>
      </c>
      <c r="O40" s="15">
        <v>3</v>
      </c>
      <c r="P40" s="2">
        <v>0.99</v>
      </c>
      <c r="Q40" s="143">
        <v>0.01</v>
      </c>
      <c r="R40" s="119">
        <v>10</v>
      </c>
      <c r="W40" s="3"/>
    </row>
    <row r="41" spans="1:23" x14ac:dyDescent="0.25">
      <c r="A41" s="53" t="s">
        <v>21</v>
      </c>
      <c r="B41" s="3" t="s">
        <v>61</v>
      </c>
      <c r="C41" s="68">
        <f>LOOKUP("A.1.1.4",FamB_Final_Filter!$A$2:$A$127,FamB_Final_Filter!$B$2:$B$127)</f>
        <v>34401</v>
      </c>
      <c r="D41" s="14">
        <f>C41/C28</f>
        <v>0.46075647585116924</v>
      </c>
      <c r="E41" s="4">
        <f>C41/C3</f>
        <v>7.646042954398459E-2</v>
      </c>
      <c r="F41" s="68">
        <f>LOOKUP("A.1.1.4",FamB_Final_Filter!$A$2:$A$127,FamB_Final_Filter!$C$2:$C$127)</f>
        <v>8215</v>
      </c>
      <c r="G41" s="14">
        <f>F41/F28</f>
        <v>0.57056535629948602</v>
      </c>
      <c r="H41" s="4">
        <f>F41/F3</f>
        <v>0.20386638872344651</v>
      </c>
      <c r="I41" s="68">
        <f>LOOKUP("A.1.1.4",FamB_Final_Filter!$A$2:$A$127,FamB_Final_Filter!$D$2:$D$127)</f>
        <v>175</v>
      </c>
      <c r="J41" s="14">
        <f>I41/I28</f>
        <v>1</v>
      </c>
      <c r="K41" s="4">
        <f>I41/I3</f>
        <v>1</v>
      </c>
      <c r="L41" s="15">
        <v>20</v>
      </c>
      <c r="M41" s="15" t="s">
        <v>19</v>
      </c>
      <c r="N41" s="15">
        <v>3</v>
      </c>
      <c r="O41" s="15">
        <v>3</v>
      </c>
      <c r="P41" s="2">
        <v>0.99</v>
      </c>
      <c r="Q41" s="142">
        <v>0.02</v>
      </c>
      <c r="R41" s="119">
        <v>10</v>
      </c>
      <c r="W41" s="3"/>
    </row>
    <row r="42" spans="1:23" ht="8.25" customHeight="1" x14ac:dyDescent="0.25">
      <c r="A42" s="82"/>
      <c r="B42" s="87"/>
      <c r="C42" s="83"/>
      <c r="D42" s="84"/>
      <c r="E42" s="90"/>
      <c r="F42" s="83"/>
      <c r="G42" s="84"/>
      <c r="H42" s="90"/>
      <c r="I42" s="83"/>
      <c r="J42" s="84"/>
      <c r="K42" s="90"/>
      <c r="L42" s="83"/>
      <c r="M42" s="83"/>
      <c r="N42" s="83"/>
      <c r="O42" s="83"/>
      <c r="P42" s="83"/>
      <c r="Q42" s="144"/>
      <c r="R42" s="120"/>
      <c r="S42" s="82"/>
      <c r="T42" s="82"/>
      <c r="U42" s="82"/>
      <c r="V42" s="82"/>
      <c r="W42" s="87"/>
    </row>
    <row r="43" spans="1:23" x14ac:dyDescent="0.25">
      <c r="A43" s="53" t="s">
        <v>21</v>
      </c>
      <c r="B43" s="3" t="s">
        <v>66</v>
      </c>
      <c r="C43" s="68">
        <f>LOOKUP("B.1.3.1",FamB_Final_Filter!$A$2:$A$127,FamB_Final_Filter!$B$2:$B$127)</f>
        <v>50910</v>
      </c>
      <c r="D43" s="14">
        <f>C43/C36</f>
        <v>0.88670208133762951</v>
      </c>
      <c r="E43" s="4">
        <f>C43/C3</f>
        <v>0.11315370099951325</v>
      </c>
      <c r="F43" s="68">
        <f>LOOKUP("B.1.3.1",FamB_Final_Filter!$A$2:$A$127,FamB_Final_Filter!$C$2:$C$127)</f>
        <v>10162</v>
      </c>
      <c r="G43" s="14">
        <f>F43/F36</f>
        <v>0.93598599981578701</v>
      </c>
      <c r="H43" s="4">
        <f>F43/F3</f>
        <v>0.25218383958705581</v>
      </c>
      <c r="I43" s="68">
        <f>LOOKUP("B.1.3.1",FamB_Final_Filter!$A$2:$A$127,FamB_Final_Filter!$D$2:$D$127)</f>
        <v>174</v>
      </c>
      <c r="J43" s="14">
        <f>I43/I36</f>
        <v>1</v>
      </c>
      <c r="K43" s="4">
        <f>I43/I3</f>
        <v>0.99428571428571433</v>
      </c>
      <c r="L43" s="15">
        <v>20</v>
      </c>
      <c r="M43" s="15">
        <v>0.6</v>
      </c>
      <c r="N43" s="15">
        <v>3</v>
      </c>
      <c r="O43" s="2">
        <v>3</v>
      </c>
      <c r="P43" s="15">
        <v>0.9</v>
      </c>
      <c r="Q43" s="142">
        <v>0.01</v>
      </c>
      <c r="R43" s="119">
        <v>5</v>
      </c>
      <c r="W43" s="3"/>
    </row>
    <row r="44" spans="1:23" x14ac:dyDescent="0.25">
      <c r="A44" s="53" t="s">
        <v>21</v>
      </c>
      <c r="B44" s="3" t="s">
        <v>67</v>
      </c>
      <c r="C44" s="68">
        <f>LOOKUP("B.1.3.2",FamB_Final_Filter!$A$2:$A$127,FamB_Final_Filter!$B$2:$B$127)</f>
        <v>35814</v>
      </c>
      <c r="D44" s="14">
        <f>C44/C36</f>
        <v>0.62377427501523997</v>
      </c>
      <c r="E44" s="4">
        <f>C44/C3</f>
        <v>7.9600994845738904E-2</v>
      </c>
      <c r="F44" s="68">
        <f>LOOKUP("B.1.3.2",FamB_Final_Filter!$A$2:$A$127,FamB_Final_Filter!$C$2:$C$127)</f>
        <v>7908</v>
      </c>
      <c r="G44" s="14">
        <f>F44/F36</f>
        <v>0.7283780049737496</v>
      </c>
      <c r="H44" s="4">
        <f>F44/F3</f>
        <v>0.19624776652769504</v>
      </c>
      <c r="I44" s="68">
        <f>LOOKUP("B.1.3.2",FamB_Final_Filter!$A$2:$A$127,FamB_Final_Filter!$D$2:$D$127)</f>
        <v>174</v>
      </c>
      <c r="J44" s="14">
        <f>I44/I36</f>
        <v>1</v>
      </c>
      <c r="K44" s="4">
        <f>I44/I3</f>
        <v>0.99428571428571433</v>
      </c>
      <c r="L44" s="15">
        <v>20</v>
      </c>
      <c r="M44" s="15">
        <v>0.6</v>
      </c>
      <c r="N44" s="15">
        <v>3</v>
      </c>
      <c r="O44" s="2">
        <v>3</v>
      </c>
      <c r="P44" s="15">
        <v>0.9</v>
      </c>
      <c r="Q44" s="142">
        <v>0.01</v>
      </c>
      <c r="R44" s="119">
        <v>10</v>
      </c>
      <c r="W44" s="3"/>
    </row>
    <row r="45" spans="1:23" x14ac:dyDescent="0.25">
      <c r="A45" s="78" t="s">
        <v>21</v>
      </c>
      <c r="B45" s="9" t="s">
        <v>62</v>
      </c>
      <c r="C45" s="68">
        <f>LOOKUP("B.1.3.3",FamB_Final_Filter!$A$2:$A$127,FamB_Final_Filter!$B$2:$B$127)</f>
        <v>44739</v>
      </c>
      <c r="D45" s="25">
        <f>C45/C36</f>
        <v>0.77922145780719321</v>
      </c>
      <c r="E45" s="26">
        <f>C45/C3</f>
        <v>9.9437898821787926E-2</v>
      </c>
      <c r="F45" s="68">
        <f>LOOKUP("B.1.3.3",FamB_Final_Filter!$A$2:$A$127,FamB_Final_Filter!$C$2:$C$127)</f>
        <v>9700</v>
      </c>
      <c r="G45" s="25">
        <f>F45/F36</f>
        <v>0.89343280832642535</v>
      </c>
      <c r="H45" s="26">
        <f>F45/F3</f>
        <v>0.2407186817550129</v>
      </c>
      <c r="I45" s="68">
        <f>LOOKUP("B.1.3.3",FamB_Final_Filter!$A$2:$A$127,FamB_Final_Filter!$D$2:$D$127)</f>
        <v>174</v>
      </c>
      <c r="J45" s="25">
        <f>I45/I36</f>
        <v>1</v>
      </c>
      <c r="K45" s="26">
        <f>I45/I3</f>
        <v>0.99428571428571433</v>
      </c>
      <c r="L45" s="16">
        <v>20</v>
      </c>
      <c r="M45" s="16">
        <v>0.6</v>
      </c>
      <c r="N45" s="16">
        <v>3</v>
      </c>
      <c r="O45" s="16">
        <v>3</v>
      </c>
      <c r="P45" s="16">
        <v>0.9</v>
      </c>
      <c r="Q45" s="145">
        <v>0.02</v>
      </c>
      <c r="R45" s="121">
        <v>5</v>
      </c>
      <c r="W45" s="3"/>
    </row>
    <row r="46" spans="1:23" x14ac:dyDescent="0.25">
      <c r="A46" s="53" t="s">
        <v>21</v>
      </c>
      <c r="B46" s="3" t="s">
        <v>110</v>
      </c>
      <c r="C46" s="68">
        <f>LOOKUP("B.1.3.4",FamB_Final_Filter!$A$2:$A$127,FamB_Final_Filter!$B$2:$B$127)</f>
        <v>32717</v>
      </c>
      <c r="D46" s="14">
        <f>C46/C36</f>
        <v>0.56983366716014983</v>
      </c>
      <c r="E46" s="4">
        <f>C46/C3</f>
        <v>7.2717533600492532E-2</v>
      </c>
      <c r="F46" s="68">
        <f>LOOKUP("B.1.3.4",FamB_Final_Filter!$A$2:$A$127,FamB_Final_Filter!$C$2:$C$127)</f>
        <v>7627</v>
      </c>
      <c r="G46" s="14">
        <f>F46/F36</f>
        <v>0.70249608547480891</v>
      </c>
      <c r="H46" s="4">
        <f>F46/F3</f>
        <v>0.18927436966448283</v>
      </c>
      <c r="I46" s="68">
        <f>LOOKUP("B.1.3.4",FamB_Final_Filter!$A$2:$A$127,FamB_Final_Filter!$D$2:$D$127)</f>
        <v>174</v>
      </c>
      <c r="J46" s="14">
        <f>I46/I36</f>
        <v>1</v>
      </c>
      <c r="K46" s="4">
        <f>I46/I3</f>
        <v>0.99428571428571433</v>
      </c>
      <c r="L46" s="15">
        <v>20</v>
      </c>
      <c r="M46" s="15">
        <v>0.6</v>
      </c>
      <c r="N46" s="15">
        <v>3</v>
      </c>
      <c r="O46" s="2">
        <v>3</v>
      </c>
      <c r="P46" s="15">
        <v>0.9</v>
      </c>
      <c r="Q46" s="142">
        <v>0.02</v>
      </c>
      <c r="R46" s="119">
        <v>10</v>
      </c>
      <c r="W46" s="3"/>
    </row>
    <row r="47" spans="1:23" x14ac:dyDescent="0.25">
      <c r="A47" s="67"/>
      <c r="B47" s="54"/>
      <c r="C47" s="55"/>
      <c r="D47" s="56"/>
      <c r="E47" s="57"/>
      <c r="F47" s="55"/>
      <c r="G47" s="56"/>
      <c r="H47" s="57"/>
      <c r="I47" s="55"/>
      <c r="J47" s="56"/>
      <c r="K47" s="57"/>
      <c r="L47" s="55"/>
      <c r="M47" s="55"/>
      <c r="N47" s="55"/>
      <c r="O47" s="55"/>
      <c r="P47" s="55"/>
      <c r="Q47" s="55"/>
      <c r="R47" s="58"/>
      <c r="S47" s="67"/>
      <c r="T47" s="67"/>
      <c r="U47" s="67"/>
      <c r="V47" s="67"/>
      <c r="W47" s="54"/>
    </row>
    <row r="48" spans="1:23" x14ac:dyDescent="0.25">
      <c r="A48" s="76" t="s">
        <v>24</v>
      </c>
      <c r="B48" s="29" t="s">
        <v>58</v>
      </c>
      <c r="C48" s="68">
        <f>LOOKUP("A.1.1.1.1",FamB_Final_Filter!$A$2:$A$127,FamB_Final_Filter!$B$2:$B$127)</f>
        <v>41032</v>
      </c>
      <c r="D48" s="31">
        <f>1-C48/C38</f>
        <v>0.30035636946476374</v>
      </c>
      <c r="E48" s="32">
        <f>C48/C3</f>
        <v>9.1198637977058086E-2</v>
      </c>
      <c r="F48" s="68">
        <f>LOOKUP("A.1.1.1.1",FamB_Final_Filter!$A$2:$A$127,FamB_Final_Filter!$C$2:$C$127)</f>
        <v>8244</v>
      </c>
      <c r="G48" s="31">
        <f>1-F48/F38</f>
        <v>0.31596415532691668</v>
      </c>
      <c r="H48" s="32">
        <f>F48/F3</f>
        <v>0.20458606313281716</v>
      </c>
      <c r="I48" s="68">
        <f>LOOKUP("A.1.1.1.1",FamB_Final_Filter!$A$2:$A$127,FamB_Final_Filter!$D$2:$D$127)</f>
        <v>175</v>
      </c>
      <c r="J48" s="31">
        <f>1-I48/I38</f>
        <v>0</v>
      </c>
      <c r="K48" s="32">
        <f>I48/I3</f>
        <v>1</v>
      </c>
      <c r="L48" s="30">
        <v>20</v>
      </c>
      <c r="M48" s="108" t="s">
        <v>25</v>
      </c>
      <c r="N48" s="30">
        <v>3</v>
      </c>
      <c r="O48" s="30">
        <v>3</v>
      </c>
      <c r="P48" s="30">
        <v>0.99</v>
      </c>
      <c r="Q48" s="30">
        <v>0.02</v>
      </c>
      <c r="R48" s="42">
        <v>5</v>
      </c>
      <c r="W48" s="3"/>
    </row>
    <row r="49" spans="1:23" x14ac:dyDescent="0.25">
      <c r="A49" s="75" t="s">
        <v>24</v>
      </c>
      <c r="B49" s="12" t="s">
        <v>59</v>
      </c>
      <c r="C49" s="68">
        <f>LOOKUP("A.1.1.1.2",FamB_Final_Filter!$A$2:$A$127,FamB_Final_Filter!$B$2:$B$127)</f>
        <v>37465</v>
      </c>
      <c r="D49" s="22">
        <f>1-C49/C38</f>
        <v>0.36117789486248231</v>
      </c>
      <c r="E49" s="23">
        <f>C49/C3</f>
        <v>8.3270544253521192E-2</v>
      </c>
      <c r="F49" s="68">
        <f>LOOKUP("A.1.1.1.2",FamB_Final_Filter!$A$2:$A$127,FamB_Final_Filter!$C$2:$C$127)</f>
        <v>7720</v>
      </c>
      <c r="G49" s="22">
        <f>1-F49/F38</f>
        <v>0.35944241619648187</v>
      </c>
      <c r="H49" s="23">
        <f>F49/F3</f>
        <v>0.19158229104625768</v>
      </c>
      <c r="I49" s="68">
        <f>LOOKUP("A.1.1.1.2",FamB_Final_Filter!$A$2:$A$127,FamB_Final_Filter!$D$2:$D$127)</f>
        <v>175</v>
      </c>
      <c r="J49" s="22">
        <f>1-I49/I38</f>
        <v>0</v>
      </c>
      <c r="K49" s="23">
        <f>I49/I3</f>
        <v>1</v>
      </c>
      <c r="L49" s="17">
        <v>20</v>
      </c>
      <c r="M49" s="104" t="s">
        <v>26</v>
      </c>
      <c r="N49" s="17">
        <v>3</v>
      </c>
      <c r="O49" s="17">
        <v>3</v>
      </c>
      <c r="P49" s="17">
        <v>0.99</v>
      </c>
      <c r="Q49" s="17">
        <v>0.02</v>
      </c>
      <c r="R49" s="18">
        <v>5</v>
      </c>
      <c r="W49" s="3"/>
    </row>
    <row r="50" spans="1:23" ht="8.25" customHeight="1" x14ac:dyDescent="0.25">
      <c r="A50" s="82"/>
      <c r="B50" s="87"/>
      <c r="C50" s="83"/>
      <c r="D50" s="84"/>
      <c r="E50" s="90"/>
      <c r="F50" s="83"/>
      <c r="G50" s="84"/>
      <c r="H50" s="90"/>
      <c r="I50" s="83"/>
      <c r="J50" s="84"/>
      <c r="K50" s="90"/>
      <c r="L50" s="83"/>
      <c r="M50" s="111"/>
      <c r="N50" s="83"/>
      <c r="O50" s="83"/>
      <c r="P50" s="83"/>
      <c r="Q50" s="83"/>
      <c r="R50" s="93"/>
      <c r="S50" s="82"/>
      <c r="T50" s="82"/>
      <c r="U50" s="82"/>
      <c r="V50" s="82"/>
      <c r="W50" s="87"/>
    </row>
    <row r="51" spans="1:23" x14ac:dyDescent="0.25">
      <c r="A51" s="53" t="s">
        <v>24</v>
      </c>
      <c r="B51" s="3" t="s">
        <v>63</v>
      </c>
      <c r="C51" s="68">
        <f>LOOKUP("B.1.3.3.1",FamB_Final_Filter!$A$2:$A$127,FamB_Final_Filter!$B$2:$B$127)</f>
        <v>37883</v>
      </c>
      <c r="D51" s="14">
        <f>1-C51/C45</f>
        <v>0.15324437291848281</v>
      </c>
      <c r="E51" s="4">
        <f>C51/C3</f>
        <v>8.4199600372511493E-2</v>
      </c>
      <c r="F51" s="68">
        <f>LOOKUP("B.1.3.3.1",FamB_Final_Filter!$A$2:$A$127,FamB_Final_Filter!$C$2:$C$127)</f>
        <v>8124</v>
      </c>
      <c r="G51" s="14">
        <f>1-F51/F45</f>
        <v>0.16247422680412371</v>
      </c>
      <c r="H51" s="4">
        <f>F51/F3</f>
        <v>0.20160810005955926</v>
      </c>
      <c r="I51" s="68">
        <f>LOOKUP("B.1.3.3.1",FamB_Final_Filter!$A$2:$A$127,FamB_Final_Filter!$D$2:$D$127)</f>
        <v>174</v>
      </c>
      <c r="J51" s="14">
        <f>1-I51/I45</f>
        <v>0</v>
      </c>
      <c r="K51" s="4">
        <f>I51/I3</f>
        <v>0.99428571428571433</v>
      </c>
      <c r="L51" s="15">
        <v>20</v>
      </c>
      <c r="M51" s="106">
        <v>0.75</v>
      </c>
      <c r="N51" s="15">
        <v>3</v>
      </c>
      <c r="O51" s="15">
        <v>3</v>
      </c>
      <c r="P51" s="15">
        <v>0.9</v>
      </c>
      <c r="Q51" s="15">
        <v>0.02</v>
      </c>
      <c r="R51" s="5">
        <v>5</v>
      </c>
      <c r="W51" s="3"/>
    </row>
    <row r="52" spans="1:23" x14ac:dyDescent="0.25">
      <c r="A52" s="78" t="s">
        <v>24</v>
      </c>
      <c r="B52" s="9" t="s">
        <v>68</v>
      </c>
      <c r="C52" s="68">
        <f>LOOKUP("B.1.3.3.2",FamB_Final_Filter!$A$2:$A$127,FamB_Final_Filter!$B$2:$B$127)</f>
        <v>34641</v>
      </c>
      <c r="D52" s="25">
        <f>1-C52/C45</f>
        <v>0.22570911285455642</v>
      </c>
      <c r="E52" s="26">
        <f>C52/C3</f>
        <v>7.699385889460103E-2</v>
      </c>
      <c r="F52" s="68">
        <f>LOOKUP("B.1.3.3.2",FamB_Final_Filter!$A$2:$A$127,FamB_Final_Filter!$C$2:$C$127)</f>
        <v>7599</v>
      </c>
      <c r="G52" s="25">
        <f>1-F52/F45</f>
        <v>0.21659793814432993</v>
      </c>
      <c r="H52" s="26">
        <f>F52/F3</f>
        <v>0.18857951161405598</v>
      </c>
      <c r="I52" s="68">
        <f>LOOKUP("B.1.3.3.2",FamB_Final_Filter!$A$2:$A$127,FamB_Final_Filter!$D$2:$D$127)</f>
        <v>174</v>
      </c>
      <c r="J52" s="25">
        <f>1-I52/I45</f>
        <v>0</v>
      </c>
      <c r="K52" s="26">
        <f>I52/I3</f>
        <v>0.99428571428571433</v>
      </c>
      <c r="L52" s="16">
        <v>20</v>
      </c>
      <c r="M52" s="107">
        <v>0.8</v>
      </c>
      <c r="N52" s="16">
        <v>3</v>
      </c>
      <c r="O52" s="16">
        <v>3</v>
      </c>
      <c r="P52" s="16">
        <v>0.9</v>
      </c>
      <c r="Q52" s="16">
        <v>0.02</v>
      </c>
      <c r="R52" s="10">
        <v>5</v>
      </c>
      <c r="W52" s="3"/>
    </row>
    <row r="53" spans="1:23" x14ac:dyDescent="0.25">
      <c r="A53" s="80" t="s">
        <v>24</v>
      </c>
      <c r="B53" s="37" t="s">
        <v>69</v>
      </c>
      <c r="C53" s="68">
        <f>LOOKUP("B.1.3.3.3",FamB_Final_Filter!$A$2:$A$127,FamB_Final_Filter!$B$2:$B$127)</f>
        <v>31193</v>
      </c>
      <c r="D53" s="39">
        <f>1-C53/C45</f>
        <v>0.30277833657435349</v>
      </c>
      <c r="E53" s="40">
        <f>C53/C3</f>
        <v>6.933025722407811E-2</v>
      </c>
      <c r="F53" s="68">
        <f>LOOKUP("B.1.3.3.3",FamB_Final_Filter!$A$2:$A$127,FamB_Final_Filter!$C$2:$C$127)</f>
        <v>6997</v>
      </c>
      <c r="G53" s="39">
        <f>1-F53/F45</f>
        <v>0.27865979381443295</v>
      </c>
      <c r="H53" s="40">
        <f>F53/F3</f>
        <v>0.1736400635298789</v>
      </c>
      <c r="I53" s="68">
        <f>LOOKUP("B.1.3.3.3",FamB_Final_Filter!$A$2:$A$127,FamB_Final_Filter!$D$2:$D$127)</f>
        <v>174</v>
      </c>
      <c r="J53" s="39">
        <f>1-I53/I45</f>
        <v>0</v>
      </c>
      <c r="K53" s="40">
        <f>I53/I3</f>
        <v>0.99428571428571433</v>
      </c>
      <c r="L53" s="38">
        <v>20</v>
      </c>
      <c r="M53" s="122">
        <v>0.85</v>
      </c>
      <c r="N53" s="38">
        <v>3</v>
      </c>
      <c r="O53" s="38">
        <v>3</v>
      </c>
      <c r="P53" s="38">
        <v>0.9</v>
      </c>
      <c r="Q53" s="38">
        <v>0.02</v>
      </c>
      <c r="R53" s="41">
        <v>5</v>
      </c>
      <c r="W53" s="3"/>
    </row>
    <row r="54" spans="1:23" x14ac:dyDescent="0.25">
      <c r="A54" s="67"/>
      <c r="B54" s="54"/>
      <c r="C54" s="55"/>
      <c r="D54" s="56"/>
      <c r="E54" s="57"/>
      <c r="F54" s="55"/>
      <c r="G54" s="56"/>
      <c r="H54" s="57"/>
      <c r="I54" s="55"/>
      <c r="J54" s="56"/>
      <c r="K54" s="57"/>
      <c r="L54" s="55"/>
      <c r="M54" s="55"/>
      <c r="N54" s="55"/>
      <c r="O54" s="55"/>
      <c r="P54" s="55"/>
      <c r="Q54" s="55"/>
      <c r="R54" s="58"/>
      <c r="S54" s="67"/>
      <c r="T54" s="67"/>
      <c r="U54" s="67"/>
      <c r="V54" s="67"/>
      <c r="W54" s="54"/>
    </row>
    <row r="55" spans="1:23" x14ac:dyDescent="0.25">
      <c r="A55" s="76" t="s">
        <v>27</v>
      </c>
      <c r="B55" s="29" t="s">
        <v>78</v>
      </c>
      <c r="C55" s="68">
        <f>LOOKUP("A.1.1.1.1.1",FamB_Final_Filter!$A$2:$A$127,FamB_Final_Filter!$B$2:$B$127)</f>
        <v>41032</v>
      </c>
      <c r="D55" s="31"/>
      <c r="E55" s="32">
        <f>C55/C3</f>
        <v>9.1198637977058086E-2</v>
      </c>
      <c r="F55" s="68">
        <f>LOOKUP("A.1.1.1.1.1",FamB_Final_Filter!$A$2:$A$127,FamB_Final_Filter!$C$2:$C$127)</f>
        <v>8244</v>
      </c>
      <c r="G55" s="31"/>
      <c r="H55" s="32">
        <f>F55/F3</f>
        <v>0.20458606313281716</v>
      </c>
      <c r="I55" s="68">
        <f>LOOKUP("A.1.1.1.1.1",FamB_Final_Filter!$A$2:$A$127,FamB_Final_Filter!$D$2:$D$127)</f>
        <v>174</v>
      </c>
      <c r="J55" s="31"/>
      <c r="K55" s="32">
        <f>I55/I3</f>
        <v>0.99428571428571433</v>
      </c>
      <c r="L55" s="30">
        <v>20</v>
      </c>
      <c r="M55" s="30" t="s">
        <v>25</v>
      </c>
      <c r="N55" s="30">
        <v>3</v>
      </c>
      <c r="O55" s="30">
        <v>3</v>
      </c>
      <c r="P55" s="108">
        <v>0.95</v>
      </c>
      <c r="Q55" s="30">
        <v>0.02</v>
      </c>
      <c r="R55" s="42">
        <v>5</v>
      </c>
      <c r="W55" s="3"/>
    </row>
    <row r="56" spans="1:23" ht="8.25" customHeight="1" x14ac:dyDescent="0.25">
      <c r="A56" s="82"/>
      <c r="B56" s="87"/>
      <c r="C56" s="83"/>
      <c r="D56" s="84"/>
      <c r="E56" s="90"/>
      <c r="F56" s="83"/>
      <c r="G56" s="84"/>
      <c r="H56" s="90"/>
      <c r="I56" s="83"/>
      <c r="J56" s="84"/>
      <c r="K56" s="90"/>
      <c r="L56" s="83"/>
      <c r="M56" s="83"/>
      <c r="N56" s="83"/>
      <c r="O56" s="83"/>
      <c r="P56" s="111"/>
      <c r="Q56" s="83"/>
      <c r="R56" s="93"/>
      <c r="S56" s="82"/>
      <c r="T56" s="82"/>
      <c r="U56" s="82"/>
      <c r="V56" s="82"/>
      <c r="W56" s="87"/>
    </row>
    <row r="57" spans="1:23" x14ac:dyDescent="0.25">
      <c r="A57" s="53" t="s">
        <v>27</v>
      </c>
      <c r="B57" s="3" t="s">
        <v>70</v>
      </c>
      <c r="C57" s="68">
        <f>LOOKUP("A.1.1.1.2.1",FamB_Final_Filter!$A$2:$A$127,FamB_Final_Filter!$B$2:$B$127)</f>
        <v>37465</v>
      </c>
      <c r="E57" s="4">
        <f>C57/C3</f>
        <v>8.3270544253521192E-2</v>
      </c>
      <c r="F57" s="68">
        <f>LOOKUP("A.1.1.1.2.1",FamB_Final_Filter!$A$2:$A$127,FamB_Final_Filter!$C$2:$C$127)</f>
        <v>7720</v>
      </c>
      <c r="H57" s="4">
        <f>F57/F3</f>
        <v>0.19158229104625768</v>
      </c>
      <c r="I57" s="68">
        <f>LOOKUP("A.1.1.1.2.1",FamB_Final_Filter!$A$2:$A$127,FamB_Final_Filter!$D$2:$D$127)</f>
        <v>174</v>
      </c>
      <c r="K57" s="4">
        <f>I57/I3</f>
        <v>0.99428571428571433</v>
      </c>
      <c r="L57" s="15">
        <v>20</v>
      </c>
      <c r="M57" s="15" t="s">
        <v>26</v>
      </c>
      <c r="N57" s="15">
        <v>3</v>
      </c>
      <c r="O57" s="15">
        <v>3</v>
      </c>
      <c r="P57" s="105">
        <v>0.9</v>
      </c>
      <c r="Q57" s="15">
        <v>0.02</v>
      </c>
      <c r="R57" s="5">
        <v>5</v>
      </c>
      <c r="W57" s="3"/>
    </row>
    <row r="58" spans="1:23" x14ac:dyDescent="0.25">
      <c r="A58" s="75" t="s">
        <v>27</v>
      </c>
      <c r="B58" s="12" t="s">
        <v>71</v>
      </c>
      <c r="C58" s="68">
        <f>LOOKUP("A.1.1.1.2.2",FamB_Final_Filter!$A$2:$A$127,FamB_Final_Filter!$B$2:$B$127)</f>
        <v>37465</v>
      </c>
      <c r="D58" s="22"/>
      <c r="E58" s="23">
        <f>C58/C3</f>
        <v>8.3270544253521192E-2</v>
      </c>
      <c r="F58" s="68">
        <f>LOOKUP("A.1.1.1.2.2",FamB_Final_Filter!$A$2:$A$127,FamB_Final_Filter!$C$2:$C$127)</f>
        <v>7720</v>
      </c>
      <c r="G58" s="22"/>
      <c r="H58" s="23">
        <f>F58/F3</f>
        <v>0.19158229104625768</v>
      </c>
      <c r="I58" s="68">
        <f>LOOKUP("A.1.1.1.2.2",FamB_Final_Filter!$A$2:$A$127,FamB_Final_Filter!$D$2:$D$127)</f>
        <v>175</v>
      </c>
      <c r="J58" s="22"/>
      <c r="K58" s="23">
        <f>I58/I3</f>
        <v>1</v>
      </c>
      <c r="L58" s="17">
        <v>20</v>
      </c>
      <c r="M58" s="17" t="s">
        <v>26</v>
      </c>
      <c r="N58" s="17">
        <v>3</v>
      </c>
      <c r="O58" s="17">
        <v>3</v>
      </c>
      <c r="P58" s="104">
        <v>0.95</v>
      </c>
      <c r="Q58" s="17">
        <v>0.02</v>
      </c>
      <c r="R58" s="18">
        <v>5</v>
      </c>
      <c r="W58" s="3"/>
    </row>
    <row r="59" spans="1:23" ht="8.25" customHeight="1" x14ac:dyDescent="0.25">
      <c r="A59" s="82"/>
      <c r="B59" s="87"/>
      <c r="C59" s="83"/>
      <c r="D59" s="84"/>
      <c r="E59" s="90"/>
      <c r="F59" s="83"/>
      <c r="G59" s="84"/>
      <c r="H59" s="90"/>
      <c r="I59" s="83"/>
      <c r="J59" s="84"/>
      <c r="K59" s="90"/>
      <c r="L59" s="83"/>
      <c r="M59" s="83"/>
      <c r="N59" s="83"/>
      <c r="O59" s="83"/>
      <c r="P59" s="111"/>
      <c r="Q59" s="83"/>
      <c r="R59" s="93"/>
      <c r="S59" s="82"/>
      <c r="T59" s="82"/>
      <c r="U59" s="82"/>
      <c r="V59" s="82"/>
      <c r="W59" s="87"/>
    </row>
    <row r="60" spans="1:23" x14ac:dyDescent="0.25">
      <c r="A60" s="53" t="s">
        <v>27</v>
      </c>
      <c r="B60" s="3" t="s">
        <v>72</v>
      </c>
      <c r="C60" s="68">
        <f>LOOKUP("B.1.3.3.2.1",FamB_Final_Filter!$A$2:$A$127,FamB_Final_Filter!$B$2:$B$127)</f>
        <v>34641</v>
      </c>
      <c r="E60" s="4">
        <f>C60/C3</f>
        <v>7.699385889460103E-2</v>
      </c>
      <c r="F60" s="68">
        <f>LOOKUP("B.1.3.3.2.1",FamB_Final_Filter!$A$2:$A$127,FamB_Final_Filter!$C$2:$C$127)</f>
        <v>7599</v>
      </c>
      <c r="H60" s="4">
        <f>F60/F3</f>
        <v>0.18857951161405598</v>
      </c>
      <c r="I60" s="68">
        <f>LOOKUP("B.1.3.3.2.1",FamB_Final_Filter!$A$2:$A$127,FamB_Final_Filter!$D$2:$D$127)</f>
        <v>174</v>
      </c>
      <c r="K60" s="4">
        <f>I60/I3</f>
        <v>0.99428571428571433</v>
      </c>
      <c r="L60" s="15">
        <v>20</v>
      </c>
      <c r="M60" s="15">
        <v>0.8</v>
      </c>
      <c r="N60" s="15">
        <v>3</v>
      </c>
      <c r="O60" s="15">
        <v>3</v>
      </c>
      <c r="P60" s="106">
        <v>0.85</v>
      </c>
      <c r="Q60" s="15">
        <v>0.02</v>
      </c>
      <c r="R60" s="5">
        <v>5</v>
      </c>
      <c r="W60" s="3"/>
    </row>
    <row r="61" spans="1:23" x14ac:dyDescent="0.25">
      <c r="A61" s="53" t="s">
        <v>27</v>
      </c>
      <c r="B61" s="3" t="s">
        <v>73</v>
      </c>
      <c r="C61" s="68">
        <f>LOOKUP("B.1.3.3.2.2",FamB_Final_Filter!$A$2:$A$127,FamB_Final_Filter!$B$2:$B$127)</f>
        <v>34641</v>
      </c>
      <c r="E61" s="4">
        <f>C61/C3</f>
        <v>7.699385889460103E-2</v>
      </c>
      <c r="F61" s="68">
        <f>LOOKUP("B.1.3.3.2.2",FamB_Final_Filter!$A$2:$A$127,FamB_Final_Filter!$C$2:$C$127)</f>
        <v>7599</v>
      </c>
      <c r="H61" s="4">
        <f>F61/F3</f>
        <v>0.18857951161405598</v>
      </c>
      <c r="I61" s="68">
        <f>LOOKUP("B.1.3.3.2.2",FamB_Final_Filter!$A$2:$A$127,FamB_Final_Filter!$D$2:$D$127)</f>
        <v>174</v>
      </c>
      <c r="K61" s="4">
        <f>I61/I3</f>
        <v>0.99428571428571433</v>
      </c>
      <c r="L61" s="15">
        <v>20</v>
      </c>
      <c r="M61" s="15">
        <v>0.8</v>
      </c>
      <c r="N61" s="15">
        <v>3</v>
      </c>
      <c r="O61" s="15">
        <v>3</v>
      </c>
      <c r="P61" s="106">
        <v>0.8</v>
      </c>
      <c r="Q61" s="15">
        <v>0.02</v>
      </c>
      <c r="R61" s="5">
        <v>5</v>
      </c>
      <c r="W61" s="3"/>
    </row>
    <row r="62" spans="1:23" x14ac:dyDescent="0.25">
      <c r="A62" s="78" t="s">
        <v>27</v>
      </c>
      <c r="B62" s="9" t="s">
        <v>74</v>
      </c>
      <c r="C62" s="68">
        <f>LOOKUP("B.1.3.3.2.3",FamB_Final_Filter!$A$2:$A$127,FamB_Final_Filter!$B$2:$B$127)</f>
        <v>34641</v>
      </c>
      <c r="D62" s="25"/>
      <c r="E62" s="26">
        <f>C62/C3</f>
        <v>7.699385889460103E-2</v>
      </c>
      <c r="F62" s="68">
        <f>LOOKUP("B.1.3.3.2.3",FamB_Final_Filter!$A$2:$A$127,FamB_Final_Filter!$C$2:$C$127)</f>
        <v>7599</v>
      </c>
      <c r="G62" s="25"/>
      <c r="H62" s="26">
        <f>F62/F3</f>
        <v>0.18857951161405598</v>
      </c>
      <c r="I62" s="68">
        <f>LOOKUP("B.1.3.3.2.3",FamB_Final_Filter!$A$2:$A$127,FamB_Final_Filter!$D$2:$D$127)</f>
        <v>174</v>
      </c>
      <c r="J62" s="25"/>
      <c r="K62" s="26">
        <f>I62/I3</f>
        <v>0.99428571428571433</v>
      </c>
      <c r="L62" s="16">
        <v>20</v>
      </c>
      <c r="M62" s="16">
        <v>0.8</v>
      </c>
      <c r="N62" s="16">
        <v>3</v>
      </c>
      <c r="O62" s="16">
        <v>3</v>
      </c>
      <c r="P62" s="107">
        <v>0.75</v>
      </c>
      <c r="Q62" s="16">
        <v>0.02</v>
      </c>
      <c r="R62" s="10">
        <v>5</v>
      </c>
      <c r="W62" s="3"/>
    </row>
    <row r="63" spans="1:23" ht="8.25" customHeight="1" x14ac:dyDescent="0.25">
      <c r="A63" s="82"/>
      <c r="B63" s="87"/>
      <c r="C63" s="83"/>
      <c r="D63" s="84"/>
      <c r="E63" s="90"/>
      <c r="F63" s="83"/>
      <c r="G63" s="84"/>
      <c r="H63" s="90"/>
      <c r="I63" s="83"/>
      <c r="J63" s="84"/>
      <c r="K63" s="90"/>
      <c r="L63" s="83"/>
      <c r="M63" s="83"/>
      <c r="N63" s="83"/>
      <c r="O63" s="83"/>
      <c r="P63" s="111"/>
      <c r="Q63" s="83"/>
      <c r="R63" s="93"/>
      <c r="S63" s="82"/>
      <c r="T63" s="82"/>
      <c r="U63" s="82"/>
      <c r="V63" s="82"/>
      <c r="W63" s="87"/>
    </row>
    <row r="64" spans="1:23" x14ac:dyDescent="0.25">
      <c r="A64" s="80" t="s">
        <v>27</v>
      </c>
      <c r="B64" s="37" t="s">
        <v>75</v>
      </c>
      <c r="C64" s="68">
        <f>LOOKUP("B.1.3.3.3.1",FamB_Final_Filter!$A$2:$A$127,FamB_Final_Filter!$B$2:$B$127)</f>
        <v>31193</v>
      </c>
      <c r="D64" s="39"/>
      <c r="E64" s="40">
        <f>C64/C3</f>
        <v>6.933025722407811E-2</v>
      </c>
      <c r="F64" s="68">
        <f>LOOKUP("B.1.3.3.3.1",FamB_Final_Filter!$A$2:$A$127,FamB_Final_Filter!$C$2:$C$127)</f>
        <v>6997</v>
      </c>
      <c r="G64" s="39"/>
      <c r="H64" s="40">
        <f>F64/F3</f>
        <v>0.1736400635298789</v>
      </c>
      <c r="I64" s="68">
        <f>LOOKUP("B.1.3.3.3.1",FamB_Final_Filter!$A$2:$A$127,FamB_Final_Filter!$D$2:$D$127)</f>
        <v>174</v>
      </c>
      <c r="J64" s="39"/>
      <c r="K64" s="40">
        <f>I64/I3</f>
        <v>0.99428571428571433</v>
      </c>
      <c r="L64" s="38">
        <v>20</v>
      </c>
      <c r="M64" s="38">
        <v>0.85</v>
      </c>
      <c r="N64" s="38">
        <v>3</v>
      </c>
      <c r="O64" s="38">
        <v>3</v>
      </c>
      <c r="P64" s="122">
        <v>0.85</v>
      </c>
      <c r="Q64" s="38">
        <v>0.02</v>
      </c>
      <c r="R64" s="41">
        <v>5</v>
      </c>
      <c r="W64" s="3"/>
    </row>
    <row r="65" spans="1:23" x14ac:dyDescent="0.25">
      <c r="A65" s="53" t="s">
        <v>27</v>
      </c>
      <c r="B65" s="3" t="s">
        <v>76</v>
      </c>
      <c r="C65" s="68">
        <f>LOOKUP("B.1.3.3.3.1",FamB_Final_Filter!$A$2:$A$127,FamB_Final_Filter!$B$2:$B$127)</f>
        <v>31193</v>
      </c>
      <c r="E65" s="4">
        <f>C65/C3</f>
        <v>6.933025722407811E-2</v>
      </c>
      <c r="F65" s="68">
        <f>LOOKUP("B.1.3.3.3.1",FamB_Final_Filter!$A$2:$A$127,FamB_Final_Filter!$C$2:$C$127)</f>
        <v>6997</v>
      </c>
      <c r="H65" s="4">
        <f>F65/F3</f>
        <v>0.1736400635298789</v>
      </c>
      <c r="I65" s="68">
        <f>LOOKUP("B.1.3.3.3.1",FamB_Final_Filter!$A$2:$A$127,FamB_Final_Filter!$D$2:$D$127)</f>
        <v>174</v>
      </c>
      <c r="K65" s="4">
        <f>I65/I3</f>
        <v>0.99428571428571433</v>
      </c>
      <c r="L65" s="15">
        <v>20</v>
      </c>
      <c r="M65" s="15">
        <v>0.85</v>
      </c>
      <c r="N65" s="15">
        <v>3</v>
      </c>
      <c r="O65" s="15">
        <v>3</v>
      </c>
      <c r="P65" s="106">
        <v>0.8</v>
      </c>
      <c r="Q65" s="15">
        <v>0.02</v>
      </c>
      <c r="R65" s="5">
        <v>5</v>
      </c>
      <c r="W65" s="3"/>
    </row>
    <row r="66" spans="1:23" x14ac:dyDescent="0.25">
      <c r="A66" s="53" t="s">
        <v>27</v>
      </c>
      <c r="B66" s="3" t="s">
        <v>77</v>
      </c>
      <c r="C66" s="68">
        <f>LOOKUP("B.1.3.3.3.1",FamB_Final_Filter!$A$2:$A$127,FamB_Final_Filter!$B$2:$B$127)</f>
        <v>31193</v>
      </c>
      <c r="E66" s="4">
        <f>C66/C3</f>
        <v>6.933025722407811E-2</v>
      </c>
      <c r="F66" s="68">
        <f>LOOKUP("B.1.3.3.3.1",FamB_Final_Filter!$A$2:$A$127,FamB_Final_Filter!$C$2:$C$127)</f>
        <v>6997</v>
      </c>
      <c r="H66" s="4">
        <f>F66/F3</f>
        <v>0.1736400635298789</v>
      </c>
      <c r="I66" s="68">
        <f>LOOKUP("B.1.3.3.3.1",FamB_Final_Filter!$A$2:$A$127,FamB_Final_Filter!$D$2:$D$127)</f>
        <v>174</v>
      </c>
      <c r="K66" s="4">
        <f>I66/I3</f>
        <v>0.99428571428571433</v>
      </c>
      <c r="L66" s="15">
        <v>20</v>
      </c>
      <c r="M66" s="15">
        <v>0.85</v>
      </c>
      <c r="N66" s="15">
        <v>3</v>
      </c>
      <c r="O66" s="15">
        <v>3</v>
      </c>
      <c r="P66" s="106">
        <v>0.75</v>
      </c>
      <c r="Q66" s="15">
        <v>0.02</v>
      </c>
      <c r="R66" s="5">
        <v>5</v>
      </c>
      <c r="W66" s="3"/>
    </row>
    <row r="67" spans="1:23" x14ac:dyDescent="0.25">
      <c r="A67" s="67"/>
      <c r="B67" s="54"/>
      <c r="C67" s="55"/>
      <c r="D67" s="56"/>
      <c r="E67" s="57"/>
      <c r="F67" s="55"/>
      <c r="G67" s="56"/>
      <c r="H67" s="57"/>
      <c r="I67" s="55"/>
      <c r="J67" s="56"/>
      <c r="K67" s="57"/>
      <c r="L67" s="55"/>
      <c r="M67" s="55"/>
      <c r="N67" s="55"/>
      <c r="O67" s="55"/>
      <c r="P67" s="55"/>
      <c r="Q67" s="55"/>
      <c r="R67" s="58"/>
      <c r="S67" s="67"/>
      <c r="T67" s="67"/>
      <c r="U67" s="67"/>
      <c r="V67" s="67"/>
      <c r="W67" s="54"/>
    </row>
    <row r="68" spans="1:23" x14ac:dyDescent="0.25">
      <c r="A68" s="76" t="s">
        <v>28</v>
      </c>
      <c r="B68" s="29" t="s">
        <v>79</v>
      </c>
      <c r="C68" s="68">
        <f>LOOKUP("A.1.1.1.1.1.1",FamB_Final_Filter!$A$2:$A$127,FamB_Final_Filter!$B$2:$B$127)</f>
        <v>23666</v>
      </c>
      <c r="D68" s="31">
        <f>1-C68/C55</f>
        <v>0.42323064924936638</v>
      </c>
      <c r="E68" s="32">
        <f>C68/C3</f>
        <v>5.2600579215369876E-2</v>
      </c>
      <c r="F68" s="68">
        <f>LOOKUP("A.1.1.1.1.1.1",FamB_Final_Filter!$A$2:$A$127,FamB_Final_Filter!$C$2:$C$127)</f>
        <v>5825</v>
      </c>
      <c r="G68" s="31">
        <f>1-F68/F55</f>
        <v>0.2934255215914604</v>
      </c>
      <c r="H68" s="32">
        <f>F68/F3</f>
        <v>0.14455529084772681</v>
      </c>
      <c r="I68" s="68">
        <f>LOOKUP("A.1.1.1.1.1.1",FamB_Final_Filter!$A$2:$A$127,FamB_Final_Filter!$D$2:$D$127)</f>
        <v>174</v>
      </c>
      <c r="J68" s="31">
        <f>1-I68/I55</f>
        <v>0</v>
      </c>
      <c r="K68" s="32">
        <f>I68/I3</f>
        <v>0.99428571428571433</v>
      </c>
      <c r="L68" s="30">
        <v>20</v>
      </c>
      <c r="M68" s="30" t="s">
        <v>25</v>
      </c>
      <c r="N68" s="30">
        <v>3</v>
      </c>
      <c r="O68" s="30">
        <v>3</v>
      </c>
      <c r="P68" s="30">
        <v>0.95</v>
      </c>
      <c r="Q68" s="108">
        <v>0.03</v>
      </c>
      <c r="R68" s="123">
        <v>20</v>
      </c>
      <c r="W68" s="3"/>
    </row>
    <row r="69" spans="1:23" x14ac:dyDescent="0.25">
      <c r="A69" s="53" t="s">
        <v>28</v>
      </c>
      <c r="B69" s="6" t="s">
        <v>80</v>
      </c>
      <c r="C69" s="68">
        <f>LOOKUP("A.1.1.1.1.1.2",FamB_Final_Filter!$A$2:$A$127,FamB_Final_Filter!$B$2:$B$127)</f>
        <v>23189</v>
      </c>
      <c r="D69" s="14">
        <f>1-C69/C55</f>
        <v>0.43485572236303371</v>
      </c>
      <c r="E69" s="4">
        <f>C69/C3</f>
        <v>5.1540388381019694E-2</v>
      </c>
      <c r="F69" s="68">
        <f>LOOKUP("A.1.1.1.1.1.2",FamB_Final_Filter!$A$2:$A$127,FamB_Final_Filter!$C$2:$C$127)</f>
        <v>5790</v>
      </c>
      <c r="G69" s="14">
        <f>1-F69/F55</f>
        <v>0.29767103347889379</v>
      </c>
      <c r="H69" s="4">
        <f>F69/F3</f>
        <v>0.14368671828469326</v>
      </c>
      <c r="I69" s="68">
        <f>LOOKUP("A.1.1.1.1.1.2",FamB_Final_Filter!$A$2:$A$127,FamB_Final_Filter!$D$2:$D$127)</f>
        <v>174</v>
      </c>
      <c r="J69" s="14">
        <f>1-I69/I55</f>
        <v>0</v>
      </c>
      <c r="K69" s="4">
        <f>I69/I3</f>
        <v>0.99428571428571433</v>
      </c>
      <c r="L69" s="15">
        <v>20</v>
      </c>
      <c r="M69" s="15" t="s">
        <v>25</v>
      </c>
      <c r="N69" s="15">
        <v>3</v>
      </c>
      <c r="O69" s="15">
        <v>3</v>
      </c>
      <c r="P69" s="2">
        <v>0.95</v>
      </c>
      <c r="Q69" s="106">
        <v>0.05</v>
      </c>
      <c r="R69" s="119">
        <v>20</v>
      </c>
      <c r="W69" s="3"/>
    </row>
    <row r="70" spans="1:23" ht="8.25" customHeight="1" x14ac:dyDescent="0.25">
      <c r="A70" s="82"/>
      <c r="B70" s="87"/>
      <c r="C70" s="83"/>
      <c r="D70" s="84"/>
      <c r="E70" s="90"/>
      <c r="F70" s="83"/>
      <c r="G70" s="84"/>
      <c r="H70" s="90"/>
      <c r="I70" s="83"/>
      <c r="J70" s="84"/>
      <c r="K70" s="90"/>
      <c r="L70" s="83"/>
      <c r="M70" s="83"/>
      <c r="N70" s="83"/>
      <c r="O70" s="83"/>
      <c r="P70" s="83"/>
      <c r="Q70" s="111"/>
      <c r="R70" s="120"/>
      <c r="S70" s="82"/>
      <c r="T70" s="82"/>
      <c r="U70" s="82"/>
      <c r="V70" s="82"/>
      <c r="W70" s="87"/>
    </row>
    <row r="71" spans="1:23" x14ac:dyDescent="0.25">
      <c r="A71" s="53" t="s">
        <v>28</v>
      </c>
      <c r="B71" s="6" t="s">
        <v>82</v>
      </c>
      <c r="C71" s="68">
        <f>LOOKUP("A.1.1.1.2.2.1",FamB_Final_Filter!$A$2:$A$127,FamB_Final_Filter!$B$2:$B$127)</f>
        <v>26941</v>
      </c>
      <c r="D71" s="14">
        <f>1-C71/C58</f>
        <v>0.28090217536367279</v>
      </c>
      <c r="E71" s="4">
        <f>C71/C3</f>
        <v>5.9879667228990109E-2</v>
      </c>
      <c r="F71" s="68">
        <f>LOOKUP("A.1.1.1.2.2.1",FamB_Final_Filter!$A$2:$A$127,FamB_Final_Filter!$C$2:$C$127)</f>
        <v>6691</v>
      </c>
      <c r="G71" s="14">
        <f>1-F71/F58</f>
        <v>0.13329015544041456</v>
      </c>
      <c r="H71" s="4">
        <f>F71/F3</f>
        <v>0.16604625769307127</v>
      </c>
      <c r="I71" s="68">
        <f>LOOKUP("A.1.1.1.2.2.1",FamB_Final_Filter!$A$2:$A$127,FamB_Final_Filter!$D$2:$D$127)</f>
        <v>175</v>
      </c>
      <c r="J71" s="14">
        <f>1-I71/I58</f>
        <v>0</v>
      </c>
      <c r="K71" s="4">
        <f>I71/I3</f>
        <v>1</v>
      </c>
      <c r="L71" s="15">
        <v>20</v>
      </c>
      <c r="M71" s="15" t="s">
        <v>26</v>
      </c>
      <c r="N71" s="15">
        <v>3</v>
      </c>
      <c r="O71" s="15">
        <v>3</v>
      </c>
      <c r="P71" s="2">
        <v>0.95</v>
      </c>
      <c r="Q71" s="106">
        <v>0.05</v>
      </c>
      <c r="R71" s="119">
        <v>10</v>
      </c>
      <c r="W71" s="3"/>
    </row>
    <row r="72" spans="1:23" x14ac:dyDescent="0.25">
      <c r="A72" s="53" t="s">
        <v>28</v>
      </c>
      <c r="B72" s="6" t="s">
        <v>83</v>
      </c>
      <c r="C72" s="68">
        <f>LOOKUP("A.1.1.1.2.2.2",FamB_Final_Filter!$A$2:$A$127,FamB_Final_Filter!$B$2:$B$127)</f>
        <v>24493</v>
      </c>
      <c r="D72" s="14">
        <f>1-C72/C58</f>
        <v>0.34624316028293078</v>
      </c>
      <c r="E72" s="4">
        <f>C72/C3</f>
        <v>5.4438687852702373E-2</v>
      </c>
      <c r="F72" s="68">
        <f>LOOKUP("A.1.1.1.2.2.2",FamB_Final_Filter!$A$2:$A$127,FamB_Final_Filter!$C$2:$C$127)</f>
        <v>6084</v>
      </c>
      <c r="G72" s="14">
        <f>1-F72/F58</f>
        <v>0.21191709844559581</v>
      </c>
      <c r="H72" s="4">
        <f>F72/F3</f>
        <v>0.1509827278141751</v>
      </c>
      <c r="I72" s="68">
        <f>LOOKUP("A.1.1.1.2.2.2",FamB_Final_Filter!$A$2:$A$127,FamB_Final_Filter!$D$2:$D$127)</f>
        <v>175</v>
      </c>
      <c r="J72" s="14">
        <f>1-I72/I58</f>
        <v>0</v>
      </c>
      <c r="K72" s="4">
        <f>I72/I3</f>
        <v>1</v>
      </c>
      <c r="L72" s="15">
        <v>20</v>
      </c>
      <c r="M72" s="15" t="s">
        <v>26</v>
      </c>
      <c r="N72" s="15">
        <v>3</v>
      </c>
      <c r="O72" s="15">
        <v>3</v>
      </c>
      <c r="P72" s="2">
        <v>0.95</v>
      </c>
      <c r="Q72" s="106">
        <v>0.05</v>
      </c>
      <c r="R72" s="119">
        <v>15</v>
      </c>
      <c r="W72" s="3"/>
    </row>
    <row r="73" spans="1:23" x14ac:dyDescent="0.25">
      <c r="A73" s="75" t="s">
        <v>28</v>
      </c>
      <c r="B73" s="12" t="s">
        <v>81</v>
      </c>
      <c r="C73" s="68">
        <f>LOOKUP("A.1.1.1.2.2.3",FamB_Final_Filter!$A$2:$A$127,FamB_Final_Filter!$B$2:$B$127)</f>
        <v>22807</v>
      </c>
      <c r="D73" s="22">
        <f>1-C73/C58</f>
        <v>0.3912451621513412</v>
      </c>
      <c r="E73" s="23">
        <f>C73/C3</f>
        <v>5.0691346664621856E-2</v>
      </c>
      <c r="F73" s="68">
        <f>LOOKUP("A.1.1.1.2.2.3",FamB_Final_Filter!$A$2:$A$127,FamB_Final_Filter!$C$2:$C$127)</f>
        <v>5688</v>
      </c>
      <c r="G73" s="22">
        <f>1-F73/F58</f>
        <v>0.26321243523316062</v>
      </c>
      <c r="H73" s="23">
        <f>F73/F3</f>
        <v>0.14115544967242405</v>
      </c>
      <c r="I73" s="68">
        <f>LOOKUP("A.1.1.1.2.2.3",FamB_Final_Filter!$A$2:$A$127,FamB_Final_Filter!$D$2:$D$127)</f>
        <v>175</v>
      </c>
      <c r="J73" s="22">
        <f>1-I73/I58</f>
        <v>0</v>
      </c>
      <c r="K73" s="23">
        <f>I73/I3</f>
        <v>1</v>
      </c>
      <c r="L73" s="17">
        <v>20</v>
      </c>
      <c r="M73" s="17" t="s">
        <v>26</v>
      </c>
      <c r="N73" s="17">
        <v>3</v>
      </c>
      <c r="O73" s="17">
        <v>3</v>
      </c>
      <c r="P73" s="17">
        <v>0.95</v>
      </c>
      <c r="Q73" s="104">
        <v>0.05</v>
      </c>
      <c r="R73" s="118">
        <v>20</v>
      </c>
      <c r="W73" s="3"/>
    </row>
    <row r="74" spans="1:23" x14ac:dyDescent="0.25">
      <c r="A74" s="53" t="s">
        <v>28</v>
      </c>
      <c r="B74" s="6" t="s">
        <v>84</v>
      </c>
      <c r="C74" s="68">
        <f>LOOKUP("A.1.1.1.2.2.4",FamB_Final_Filter!$A$2:$A$127,FamB_Final_Filter!$B$2:$B$127)</f>
        <v>28328</v>
      </c>
      <c r="D74" s="14">
        <f>1-C75/C58</f>
        <v>0.32825303616708923</v>
      </c>
      <c r="E74" s="4">
        <f>C75/C3</f>
        <v>5.5936735279016887E-2</v>
      </c>
      <c r="F74" s="68">
        <f>LOOKUP("A.1.1.1.2.2.4",FamB_Final_Filter!$A$2:$A$127,FamB_Final_Filter!$C$2:$C$127)</f>
        <v>6809</v>
      </c>
      <c r="G74" s="14">
        <f>1-F75/F58</f>
        <v>0.20518134715025904</v>
      </c>
      <c r="H74" s="4">
        <f>F75/F3</f>
        <v>0.15227317847925353</v>
      </c>
      <c r="I74" s="68">
        <f>LOOKUP("A.1.1.1.2.2.4",FamB_Final_Filter!$A$2:$A$127,FamB_Final_Filter!$D$2:$D$127)</f>
        <v>175</v>
      </c>
      <c r="J74" s="14">
        <f>1-I75/I58</f>
        <v>0</v>
      </c>
      <c r="K74" s="4">
        <f>I75/I3</f>
        <v>1</v>
      </c>
      <c r="L74" s="15">
        <v>20</v>
      </c>
      <c r="M74" s="15" t="s">
        <v>26</v>
      </c>
      <c r="N74" s="15">
        <v>3</v>
      </c>
      <c r="O74" s="15">
        <v>3</v>
      </c>
      <c r="P74" s="2">
        <v>0.95</v>
      </c>
      <c r="Q74" s="106">
        <v>0.03</v>
      </c>
      <c r="R74" s="119">
        <v>10</v>
      </c>
      <c r="W74" s="3"/>
    </row>
    <row r="75" spans="1:23" x14ac:dyDescent="0.25">
      <c r="A75" s="53" t="s">
        <v>28</v>
      </c>
      <c r="B75" s="6" t="s">
        <v>85</v>
      </c>
      <c r="C75" s="68">
        <f>LOOKUP("A.1.1.1.2.2.5",FamB_Final_Filter!$A$2:$A$127,FamB_Final_Filter!$B$2:$B$127)</f>
        <v>25167</v>
      </c>
      <c r="D75" s="14">
        <f>1-C75/C58</f>
        <v>0.32825303616708923</v>
      </c>
      <c r="E75" s="4">
        <f>C75/C3</f>
        <v>5.5936735279016887E-2</v>
      </c>
      <c r="F75" s="68">
        <f>LOOKUP("A.1.1.1.2.2.5",FamB_Final_Filter!$A$2:$A$127,FamB_Final_Filter!$C$2:$C$127)</f>
        <v>6136</v>
      </c>
      <c r="G75" s="14">
        <f>1-F75/F58</f>
        <v>0.20518134715025904</v>
      </c>
      <c r="H75" s="4">
        <f>F75/F3</f>
        <v>0.15227317847925353</v>
      </c>
      <c r="I75" s="68">
        <f>LOOKUP("A.1.1.1.2.2.5",FamB_Final_Filter!$A$2:$A$127,FamB_Final_Filter!$D$2:$D$127)</f>
        <v>175</v>
      </c>
      <c r="J75" s="14">
        <f>1-I75/I58</f>
        <v>0</v>
      </c>
      <c r="K75" s="4">
        <f>I75/I3</f>
        <v>1</v>
      </c>
      <c r="L75" s="15">
        <v>20</v>
      </c>
      <c r="M75" s="15" t="s">
        <v>26</v>
      </c>
      <c r="N75" s="15">
        <v>3</v>
      </c>
      <c r="O75" s="15">
        <v>3</v>
      </c>
      <c r="P75" s="2">
        <v>0.95</v>
      </c>
      <c r="Q75" s="106">
        <v>0.03</v>
      </c>
      <c r="R75" s="119">
        <v>15</v>
      </c>
      <c r="W75" s="3"/>
    </row>
    <row r="76" spans="1:23" x14ac:dyDescent="0.25">
      <c r="A76" s="53" t="s">
        <v>28</v>
      </c>
      <c r="B76" s="6" t="s">
        <v>86</v>
      </c>
      <c r="C76" s="68">
        <f>LOOKUP("A.1.1.1.2.2.6",FamB_Final_Filter!$A$2:$A$127,FamB_Final_Filter!$B$2:$B$127)</f>
        <v>23252</v>
      </c>
      <c r="D76" s="14">
        <f>1-C76/C58</f>
        <v>0.37936740958227677</v>
      </c>
      <c r="E76" s="4">
        <f>C76/C3</f>
        <v>5.1680413585556514E-2</v>
      </c>
      <c r="F76" s="68">
        <f>LOOKUP("A.1.1.1.2.2.6",FamB_Final_Filter!$A$2:$A$127,FamB_Final_Filter!$C$2:$C$127)</f>
        <v>5718</v>
      </c>
      <c r="G76" s="14">
        <f>1-F76/F58</f>
        <v>0.25932642487046631</v>
      </c>
      <c r="H76" s="4">
        <f>F76/F3</f>
        <v>0.14189994044073853</v>
      </c>
      <c r="I76" s="68">
        <f>LOOKUP("A.1.1.1.2.2.6",FamB_Final_Filter!$A$2:$A$127,FamB_Final_Filter!$D$2:$D$127)</f>
        <v>175</v>
      </c>
      <c r="J76" s="14">
        <f>1-I76/I58</f>
        <v>0</v>
      </c>
      <c r="K76" s="4">
        <f>I76/I3</f>
        <v>1</v>
      </c>
      <c r="L76" s="15">
        <v>20</v>
      </c>
      <c r="M76" s="15" t="s">
        <v>26</v>
      </c>
      <c r="N76" s="15">
        <v>3</v>
      </c>
      <c r="O76" s="15">
        <v>3</v>
      </c>
      <c r="P76" s="2">
        <v>0.95</v>
      </c>
      <c r="Q76" s="106">
        <v>0.03</v>
      </c>
      <c r="R76" s="119">
        <v>20</v>
      </c>
      <c r="W76" s="3"/>
    </row>
    <row r="77" spans="1:23" ht="8.25" customHeight="1" x14ac:dyDescent="0.25">
      <c r="A77" s="82"/>
      <c r="B77" s="87"/>
      <c r="C77" s="83"/>
      <c r="D77" s="84"/>
      <c r="E77" s="90"/>
      <c r="F77" s="83"/>
      <c r="G77" s="84"/>
      <c r="H77" s="90"/>
      <c r="I77" s="83"/>
      <c r="J77" s="84"/>
      <c r="K77" s="90"/>
      <c r="L77" s="83"/>
      <c r="M77" s="83"/>
      <c r="N77" s="83"/>
      <c r="O77" s="83"/>
      <c r="P77" s="83"/>
      <c r="Q77" s="111"/>
      <c r="R77" s="120"/>
      <c r="S77" s="82"/>
      <c r="T77" s="82"/>
      <c r="U77" s="82"/>
      <c r="V77" s="82"/>
      <c r="W77" s="87"/>
    </row>
    <row r="78" spans="1:23" x14ac:dyDescent="0.25">
      <c r="A78" s="53" t="s">
        <v>28</v>
      </c>
      <c r="B78" s="6" t="s">
        <v>88</v>
      </c>
      <c r="C78" s="68">
        <f>LOOKUP("B.1.3.3.2.3.1",FamB_Final_Filter!$A$2:$A$127,FamB_Final_Filter!$B$2:$B$127)</f>
        <v>28366</v>
      </c>
      <c r="D78" s="14">
        <f>1-C78/C62</f>
        <v>0.18114373141652951</v>
      </c>
      <c r="E78" s="4">
        <f>C78/C3</f>
        <v>6.3046903998275242E-2</v>
      </c>
      <c r="F78" s="68">
        <f>LOOKUP("B.1.3.3.2.3.1",FamB_Final_Filter!$A$2:$A$127,FamB_Final_Filter!$C$2:$C$127)</f>
        <v>6821</v>
      </c>
      <c r="G78" s="14">
        <f>1-F78/F62</f>
        <v>0.1023818923542571</v>
      </c>
      <c r="H78" s="4">
        <f>F78/F3</f>
        <v>0.16927238435576733</v>
      </c>
      <c r="I78" s="68">
        <f>LOOKUP("B.1.3.3.2.3.1",FamB_Final_Filter!$A$2:$A$127,FamB_Final_Filter!$D$2:$D$127)</f>
        <v>174</v>
      </c>
      <c r="J78" s="14">
        <f>1-I78/I62</f>
        <v>0</v>
      </c>
      <c r="K78" s="4">
        <f>I78/I3</f>
        <v>0.99428571428571433</v>
      </c>
      <c r="L78" s="15">
        <v>20</v>
      </c>
      <c r="M78" s="15">
        <v>0.8</v>
      </c>
      <c r="N78" s="15">
        <v>3</v>
      </c>
      <c r="O78" s="15">
        <v>3</v>
      </c>
      <c r="P78" s="15">
        <v>0.75</v>
      </c>
      <c r="Q78" s="106">
        <v>0.03</v>
      </c>
      <c r="R78" s="119">
        <v>10</v>
      </c>
      <c r="W78" s="3"/>
    </row>
    <row r="79" spans="1:23" x14ac:dyDescent="0.25">
      <c r="A79" s="78" t="s">
        <v>28</v>
      </c>
      <c r="B79" s="9" t="s">
        <v>87</v>
      </c>
      <c r="C79" s="68">
        <f>LOOKUP("B.1.3.3.2.3.2",FamB_Final_Filter!$A$2:$A$127,FamB_Final_Filter!$B$2:$B$127)</f>
        <v>23285</v>
      </c>
      <c r="D79" s="25">
        <f>1-C79/C62</f>
        <v>0.32781963569181027</v>
      </c>
      <c r="E79" s="26">
        <f>C79/C3</f>
        <v>5.1753760121266271E-2</v>
      </c>
      <c r="F79" s="68">
        <f>LOOKUP("B.1.3.3.2.3.2",FamB_Final_Filter!$A$2:$A$127,FamB_Final_Filter!$C$2:$C$127)</f>
        <v>5725</v>
      </c>
      <c r="G79" s="25">
        <f>1-F79/F62</f>
        <v>0.24661139623634687</v>
      </c>
      <c r="H79" s="26">
        <f>F79/F3</f>
        <v>0.14207365495334526</v>
      </c>
      <c r="I79" s="68">
        <f>LOOKUP("B.1.3.3.2.3.2",FamB_Final_Filter!$A$2:$A$127,FamB_Final_Filter!$D$2:$D$127)</f>
        <v>174</v>
      </c>
      <c r="J79" s="25">
        <f>1-I79/I62</f>
        <v>0</v>
      </c>
      <c r="K79" s="26">
        <f>I79/I3</f>
        <v>0.99428571428571433</v>
      </c>
      <c r="L79" s="16">
        <v>20</v>
      </c>
      <c r="M79" s="16">
        <v>0.8</v>
      </c>
      <c r="N79" s="16">
        <v>3</v>
      </c>
      <c r="O79" s="16">
        <v>3</v>
      </c>
      <c r="P79" s="16">
        <v>0.75</v>
      </c>
      <c r="Q79" s="107">
        <v>0.03</v>
      </c>
      <c r="R79" s="121">
        <v>20</v>
      </c>
      <c r="W79" s="3"/>
    </row>
    <row r="80" spans="1:23" x14ac:dyDescent="0.25">
      <c r="A80" s="53" t="s">
        <v>28</v>
      </c>
      <c r="B80" s="6" t="s">
        <v>89</v>
      </c>
      <c r="C80" s="68">
        <f>LOOKUP("B.1.3.3.2.3.3",FamB_Final_Filter!$A$2:$A$127,FamB_Final_Filter!$B$2:$B$127)</f>
        <v>26967</v>
      </c>
      <c r="D80" s="14">
        <f>1-C80/C62</f>
        <v>0.22152940157616696</v>
      </c>
      <c r="E80" s="4">
        <f>C80/C3</f>
        <v>5.9937455408640219E-2</v>
      </c>
      <c r="F80" s="68">
        <f>LOOKUP("B.1.3.3.2.3.3",FamB_Final_Filter!$A$2:$A$127,FamB_Final_Filter!$C$2:$C$127)</f>
        <v>6703</v>
      </c>
      <c r="G80" s="14">
        <f>1-F80/F62</f>
        <v>0.11791025134886168</v>
      </c>
      <c r="H80" s="4">
        <f>F80/F3</f>
        <v>0.16634405400039706</v>
      </c>
      <c r="I80" s="68">
        <f>LOOKUP("B.1.3.3.2.3.3",FamB_Final_Filter!$A$2:$A$127,FamB_Final_Filter!$D$2:$D$127)</f>
        <v>174</v>
      </c>
      <c r="J80" s="14">
        <f>1-I80/I62</f>
        <v>0</v>
      </c>
      <c r="K80" s="4">
        <f>I80/I3</f>
        <v>0.99428571428571433</v>
      </c>
      <c r="L80" s="15">
        <v>20</v>
      </c>
      <c r="M80" s="15">
        <v>0.8</v>
      </c>
      <c r="N80" s="15">
        <v>3</v>
      </c>
      <c r="O80" s="15">
        <v>3</v>
      </c>
      <c r="P80" s="15">
        <v>0.75</v>
      </c>
      <c r="Q80" s="106">
        <v>0.05</v>
      </c>
      <c r="R80" s="119">
        <v>10</v>
      </c>
      <c r="W80" s="3"/>
    </row>
    <row r="81" spans="1:23" x14ac:dyDescent="0.25">
      <c r="A81" s="79" t="s">
        <v>28</v>
      </c>
      <c r="B81" s="13" t="s">
        <v>90</v>
      </c>
      <c r="C81" s="68">
        <f>LOOKUP("B.1.3.3.2.3.4",FamB_Final_Filter!$A$2:$A$127,FamB_Final_Filter!$B$2:$B$127)</f>
        <v>22838</v>
      </c>
      <c r="D81" s="27">
        <f>1-C81/C62</f>
        <v>0.34072342022458935</v>
      </c>
      <c r="E81" s="28">
        <f>C81/C3</f>
        <v>5.0760247955743146E-2</v>
      </c>
      <c r="F81" s="68">
        <f>LOOKUP("B.1.3.3.2.3.4",FamB_Final_Filter!$A$2:$A$127,FamB_Final_Filter!$C$2:$C$127)</f>
        <v>5695</v>
      </c>
      <c r="G81" s="27">
        <f>1-F81/F62</f>
        <v>0.2505592841163311</v>
      </c>
      <c r="H81" s="28">
        <f>F81/F3</f>
        <v>0.14132916418503078</v>
      </c>
      <c r="I81" s="68">
        <f>LOOKUP("B.1.3.3.2.3.4",FamB_Final_Filter!$A$2:$A$127,FamB_Final_Filter!$D$2:$D$127)</f>
        <v>174</v>
      </c>
      <c r="J81" s="27">
        <f>1-I81/I62</f>
        <v>0</v>
      </c>
      <c r="K81" s="28">
        <f>I81/I3</f>
        <v>0.99428571428571433</v>
      </c>
      <c r="L81" s="19">
        <v>20</v>
      </c>
      <c r="M81" s="19">
        <v>0.8</v>
      </c>
      <c r="N81" s="19">
        <v>3</v>
      </c>
      <c r="O81" s="19">
        <v>3</v>
      </c>
      <c r="P81" s="19">
        <v>0.75</v>
      </c>
      <c r="Q81" s="110">
        <v>0.05</v>
      </c>
      <c r="R81" s="124">
        <v>20</v>
      </c>
      <c r="W81" s="3"/>
    </row>
    <row r="82" spans="1:23" x14ac:dyDescent="0.25">
      <c r="A82" s="67"/>
      <c r="B82" s="54"/>
      <c r="C82" s="55"/>
      <c r="D82" s="56"/>
      <c r="E82" s="57"/>
      <c r="F82" s="55"/>
      <c r="G82" s="56"/>
      <c r="H82" s="57"/>
      <c r="I82" s="55"/>
      <c r="J82" s="56"/>
      <c r="K82" s="57"/>
      <c r="L82" s="55"/>
      <c r="M82" s="55"/>
      <c r="N82" s="55"/>
      <c r="O82" s="55"/>
      <c r="P82" s="55"/>
      <c r="Q82" s="55"/>
      <c r="R82" s="58"/>
      <c r="S82" s="67"/>
      <c r="T82" s="67"/>
      <c r="U82" s="67"/>
      <c r="V82" s="67"/>
      <c r="W82" s="54"/>
    </row>
    <row r="83" spans="1:23" x14ac:dyDescent="0.25">
      <c r="A83" s="75" t="s">
        <v>29</v>
      </c>
      <c r="B83" s="12" t="s">
        <v>91</v>
      </c>
      <c r="C83" s="68">
        <f>LOOKUP("A.1.1.1.2.2.3.1",FamB_Final_Filter!$A$2:$A$127,FamB_Final_Filter!$B$2:$B$127)</f>
        <v>22034</v>
      </c>
      <c r="D83" s="22">
        <f>1-C83/C73</f>
        <v>3.3893102994694613E-2</v>
      </c>
      <c r="E83" s="23">
        <f>C83/C3</f>
        <v>4.8973259631178059E-2</v>
      </c>
      <c r="F83" s="68">
        <f>LOOKUP("A.1.1.1.2.2.3.1",FamB_Final_Filter!$A$2:$A$127,FamB_Final_Filter!$C$2:$C$127)</f>
        <v>5486</v>
      </c>
      <c r="G83" s="22">
        <f>1-F83/F73</f>
        <v>3.5513361462728543E-2</v>
      </c>
      <c r="H83" s="23">
        <f>F83/F3</f>
        <v>0.13614254516577329</v>
      </c>
      <c r="I83" s="68">
        <f>LOOKUP("A.1.1.1.2.2.3.1",FamB_Final_Filter!$A$2:$A$127,FamB_Final_Filter!$D$2:$D$127)</f>
        <v>175</v>
      </c>
      <c r="J83" s="22">
        <f>1-I83/I73</f>
        <v>0</v>
      </c>
      <c r="K83" s="23">
        <f>I83/I3</f>
        <v>1</v>
      </c>
      <c r="L83" s="17">
        <v>20</v>
      </c>
      <c r="M83" s="104" t="s">
        <v>30</v>
      </c>
      <c r="N83" s="17">
        <v>3</v>
      </c>
      <c r="O83" s="17">
        <v>3</v>
      </c>
      <c r="P83" s="17">
        <v>0.95</v>
      </c>
      <c r="Q83" s="17">
        <v>0.05</v>
      </c>
      <c r="R83" s="18">
        <v>20</v>
      </c>
      <c r="W83" s="3"/>
    </row>
    <row r="84" spans="1:23" x14ac:dyDescent="0.25">
      <c r="A84" s="53" t="s">
        <v>29</v>
      </c>
      <c r="B84" s="6" t="s">
        <v>92</v>
      </c>
      <c r="C84" s="68">
        <f>LOOKUP("A.1.1.1.2.2.3.2",FamB_Final_Filter!$A$2:$A$127,FamB_Final_Filter!$B$2:$B$127)</f>
        <v>21309</v>
      </c>
      <c r="D84" s="14">
        <f>1-C84/C73</f>
        <v>6.5681588985837647E-2</v>
      </c>
      <c r="E84" s="4">
        <f>C84/C3</f>
        <v>4.7361858467857551E-2</v>
      </c>
      <c r="F84" s="68">
        <f>LOOKUP("A.1.1.1.2.2.3.2",FamB_Final_Filter!$A$2:$A$127,FamB_Final_Filter!$C$2:$C$127)</f>
        <v>5294</v>
      </c>
      <c r="G84" s="14">
        <f>1-F84/F73</f>
        <v>6.9268635724331951E-2</v>
      </c>
      <c r="H84" s="4">
        <f>F84/F3</f>
        <v>0.13137780424856066</v>
      </c>
      <c r="I84" s="68">
        <f>LOOKUP("A.1.1.1.2.2.3.2",FamB_Final_Filter!$A$2:$A$127,FamB_Final_Filter!$D$2:$D$127)</f>
        <v>175</v>
      </c>
      <c r="J84" s="14">
        <f>1-I84/I73</f>
        <v>0</v>
      </c>
      <c r="K84" s="4">
        <f>I84/I3</f>
        <v>1</v>
      </c>
      <c r="L84" s="15">
        <v>20</v>
      </c>
      <c r="M84" s="106" t="s">
        <v>31</v>
      </c>
      <c r="N84" s="15">
        <v>3</v>
      </c>
      <c r="O84" s="15">
        <v>3</v>
      </c>
      <c r="P84" s="2">
        <v>0.95</v>
      </c>
      <c r="Q84" s="15">
        <v>0.05</v>
      </c>
      <c r="R84" s="5">
        <v>20</v>
      </c>
      <c r="W84" s="3"/>
    </row>
    <row r="85" spans="1:23" ht="8.25" customHeight="1" x14ac:dyDescent="0.25">
      <c r="A85" s="82"/>
      <c r="B85" s="87"/>
      <c r="C85" s="83"/>
      <c r="D85" s="84"/>
      <c r="E85" s="90"/>
      <c r="F85" s="83"/>
      <c r="G85" s="84"/>
      <c r="H85" s="90"/>
      <c r="I85" s="83"/>
      <c r="J85" s="84"/>
      <c r="K85" s="90"/>
      <c r="L85" s="83"/>
      <c r="M85" s="111"/>
      <c r="N85" s="83"/>
      <c r="O85" s="83"/>
      <c r="P85" s="83"/>
      <c r="Q85" s="83"/>
      <c r="R85" s="93"/>
      <c r="S85" s="82"/>
      <c r="T85" s="82"/>
      <c r="U85" s="82"/>
      <c r="V85" s="82"/>
      <c r="W85" s="87"/>
    </row>
    <row r="86" spans="1:23" x14ac:dyDescent="0.25">
      <c r="A86" s="78" t="s">
        <v>29</v>
      </c>
      <c r="B86" s="9" t="s">
        <v>93</v>
      </c>
      <c r="C86" s="68">
        <f>LOOKUP("B.1.3.3.2.3.2.1",FamB_Final_Filter!$A$2:$A$127,FamB_Final_Filter!$B$2:$B$127)</f>
        <v>22567</v>
      </c>
      <c r="D86" s="25">
        <f>1-C86/C79</f>
        <v>3.0835301696371054E-2</v>
      </c>
      <c r="E86" s="26">
        <f>C86/C3</f>
        <v>5.0157917314005408E-2</v>
      </c>
      <c r="F86" s="68">
        <f>LOOKUP("B.1.3.3.2.3.2.1",FamB_Final_Filter!$A$2:$A$127,FamB_Final_Filter!$C$2:$C$127)</f>
        <v>5545</v>
      </c>
      <c r="G86" s="25">
        <f>1-F86/F79</f>
        <v>3.1441048034934527E-2</v>
      </c>
      <c r="H86" s="26">
        <f>F86/F3</f>
        <v>0.13760671034345842</v>
      </c>
      <c r="I86" s="68">
        <f>LOOKUP("B.1.3.3.2.3.2.1",FamB_Final_Filter!$A$2:$A$127,FamB_Final_Filter!$D$2:$D$127)</f>
        <v>174</v>
      </c>
      <c r="J86" s="25">
        <f>1-I86/I79</f>
        <v>0</v>
      </c>
      <c r="K86" s="26">
        <f>I86/I3</f>
        <v>0.99428571428571433</v>
      </c>
      <c r="L86" s="16">
        <v>20</v>
      </c>
      <c r="M86" s="107">
        <v>0.85</v>
      </c>
      <c r="N86" s="16">
        <v>3</v>
      </c>
      <c r="O86" s="16">
        <v>3</v>
      </c>
      <c r="P86" s="16">
        <v>0.75</v>
      </c>
      <c r="Q86" s="16">
        <v>0.03</v>
      </c>
      <c r="R86" s="10">
        <v>20</v>
      </c>
      <c r="W86" s="3"/>
    </row>
    <row r="87" spans="1:23" x14ac:dyDescent="0.25">
      <c r="A87" s="81" t="s">
        <v>29</v>
      </c>
      <c r="B87" s="48" t="s">
        <v>94</v>
      </c>
      <c r="C87" s="68">
        <f>LOOKUP("B.1.3.3.2.3.2.2",FamB_Final_Filter!$A$2:$A$127,FamB_Final_Filter!$B$2:$B$127)</f>
        <v>21801</v>
      </c>
      <c r="D87" s="50">
        <f>1-C87/C79</f>
        <v>6.3732016319518969E-2</v>
      </c>
      <c r="E87" s="51">
        <f>C87/C3</f>
        <v>4.8455388636621258E-2</v>
      </c>
      <c r="F87" s="68">
        <f>LOOKUP("B.1.3.3.2.3.2.2",FamB_Final_Filter!$A$2:$A$127,FamB_Final_Filter!$C$2:$C$127)</f>
        <v>5345</v>
      </c>
      <c r="G87" s="50">
        <f>1-F87/F79</f>
        <v>6.6375545851528384E-2</v>
      </c>
      <c r="H87" s="51">
        <f>F87/F3</f>
        <v>0.13264343855469526</v>
      </c>
      <c r="I87" s="68">
        <f>LOOKUP("B.1.3.3.2.3.2.2",FamB_Final_Filter!$A$2:$A$127,FamB_Final_Filter!$D$2:$D$127)</f>
        <v>174</v>
      </c>
      <c r="J87" s="50">
        <f>1-I87/I79</f>
        <v>0</v>
      </c>
      <c r="K87" s="51">
        <f>I87/I3</f>
        <v>0.99428571428571433</v>
      </c>
      <c r="L87" s="49">
        <v>20</v>
      </c>
      <c r="M87" s="125">
        <v>0.9</v>
      </c>
      <c r="N87" s="49">
        <v>3</v>
      </c>
      <c r="O87" s="49">
        <v>3</v>
      </c>
      <c r="P87" s="49">
        <v>0.75</v>
      </c>
      <c r="Q87" s="49">
        <v>0.03</v>
      </c>
      <c r="R87" s="52">
        <v>20</v>
      </c>
      <c r="W87" s="3"/>
    </row>
    <row r="88" spans="1:23" ht="8.25" customHeight="1" x14ac:dyDescent="0.25">
      <c r="A88" s="82"/>
      <c r="B88" s="87"/>
      <c r="C88" s="83"/>
      <c r="D88" s="84"/>
      <c r="E88" s="90"/>
      <c r="F88" s="83"/>
      <c r="G88" s="84"/>
      <c r="H88" s="90"/>
      <c r="I88" s="83"/>
      <c r="J88" s="84"/>
      <c r="K88" s="90"/>
      <c r="L88" s="83"/>
      <c r="M88" s="111"/>
      <c r="N88" s="83"/>
      <c r="O88" s="83"/>
      <c r="P88" s="83"/>
      <c r="Q88" s="83"/>
      <c r="R88" s="93"/>
      <c r="S88" s="82"/>
      <c r="T88" s="82"/>
      <c r="U88" s="82"/>
      <c r="V88" s="82"/>
      <c r="W88" s="87"/>
    </row>
    <row r="89" spans="1:23" x14ac:dyDescent="0.25">
      <c r="A89" s="79" t="s">
        <v>29</v>
      </c>
      <c r="B89" s="13" t="s">
        <v>95</v>
      </c>
      <c r="C89" s="68">
        <f>LOOKUP("B.1.3.3.2.3.4.1",FamB_Final_Filter!$A$2:$A$127,FamB_Final_Filter!$B$2:$B$127)</f>
        <v>22145</v>
      </c>
      <c r="D89" s="27">
        <f>1-C89/C81</f>
        <v>3.0344163236710742E-2</v>
      </c>
      <c r="E89" s="28">
        <f>C89/C3</f>
        <v>4.9219970705838161E-2</v>
      </c>
      <c r="F89" s="68">
        <f>LOOKUP("B.1.3.3.2.3.4.1",FamB_Final_Filter!$A$2:$A$127,FamB_Final_Filter!$C$2:$C$127)</f>
        <v>5517</v>
      </c>
      <c r="G89" s="27">
        <f>1-F89/F81</f>
        <v>3.1255487269534643E-2</v>
      </c>
      <c r="H89" s="28">
        <f>F89/F3</f>
        <v>0.13691185229303157</v>
      </c>
      <c r="I89" s="68">
        <f>LOOKUP("B.1.3.3.2.3.4.1",FamB_Final_Filter!$A$2:$A$127,FamB_Final_Filter!$D$2:$D$127)</f>
        <v>174</v>
      </c>
      <c r="J89" s="27">
        <f>1-I89/I81</f>
        <v>0</v>
      </c>
      <c r="K89" s="28">
        <f>I89/I3</f>
        <v>0.99428571428571433</v>
      </c>
      <c r="L89" s="19">
        <v>20</v>
      </c>
      <c r="M89" s="110">
        <v>0.85</v>
      </c>
      <c r="N89" s="19">
        <v>3</v>
      </c>
      <c r="O89" s="19">
        <v>3</v>
      </c>
      <c r="P89" s="19">
        <v>0.75</v>
      </c>
      <c r="Q89" s="19">
        <v>0.05</v>
      </c>
      <c r="R89" s="20">
        <v>20</v>
      </c>
      <c r="W89" s="3"/>
    </row>
    <row r="90" spans="1:23" x14ac:dyDescent="0.25">
      <c r="A90" s="59" t="s">
        <v>29</v>
      </c>
      <c r="B90" s="43" t="s">
        <v>96</v>
      </c>
      <c r="C90" s="68">
        <f>LOOKUP("B.1.3.3.2.3.4.2",FamB_Final_Filter!$A$2:$A$127,FamB_Final_Filter!$B$2:$B$127)</f>
        <v>21420</v>
      </c>
      <c r="D90" s="45">
        <f>1-C90/C81</f>
        <v>6.2089499956213379E-2</v>
      </c>
      <c r="E90" s="46">
        <f>C90/C3</f>
        <v>4.7608569542517652E-2</v>
      </c>
      <c r="F90" s="68">
        <f>LOOKUP("B.1.3.3.2.3.4.2",FamB_Final_Filter!$A$2:$A$127,FamB_Final_Filter!$C$2:$C$127)</f>
        <v>5323</v>
      </c>
      <c r="G90" s="45">
        <f>1-F90/F81</f>
        <v>6.53204565408253E-2</v>
      </c>
      <c r="H90" s="46">
        <f>F90/F3</f>
        <v>0.13209747865793131</v>
      </c>
      <c r="I90" s="68">
        <f>LOOKUP("B.1.3.3.2.3.4.2",FamB_Final_Filter!$A$2:$A$127,FamB_Final_Filter!$D$2:$D$127)</f>
        <v>174</v>
      </c>
      <c r="J90" s="45">
        <f>1-I90/I81</f>
        <v>0</v>
      </c>
      <c r="K90" s="46">
        <f>I90/I3</f>
        <v>0.99428571428571433</v>
      </c>
      <c r="L90" s="44">
        <v>20</v>
      </c>
      <c r="M90" s="126">
        <v>0.9</v>
      </c>
      <c r="N90" s="44">
        <v>3</v>
      </c>
      <c r="O90" s="44">
        <v>3</v>
      </c>
      <c r="P90" s="44">
        <v>0.75</v>
      </c>
      <c r="Q90" s="44">
        <v>0.05</v>
      </c>
      <c r="R90" s="47">
        <v>20</v>
      </c>
      <c r="W90" s="3"/>
    </row>
    <row r="91" spans="1:23" x14ac:dyDescent="0.25">
      <c r="A91" s="67"/>
      <c r="B91" s="54"/>
      <c r="C91" s="55"/>
      <c r="D91" s="56"/>
      <c r="E91" s="57"/>
      <c r="F91" s="55"/>
      <c r="G91" s="56"/>
      <c r="H91" s="57"/>
      <c r="I91" s="55"/>
      <c r="J91" s="56"/>
      <c r="K91" s="57"/>
      <c r="L91" s="55"/>
      <c r="M91" s="55"/>
      <c r="N91" s="55"/>
      <c r="O91" s="55"/>
      <c r="P91" s="55"/>
      <c r="Q91" s="55"/>
      <c r="R91" s="58"/>
      <c r="S91" s="67"/>
      <c r="T91" s="67"/>
      <c r="U91" s="67"/>
      <c r="V91" s="67"/>
      <c r="W91" s="54"/>
    </row>
    <row r="92" spans="1:23" x14ac:dyDescent="0.25">
      <c r="A92" s="53" t="s">
        <v>32</v>
      </c>
      <c r="B92" s="6" t="s">
        <v>98</v>
      </c>
      <c r="C92" s="68">
        <f>LOOKUP("A.1.1.1.2.2.3.1.1",FamB_Final_Filter!$A$2:$A$127,FamB_Final_Filter!$B$2:$B$127)</f>
        <v>22034</v>
      </c>
      <c r="E92" s="4">
        <f>C92/C3</f>
        <v>4.8973259631178059E-2</v>
      </c>
      <c r="F92" s="68">
        <f>LOOKUP("A.1.1.1.2.2.3.1.1",FamB_Final_Filter!$A$2:$A$127,FamB_Final_Filter!$C$2:$C$127)</f>
        <v>5486</v>
      </c>
      <c r="H92" s="4">
        <f>F92/F3</f>
        <v>0.13614254516577329</v>
      </c>
      <c r="I92" s="68">
        <f>LOOKUP("A.1.1.1.2.2.3.1.1",FamB_Final_Filter!$A$2:$A$127,FamB_Final_Filter!$D$2:$D$127)</f>
        <v>174</v>
      </c>
      <c r="K92" s="4">
        <f>I92/I3</f>
        <v>0.99428571428571433</v>
      </c>
      <c r="L92" s="15">
        <v>20</v>
      </c>
      <c r="M92" s="15" t="s">
        <v>31</v>
      </c>
      <c r="N92" s="15">
        <v>3</v>
      </c>
      <c r="O92" s="15">
        <v>3</v>
      </c>
      <c r="P92" s="105">
        <v>0.85</v>
      </c>
      <c r="Q92" s="15">
        <v>0.05</v>
      </c>
      <c r="R92" s="5">
        <v>20</v>
      </c>
      <c r="W92" s="3"/>
    </row>
    <row r="93" spans="1:23" x14ac:dyDescent="0.25">
      <c r="A93" s="75" t="s">
        <v>32</v>
      </c>
      <c r="B93" s="12" t="s">
        <v>97</v>
      </c>
      <c r="C93" s="68">
        <f>LOOKUP("A.1.1.1.2.2.3.1,1",FamB_Final_Filter!$A$2:$A$127,FamB_Final_Filter!$B$2:$B$127)</f>
        <v>22034</v>
      </c>
      <c r="D93" s="22"/>
      <c r="E93" s="23">
        <f>C93/C3</f>
        <v>4.8973259631178059E-2</v>
      </c>
      <c r="F93" s="68">
        <f>LOOKUP("A.1.1.1.2.2.3.1,1",FamB_Final_Filter!$A$2:$A$127,FamB_Final_Filter!$C$2:$C$127)</f>
        <v>5486</v>
      </c>
      <c r="G93" s="22"/>
      <c r="H93" s="23">
        <f>F93/F3</f>
        <v>0.13614254516577329</v>
      </c>
      <c r="I93" s="68">
        <f>LOOKUP("A.1.1.1.2.2.3.1,1",FamB_Final_Filter!$A$2:$A$127,FamB_Final_Filter!$D$2:$D$127)</f>
        <v>175</v>
      </c>
      <c r="J93" s="22"/>
      <c r="K93" s="23">
        <f>I93/I3</f>
        <v>1</v>
      </c>
      <c r="L93" s="17">
        <v>20</v>
      </c>
      <c r="M93" s="17" t="s">
        <v>31</v>
      </c>
      <c r="N93" s="17">
        <v>3</v>
      </c>
      <c r="O93" s="17">
        <v>3</v>
      </c>
      <c r="P93" s="104">
        <v>0.8</v>
      </c>
      <c r="Q93" s="17">
        <v>0.05</v>
      </c>
      <c r="R93" s="18">
        <v>20</v>
      </c>
      <c r="W93" s="3"/>
    </row>
    <row r="94" spans="1:23" ht="8.25" customHeight="1" x14ac:dyDescent="0.25">
      <c r="A94" s="82"/>
      <c r="B94" s="87"/>
      <c r="C94" s="83"/>
      <c r="D94" s="84"/>
      <c r="E94" s="90"/>
      <c r="F94" s="83"/>
      <c r="G94" s="84"/>
      <c r="H94" s="90"/>
      <c r="I94" s="83"/>
      <c r="J94" s="84"/>
      <c r="K94" s="90"/>
      <c r="L94" s="83"/>
      <c r="M94" s="83"/>
      <c r="N94" s="83"/>
      <c r="O94" s="83"/>
      <c r="P94" s="111"/>
      <c r="Q94" s="83"/>
      <c r="R94" s="93"/>
      <c r="S94" s="82"/>
      <c r="T94" s="82"/>
      <c r="U94" s="82"/>
      <c r="V94" s="82"/>
      <c r="W94" s="87"/>
    </row>
    <row r="95" spans="1:23" x14ac:dyDescent="0.25">
      <c r="A95" s="53" t="s">
        <v>32</v>
      </c>
      <c r="B95" s="6" t="s">
        <v>102</v>
      </c>
      <c r="C95" s="68">
        <f>LOOKUP("B.1.3.3.2.3.2.1.1",FamB_Final_Filter!$A$2:$A$127,FamB_Final_Filter!$B$2:$B$127)</f>
        <v>22567</v>
      </c>
      <c r="E95" s="4">
        <f>C95/C3</f>
        <v>5.0157917314005408E-2</v>
      </c>
      <c r="F95" s="68">
        <f>LOOKUP("B.1.3.3.2.3.2.1.1",FamB_Final_Filter!$A$2:$A$127,FamB_Final_Filter!$C$2:$C$127)</f>
        <v>5545</v>
      </c>
      <c r="H95" s="4">
        <f>F95/F3</f>
        <v>0.13760671034345842</v>
      </c>
      <c r="I95" s="68">
        <f>LOOKUP("B.1.3.3.2.3.2.1.1",FamB_Final_Filter!$A$2:$A$127,FamB_Final_Filter!$D$2:$D$127)</f>
        <v>174</v>
      </c>
      <c r="K95" s="4">
        <f>I95/I3</f>
        <v>0.99428571428571433</v>
      </c>
      <c r="L95" s="15">
        <v>20</v>
      </c>
      <c r="M95" s="15">
        <v>0.85</v>
      </c>
      <c r="N95" s="15">
        <v>3</v>
      </c>
      <c r="O95" s="15">
        <v>3</v>
      </c>
      <c r="P95" s="106">
        <v>0.7</v>
      </c>
      <c r="Q95" s="15">
        <v>0.03</v>
      </c>
      <c r="R95" s="5">
        <v>20</v>
      </c>
      <c r="W95" s="3"/>
    </row>
    <row r="96" spans="1:23" x14ac:dyDescent="0.25">
      <c r="A96" s="78" t="s">
        <v>32</v>
      </c>
      <c r="B96" s="9" t="s">
        <v>99</v>
      </c>
      <c r="C96" s="68">
        <f>LOOKUP("B.1.3.3.2.3.2.1.2",FamB_Final_Filter!$A$2:$A$127,FamB_Final_Filter!$B$2:$B$127)</f>
        <v>22567</v>
      </c>
      <c r="D96" s="25"/>
      <c r="E96" s="26">
        <f>C96/C3</f>
        <v>5.0157917314005408E-2</v>
      </c>
      <c r="F96" s="68">
        <f>LOOKUP("B.1.3.3.2.3.2.1.2",FamB_Final_Filter!$A$2:$A$127,FamB_Final_Filter!$C$2:$C$127)</f>
        <v>5545</v>
      </c>
      <c r="G96" s="25"/>
      <c r="H96" s="26">
        <f>F96/F3</f>
        <v>0.13760671034345842</v>
      </c>
      <c r="I96" s="68">
        <f>LOOKUP("B.1.3.3.2.3.2.1.2",FamB_Final_Filter!$A$2:$A$127,FamB_Final_Filter!$D$2:$D$127)</f>
        <v>174</v>
      </c>
      <c r="J96" s="25"/>
      <c r="K96" s="26">
        <f>I96/I3</f>
        <v>0.99428571428571433</v>
      </c>
      <c r="L96" s="16">
        <v>20</v>
      </c>
      <c r="M96" s="16">
        <v>0.85</v>
      </c>
      <c r="N96" s="16">
        <v>3</v>
      </c>
      <c r="O96" s="16">
        <v>3</v>
      </c>
      <c r="P96" s="107">
        <v>0.65</v>
      </c>
      <c r="Q96" s="16">
        <v>0.03</v>
      </c>
      <c r="R96" s="10">
        <v>20</v>
      </c>
      <c r="W96" s="3"/>
    </row>
    <row r="97" spans="1:23" x14ac:dyDescent="0.25">
      <c r="A97" s="53" t="s">
        <v>32</v>
      </c>
      <c r="B97" s="6" t="s">
        <v>100</v>
      </c>
      <c r="C97" s="68">
        <f>LOOKUP("B.1.3.3.2.3.2.1.3",FamB_Final_Filter!$A$2:$A$127,FamB_Final_Filter!$B$2:$B$127)</f>
        <v>22567</v>
      </c>
      <c r="E97" s="4">
        <f>C97/C3</f>
        <v>5.0157917314005408E-2</v>
      </c>
      <c r="F97" s="68">
        <f>LOOKUP("B.1.3.3.2.3.2.1.3",FamB_Final_Filter!$A$2:$A$127,FamB_Final_Filter!$C$2:$C$127)</f>
        <v>5545</v>
      </c>
      <c r="H97" s="4">
        <f>F97/F3</f>
        <v>0.13760671034345842</v>
      </c>
      <c r="I97" s="68">
        <f>LOOKUP("B.1.3.3.2.3.2.1.3",FamB_Final_Filter!$A$2:$A$127,FamB_Final_Filter!$D$2:$D$127)</f>
        <v>173</v>
      </c>
      <c r="K97" s="4">
        <f>I97/I3</f>
        <v>0.98857142857142855</v>
      </c>
      <c r="L97" s="15">
        <v>20</v>
      </c>
      <c r="M97" s="15">
        <v>0.85</v>
      </c>
      <c r="N97" s="15">
        <v>3</v>
      </c>
      <c r="O97" s="15">
        <v>3</v>
      </c>
      <c r="P97" s="106">
        <v>0.6</v>
      </c>
      <c r="Q97" s="15">
        <v>0.03</v>
      </c>
      <c r="R97" s="5">
        <v>20</v>
      </c>
      <c r="W97" s="3"/>
    </row>
    <row r="98" spans="1:23" x14ac:dyDescent="0.25">
      <c r="A98" s="53" t="s">
        <v>32</v>
      </c>
      <c r="B98" s="6" t="s">
        <v>101</v>
      </c>
      <c r="C98" s="68">
        <f>LOOKUP("B.1.3.3.2.3.2.1.4",FamB_Final_Filter!$A$2:$A$127,FamB_Final_Filter!$B$2:$B$127)</f>
        <v>22567</v>
      </c>
      <c r="E98" s="4">
        <f>C98/C3</f>
        <v>5.0157917314005408E-2</v>
      </c>
      <c r="F98" s="68">
        <f>LOOKUP("B.1.3.3.2.3.2.1.4",FamB_Final_Filter!$A$2:$A$127,FamB_Final_Filter!$C$2:$C$127)</f>
        <v>5545</v>
      </c>
      <c r="H98" s="4">
        <f>F98/F3</f>
        <v>0.13760671034345842</v>
      </c>
      <c r="I98" s="68">
        <f>LOOKUP("B.1.3.3.2.3.2.1.4",FamB_Final_Filter!$A$2:$A$127,FamB_Final_Filter!$D$2:$D$127)</f>
        <v>173</v>
      </c>
      <c r="K98" s="4">
        <f>I98/I3</f>
        <v>0.98857142857142855</v>
      </c>
      <c r="L98" s="15">
        <v>20</v>
      </c>
      <c r="M98" s="15">
        <v>0.85</v>
      </c>
      <c r="N98" s="15">
        <v>3</v>
      </c>
      <c r="O98" s="15">
        <v>3</v>
      </c>
      <c r="P98" s="106">
        <v>0.5</v>
      </c>
      <c r="Q98" s="15">
        <v>0.03</v>
      </c>
      <c r="R98" s="5">
        <v>20</v>
      </c>
      <c r="W98" s="3"/>
    </row>
    <row r="99" spans="1:23" ht="8.25" customHeight="1" x14ac:dyDescent="0.25">
      <c r="A99" s="82"/>
      <c r="B99" s="87"/>
      <c r="C99" s="83"/>
      <c r="D99" s="84"/>
      <c r="E99" s="90"/>
      <c r="F99" s="83"/>
      <c r="G99" s="84"/>
      <c r="H99" s="90"/>
      <c r="I99" s="83"/>
      <c r="J99" s="84"/>
      <c r="K99" s="90"/>
      <c r="L99" s="83"/>
      <c r="M99" s="83"/>
      <c r="N99" s="83"/>
      <c r="O99" s="83"/>
      <c r="P99" s="111"/>
      <c r="Q99" s="83"/>
      <c r="R99" s="93"/>
      <c r="S99" s="82"/>
      <c r="T99" s="82"/>
      <c r="U99" s="82"/>
      <c r="V99" s="82"/>
      <c r="W99" s="87"/>
    </row>
    <row r="100" spans="1:23" x14ac:dyDescent="0.25">
      <c r="A100" s="24" t="s">
        <v>32</v>
      </c>
      <c r="B100" s="6" t="s">
        <v>104</v>
      </c>
      <c r="C100" s="68">
        <f>LOOKUP("B.1.3.3.2.3.2.2.1",FamB_Final_Filter!$A$2:$A$127,FamB_Final_Filter!$B$2:$B$127)</f>
        <v>21801</v>
      </c>
      <c r="D100" s="7"/>
      <c r="E100" s="8">
        <f>C100/C3</f>
        <v>4.8455388636621258E-2</v>
      </c>
      <c r="F100" s="68">
        <f>LOOKUP("B.1.3.3.2.3.2.2.1",FamB_Final_Filter!$A$2:$A$127,FamB_Final_Filter!$C$2:$C$127)</f>
        <v>5345</v>
      </c>
      <c r="G100" s="7"/>
      <c r="H100" s="8">
        <f>F100/F3</f>
        <v>0.13264343855469526</v>
      </c>
      <c r="I100" s="68">
        <f>LOOKUP("B.1.3.3.2.3.2.2.1",FamB_Final_Filter!$A$2:$A$127,FamB_Final_Filter!$D$2:$D$127)</f>
        <v>174</v>
      </c>
      <c r="J100" s="7"/>
      <c r="K100" s="8">
        <f>I100/I3</f>
        <v>0.99428571428571433</v>
      </c>
      <c r="L100" s="2">
        <v>20</v>
      </c>
      <c r="M100" s="2">
        <v>0.9</v>
      </c>
      <c r="N100" s="2">
        <v>3</v>
      </c>
      <c r="O100" s="2">
        <v>3</v>
      </c>
      <c r="P100" s="105">
        <v>0.7</v>
      </c>
      <c r="Q100" s="2">
        <v>0.03</v>
      </c>
      <c r="R100" s="11">
        <v>20</v>
      </c>
      <c r="W100" s="3"/>
    </row>
    <row r="101" spans="1:23" x14ac:dyDescent="0.25">
      <c r="A101" s="81" t="s">
        <v>32</v>
      </c>
      <c r="B101" s="48" t="s">
        <v>103</v>
      </c>
      <c r="C101" s="68">
        <f>LOOKUP("B.1.3.3.2.3.2.2.1",FamB_Final_Filter!$A$2:$A$127,FamB_Final_Filter!$B$2:$B$127)</f>
        <v>21801</v>
      </c>
      <c r="D101" s="50"/>
      <c r="E101" s="51">
        <f>C101/C3</f>
        <v>4.8455388636621258E-2</v>
      </c>
      <c r="F101" s="68">
        <f>LOOKUP("B.1.3.3.2.3.2.2.1",FamB_Final_Filter!$A$2:$A$127,FamB_Final_Filter!$C$2:$C$127)</f>
        <v>5345</v>
      </c>
      <c r="G101" s="50"/>
      <c r="H101" s="51">
        <f>F101/F3</f>
        <v>0.13264343855469526</v>
      </c>
      <c r="I101" s="68">
        <f>LOOKUP("B.1.3.3.2.3.2.2.1",FamB_Final_Filter!$A$2:$A$127,FamB_Final_Filter!$D$2:$D$127)</f>
        <v>174</v>
      </c>
      <c r="J101" s="50"/>
      <c r="K101" s="51">
        <f>I101/I3</f>
        <v>0.99428571428571433</v>
      </c>
      <c r="L101" s="49">
        <v>20</v>
      </c>
      <c r="M101" s="49">
        <v>0.9</v>
      </c>
      <c r="N101" s="49">
        <v>3</v>
      </c>
      <c r="O101" s="49">
        <v>3</v>
      </c>
      <c r="P101" s="125">
        <v>0.65</v>
      </c>
      <c r="Q101" s="49">
        <v>0.03</v>
      </c>
      <c r="R101" s="52">
        <v>20</v>
      </c>
      <c r="W101" s="3"/>
    </row>
    <row r="102" spans="1:23" x14ac:dyDescent="0.25">
      <c r="A102" s="53" t="s">
        <v>32</v>
      </c>
      <c r="B102" s="6" t="s">
        <v>105</v>
      </c>
      <c r="C102" s="68">
        <f>LOOKUP("B.1.3.3.2.3.2.2.1",FamB_Final_Filter!$A$2:$A$127,FamB_Final_Filter!$B$2:$B$127)</f>
        <v>21801</v>
      </c>
      <c r="E102" s="4">
        <f>C102/C3</f>
        <v>4.8455388636621258E-2</v>
      </c>
      <c r="F102" s="68">
        <f>LOOKUP("B.1.3.3.2.3.2.2.1",FamB_Final_Filter!$A$2:$A$127,FamB_Final_Filter!$C$2:$C$127)</f>
        <v>5345</v>
      </c>
      <c r="H102" s="4">
        <f>F102/F3</f>
        <v>0.13264343855469526</v>
      </c>
      <c r="I102" s="68">
        <f>LOOKUP("B.1.3.3.2.3.2.2.1",FamB_Final_Filter!$A$2:$A$127,FamB_Final_Filter!$D$2:$D$127)</f>
        <v>174</v>
      </c>
      <c r="K102" s="4">
        <f>I102/I3</f>
        <v>0.99428571428571433</v>
      </c>
      <c r="L102" s="15">
        <v>20</v>
      </c>
      <c r="M102" s="15">
        <v>0.9</v>
      </c>
      <c r="N102" s="15">
        <v>3</v>
      </c>
      <c r="O102" s="15">
        <v>3</v>
      </c>
      <c r="P102" s="106">
        <v>0.6</v>
      </c>
      <c r="Q102" s="15">
        <v>0.03</v>
      </c>
      <c r="R102" s="5">
        <v>20</v>
      </c>
      <c r="W102" s="3"/>
    </row>
    <row r="103" spans="1:23" x14ac:dyDescent="0.25">
      <c r="A103" s="53" t="s">
        <v>32</v>
      </c>
      <c r="B103" s="6" t="s">
        <v>106</v>
      </c>
      <c r="C103" s="68">
        <f>LOOKUP("B.1.3.3.2.3.2.2.1",FamB_Final_Filter!$A$2:$A$127,FamB_Final_Filter!$B$2:$B$127)</f>
        <v>21801</v>
      </c>
      <c r="E103" s="4">
        <f>C103/C3</f>
        <v>4.8455388636621258E-2</v>
      </c>
      <c r="F103" s="68">
        <f>LOOKUP("B.1.3.3.2.3.2.2.1",FamB_Final_Filter!$A$2:$A$127,FamB_Final_Filter!$C$2:$C$127)</f>
        <v>5345</v>
      </c>
      <c r="H103" s="4">
        <f>F103/F3</f>
        <v>0.13264343855469526</v>
      </c>
      <c r="I103" s="68">
        <f>LOOKUP("B.1.3.3.2.3.2.2.1",FamB_Final_Filter!$A$2:$A$127,FamB_Final_Filter!$D$2:$D$127)</f>
        <v>174</v>
      </c>
      <c r="K103" s="4">
        <f>I103/I3</f>
        <v>0.99428571428571433</v>
      </c>
      <c r="L103" s="15">
        <v>20</v>
      </c>
      <c r="M103" s="15">
        <v>0.9</v>
      </c>
      <c r="N103" s="15">
        <v>3</v>
      </c>
      <c r="O103" s="15">
        <v>3</v>
      </c>
      <c r="P103" s="106">
        <v>0.5</v>
      </c>
      <c r="Q103" s="15">
        <v>0.03</v>
      </c>
      <c r="R103" s="5">
        <v>20</v>
      </c>
      <c r="W103" s="3"/>
    </row>
    <row r="104" spans="1:23" ht="8.25" customHeight="1" x14ac:dyDescent="0.25">
      <c r="A104" s="82"/>
      <c r="B104" s="87"/>
      <c r="C104" s="83"/>
      <c r="D104" s="84"/>
      <c r="E104" s="90"/>
      <c r="F104" s="83"/>
      <c r="G104" s="84"/>
      <c r="H104" s="90"/>
      <c r="I104" s="83"/>
      <c r="J104" s="84"/>
      <c r="K104" s="90"/>
      <c r="L104" s="83"/>
      <c r="M104" s="83"/>
      <c r="N104" s="83"/>
      <c r="O104" s="83"/>
      <c r="P104" s="111"/>
      <c r="Q104" s="83"/>
      <c r="R104" s="93"/>
      <c r="S104" s="82"/>
      <c r="T104" s="82"/>
      <c r="U104" s="82"/>
      <c r="V104" s="82"/>
      <c r="W104" s="87"/>
    </row>
    <row r="105" spans="1:23" x14ac:dyDescent="0.25">
      <c r="A105" s="53" t="s">
        <v>32</v>
      </c>
      <c r="B105" s="6" t="s">
        <v>108</v>
      </c>
      <c r="C105" s="68">
        <f>LOOKUP("B.1.3.3.2.3.4.1.1",FamB_Final_Filter!$A$2:$A$127,FamB_Final_Filter!$B$2:$B$127)</f>
        <v>22145</v>
      </c>
      <c r="E105" s="4">
        <f>C105/C3</f>
        <v>4.9219970705838161E-2</v>
      </c>
      <c r="F105" s="68">
        <f>LOOKUP("B.1.3.3.2.3.4.1.1",FamB_Final_Filter!$A$2:$A$127,FamB_Final_Filter!$C$2:$C$127)</f>
        <v>5517</v>
      </c>
      <c r="H105" s="4">
        <f>F105/F3</f>
        <v>0.13691185229303157</v>
      </c>
      <c r="I105" s="68">
        <f>LOOKUP("B.1.3.3.2.3.4.1.1",FamB_Final_Filter!$A$2:$A$127,FamB_Final_Filter!$D$2:$D$127)</f>
        <v>174</v>
      </c>
      <c r="K105" s="4">
        <f>I105/I3</f>
        <v>0.99428571428571433</v>
      </c>
      <c r="L105" s="15">
        <v>20</v>
      </c>
      <c r="M105" s="15">
        <v>0.85</v>
      </c>
      <c r="N105" s="15">
        <v>3</v>
      </c>
      <c r="O105" s="15">
        <v>3</v>
      </c>
      <c r="P105" s="106">
        <v>0.7</v>
      </c>
      <c r="Q105" s="15">
        <v>0.05</v>
      </c>
      <c r="R105" s="5">
        <v>20</v>
      </c>
      <c r="W105" s="3"/>
    </row>
    <row r="106" spans="1:23" x14ac:dyDescent="0.25">
      <c r="A106" s="79" t="s">
        <v>32</v>
      </c>
      <c r="B106" s="13" t="s">
        <v>107</v>
      </c>
      <c r="C106" s="68">
        <f>LOOKUP("B.1.3.3.2.3.4.1.2",FamB_Final_Filter!$A$2:$A$127,FamB_Final_Filter!$B$2:$B$127)</f>
        <v>22145</v>
      </c>
      <c r="D106" s="27"/>
      <c r="E106" s="28">
        <f>C106/C3</f>
        <v>4.9219970705838161E-2</v>
      </c>
      <c r="F106" s="68">
        <f>LOOKUP("B.1.3.3.2.3.4.1.2",FamB_Final_Filter!$A$2:$A$127,FamB_Final_Filter!$C$2:$C$127)</f>
        <v>5517</v>
      </c>
      <c r="G106" s="27"/>
      <c r="H106" s="28">
        <f>F106/F3</f>
        <v>0.13691185229303157</v>
      </c>
      <c r="I106" s="68">
        <f>LOOKUP("B.1.3.3.2.3.4.1.2",FamB_Final_Filter!$A$2:$A$127,FamB_Final_Filter!$D$2:$D$127)</f>
        <v>174</v>
      </c>
      <c r="J106" s="27"/>
      <c r="K106" s="28">
        <f>I106/I3</f>
        <v>0.99428571428571433</v>
      </c>
      <c r="L106" s="19">
        <v>20</v>
      </c>
      <c r="M106" s="19">
        <v>0.85</v>
      </c>
      <c r="N106" s="19">
        <v>3</v>
      </c>
      <c r="O106" s="19">
        <v>3</v>
      </c>
      <c r="P106" s="110">
        <v>0.65</v>
      </c>
      <c r="Q106" s="19">
        <v>0.05</v>
      </c>
      <c r="R106" s="20">
        <v>20</v>
      </c>
      <c r="W106" s="3"/>
    </row>
    <row r="107" spans="1:23" ht="8.25" customHeight="1" x14ac:dyDescent="0.25">
      <c r="A107" s="82"/>
      <c r="B107" s="87"/>
      <c r="C107" s="83"/>
      <c r="D107" s="84"/>
      <c r="E107" s="90"/>
      <c r="F107" s="83"/>
      <c r="G107" s="84"/>
      <c r="H107" s="90"/>
      <c r="I107" s="83"/>
      <c r="J107" s="84"/>
      <c r="K107" s="90"/>
      <c r="L107" s="83"/>
      <c r="M107" s="83"/>
      <c r="N107" s="83"/>
      <c r="O107" s="83"/>
      <c r="P107" s="111"/>
      <c r="Q107" s="83"/>
      <c r="R107" s="93"/>
      <c r="S107" s="82"/>
      <c r="T107" s="82"/>
      <c r="U107" s="82"/>
      <c r="V107" s="82"/>
      <c r="W107" s="87"/>
    </row>
    <row r="108" spans="1:23" x14ac:dyDescent="0.25">
      <c r="A108" s="59" t="s">
        <v>32</v>
      </c>
      <c r="B108" s="43" t="s">
        <v>111</v>
      </c>
      <c r="C108" s="68">
        <f>LOOKUP("B.1.3.3.2.3.4.2.1",FamB_Final_Filter!$A$2:$A$127,FamB_Final_Filter!$B$2:$B$127)</f>
        <v>21420</v>
      </c>
      <c r="D108" s="45"/>
      <c r="E108" s="46">
        <f>C108/C3</f>
        <v>4.7608569542517652E-2</v>
      </c>
      <c r="F108" s="68">
        <f>LOOKUP("B.1.3.3.2.3.4.2.1",FamB_Final_Filter!$A$2:$A$127,FamB_Final_Filter!$C$2:$C$127)</f>
        <v>5323</v>
      </c>
      <c r="G108" s="45"/>
      <c r="H108" s="46">
        <f>F108/F3</f>
        <v>0.13209747865793131</v>
      </c>
      <c r="I108" s="68">
        <f>LOOKUP("B.1.3.3.2.3.4.2.1",FamB_Final_Filter!$A$2:$A$127,FamB_Final_Filter!$D$2:$D$127)</f>
        <v>174</v>
      </c>
      <c r="J108" s="45"/>
      <c r="K108" s="46">
        <f>I108/I3</f>
        <v>0.99428571428571433</v>
      </c>
      <c r="L108" s="44">
        <v>20</v>
      </c>
      <c r="M108" s="44">
        <v>0.9</v>
      </c>
      <c r="N108" s="44">
        <v>3</v>
      </c>
      <c r="O108" s="44">
        <v>3</v>
      </c>
      <c r="P108" s="126">
        <v>0.7</v>
      </c>
      <c r="Q108" s="44">
        <v>0.05</v>
      </c>
      <c r="R108" s="47">
        <v>20</v>
      </c>
      <c r="W108" s="3"/>
    </row>
    <row r="109" spans="1:23" x14ac:dyDescent="0.25">
      <c r="A109" s="53" t="s">
        <v>32</v>
      </c>
      <c r="B109" s="6" t="s">
        <v>112</v>
      </c>
      <c r="C109" s="68">
        <f>LOOKUP("B.1.3.3.2.3.4.2.1",FamB_Final_Filter!$A$2:$A$127,FamB_Final_Filter!$B$2:$B$127)</f>
        <v>21420</v>
      </c>
      <c r="E109" s="4">
        <f>C109/C3</f>
        <v>4.7608569542517652E-2</v>
      </c>
      <c r="F109" s="68">
        <f>LOOKUP("B.1.3.3.2.3.4.2.1",FamB_Final_Filter!$A$2:$A$127,FamB_Final_Filter!$C$2:$C$127)</f>
        <v>5323</v>
      </c>
      <c r="H109" s="4">
        <f>F109/F3</f>
        <v>0.13209747865793131</v>
      </c>
      <c r="I109" s="68">
        <f>LOOKUP("B.1.3.3.2.3.4.2.1",FamB_Final_Filter!$A$2:$A$127,FamB_Final_Filter!$D$2:$D$127)</f>
        <v>174</v>
      </c>
      <c r="K109" s="4">
        <f>I109/I3</f>
        <v>0.99428571428571433</v>
      </c>
      <c r="L109" s="15">
        <v>20</v>
      </c>
      <c r="M109" s="15">
        <v>0.9</v>
      </c>
      <c r="N109" s="15">
        <v>3</v>
      </c>
      <c r="O109" s="15">
        <v>3</v>
      </c>
      <c r="P109" s="106">
        <v>0.65</v>
      </c>
      <c r="Q109" s="15">
        <v>0.05</v>
      </c>
      <c r="R109" s="5">
        <v>20</v>
      </c>
      <c r="W109" s="3"/>
    </row>
    <row r="110" spans="1:23" x14ac:dyDescent="0.25">
      <c r="A110" s="67"/>
      <c r="B110" s="54"/>
      <c r="C110" s="55"/>
      <c r="D110" s="56"/>
      <c r="E110" s="57"/>
      <c r="F110" s="55"/>
      <c r="G110" s="56"/>
      <c r="H110" s="57"/>
      <c r="I110" s="55"/>
      <c r="J110" s="56"/>
      <c r="K110" s="57"/>
      <c r="L110" s="55"/>
      <c r="M110" s="55"/>
      <c r="N110" s="55"/>
      <c r="O110" s="55"/>
      <c r="P110" s="55"/>
      <c r="Q110" s="55"/>
      <c r="R110" s="58"/>
      <c r="S110" s="67"/>
      <c r="T110" s="67"/>
      <c r="U110" s="67"/>
      <c r="V110" s="67"/>
      <c r="W110" s="54"/>
    </row>
    <row r="111" spans="1:23" s="24" customFormat="1" x14ac:dyDescent="0.25">
      <c r="A111" s="78" t="s">
        <v>33</v>
      </c>
      <c r="B111" s="9"/>
      <c r="C111" s="16"/>
      <c r="D111" s="25"/>
      <c r="E111" s="26">
        <f>C111/C3</f>
        <v>0</v>
      </c>
      <c r="F111" s="16"/>
      <c r="G111" s="25"/>
      <c r="H111" s="26">
        <f>F111/F3</f>
        <v>0</v>
      </c>
      <c r="I111" s="16"/>
      <c r="J111" s="25"/>
      <c r="K111" s="26">
        <f>I111/I3</f>
        <v>0</v>
      </c>
      <c r="L111" s="16">
        <v>20</v>
      </c>
      <c r="M111" s="16">
        <v>0.85</v>
      </c>
      <c r="N111" s="16">
        <v>3</v>
      </c>
      <c r="O111" s="16">
        <v>3</v>
      </c>
      <c r="P111" s="16">
        <v>0.65</v>
      </c>
      <c r="Q111" s="16">
        <v>0.03</v>
      </c>
      <c r="R111" s="10">
        <v>20</v>
      </c>
      <c r="W111" s="6"/>
    </row>
    <row r="112" spans="1:23" s="24" customFormat="1" x14ac:dyDescent="0.25">
      <c r="A112" s="78" t="s">
        <v>34</v>
      </c>
      <c r="B112" s="9"/>
      <c r="C112" s="68">
        <f>LOOKUP("B.1.3.3.2.3.4.1.2.filAB.vcf",FamB_Final_Filter!$A$2:$A$127,FamB_Final_Filter!$B$2:$B$127)</f>
        <v>20029</v>
      </c>
      <c r="D112" s="25"/>
      <c r="E112" s="26">
        <f>C112/C3</f>
        <v>4.4516901931236509E-2</v>
      </c>
      <c r="F112" s="16"/>
      <c r="G112" s="25"/>
      <c r="H112" s="26">
        <f>F112/F3</f>
        <v>0</v>
      </c>
      <c r="I112" s="16"/>
      <c r="J112" s="25"/>
      <c r="K112" s="26">
        <f>I112/I3</f>
        <v>0</v>
      </c>
      <c r="L112" s="16">
        <v>20</v>
      </c>
      <c r="M112" s="16">
        <v>0.85</v>
      </c>
      <c r="N112" s="16">
        <v>3</v>
      </c>
      <c r="O112" s="16">
        <v>3</v>
      </c>
      <c r="P112" s="16">
        <v>0.65</v>
      </c>
      <c r="Q112" s="16">
        <v>0.03</v>
      </c>
      <c r="R112" s="10">
        <v>20</v>
      </c>
      <c r="W112" s="6"/>
    </row>
    <row r="113" spans="1:23" s="24" customFormat="1" x14ac:dyDescent="0.25">
      <c r="A113" s="78" t="s">
        <v>35</v>
      </c>
      <c r="B113" s="9"/>
      <c r="C113" s="68">
        <f>LOOKUP("B.1.3.3.2.3.4.1.2.fil.vcf",FamB_Final_Filter!$A$2:$A$127,FamB_Final_Filter!$B$2:$B$127)</f>
        <v>19931</v>
      </c>
      <c r="D113" s="25"/>
      <c r="E113" s="26">
        <f>C113/C3</f>
        <v>4.4299084946401467E-2</v>
      </c>
      <c r="F113" s="16"/>
      <c r="G113" s="25"/>
      <c r="H113" s="26">
        <f>F113/F3</f>
        <v>0</v>
      </c>
      <c r="I113" s="16"/>
      <c r="J113" s="25"/>
      <c r="K113" s="26">
        <f>I113/I3</f>
        <v>0</v>
      </c>
      <c r="L113" s="16">
        <v>20</v>
      </c>
      <c r="M113" s="16">
        <v>0.85</v>
      </c>
      <c r="N113" s="16">
        <v>3</v>
      </c>
      <c r="O113" s="16">
        <v>3</v>
      </c>
      <c r="P113" s="16">
        <v>0.65</v>
      </c>
      <c r="Q113" s="16">
        <v>0.03</v>
      </c>
      <c r="R113" s="10">
        <v>20</v>
      </c>
      <c r="W113" s="6"/>
    </row>
    <row r="114" spans="1:23" s="24" customFormat="1" x14ac:dyDescent="0.25">
      <c r="A114" s="78" t="s">
        <v>36</v>
      </c>
      <c r="B114" s="9" t="s">
        <v>99</v>
      </c>
      <c r="C114" s="68">
        <f>LOOKUP("B.1.3.3.2.3.4.1.2.FIL",FamB_Final_Filter!$A$2:$A$127,FamB_Final_Filter!$B$2:$B$127)</f>
        <v>18862</v>
      </c>
      <c r="D114" s="25">
        <f>1-C114/C96</f>
        <v>0.16417778171666597</v>
      </c>
      <c r="E114" s="26">
        <f>C114/C3</f>
        <v>4.1923101713864049E-2</v>
      </c>
      <c r="F114" s="68">
        <f>LOOKUP("B.1.3.3.2.3.4.1.2.FIL",FamB_Final_Filter!$A$2:$A$127,FamB_Final_Filter!$C$2:$C$127)</f>
        <v>5073</v>
      </c>
      <c r="G114" s="25">
        <f>1-F114/F96</f>
        <v>8.5121731289449998E-2</v>
      </c>
      <c r="H114" s="26">
        <f>F114/F3</f>
        <v>0.12589338892197738</v>
      </c>
      <c r="I114" s="68">
        <f>LOOKUP("B.1.3.3.2.3.4.1.2.FIL",FamB_Final_Filter!$A$2:$A$127,FamB_Final_Filter!$D$2:$D$127)</f>
        <v>174</v>
      </c>
      <c r="J114" s="25">
        <f>1-I114/I96</f>
        <v>0</v>
      </c>
      <c r="K114" s="26">
        <f>I114/I3</f>
        <v>0.99428571428571433</v>
      </c>
      <c r="L114" s="16">
        <v>20</v>
      </c>
      <c r="M114" s="16">
        <v>0.85</v>
      </c>
      <c r="N114" s="16">
        <v>3</v>
      </c>
      <c r="O114" s="16">
        <v>3</v>
      </c>
      <c r="P114" s="16">
        <v>0.65</v>
      </c>
      <c r="Q114" s="16">
        <v>0.03</v>
      </c>
      <c r="R114" s="10">
        <v>20</v>
      </c>
      <c r="W114" s="6"/>
    </row>
    <row r="115" spans="1:23" s="24" customFormat="1" ht="8.25" customHeight="1" x14ac:dyDescent="0.25">
      <c r="A115" s="82"/>
      <c r="B115" s="87"/>
      <c r="C115" s="83"/>
      <c r="D115" s="84"/>
      <c r="E115" s="90"/>
      <c r="F115" s="83"/>
      <c r="G115" s="84"/>
      <c r="H115" s="90"/>
      <c r="I115" s="83"/>
      <c r="J115" s="84"/>
      <c r="K115" s="90"/>
      <c r="L115" s="83"/>
      <c r="M115" s="83"/>
      <c r="N115" s="83"/>
      <c r="O115" s="83"/>
      <c r="P115" s="83"/>
      <c r="Q115" s="83"/>
      <c r="R115" s="93"/>
      <c r="S115" s="82"/>
      <c r="T115" s="82"/>
      <c r="U115" s="82"/>
      <c r="V115" s="82"/>
      <c r="W115" s="87"/>
    </row>
    <row r="116" spans="1:23" s="24" customFormat="1" x14ac:dyDescent="0.25">
      <c r="A116" s="81" t="s">
        <v>33</v>
      </c>
      <c r="B116" s="48"/>
      <c r="C116" s="49"/>
      <c r="D116" s="50"/>
      <c r="E116" s="51"/>
      <c r="F116" s="49"/>
      <c r="G116" s="50"/>
      <c r="H116" s="51"/>
      <c r="I116" s="49"/>
      <c r="J116" s="50"/>
      <c r="K116" s="51"/>
      <c r="L116" s="49">
        <v>20</v>
      </c>
      <c r="M116" s="49">
        <v>0.9</v>
      </c>
      <c r="N116" s="49">
        <v>3</v>
      </c>
      <c r="O116" s="49">
        <v>3</v>
      </c>
      <c r="P116" s="49">
        <v>0.65</v>
      </c>
      <c r="Q116" s="49">
        <v>0.03</v>
      </c>
      <c r="R116" s="52">
        <v>20</v>
      </c>
      <c r="W116" s="6"/>
    </row>
    <row r="117" spans="1:23" s="24" customFormat="1" x14ac:dyDescent="0.25">
      <c r="A117" s="81" t="s">
        <v>34</v>
      </c>
      <c r="B117" s="48"/>
      <c r="C117" s="68">
        <f>LOOKUP("B.1.3.3.2.3.2.2.2.filAB.vcf",FamB_Final_Filter!$A$2:$A$127,FamB_Final_Filter!$B$2:$B$127)</f>
        <v>19494</v>
      </c>
      <c r="D117" s="50"/>
      <c r="E117" s="51"/>
      <c r="F117" s="49"/>
      <c r="G117" s="50"/>
      <c r="H117" s="51"/>
      <c r="I117" s="49"/>
      <c r="J117" s="50"/>
      <c r="K117" s="51"/>
      <c r="L117" s="49">
        <v>20</v>
      </c>
      <c r="M117" s="49">
        <v>0.9</v>
      </c>
      <c r="N117" s="49">
        <v>3</v>
      </c>
      <c r="O117" s="49">
        <v>3</v>
      </c>
      <c r="P117" s="49">
        <v>0.65</v>
      </c>
      <c r="Q117" s="49">
        <v>0.03</v>
      </c>
      <c r="R117" s="52">
        <v>20</v>
      </c>
      <c r="W117" s="6"/>
    </row>
    <row r="118" spans="1:23" s="24" customFormat="1" x14ac:dyDescent="0.25">
      <c r="A118" s="81" t="s">
        <v>35</v>
      </c>
      <c r="B118" s="48"/>
      <c r="C118" s="68">
        <f>LOOKUP("B.1.3.3.2.3.2.2.2.fil.vcf",FamB_Final_Filter!$A$2:$A$127,FamB_Final_Filter!$B$2:$B$127)</f>
        <v>19403</v>
      </c>
      <c r="D118" s="50"/>
      <c r="E118" s="51"/>
      <c r="F118" s="49"/>
      <c r="G118" s="50"/>
      <c r="H118" s="51"/>
      <c r="I118" s="49"/>
      <c r="J118" s="50"/>
      <c r="K118" s="51"/>
      <c r="L118" s="49">
        <v>20</v>
      </c>
      <c r="M118" s="49">
        <v>0.9</v>
      </c>
      <c r="N118" s="49">
        <v>3</v>
      </c>
      <c r="O118" s="49">
        <v>3</v>
      </c>
      <c r="P118" s="49">
        <v>0.65</v>
      </c>
      <c r="Q118" s="49">
        <v>0.03</v>
      </c>
      <c r="R118" s="52">
        <v>20</v>
      </c>
      <c r="W118" s="6"/>
    </row>
    <row r="119" spans="1:23" s="24" customFormat="1" x14ac:dyDescent="0.25">
      <c r="A119" s="81" t="s">
        <v>36</v>
      </c>
      <c r="B119" s="48" t="s">
        <v>103</v>
      </c>
      <c r="C119" s="68">
        <f>LOOKUP("B.1.3.3.2.3.2.2.2.FIL",FamB_Final_Filter!$A$2:$A$127,FamB_Final_Filter!$B$2:$B$127)</f>
        <v>18337</v>
      </c>
      <c r="D119" s="50">
        <f>1-C119/C101</f>
        <v>0.15889179395440578</v>
      </c>
      <c r="E119" s="51">
        <f>C119/C3</f>
        <v>4.0756225009390579E-2</v>
      </c>
      <c r="F119" s="68">
        <f>LOOKUP("B.1.3.3.2.3.2.2.2.FIL",FamB_Final_Filter!$A$2:$A$127,FamB_Final_Filter!$C$2:$C$127)</f>
        <v>4902</v>
      </c>
      <c r="G119" s="50">
        <f>1-F119/F101</f>
        <v>8.2881197380729632E-2</v>
      </c>
      <c r="H119" s="51">
        <f>F119/F3</f>
        <v>0.12164979154258487</v>
      </c>
      <c r="I119" s="68">
        <f>LOOKUP("B.1.3.3.2.3.2.2.2.FIL",FamB_Final_Filter!$A$2:$A$127,FamB_Final_Filter!$D$2:$D$127)</f>
        <v>174</v>
      </c>
      <c r="J119" s="50">
        <f>1-I119/I101</f>
        <v>0</v>
      </c>
      <c r="K119" s="51">
        <f>I119/I3</f>
        <v>0.99428571428571433</v>
      </c>
      <c r="L119" s="49">
        <v>20</v>
      </c>
      <c r="M119" s="49">
        <v>0.9</v>
      </c>
      <c r="N119" s="49">
        <v>3</v>
      </c>
      <c r="O119" s="49">
        <v>3</v>
      </c>
      <c r="P119" s="49">
        <v>0.65</v>
      </c>
      <c r="Q119" s="49">
        <v>0.03</v>
      </c>
      <c r="R119" s="52">
        <v>20</v>
      </c>
      <c r="W119" s="6"/>
    </row>
    <row r="120" spans="1:23" s="24" customFormat="1" ht="8.25" customHeight="1" x14ac:dyDescent="0.25">
      <c r="A120" s="82"/>
      <c r="B120" s="87"/>
      <c r="C120" s="83"/>
      <c r="D120" s="84"/>
      <c r="E120" s="90"/>
      <c r="F120" s="83"/>
      <c r="G120" s="84"/>
      <c r="H120" s="90"/>
      <c r="I120" s="83"/>
      <c r="J120" s="84"/>
      <c r="K120" s="90"/>
      <c r="L120" s="83"/>
      <c r="M120" s="83"/>
      <c r="N120" s="83"/>
      <c r="O120" s="83"/>
      <c r="P120" s="83"/>
      <c r="Q120" s="83"/>
      <c r="R120" s="93"/>
      <c r="S120" s="82"/>
      <c r="T120" s="82"/>
      <c r="U120" s="82"/>
      <c r="V120" s="82"/>
      <c r="W120" s="87"/>
    </row>
    <row r="121" spans="1:23" s="24" customFormat="1" x14ac:dyDescent="0.25">
      <c r="A121" s="75" t="s">
        <v>33</v>
      </c>
      <c r="B121" s="12"/>
      <c r="C121" s="17"/>
      <c r="D121" s="22"/>
      <c r="E121" s="23"/>
      <c r="F121" s="17"/>
      <c r="G121" s="22"/>
      <c r="H121" s="23"/>
      <c r="I121" s="17"/>
      <c r="J121" s="22"/>
      <c r="K121" s="23"/>
      <c r="L121" s="95">
        <v>20</v>
      </c>
      <c r="M121" s="95" t="s">
        <v>31</v>
      </c>
      <c r="N121" s="95">
        <v>3</v>
      </c>
      <c r="O121" s="95">
        <v>3</v>
      </c>
      <c r="P121" s="95">
        <v>0.8</v>
      </c>
      <c r="Q121" s="95">
        <v>0.05</v>
      </c>
      <c r="R121" s="96">
        <v>20</v>
      </c>
      <c r="W121" s="6"/>
    </row>
    <row r="122" spans="1:23" s="24" customFormat="1" x14ac:dyDescent="0.25">
      <c r="A122" s="75" t="s">
        <v>34</v>
      </c>
      <c r="B122" s="12"/>
      <c r="C122" s="68">
        <f>LOOKUP("A.1.1.1.2.2.3.1.2.filAB.vcf",FamB_Final_Filter!$A$2:$A$127,FamB_Final_Filter!$B$2:$B$127)</f>
        <v>19949</v>
      </c>
      <c r="D122" s="22"/>
      <c r="E122" s="23"/>
      <c r="F122" s="17"/>
      <c r="G122" s="22"/>
      <c r="H122" s="23"/>
      <c r="I122" s="17"/>
      <c r="J122" s="22"/>
      <c r="K122" s="23"/>
      <c r="L122" s="95">
        <v>20</v>
      </c>
      <c r="M122" s="95" t="s">
        <v>31</v>
      </c>
      <c r="N122" s="95">
        <v>3</v>
      </c>
      <c r="O122" s="95">
        <v>3</v>
      </c>
      <c r="P122" s="95">
        <v>0.8</v>
      </c>
      <c r="Q122" s="95">
        <v>0.05</v>
      </c>
      <c r="R122" s="96">
        <v>20</v>
      </c>
      <c r="W122" s="6"/>
    </row>
    <row r="123" spans="1:23" s="24" customFormat="1" x14ac:dyDescent="0.25">
      <c r="A123" s="75" t="s">
        <v>35</v>
      </c>
      <c r="B123" s="12"/>
      <c r="C123" s="68">
        <f>LOOKUP("A.1.1.1.2.2.3.1.2.fil.vcf",FamB_Final_Filter!$A$2:$A$127,FamB_Final_Filter!$B$2:$B$127)</f>
        <v>19852</v>
      </c>
      <c r="D123" s="22"/>
      <c r="E123" s="23"/>
      <c r="F123" s="17"/>
      <c r="G123" s="22"/>
      <c r="H123" s="23"/>
      <c r="I123" s="17"/>
      <c r="J123" s="22"/>
      <c r="K123" s="23"/>
      <c r="L123" s="95">
        <v>20</v>
      </c>
      <c r="M123" s="95" t="s">
        <v>31</v>
      </c>
      <c r="N123" s="95">
        <v>3</v>
      </c>
      <c r="O123" s="95">
        <v>3</v>
      </c>
      <c r="P123" s="95">
        <v>0.8</v>
      </c>
      <c r="Q123" s="95">
        <v>0.05</v>
      </c>
      <c r="R123" s="96">
        <v>20</v>
      </c>
      <c r="W123" s="6"/>
    </row>
    <row r="124" spans="1:23" s="24" customFormat="1" x14ac:dyDescent="0.25">
      <c r="A124" s="75" t="s">
        <v>36</v>
      </c>
      <c r="B124" s="12" t="s">
        <v>97</v>
      </c>
      <c r="C124" s="68">
        <f>LOOKUP("A.1.1.1.2.2.3.1.2.FIL",FamB_Final_Filter!$A$2:$A$127,FamB_Final_Filter!$B$2:$B$127)</f>
        <v>18786</v>
      </c>
      <c r="D124" s="22">
        <f>1-C124/C93</f>
        <v>0.14740855042207501</v>
      </c>
      <c r="E124" s="23">
        <f>C124/C3</f>
        <v>4.1754182419502177E-2</v>
      </c>
      <c r="F124" s="68">
        <f>LOOKUP("A.1.1.1.2.2.3.1.2.FIL",FamB_Final_Filter!$A$2:$A$127,FamB_Final_Filter!$C$2:$C$127)</f>
        <v>5049</v>
      </c>
      <c r="G124" s="22">
        <f>1-F124/F93</f>
        <v>7.9657309515129393E-2</v>
      </c>
      <c r="H124" s="23">
        <f>F124/F3</f>
        <v>0.12529779630732579</v>
      </c>
      <c r="I124" s="68">
        <f>LOOKUP("A.1.1.1.2.2.3.1.2.FIL",FamB_Final_Filter!$A$2:$A$127,FamB_Final_Filter!$D$2:$D$127)</f>
        <v>174</v>
      </c>
      <c r="J124" s="22">
        <f>1-I124/I93</f>
        <v>5.7142857142856718E-3</v>
      </c>
      <c r="K124" s="23">
        <f>I124/I3</f>
        <v>0.99428571428571433</v>
      </c>
      <c r="L124" s="95">
        <v>20</v>
      </c>
      <c r="M124" s="95" t="s">
        <v>31</v>
      </c>
      <c r="N124" s="95">
        <v>3</v>
      </c>
      <c r="O124" s="95">
        <v>3</v>
      </c>
      <c r="P124" s="95">
        <v>0.8</v>
      </c>
      <c r="Q124" s="95">
        <v>0.05</v>
      </c>
      <c r="R124" s="96">
        <v>20</v>
      </c>
      <c r="W124" s="6"/>
    </row>
    <row r="125" spans="1:23" s="24" customFormat="1" ht="8.25" customHeight="1" x14ac:dyDescent="0.25">
      <c r="A125" s="82"/>
      <c r="B125" s="87"/>
      <c r="C125" s="83"/>
      <c r="D125" s="84"/>
      <c r="E125" s="90"/>
      <c r="F125" s="83"/>
      <c r="G125" s="84"/>
      <c r="H125" s="90"/>
      <c r="I125" s="83"/>
      <c r="J125" s="84"/>
      <c r="K125" s="90"/>
      <c r="L125" s="83"/>
      <c r="M125" s="83"/>
      <c r="N125" s="83"/>
      <c r="O125" s="83"/>
      <c r="P125" s="83"/>
      <c r="Q125" s="83"/>
      <c r="R125" s="93"/>
      <c r="S125" s="82"/>
      <c r="T125" s="82"/>
      <c r="U125" s="82"/>
      <c r="V125" s="82"/>
      <c r="W125" s="87"/>
    </row>
    <row r="126" spans="1:23" x14ac:dyDescent="0.25">
      <c r="A126" s="79" t="s">
        <v>33</v>
      </c>
      <c r="B126" s="13"/>
      <c r="C126" s="19"/>
      <c r="D126" s="27"/>
      <c r="E126" s="28"/>
      <c r="F126" s="19"/>
      <c r="G126" s="27"/>
      <c r="H126" s="28"/>
      <c r="I126" s="19"/>
      <c r="J126" s="27"/>
      <c r="K126" s="28"/>
      <c r="L126" s="97">
        <v>20</v>
      </c>
      <c r="M126" s="97">
        <v>0.85</v>
      </c>
      <c r="N126" s="97">
        <v>3</v>
      </c>
      <c r="O126" s="97">
        <v>3</v>
      </c>
      <c r="P126" s="97">
        <v>0.65</v>
      </c>
      <c r="Q126" s="97">
        <v>0.05</v>
      </c>
      <c r="R126" s="98">
        <v>20</v>
      </c>
      <c r="W126" s="3"/>
    </row>
    <row r="127" spans="1:23" x14ac:dyDescent="0.25">
      <c r="A127" s="79" t="s">
        <v>34</v>
      </c>
      <c r="B127" s="13"/>
      <c r="C127" s="68">
        <f>LOOKUP("B.1.3.3.2.3.4.1.2.filAB.vcf",FamB_Final_Filter!$A$2:$A$127,FamB_Final_Filter!$B$2:$B$127)</f>
        <v>20029</v>
      </c>
      <c r="D127" s="27"/>
      <c r="E127" s="28"/>
      <c r="F127" s="19"/>
      <c r="G127" s="27"/>
      <c r="H127" s="28"/>
      <c r="I127" s="19"/>
      <c r="J127" s="27"/>
      <c r="K127" s="28"/>
      <c r="L127" s="97">
        <v>20</v>
      </c>
      <c r="M127" s="97">
        <v>0.85</v>
      </c>
      <c r="N127" s="97">
        <v>3</v>
      </c>
      <c r="O127" s="97">
        <v>3</v>
      </c>
      <c r="P127" s="97">
        <v>0.65</v>
      </c>
      <c r="Q127" s="97">
        <v>0.05</v>
      </c>
      <c r="R127" s="98">
        <v>20</v>
      </c>
      <c r="W127" s="3"/>
    </row>
    <row r="128" spans="1:23" x14ac:dyDescent="0.25">
      <c r="A128" s="79" t="s">
        <v>35</v>
      </c>
      <c r="B128" s="13"/>
      <c r="C128" s="68">
        <f>LOOKUP("B.1.3.3.2.3.4.1.2.fil.vcf",FamB_Final_Filter!$A$2:$A$127,FamB_Final_Filter!$B$2:$B$127)</f>
        <v>19931</v>
      </c>
      <c r="D128" s="27"/>
      <c r="E128" s="28"/>
      <c r="F128" s="19"/>
      <c r="G128" s="27"/>
      <c r="H128" s="28"/>
      <c r="I128" s="19"/>
      <c r="J128" s="27"/>
      <c r="K128" s="28"/>
      <c r="L128" s="97">
        <v>20</v>
      </c>
      <c r="M128" s="97">
        <v>0.85</v>
      </c>
      <c r="N128" s="97">
        <v>3</v>
      </c>
      <c r="O128" s="97">
        <v>3</v>
      </c>
      <c r="P128" s="97">
        <v>0.65</v>
      </c>
      <c r="Q128" s="97">
        <v>0.05</v>
      </c>
      <c r="R128" s="98">
        <v>20</v>
      </c>
      <c r="W128" s="3"/>
    </row>
    <row r="129" spans="1:23" x14ac:dyDescent="0.25">
      <c r="A129" s="79" t="s">
        <v>36</v>
      </c>
      <c r="B129" s="13" t="s">
        <v>107</v>
      </c>
      <c r="C129" s="68">
        <f>LOOKUP("B.1.3.3.2.3.4.1.2.FIL",FamB_Final_Filter!$A$2:$A$127,FamB_Final_Filter!$B$2:$B$127)</f>
        <v>18862</v>
      </c>
      <c r="D129" s="27">
        <f>1-C129/C106</f>
        <v>0.14825016933845114</v>
      </c>
      <c r="E129" s="28">
        <f>C129/C3</f>
        <v>4.1923101713864049E-2</v>
      </c>
      <c r="F129" s="68">
        <f>LOOKUP("B.1.3.3.2.3.4.1.2.FIL",FamB_Final_Filter!$A$2:$A$127,FamB_Final_Filter!$C$2:$C$127)</f>
        <v>5073</v>
      </c>
      <c r="G129" s="27">
        <f>1-F129/F106</f>
        <v>8.0478520935290954E-2</v>
      </c>
      <c r="H129" s="28">
        <f>F129/F3</f>
        <v>0.12589338892197738</v>
      </c>
      <c r="I129" s="68">
        <f>LOOKUP("B.1.3.3.2.3.4.1.2.FIL",FamB_Final_Filter!$A$2:$A$127,FamB_Final_Filter!$D$2:$D$127)</f>
        <v>174</v>
      </c>
      <c r="J129" s="27">
        <f>1-I129/I106</f>
        <v>0</v>
      </c>
      <c r="K129" s="28">
        <f>I129/I3</f>
        <v>0.99428571428571433</v>
      </c>
      <c r="L129" s="97">
        <v>20</v>
      </c>
      <c r="M129" s="97">
        <v>0.85</v>
      </c>
      <c r="N129" s="97">
        <v>3</v>
      </c>
      <c r="O129" s="97">
        <v>3</v>
      </c>
      <c r="P129" s="97">
        <v>0.65</v>
      </c>
      <c r="Q129" s="97">
        <v>0.05</v>
      </c>
      <c r="R129" s="98">
        <v>20</v>
      </c>
      <c r="W129" s="3"/>
    </row>
    <row r="130" spans="1:23" s="24" customFormat="1" ht="8.25" customHeight="1" x14ac:dyDescent="0.25">
      <c r="A130" s="82"/>
      <c r="B130" s="87"/>
      <c r="C130" s="83"/>
      <c r="D130" s="84"/>
      <c r="E130" s="90"/>
      <c r="F130" s="83"/>
      <c r="G130" s="84"/>
      <c r="H130" s="90"/>
      <c r="I130" s="83"/>
      <c r="J130" s="84"/>
      <c r="K130" s="90"/>
      <c r="L130" s="83"/>
      <c r="M130" s="83"/>
      <c r="N130" s="83"/>
      <c r="O130" s="83"/>
      <c r="P130" s="83"/>
      <c r="Q130" s="83"/>
      <c r="R130" s="93"/>
      <c r="S130" s="82"/>
      <c r="T130" s="82"/>
      <c r="U130" s="82"/>
      <c r="V130" s="82"/>
      <c r="W130" s="87"/>
    </row>
    <row r="131" spans="1:23" s="24" customFormat="1" x14ac:dyDescent="0.25">
      <c r="A131" s="59" t="s">
        <v>33</v>
      </c>
      <c r="B131" s="43"/>
      <c r="C131" s="44"/>
      <c r="D131" s="45"/>
      <c r="E131" s="46"/>
      <c r="F131" s="44"/>
      <c r="G131" s="45"/>
      <c r="H131" s="46"/>
      <c r="I131" s="44"/>
      <c r="J131" s="45"/>
      <c r="K131" s="46"/>
      <c r="L131" s="44">
        <v>20</v>
      </c>
      <c r="M131" s="44">
        <v>0.9</v>
      </c>
      <c r="N131" s="44">
        <v>3</v>
      </c>
      <c r="O131" s="44">
        <v>3</v>
      </c>
      <c r="P131" s="99">
        <v>0.7</v>
      </c>
      <c r="Q131" s="44">
        <v>0.05</v>
      </c>
      <c r="R131" s="47">
        <v>20</v>
      </c>
      <c r="W131" s="6"/>
    </row>
    <row r="132" spans="1:23" s="24" customFormat="1" x14ac:dyDescent="0.25">
      <c r="A132" s="59" t="s">
        <v>34</v>
      </c>
      <c r="B132" s="43"/>
      <c r="C132" s="68">
        <f>LOOKUP("B.1.3.3.2.3.4.2.1.filAB.vcf",FamB_Final_Filter!$A$2:$A$127,FamB_Final_Filter!$B$2:$B$127)</f>
        <v>19484</v>
      </c>
      <c r="D132" s="45"/>
      <c r="E132" s="46"/>
      <c r="F132" s="44"/>
      <c r="G132" s="45"/>
      <c r="H132" s="46"/>
      <c r="I132" s="44"/>
      <c r="J132" s="45"/>
      <c r="K132" s="46"/>
      <c r="L132" s="44">
        <v>20</v>
      </c>
      <c r="M132" s="44">
        <v>0.9</v>
      </c>
      <c r="N132" s="44">
        <v>3</v>
      </c>
      <c r="O132" s="44">
        <v>3</v>
      </c>
      <c r="P132" s="99">
        <v>0.7</v>
      </c>
      <c r="Q132" s="44">
        <v>0.05</v>
      </c>
      <c r="R132" s="47">
        <v>20</v>
      </c>
      <c r="W132" s="6"/>
    </row>
    <row r="133" spans="1:23" s="24" customFormat="1" x14ac:dyDescent="0.25">
      <c r="A133" s="59" t="s">
        <v>35</v>
      </c>
      <c r="B133" s="43"/>
      <c r="C133" s="68">
        <f>LOOKUP("B.1.3.3.2.3.4.2.1.fil.vcf",FamB_Final_Filter!$A$2:$A$127,FamB_Final_Filter!$B$2:$B$127)</f>
        <v>19394</v>
      </c>
      <c r="D133" s="45"/>
      <c r="E133" s="46"/>
      <c r="F133" s="44"/>
      <c r="G133" s="45"/>
      <c r="H133" s="46"/>
      <c r="I133" s="44"/>
      <c r="J133" s="45"/>
      <c r="K133" s="46"/>
      <c r="L133" s="44">
        <v>20</v>
      </c>
      <c r="M133" s="44">
        <v>0.9</v>
      </c>
      <c r="N133" s="44">
        <v>3</v>
      </c>
      <c r="O133" s="44">
        <v>3</v>
      </c>
      <c r="P133" s="99">
        <v>0.7</v>
      </c>
      <c r="Q133" s="44">
        <v>0.05</v>
      </c>
      <c r="R133" s="47">
        <v>20</v>
      </c>
      <c r="W133" s="6"/>
    </row>
    <row r="134" spans="1:23" s="24" customFormat="1" x14ac:dyDescent="0.25">
      <c r="A134" s="59" t="s">
        <v>36</v>
      </c>
      <c r="B134" s="43" t="s">
        <v>111</v>
      </c>
      <c r="C134" s="68">
        <f>LOOKUP("B.1.3.3.2.3.4.2.1.FIL",FamB_Final_Filter!$A$2:$A$127,FamB_Final_Filter!$B$2:$B$127)</f>
        <v>18328</v>
      </c>
      <c r="D134" s="45">
        <f>1-C134/C108</f>
        <v>0.14435107376283851</v>
      </c>
      <c r="E134" s="46">
        <f>C134/C3</f>
        <v>4.073622140874246E-2</v>
      </c>
      <c r="F134" s="68">
        <f>LOOKUP("B.1.3.3.2.3.4.2.1.FIL",FamB_Final_Filter!$A$2:$A$127,FamB_Final_Filter!$C$2:$C$127)</f>
        <v>4900</v>
      </c>
      <c r="G134" s="45">
        <f>1-F134/F108</f>
        <v>7.9466466278414472E-2</v>
      </c>
      <c r="H134" s="46">
        <f>F134/F3</f>
        <v>0.12160015882469724</v>
      </c>
      <c r="I134" s="68">
        <f>LOOKUP("B.1.3.3.2.3.4.2.1.FIL",FamB_Final_Filter!$A$2:$A$127,FamB_Final_Filter!$D$2:$D$127)</f>
        <v>174</v>
      </c>
      <c r="J134" s="45">
        <f>1-I134/I108</f>
        <v>0</v>
      </c>
      <c r="K134" s="46">
        <f>I134/I3</f>
        <v>0.99428571428571433</v>
      </c>
      <c r="L134" s="44">
        <v>20</v>
      </c>
      <c r="M134" s="44">
        <v>0.9</v>
      </c>
      <c r="N134" s="44">
        <v>3</v>
      </c>
      <c r="O134" s="44">
        <v>3</v>
      </c>
      <c r="P134" s="99">
        <v>0.7</v>
      </c>
      <c r="Q134" s="44">
        <v>0.05</v>
      </c>
      <c r="R134" s="47">
        <v>20</v>
      </c>
      <c r="W134" s="6"/>
    </row>
    <row r="135" spans="1:23" s="24" customFormat="1" x14ac:dyDescent="0.25">
      <c r="A135" s="67"/>
      <c r="B135" s="54"/>
      <c r="C135" s="55"/>
      <c r="D135" s="56"/>
      <c r="E135" s="57"/>
      <c r="F135" s="55"/>
      <c r="G135" s="56"/>
      <c r="H135" s="57"/>
      <c r="I135" s="55"/>
      <c r="J135" s="56"/>
      <c r="K135" s="57"/>
      <c r="L135" s="55"/>
      <c r="M135" s="55"/>
      <c r="N135" s="55"/>
      <c r="O135" s="55"/>
      <c r="P135" s="55"/>
      <c r="Q135" s="55"/>
      <c r="R135" s="58"/>
      <c r="S135" s="67"/>
      <c r="T135" s="67"/>
      <c r="U135" s="67"/>
      <c r="V135" s="67"/>
      <c r="W135" s="54"/>
    </row>
    <row r="136" spans="1:23" x14ac:dyDescent="0.25">
      <c r="A136" s="75" t="s">
        <v>37</v>
      </c>
      <c r="B136" s="12" t="s">
        <v>97</v>
      </c>
      <c r="C136" s="68">
        <f>LOOKUP("A.1.1.1.2.2.3.1.2.SNP",FamB_Final_Filter!$A$2:$A$127,FamB_Final_Filter!$B$2:$B$127)</f>
        <v>22625</v>
      </c>
      <c r="D136" s="22"/>
      <c r="E136" s="23">
        <f>C136/C3</f>
        <v>5.0286829407071049E-2</v>
      </c>
      <c r="F136" s="68">
        <f>LOOKUP("A.1.1.1.2.2.3.1.2.SNP",FamB_Final_Filter!$A$2:$A$127,FamB_Final_Filter!$C$2:$C$127)</f>
        <v>5376</v>
      </c>
      <c r="G136" s="22"/>
      <c r="H136" s="23">
        <f>F136/F3</f>
        <v>0.13341274568195355</v>
      </c>
      <c r="I136" s="68">
        <f>LOOKUP("A.1.1.1.2.2.3.1.2.SNP",FamB_Final_Filter!$A$2:$A$127,FamB_Final_Filter!$D$2:$D$127)</f>
        <v>174</v>
      </c>
      <c r="J136" s="22"/>
      <c r="K136" s="23">
        <f>I136/I3</f>
        <v>0.99428571428571433</v>
      </c>
      <c r="L136" s="95">
        <v>20</v>
      </c>
      <c r="M136" s="95" t="s">
        <v>31</v>
      </c>
      <c r="N136" s="95">
        <v>3</v>
      </c>
      <c r="O136" s="95">
        <v>3</v>
      </c>
      <c r="P136" s="95">
        <v>0.8</v>
      </c>
      <c r="Q136" s="95">
        <v>0.05</v>
      </c>
      <c r="R136" s="96">
        <v>20</v>
      </c>
      <c r="W136" s="3"/>
    </row>
    <row r="137" spans="1:23" x14ac:dyDescent="0.25">
      <c r="A137" s="78" t="s">
        <v>37</v>
      </c>
      <c r="B137" s="9" t="s">
        <v>99</v>
      </c>
      <c r="C137" s="68">
        <f>LOOKUP("B.1.3.3.2.3.4.1.2.SNP",FamB_Final_Filter!$A$2:$A$127,FamB_Final_Filter!$B$2:$B$127)</f>
        <v>22744</v>
      </c>
      <c r="D137" s="25"/>
      <c r="E137" s="26">
        <f>C137/C3</f>
        <v>5.0551321460085036E-2</v>
      </c>
      <c r="F137" s="68">
        <f>LOOKUP("B.1.3.3.2.3.4.1.2.SNP",FamB_Final_Filter!$A$2:$A$127,FamB_Final_Filter!$C$2:$C$127)</f>
        <v>5408</v>
      </c>
      <c r="G137" s="25"/>
      <c r="H137" s="26">
        <f>F137/F3</f>
        <v>0.13420686916815563</v>
      </c>
      <c r="I137" s="68">
        <f>LOOKUP("B.1.3.3.2.3.4.1.2.SNP",FamB_Final_Filter!$A$2:$A$127,FamB_Final_Filter!$D$2:$D$127)</f>
        <v>174</v>
      </c>
      <c r="J137" s="25"/>
      <c r="K137" s="26">
        <f>I137/I3</f>
        <v>0.99428571428571433</v>
      </c>
      <c r="L137" s="16">
        <v>20</v>
      </c>
      <c r="M137" s="16">
        <v>0.85</v>
      </c>
      <c r="N137" s="16">
        <v>3</v>
      </c>
      <c r="O137" s="16">
        <v>3</v>
      </c>
      <c r="P137" s="16">
        <v>0.65</v>
      </c>
      <c r="Q137" s="16">
        <v>0.03</v>
      </c>
      <c r="R137" s="10">
        <v>20</v>
      </c>
      <c r="W137" s="3"/>
    </row>
    <row r="138" spans="1:23" x14ac:dyDescent="0.25">
      <c r="A138" s="79" t="s">
        <v>37</v>
      </c>
      <c r="B138" s="13" t="s">
        <v>107</v>
      </c>
      <c r="C138" s="68">
        <f>LOOKUP("B.1.3.3.2.3.4.1.2.SNP",FamB_Final_Filter!$A$2:$A$127,FamB_Final_Filter!$B$2:$B$127)</f>
        <v>22744</v>
      </c>
      <c r="D138" s="27"/>
      <c r="E138" s="28">
        <f>C138/C3</f>
        <v>5.0551321460085036E-2</v>
      </c>
      <c r="F138" s="68">
        <f>LOOKUP("B.1.3.3.2.3.4.1.2.SNP",FamB_Final_Filter!$A$2:$A$127,FamB_Final_Filter!$C$2:$C$127)</f>
        <v>5408</v>
      </c>
      <c r="G138" s="27"/>
      <c r="H138" s="28">
        <f>F138/F3</f>
        <v>0.13420686916815563</v>
      </c>
      <c r="I138" s="68">
        <f>LOOKUP("B.1.3.3.2.3.4.1.2.SNP",FamB_Final_Filter!$A$2:$A$127,FamB_Final_Filter!$D$2:$D$127)</f>
        <v>174</v>
      </c>
      <c r="J138" s="27"/>
      <c r="K138" s="28">
        <f>I138/I3</f>
        <v>0.99428571428571433</v>
      </c>
      <c r="L138" s="19">
        <v>20</v>
      </c>
      <c r="M138" s="19">
        <v>0.85</v>
      </c>
      <c r="N138" s="19">
        <v>3</v>
      </c>
      <c r="O138" s="19">
        <v>3</v>
      </c>
      <c r="P138" s="19">
        <v>0.65</v>
      </c>
      <c r="Q138" s="19">
        <v>0.05</v>
      </c>
      <c r="R138" s="20">
        <v>20</v>
      </c>
      <c r="W138" s="3"/>
    </row>
    <row r="139" spans="1:23" x14ac:dyDescent="0.25">
      <c r="A139" s="59" t="s">
        <v>37</v>
      </c>
      <c r="B139" s="43" t="s">
        <v>111</v>
      </c>
      <c r="C139" s="68">
        <f>LOOKUP("B.1.3.3.2.3.4.2.1.SNP",FamB_Final_Filter!$A$2:$A$127,FamB_Final_Filter!$B$2:$B$127)</f>
        <v>21974</v>
      </c>
      <c r="D139" s="45"/>
      <c r="E139" s="46">
        <f>C139/C3</f>
        <v>4.8839902293523946E-2</v>
      </c>
      <c r="F139" s="68">
        <f>LOOKUP("B.1.3.3.2.3.4.2.1.SNP",FamB_Final_Filter!$A$2:$A$127,FamB_Final_Filter!$C$2:$C$127)</f>
        <v>5215</v>
      </c>
      <c r="G139" s="45"/>
      <c r="H139" s="46">
        <f>F139/F3</f>
        <v>0.1294173118919992</v>
      </c>
      <c r="I139" s="68">
        <f>LOOKUP("B.1.3.3.2.3.4.2.1.SNP",FamB_Final_Filter!$A$2:$A$127,FamB_Final_Filter!$D$2:$D$127)</f>
        <v>174</v>
      </c>
      <c r="J139" s="45"/>
      <c r="K139" s="46">
        <f>I139/I3</f>
        <v>0.99428571428571433</v>
      </c>
      <c r="L139" s="44">
        <v>20</v>
      </c>
      <c r="M139" s="44">
        <v>0.9</v>
      </c>
      <c r="N139" s="44">
        <v>3</v>
      </c>
      <c r="O139" s="44">
        <v>3</v>
      </c>
      <c r="P139" s="99">
        <v>0.7</v>
      </c>
      <c r="Q139" s="44">
        <v>0.05</v>
      </c>
      <c r="R139" s="47">
        <v>20</v>
      </c>
      <c r="W139" s="3"/>
    </row>
    <row r="140" spans="1:23" x14ac:dyDescent="0.25">
      <c r="A140" s="81" t="s">
        <v>37</v>
      </c>
      <c r="B140" s="48" t="s">
        <v>103</v>
      </c>
      <c r="C140" s="68">
        <f>LOOKUP("B.1.3.3.2.3.2.2.2.SNP",FamB_Final_Filter!$A$2:$A$127,FamB_Final_Filter!$B$2:$B$127)</f>
        <v>22452</v>
      </c>
      <c r="D140" s="50"/>
      <c r="E140" s="51">
        <f>C140/C3</f>
        <v>4.9902315750168361E-2</v>
      </c>
      <c r="F140" s="68">
        <f>LOOKUP("B.1.3.3.2.3.2.2.2.SNP",FamB_Final_Filter!$A$2:$A$127,FamB_Final_Filter!$C$2:$C$127)</f>
        <v>5237</v>
      </c>
      <c r="G140" s="50"/>
      <c r="H140" s="51">
        <f>F140/F3</f>
        <v>0.12996327178876316</v>
      </c>
      <c r="I140" s="68">
        <f>LOOKUP("B.1.3.3.2.3.2.2.2.SNP",FamB_Final_Filter!$A$2:$A$127,FamB_Final_Filter!$D$2:$D$127)</f>
        <v>174</v>
      </c>
      <c r="J140" s="50"/>
      <c r="K140" s="51">
        <f>I140/I3</f>
        <v>0.99428571428571433</v>
      </c>
      <c r="L140" s="49">
        <v>20</v>
      </c>
      <c r="M140" s="49">
        <v>0.9</v>
      </c>
      <c r="N140" s="49">
        <v>3</v>
      </c>
      <c r="O140" s="49">
        <v>3</v>
      </c>
      <c r="P140" s="49">
        <v>0.65</v>
      </c>
      <c r="Q140" s="49">
        <v>0.03</v>
      </c>
      <c r="R140" s="52">
        <v>20</v>
      </c>
      <c r="W140" s="3"/>
    </row>
    <row r="141" spans="1:23" x14ac:dyDescent="0.25">
      <c r="A141" s="67"/>
      <c r="B141" s="54"/>
      <c r="C141" s="55"/>
      <c r="D141" s="56"/>
      <c r="E141" s="57"/>
      <c r="F141" s="55"/>
      <c r="G141" s="56"/>
      <c r="H141" s="57"/>
      <c r="I141" s="55"/>
      <c r="J141" s="56"/>
      <c r="K141" s="57"/>
      <c r="L141" s="55"/>
      <c r="M141" s="55"/>
      <c r="N141" s="55"/>
      <c r="O141" s="55"/>
      <c r="P141" s="55"/>
      <c r="Q141" s="55"/>
      <c r="R141" s="58"/>
      <c r="S141" s="67"/>
      <c r="T141" s="67"/>
      <c r="U141" s="67"/>
      <c r="V141" s="67"/>
      <c r="W141" s="54"/>
    </row>
    <row r="142" spans="1:23" x14ac:dyDescent="0.25">
      <c r="A142" s="24" t="s">
        <v>40</v>
      </c>
      <c r="B142" s="12" t="s">
        <v>97</v>
      </c>
      <c r="C142" s="68">
        <f>LOOKUP("A.1.1.1.2.2.3.1.2.SNP.final0",FamB_Final_Filter!$A$2:$A$127,FamB_Final_Filter!$B$2:$B$127)</f>
        <v>22625</v>
      </c>
      <c r="D142" s="7">
        <f>1-C142/C137</f>
        <v>5.2321491382342211E-3</v>
      </c>
      <c r="E142" s="8">
        <f>C142/C3</f>
        <v>5.0286829407071049E-2</v>
      </c>
      <c r="F142" s="68">
        <f>LOOKUP("A.1.1.1.2.2.3.1.2.SNP.final0",FamB_Final_Filter!$A$2:$A$127,FamB_Final_Filter!$C$2:$C$127)</f>
        <v>5376</v>
      </c>
      <c r="G142" s="7">
        <f>1-F142/F137</f>
        <v>5.9171597633136397E-3</v>
      </c>
      <c r="H142" s="8">
        <f>F142/F3</f>
        <v>0.13341274568195355</v>
      </c>
      <c r="I142" s="68">
        <f>LOOKUP("A.1.1.1.2.2.3.1.2.SNP.final0",FamB_Final_Filter!$A$2:$A$127,FamB_Final_Filter!$D$2:$D$127)</f>
        <v>174</v>
      </c>
      <c r="J142" s="7">
        <f>1-I142/I137</f>
        <v>0</v>
      </c>
      <c r="K142" s="8">
        <f>I142/I3</f>
        <v>0.99428571428571433</v>
      </c>
      <c r="L142" s="95">
        <v>20</v>
      </c>
      <c r="M142" s="95" t="s">
        <v>31</v>
      </c>
      <c r="N142" s="95">
        <v>3</v>
      </c>
      <c r="O142" s="95">
        <v>3</v>
      </c>
      <c r="P142" s="95">
        <v>0.8</v>
      </c>
      <c r="Q142" s="95">
        <v>0.05</v>
      </c>
      <c r="R142" s="96">
        <v>20</v>
      </c>
      <c r="W142" s="3"/>
    </row>
    <row r="143" spans="1:23" x14ac:dyDescent="0.25">
      <c r="A143" s="24" t="s">
        <v>40</v>
      </c>
      <c r="B143" s="9" t="s">
        <v>99</v>
      </c>
      <c r="C143" s="68">
        <f>LOOKUP("B.1.3.3.2.3.4.1.2.SNP.final0",FamB_Final_Filter!$A$2:$A$127,FamB_Final_Filter!$B$2:$B$127)</f>
        <v>22744</v>
      </c>
      <c r="D143" s="7">
        <f>1-C143/C137</f>
        <v>0</v>
      </c>
      <c r="E143" s="8">
        <f>C143/C3</f>
        <v>5.0551321460085036E-2</v>
      </c>
      <c r="F143" s="68">
        <f>LOOKUP("B.1.3.3.2.3.4.1.2.SNP.final0",FamB_Final_Filter!$A$2:$A$127,FamB_Final_Filter!$C$2:$C$127)</f>
        <v>5408</v>
      </c>
      <c r="G143" s="7">
        <f>1-F143/F137</f>
        <v>0</v>
      </c>
      <c r="H143" s="8">
        <f>F143/F3</f>
        <v>0.13420686916815563</v>
      </c>
      <c r="I143" s="68">
        <f>LOOKUP("B.1.3.3.2.3.4.1.2.SNP.final0",FamB_Final_Filter!$A$2:$A$127,FamB_Final_Filter!$D$2:$D$127)</f>
        <v>174</v>
      </c>
      <c r="J143" s="7">
        <f>1-I143/I137</f>
        <v>0</v>
      </c>
      <c r="K143" s="8">
        <f>I143/I3</f>
        <v>0.99428571428571433</v>
      </c>
      <c r="L143" s="16">
        <v>20</v>
      </c>
      <c r="M143" s="16">
        <v>0.85</v>
      </c>
      <c r="N143" s="16">
        <v>3</v>
      </c>
      <c r="O143" s="16">
        <v>3</v>
      </c>
      <c r="P143" s="16">
        <v>0.65</v>
      </c>
      <c r="Q143" s="107">
        <v>0.05</v>
      </c>
      <c r="R143" s="10">
        <v>20</v>
      </c>
      <c r="W143" s="3"/>
    </row>
    <row r="144" spans="1:23" x14ac:dyDescent="0.25">
      <c r="A144" s="24" t="s">
        <v>40</v>
      </c>
      <c r="B144" s="13" t="s">
        <v>107</v>
      </c>
      <c r="C144" s="68">
        <f>LOOKUP("B.1.3.3.2.3.4.1.2.SNP.final0",FamB_Final_Filter!$A$2:$A$127,FamB_Final_Filter!$B$2:$B$127)</f>
        <v>22744</v>
      </c>
      <c r="D144" s="7">
        <f>1-C144/C138</f>
        <v>0</v>
      </c>
      <c r="E144" s="8">
        <f>C144/C3</f>
        <v>5.0551321460085036E-2</v>
      </c>
      <c r="F144" s="68">
        <f>LOOKUP("B.1.3.3.2.3.4.1.2.SNP.final0",FamB_Final_Filter!$A$2:$A$127,FamB_Final_Filter!$C$2:$C$127)</f>
        <v>5408</v>
      </c>
      <c r="G144" s="7">
        <f>1-F144/F138</f>
        <v>0</v>
      </c>
      <c r="H144" s="8">
        <f>F144/F3</f>
        <v>0.13420686916815563</v>
      </c>
      <c r="I144" s="68">
        <f>LOOKUP("B.1.3.3.2.3.4.1.2.SNP.final0",FamB_Final_Filter!$A$2:$A$127,FamB_Final_Filter!$D$2:$D$127)</f>
        <v>174</v>
      </c>
      <c r="J144" s="7">
        <f>1-I144/I138</f>
        <v>0</v>
      </c>
      <c r="K144" s="8">
        <f>I144/I3</f>
        <v>0.99428571428571433</v>
      </c>
      <c r="L144" s="19">
        <v>20</v>
      </c>
      <c r="M144" s="19">
        <v>0.85</v>
      </c>
      <c r="N144" s="19">
        <v>3</v>
      </c>
      <c r="O144" s="19">
        <v>3</v>
      </c>
      <c r="P144" s="19">
        <v>0.65</v>
      </c>
      <c r="Q144" s="19">
        <v>0.05</v>
      </c>
      <c r="R144" s="20">
        <v>20</v>
      </c>
      <c r="W144" s="3"/>
    </row>
    <row r="145" spans="1:23" x14ac:dyDescent="0.25">
      <c r="A145" s="24" t="s">
        <v>40</v>
      </c>
      <c r="B145" s="43" t="s">
        <v>111</v>
      </c>
      <c r="C145" s="68">
        <f>LOOKUP("B.1.3.3.2.3.4.2.1.SNP.final0",FamB_Final_Filter!$A$2:$A$127,FamB_Final_Filter!$B$2:$B$127)</f>
        <v>21974</v>
      </c>
      <c r="D145" s="7">
        <f>1-C145/C139</f>
        <v>0</v>
      </c>
      <c r="E145" s="8">
        <f>C145/C3</f>
        <v>4.8839902293523946E-2</v>
      </c>
      <c r="F145" s="68">
        <f>LOOKUP("B.1.3.3.2.3.4.2.1.SNP.final0",FamB_Final_Filter!$A$2:$A$127,FamB_Final_Filter!$C$2:$C$127)</f>
        <v>5215</v>
      </c>
      <c r="G145" s="7">
        <f>1-F145/F139</f>
        <v>0</v>
      </c>
      <c r="H145" s="8">
        <f>F145/F3</f>
        <v>0.1294173118919992</v>
      </c>
      <c r="I145" s="68">
        <f>LOOKUP("B.1.3.3.2.3.4.2.1.SNP.final0",FamB_Final_Filter!$A$2:$A$127,FamB_Final_Filter!$D$2:$D$127)</f>
        <v>174</v>
      </c>
      <c r="J145" s="7">
        <f>1-I145/I139</f>
        <v>0</v>
      </c>
      <c r="K145" s="8">
        <f>I145/I3</f>
        <v>0.99428571428571433</v>
      </c>
      <c r="L145" s="44">
        <v>20</v>
      </c>
      <c r="M145" s="44">
        <v>0.9</v>
      </c>
      <c r="N145" s="44">
        <v>3</v>
      </c>
      <c r="O145" s="44">
        <v>3</v>
      </c>
      <c r="P145" s="99">
        <v>0.7</v>
      </c>
      <c r="Q145" s="44">
        <v>0.05</v>
      </c>
      <c r="R145" s="47">
        <v>20</v>
      </c>
      <c r="W145" s="3"/>
    </row>
    <row r="146" spans="1:23" x14ac:dyDescent="0.25">
      <c r="A146" s="24" t="s">
        <v>40</v>
      </c>
      <c r="B146" s="48" t="s">
        <v>103</v>
      </c>
      <c r="C146" s="68">
        <f>LOOKUP("B.1.3.3.2.3.2.2.2SNP..final0",FamB_Final_Filter!$A$2:$A$127,FamB_Final_Filter!$B$2:$B$127)</f>
        <v>22074</v>
      </c>
      <c r="D146" s="14">
        <f>1-C146/C140</f>
        <v>1.6835916622127245E-2</v>
      </c>
      <c r="E146" s="4">
        <f>C146/C3</f>
        <v>4.9062164522947461E-2</v>
      </c>
      <c r="F146" s="68">
        <f>LOOKUP("B.1.3.3.2.3.2.2.2.SNP.final0",FamB_Final_Filter!$A$2:$A$127,FamB_Final_Filter!$C$2:$C$127)</f>
        <v>5215</v>
      </c>
      <c r="G146" s="14">
        <f>1-F146/F140</f>
        <v>4.2008783654764459E-3</v>
      </c>
      <c r="H146" s="4">
        <f>F146/F3</f>
        <v>0.1294173118919992</v>
      </c>
      <c r="I146" s="68">
        <f>LOOKUP("B.1.3.3.2.3.2.2.2.SNP.final0",FamB_Final_Filter!$A$2:$A$127,FamB_Final_Filter!$D$2:$D$127)</f>
        <v>174</v>
      </c>
      <c r="J146" s="14">
        <f>1-I146/I140</f>
        <v>0</v>
      </c>
      <c r="K146" s="4">
        <f>I146/I3</f>
        <v>0.99428571428571433</v>
      </c>
      <c r="L146" s="49">
        <v>20</v>
      </c>
      <c r="M146" s="49">
        <v>0.9</v>
      </c>
      <c r="N146" s="49">
        <v>3</v>
      </c>
      <c r="O146" s="49">
        <v>3</v>
      </c>
      <c r="P146" s="49">
        <v>0.65</v>
      </c>
      <c r="Q146" s="125">
        <v>0.05</v>
      </c>
      <c r="R146" s="52">
        <v>20</v>
      </c>
      <c r="W146" s="3"/>
    </row>
    <row r="147" spans="1:23" x14ac:dyDescent="0.25">
      <c r="A147" s="67"/>
      <c r="B147" s="54"/>
      <c r="C147" s="55"/>
      <c r="D147" s="56"/>
      <c r="E147" s="57"/>
      <c r="F147" s="55"/>
      <c r="G147" s="56"/>
      <c r="H147" s="57"/>
      <c r="I147" s="55"/>
      <c r="J147" s="56"/>
      <c r="K147" s="57"/>
      <c r="L147" s="55"/>
      <c r="M147" s="55"/>
      <c r="N147" s="55"/>
      <c r="O147" s="55"/>
      <c r="P147" s="55"/>
      <c r="Q147" s="55"/>
      <c r="R147" s="58"/>
      <c r="S147" s="67"/>
      <c r="T147" s="67"/>
      <c r="U147" s="67"/>
      <c r="V147" s="67"/>
      <c r="W147" s="54"/>
    </row>
    <row r="148" spans="1:23" x14ac:dyDescent="0.25">
      <c r="A148" s="24" t="s">
        <v>38</v>
      </c>
      <c r="B148" s="12" t="s">
        <v>97</v>
      </c>
      <c r="C148" s="68">
        <f>LOOKUP("A.1.1.1.2.2.3.1.2.finala.1",FamB_Final_Filter!$A$2:$A$127,FamB_Final_Filter!$B$2:$B$127)</f>
        <v>20492</v>
      </c>
      <c r="D148" s="14">
        <f>1-C148/C142</f>
        <v>9.4276243093922685E-2</v>
      </c>
      <c r="E148" s="4">
        <f>C148/C3</f>
        <v>4.5545976053467399E-2</v>
      </c>
      <c r="F148" s="68">
        <f>LOOKUP("A.1.1.1.2.2.3.1.2.finala.1",FamB_Final_Filter!$A$2:$A$127,FamB_Final_Filter!$C$2:$C$127)</f>
        <v>4945</v>
      </c>
      <c r="G148" s="14">
        <f>1-F148/F142</f>
        <v>8.0171130952380931E-2</v>
      </c>
      <c r="H148" s="4">
        <f>F148/F3</f>
        <v>0.12271689497716895</v>
      </c>
      <c r="I148" s="68">
        <f>LOOKUP("A.1.1.1.2.2.3.1.2.finala.1",FamB_Final_Filter!$A$2:$A$127,FamB_Final_Filter!$D$2:$D$127)</f>
        <v>174</v>
      </c>
      <c r="J148" s="14">
        <f>1-I148/I142</f>
        <v>0</v>
      </c>
      <c r="K148" s="4">
        <f>I148/I3</f>
        <v>0.99428571428571433</v>
      </c>
      <c r="L148" s="95">
        <v>20</v>
      </c>
      <c r="M148" s="104">
        <v>0.95</v>
      </c>
      <c r="N148" s="95">
        <v>3</v>
      </c>
      <c r="O148" s="95">
        <v>3</v>
      </c>
      <c r="P148" s="95">
        <v>0.8</v>
      </c>
      <c r="Q148" s="95">
        <v>0.05</v>
      </c>
      <c r="R148" s="96">
        <v>20</v>
      </c>
      <c r="W148" s="3"/>
    </row>
    <row r="149" spans="1:23" x14ac:dyDescent="0.25">
      <c r="A149" s="24" t="s">
        <v>38</v>
      </c>
      <c r="B149" s="12" t="s">
        <v>97</v>
      </c>
      <c r="C149" s="68">
        <f>LOOKUP("A.1.1.1.2.2.3.1.2.finala.2",FamB_Final_Filter!$A$2:$A$127,FamB_Final_Filter!$B$2:$B$127)</f>
        <v>22159</v>
      </c>
      <c r="E149" s="4"/>
      <c r="F149" s="68">
        <f>LOOKUP("A.1.1.1.2.2.3.1.2.finala.2",FamB_Final_Filter!$A$2:$A$127,FamB_Final_Filter!$C$2:$C$127)</f>
        <v>5276</v>
      </c>
      <c r="H149" s="4"/>
      <c r="I149" s="68">
        <f>LOOKUP("A.1.1.1.2.2.3.1.2.finala.2",FamB_Final_Filter!$A$2:$A$127,FamB_Final_Filter!$D$2:$D$127)</f>
        <v>174</v>
      </c>
      <c r="K149" s="4"/>
      <c r="L149" s="95">
        <v>20</v>
      </c>
      <c r="M149" s="104">
        <v>0.9</v>
      </c>
      <c r="N149" s="95">
        <v>3</v>
      </c>
      <c r="O149" s="95">
        <v>3</v>
      </c>
      <c r="P149" s="95">
        <v>0.8</v>
      </c>
      <c r="Q149" s="95">
        <v>0.05</v>
      </c>
      <c r="R149" s="96">
        <v>20</v>
      </c>
      <c r="W149" s="3"/>
    </row>
    <row r="150" spans="1:23" x14ac:dyDescent="0.25">
      <c r="A150" s="24" t="s">
        <v>38</v>
      </c>
      <c r="B150" s="9" t="s">
        <v>99</v>
      </c>
      <c r="C150" s="68">
        <f>LOOKUP("B.1.3.3.2.3.2.1.2.finala.1",FamB_Final_Filter!$A$2:$A$127,FamB_Final_Filter!$B$2:$B$127)</f>
        <v>20602</v>
      </c>
      <c r="D150" s="14">
        <f>1-C150/C143</f>
        <v>9.4178684488216646E-2</v>
      </c>
      <c r="E150" s="4">
        <f>C150/C3</f>
        <v>4.5790464505833274E-2</v>
      </c>
      <c r="F150" s="68">
        <f>LOOKUP("B.1.3.3.2.3.2.1.2.finala.1",FamB_Final_Filter!$A$2:$A$127,FamB_Final_Filter!$C$2:$C$127)</f>
        <v>4952</v>
      </c>
      <c r="G150" s="14">
        <f>1-F150/F143</f>
        <v>8.4319526627218977E-2</v>
      </c>
      <c r="H150" s="4">
        <f>F150/F3</f>
        <v>0.12289060948977566</v>
      </c>
      <c r="I150" s="68">
        <f>LOOKUP("B.1.3.3.2.3.2.1.2.finala.1",FamB_Final_Filter!$A$2:$A$127,FamB_Final_Filter!$D$2:$D$127)</f>
        <v>174</v>
      </c>
      <c r="J150" s="14">
        <f>1-I150/I143</f>
        <v>0</v>
      </c>
      <c r="K150" s="4">
        <f>I150/I3</f>
        <v>0.99428571428571433</v>
      </c>
      <c r="L150" s="16">
        <v>20</v>
      </c>
      <c r="M150" s="107">
        <v>0.95</v>
      </c>
      <c r="N150" s="16">
        <v>3</v>
      </c>
      <c r="O150" s="16">
        <v>3</v>
      </c>
      <c r="P150" s="16">
        <v>0.65</v>
      </c>
      <c r="Q150" s="100">
        <v>0.05</v>
      </c>
      <c r="R150" s="10">
        <v>20</v>
      </c>
      <c r="W150" s="3"/>
    </row>
    <row r="151" spans="1:23" x14ac:dyDescent="0.25">
      <c r="A151" s="24" t="s">
        <v>38</v>
      </c>
      <c r="B151" s="9" t="s">
        <v>99</v>
      </c>
      <c r="C151" s="68">
        <f>LOOKUP("B.1.3.3.2.3.2.1.2.finala.2",FamB_Final_Filter!$A$2:$A$127,FamB_Final_Filter!$B$2:$B$127)</f>
        <v>22330</v>
      </c>
      <c r="E151" s="4"/>
      <c r="F151" s="68">
        <f>LOOKUP("B.1.3.3.2.3.2.1.2.finala.2",FamB_Final_Filter!$A$2:$A$127,FamB_Final_Filter!$C$2:$C$127)</f>
        <v>5294</v>
      </c>
      <c r="H151" s="4"/>
      <c r="I151" s="68">
        <f>LOOKUP("B.1.3.3.2.3.2.1.2.finala.2",FamB_Final_Filter!$A$2:$A$127,FamB_Final_Filter!$D$2:$D$127)</f>
        <v>174</v>
      </c>
      <c r="K151" s="4"/>
      <c r="L151" s="100">
        <v>20</v>
      </c>
      <c r="M151" s="107">
        <v>0.9</v>
      </c>
      <c r="N151" s="100">
        <v>3</v>
      </c>
      <c r="O151" s="100">
        <v>3</v>
      </c>
      <c r="P151" s="100">
        <v>0.8</v>
      </c>
      <c r="Q151" s="100">
        <v>0.05</v>
      </c>
      <c r="R151" s="127">
        <v>20</v>
      </c>
      <c r="W151" s="3"/>
    </row>
    <row r="152" spans="1:23" x14ac:dyDescent="0.25">
      <c r="A152" s="24" t="s">
        <v>38</v>
      </c>
      <c r="B152" s="13" t="s">
        <v>107</v>
      </c>
      <c r="C152" s="68">
        <f>LOOKUP("B.1.3.3.2.3.4.1.2.finala.1",FamB_Final_Filter!$A$2:$A$127,FamB_Final_Filter!$B$2:$B$127)</f>
        <v>20503</v>
      </c>
      <c r="D152" s="14">
        <f>1-C152/C144</f>
        <v>9.8531480830108986E-2</v>
      </c>
      <c r="E152" s="4">
        <f>C152/C3</f>
        <v>4.5570424898703991E-2</v>
      </c>
      <c r="F152" s="68">
        <f>LOOKUP("B.1.3.3.2.3.4.1.2.finala.1",FamB_Final_Filter!$A$2:$A$127,FamB_Final_Filter!$C$2:$C$127)</f>
        <v>4950</v>
      </c>
      <c r="G152" s="14">
        <f>1-F152/F144</f>
        <v>8.4689349112425982E-2</v>
      </c>
      <c r="H152" s="4">
        <f>F152/F3</f>
        <v>0.12284097677188803</v>
      </c>
      <c r="I152" s="68">
        <f>LOOKUP("B.1.3.3.2.3.4.1.2.finala.1",FamB_Final_Filter!$A$2:$A$127,FamB_Final_Filter!$D$2:$D$127)</f>
        <v>174</v>
      </c>
      <c r="J152" s="14">
        <f>1-I152/I144</f>
        <v>0</v>
      </c>
      <c r="K152" s="4">
        <f>I152/I3</f>
        <v>0.99428571428571433</v>
      </c>
      <c r="L152" s="19">
        <v>20</v>
      </c>
      <c r="M152" s="110">
        <v>0.95</v>
      </c>
      <c r="N152" s="19">
        <v>3</v>
      </c>
      <c r="O152" s="19">
        <v>3</v>
      </c>
      <c r="P152" s="19">
        <v>0.65</v>
      </c>
      <c r="Q152" s="97">
        <v>0.05</v>
      </c>
      <c r="R152" s="20">
        <v>20</v>
      </c>
      <c r="W152" s="3"/>
    </row>
    <row r="153" spans="1:23" x14ac:dyDescent="0.25">
      <c r="A153" s="24" t="s">
        <v>38</v>
      </c>
      <c r="B153" s="13" t="s">
        <v>107</v>
      </c>
      <c r="C153" s="68">
        <f>LOOKUP("B.1.3.3.2.3.4.1.2.finala.2",FamB_Final_Filter!$A$2:$A$127,FamB_Final_Filter!$B$2:$B$127)</f>
        <v>22220</v>
      </c>
      <c r="E153" s="4"/>
      <c r="F153" s="68">
        <f>LOOKUP("B.1.3.3.2.3.4.1.2.finala.2",FamB_Final_Filter!$A$2:$A$127,FamB_Final_Filter!$C$2:$C$127)</f>
        <v>5294</v>
      </c>
      <c r="H153" s="4"/>
      <c r="I153" s="68">
        <f>LOOKUP("B.1.3.3.2.3.4.1.2.finala.2",FamB_Final_Filter!$A$2:$A$127,FamB_Final_Filter!$D$2:$D$127)</f>
        <v>174</v>
      </c>
      <c r="K153" s="4"/>
      <c r="L153" s="97">
        <v>20</v>
      </c>
      <c r="M153" s="110">
        <v>0.9</v>
      </c>
      <c r="N153" s="97">
        <v>3</v>
      </c>
      <c r="O153" s="97">
        <v>3</v>
      </c>
      <c r="P153" s="97">
        <v>0.8</v>
      </c>
      <c r="Q153" s="97">
        <v>0.05</v>
      </c>
      <c r="R153" s="98">
        <v>20</v>
      </c>
      <c r="W153" s="3"/>
    </row>
    <row r="154" spans="1:23" x14ac:dyDescent="0.25">
      <c r="A154" s="24" t="s">
        <v>38</v>
      </c>
      <c r="B154" s="43" t="s">
        <v>111</v>
      </c>
      <c r="C154" s="68">
        <f>LOOKUP("B.1.3.3.2.3.4.2.1.finala.1",FamB_Final_Filter!$A$2:$A$127,FamB_Final_Filter!$B$2:$B$127)</f>
        <v>20503</v>
      </c>
      <c r="D154" s="14">
        <f>1-C154/C145</f>
        <v>6.6942750523345751E-2</v>
      </c>
      <c r="E154" s="4">
        <f>C154/C3</f>
        <v>4.5570424898703991E-2</v>
      </c>
      <c r="F154" s="68">
        <f>LOOKUP("B.1.3.3.2.3.4.2.1.finala.1",FamB_Final_Filter!$A$2:$A$127,FamB_Final_Filter!$C$2:$C$127)</f>
        <v>4950</v>
      </c>
      <c r="G154" s="14">
        <f>1-F154/F145</f>
        <v>5.0814956855225302E-2</v>
      </c>
      <c r="H154" s="4">
        <f>F154/F3</f>
        <v>0.12284097677188803</v>
      </c>
      <c r="I154" s="68">
        <f>LOOKUP("B.1.3.3.2.3.4.2.1.finala.1",FamB_Final_Filter!$A$2:$A$127,FamB_Final_Filter!$D$2:$D$127)</f>
        <v>174</v>
      </c>
      <c r="J154" s="14">
        <f>1-I154/I145</f>
        <v>0</v>
      </c>
      <c r="K154" s="4">
        <f>I154/I3</f>
        <v>0.99428571428571433</v>
      </c>
      <c r="L154" s="44">
        <v>20</v>
      </c>
      <c r="M154" s="126">
        <v>0.95</v>
      </c>
      <c r="N154" s="44">
        <v>3</v>
      </c>
      <c r="O154" s="44">
        <v>3</v>
      </c>
      <c r="P154" s="99">
        <v>0.7</v>
      </c>
      <c r="Q154" s="99">
        <v>0.05</v>
      </c>
      <c r="R154" s="47">
        <v>20</v>
      </c>
      <c r="W154" s="3"/>
    </row>
    <row r="155" spans="1:23" x14ac:dyDescent="0.25">
      <c r="A155" s="24" t="s">
        <v>38</v>
      </c>
      <c r="B155" s="43" t="s">
        <v>111</v>
      </c>
      <c r="C155" s="68">
        <f>LOOKUP("B.1.3.3.2.3.4.2.1.finala.2",FamB_Final_Filter!$A$2:$A$127,FamB_Final_Filter!$B$2:$B$127)</f>
        <v>21974</v>
      </c>
      <c r="E155" s="4"/>
      <c r="F155" s="68">
        <f>LOOKUP("B.1.3.3.2.3.4.2.1.finala.2",FamB_Final_Filter!$A$2:$A$127,FamB_Final_Filter!$C$2:$C$127)</f>
        <v>5215</v>
      </c>
      <c r="H155" s="4"/>
      <c r="I155" s="68">
        <f>LOOKUP("B.1.3.3.2.3.4.2.1.finala.2",FamB_Final_Filter!$A$2:$A$127,FamB_Final_Filter!$D$2:$D$127)</f>
        <v>174</v>
      </c>
      <c r="K155" s="4"/>
      <c r="L155" s="99">
        <v>20</v>
      </c>
      <c r="M155" s="126">
        <v>0.9</v>
      </c>
      <c r="N155" s="99">
        <v>3</v>
      </c>
      <c r="O155" s="99">
        <v>3</v>
      </c>
      <c r="P155" s="99">
        <v>0.8</v>
      </c>
      <c r="Q155" s="99">
        <v>0.05</v>
      </c>
      <c r="R155" s="129">
        <v>20</v>
      </c>
      <c r="W155" s="3"/>
    </row>
    <row r="156" spans="1:23" x14ac:dyDescent="0.25">
      <c r="A156" s="24" t="s">
        <v>38</v>
      </c>
      <c r="B156" s="48" t="s">
        <v>103</v>
      </c>
      <c r="C156" s="68">
        <f>LOOKUP("B.1.3.3.2.3.2.2.2.finala.1",FamB_Final_Filter!$A$2:$A$127,FamB_Final_Filter!$B$2:$B$127)</f>
        <v>20602</v>
      </c>
      <c r="D156" s="7">
        <f>1-C156/C142</f>
        <v>8.9414364640883925E-2</v>
      </c>
      <c r="E156" s="8">
        <f>C156/C3</f>
        <v>4.5790464505833274E-2</v>
      </c>
      <c r="F156" s="68">
        <f>LOOKUP("B.1.3.3.2.3.2.2.2.finala.1",FamB_Final_Filter!$A$2:$A$127,FamB_Final_Filter!$C$2:$C$127)</f>
        <v>4952</v>
      </c>
      <c r="G156" s="7">
        <f>1-F156/F142</f>
        <v>7.8869047619047672E-2</v>
      </c>
      <c r="H156" s="8">
        <f>F156/F3</f>
        <v>0.12289060948977566</v>
      </c>
      <c r="I156" s="68">
        <f>LOOKUP("B.1.3.3.2.3.2.2.2.finala.1",FamB_Final_Filter!$A$2:$A$127,FamB_Final_Filter!$D$2:$D$127)</f>
        <v>174</v>
      </c>
      <c r="J156" s="7">
        <f>1-I156/I142</f>
        <v>0</v>
      </c>
      <c r="K156" s="8">
        <f>I156/I3</f>
        <v>0.99428571428571433</v>
      </c>
      <c r="L156" s="49">
        <v>20</v>
      </c>
      <c r="M156" s="125">
        <v>0.95</v>
      </c>
      <c r="N156" s="49">
        <v>3</v>
      </c>
      <c r="O156" s="49">
        <v>3</v>
      </c>
      <c r="P156" s="49">
        <v>0.65</v>
      </c>
      <c r="Q156" s="101">
        <v>0.05</v>
      </c>
      <c r="R156" s="52">
        <v>20</v>
      </c>
      <c r="W156" s="3"/>
    </row>
    <row r="157" spans="1:23" x14ac:dyDescent="0.25">
      <c r="A157" s="24" t="s">
        <v>38</v>
      </c>
      <c r="B157" s="48" t="s">
        <v>103</v>
      </c>
      <c r="C157" s="68">
        <f>LOOKUP("B.1.3.3.2.3.2.2.2.finala.2",FamB_Final_Filter!$A$2:$A$127,FamB_Final_Filter!$B$2:$B$127)</f>
        <v>22074</v>
      </c>
      <c r="D157" s="7"/>
      <c r="E157" s="8"/>
      <c r="F157" s="68">
        <f>LOOKUP("B.1.3.3.2.3.2.2.2.finala.2",FamB_Final_Filter!$A$2:$A$127,FamB_Final_Filter!$C$2:$C$127)</f>
        <v>5215</v>
      </c>
      <c r="G157" s="7"/>
      <c r="H157" s="8"/>
      <c r="I157" s="68">
        <f>LOOKUP("B.1.3.3.2.3.2.2.2.finala.2",FamB_Final_Filter!$A$2:$A$127,FamB_Final_Filter!$D$2:$D$127)</f>
        <v>174</v>
      </c>
      <c r="J157" s="7"/>
      <c r="K157" s="8"/>
      <c r="L157" s="101">
        <v>20</v>
      </c>
      <c r="M157" s="125">
        <v>0.9</v>
      </c>
      <c r="N157" s="101">
        <v>3</v>
      </c>
      <c r="O157" s="101">
        <v>3</v>
      </c>
      <c r="P157" s="101">
        <v>0.8</v>
      </c>
      <c r="Q157" s="101">
        <v>0.05</v>
      </c>
      <c r="R157" s="128">
        <v>20</v>
      </c>
      <c r="W157" s="3"/>
    </row>
    <row r="158" spans="1:23" x14ac:dyDescent="0.25">
      <c r="A158" s="67"/>
      <c r="B158" s="54"/>
      <c r="C158" s="55"/>
      <c r="D158" s="56"/>
      <c r="E158" s="57"/>
      <c r="F158" s="55"/>
      <c r="G158" s="56"/>
      <c r="H158" s="57"/>
      <c r="I158" s="55"/>
      <c r="J158" s="56"/>
      <c r="K158" s="57"/>
      <c r="L158" s="55"/>
      <c r="M158" s="55"/>
      <c r="N158" s="55"/>
      <c r="O158" s="55"/>
      <c r="P158" s="55"/>
      <c r="Q158" s="55"/>
      <c r="R158" s="58"/>
      <c r="S158" s="67"/>
      <c r="T158" s="67"/>
      <c r="U158" s="67"/>
      <c r="V158" s="67"/>
      <c r="W158" s="54"/>
    </row>
    <row r="159" spans="1:23" x14ac:dyDescent="0.25">
      <c r="A159" s="24" t="s">
        <v>39</v>
      </c>
      <c r="B159" s="12" t="s">
        <v>97</v>
      </c>
      <c r="C159" s="68">
        <f>LOOKUP("A.1.1.1.2.2.3.1.2.SNP.finalb.1",FamB_Final_Filter!$A$2:$A$127,FamB_Final_Filter!$B$2:$B$127)</f>
        <v>20492</v>
      </c>
      <c r="D159" s="7"/>
      <c r="E159" s="8">
        <f>C159/C3</f>
        <v>4.5545976053467399E-2</v>
      </c>
      <c r="F159" s="68">
        <f>LOOKUP("A.1.1.1.2.2.3.1.2.SNP.finalb.1",FamB_Final_Filter!$A$2:$A$127,FamB_Final_Filter!$C$2:$C$127)</f>
        <v>4945</v>
      </c>
      <c r="G159" s="7"/>
      <c r="H159" s="8">
        <f>F159/F3</f>
        <v>0.12271689497716895</v>
      </c>
      <c r="I159" s="68">
        <f>LOOKUP("A.1.1.1.2.2.3.1.2.SNP.finalb.1",FamB_Final_Filter!$A$2:$A$127,FamB_Final_Filter!$D$2:$D$127)</f>
        <v>173</v>
      </c>
      <c r="J159" s="7"/>
      <c r="K159" s="8">
        <f>I159/I3</f>
        <v>0.98857142857142855</v>
      </c>
      <c r="L159" s="95">
        <v>20</v>
      </c>
      <c r="M159" s="95">
        <v>0.95</v>
      </c>
      <c r="N159" s="95">
        <v>3</v>
      </c>
      <c r="O159" s="95">
        <v>3</v>
      </c>
      <c r="P159" s="104">
        <v>0.5</v>
      </c>
      <c r="Q159" s="95">
        <v>0.05</v>
      </c>
      <c r="R159" s="96">
        <v>20</v>
      </c>
      <c r="W159" s="3"/>
    </row>
    <row r="160" spans="1:23" x14ac:dyDescent="0.25">
      <c r="A160" s="24" t="s">
        <v>39</v>
      </c>
      <c r="B160" s="12" t="s">
        <v>97</v>
      </c>
      <c r="C160" s="68">
        <f>LOOKUP("A.1.1.1.2.2.3.1.2.SNP.finalb.2",FamB_Final_Filter!$A$2:$A$127,FamB_Final_Filter!$B$2:$B$127)</f>
        <v>22159</v>
      </c>
      <c r="D160" s="7"/>
      <c r="E160" s="8"/>
      <c r="F160" s="68">
        <f>LOOKUP("A.1.1.1.2.2.3.1.2.SNP.finalb.2",FamB_Final_Filter!$A$2:$A$127,FamB_Final_Filter!$C$2:$C$127)</f>
        <v>5276</v>
      </c>
      <c r="G160" s="7"/>
      <c r="H160" s="8"/>
      <c r="I160" s="68">
        <f>LOOKUP("A.1.1.1.2.2.3.1.2.SNP.finalb.2",FamB_Final_Filter!$A$2:$A$127,FamB_Final_Filter!$D$2:$D$127)</f>
        <v>173</v>
      </c>
      <c r="J160" s="7"/>
      <c r="K160" s="8"/>
      <c r="L160" s="95">
        <v>20</v>
      </c>
      <c r="M160" s="95">
        <v>0.9</v>
      </c>
      <c r="N160" s="95">
        <v>3</v>
      </c>
      <c r="O160" s="95">
        <v>3</v>
      </c>
      <c r="P160" s="104">
        <v>0.5</v>
      </c>
      <c r="Q160" s="95">
        <v>0.05</v>
      </c>
      <c r="R160" s="96">
        <v>20</v>
      </c>
      <c r="W160" s="3"/>
    </row>
    <row r="161" spans="1:23" x14ac:dyDescent="0.25">
      <c r="A161" s="24" t="s">
        <v>39</v>
      </c>
      <c r="B161" s="9" t="s">
        <v>99</v>
      </c>
      <c r="C161" s="68">
        <f>LOOKUP("B.1.3.3.2.3.2.1.2.SNP.finalb.1",FamB_Final_Filter!$A$2:$A$127,FamB_Final_Filter!$B$2:$B$127)</f>
        <v>20602</v>
      </c>
      <c r="D161" s="7"/>
      <c r="E161" s="8">
        <f>C161/C3</f>
        <v>4.5790464505833274E-2</v>
      </c>
      <c r="F161" s="68">
        <f>LOOKUP("B.1.3.3.2.3.2.1.2.SNP.finalb.1",FamB_Final_Filter!$A$2:$A$127,FamB_Final_Filter!$C$2:$C$127)</f>
        <v>4952</v>
      </c>
      <c r="G161" s="7"/>
      <c r="H161" s="8">
        <f>F161/F3</f>
        <v>0.12289060948977566</v>
      </c>
      <c r="I161" s="68">
        <f>LOOKUP("B.1.3.3.2.3.2.1.2.SNP.finalb.1",FamB_Final_Filter!$A$2:$A$127,FamB_Final_Filter!$D$2:$D$127)</f>
        <v>173</v>
      </c>
      <c r="J161" s="7"/>
      <c r="K161" s="8">
        <f>I161/I3</f>
        <v>0.98857142857142855</v>
      </c>
      <c r="L161" s="16">
        <v>20</v>
      </c>
      <c r="M161" s="100">
        <v>0.95</v>
      </c>
      <c r="N161" s="16">
        <v>3</v>
      </c>
      <c r="O161" s="16">
        <v>3</v>
      </c>
      <c r="P161" s="107">
        <v>0.5</v>
      </c>
      <c r="Q161" s="100">
        <v>0.05</v>
      </c>
      <c r="R161" s="10">
        <v>20</v>
      </c>
      <c r="W161" s="3"/>
    </row>
    <row r="162" spans="1:23" x14ac:dyDescent="0.25">
      <c r="A162" s="24" t="s">
        <v>39</v>
      </c>
      <c r="B162" s="9" t="s">
        <v>99</v>
      </c>
      <c r="C162" s="68">
        <f>LOOKUP("B.1.3.3.2.3.2.1.2.SNP.finalb.2",FamB_Final_Filter!$A$2:$A$127,FamB_Final_Filter!$B$2:$B$127)</f>
        <v>22330</v>
      </c>
      <c r="D162" s="7"/>
      <c r="E162" s="8"/>
      <c r="F162" s="68">
        <f>LOOKUP("B.1.3.3.2.3.2.1.2.SNP.finalb.2",FamB_Final_Filter!$A$2:$A$127,FamB_Final_Filter!$C$2:$C$127)</f>
        <v>5294</v>
      </c>
      <c r="G162" s="7"/>
      <c r="H162" s="8"/>
      <c r="I162" s="68">
        <f>LOOKUP("B.1.3.3.2.3.2.1.2.SNP.finalb.2",FamB_Final_Filter!$A$2:$A$127,FamB_Final_Filter!$D$2:$D$127)</f>
        <v>173</v>
      </c>
      <c r="J162" s="7"/>
      <c r="K162" s="8"/>
      <c r="L162" s="16">
        <v>20</v>
      </c>
      <c r="M162" s="100">
        <v>0.9</v>
      </c>
      <c r="N162" s="16">
        <v>3</v>
      </c>
      <c r="O162" s="16">
        <v>3</v>
      </c>
      <c r="P162" s="107">
        <v>0.5</v>
      </c>
      <c r="Q162" s="100">
        <v>0.05</v>
      </c>
      <c r="R162" s="10">
        <v>20</v>
      </c>
      <c r="W162" s="3"/>
    </row>
    <row r="163" spans="1:23" x14ac:dyDescent="0.25">
      <c r="A163" s="24" t="s">
        <v>39</v>
      </c>
      <c r="B163" s="13" t="s">
        <v>107</v>
      </c>
      <c r="C163" s="68">
        <f>LOOKUP("B.1.3.3.2.3.4.1.2.SNP.finalb.1",FamB_Final_Filter!$A$2:$A$127,FamB_Final_Filter!$B$2:$B$127)</f>
        <v>20503</v>
      </c>
      <c r="D163" s="7"/>
      <c r="E163" s="8">
        <f>C163/C3</f>
        <v>4.5570424898703991E-2</v>
      </c>
      <c r="F163" s="68">
        <f>LOOKUP("B.1.3.3.2.3.4.1.2.SNP.finalb.1",FamB_Final_Filter!$A$2:$A$127,FamB_Final_Filter!$C$2:$C$127)</f>
        <v>4950</v>
      </c>
      <c r="G163" s="7"/>
      <c r="H163" s="8">
        <f>F163/F3</f>
        <v>0.12284097677188803</v>
      </c>
      <c r="I163" s="68">
        <f>LOOKUP("B.1.3.3.2.3.4.1.2.SNP.finalb.1",FamB_Final_Filter!$A$2:$A$127,FamB_Final_Filter!$D$2:$D$127)</f>
        <v>173</v>
      </c>
      <c r="J163" s="7"/>
      <c r="K163" s="8">
        <f>I163/I3</f>
        <v>0.98857142857142855</v>
      </c>
      <c r="L163" s="19">
        <v>20</v>
      </c>
      <c r="M163" s="97">
        <v>0.95</v>
      </c>
      <c r="N163" s="19">
        <v>3</v>
      </c>
      <c r="O163" s="19">
        <v>3</v>
      </c>
      <c r="P163" s="110">
        <v>0.5</v>
      </c>
      <c r="Q163" s="97">
        <v>0.05</v>
      </c>
      <c r="R163" s="20">
        <v>20</v>
      </c>
      <c r="W163" s="3"/>
    </row>
    <row r="164" spans="1:23" x14ac:dyDescent="0.25">
      <c r="A164" s="24" t="s">
        <v>39</v>
      </c>
      <c r="B164" s="6" t="s">
        <v>107</v>
      </c>
      <c r="C164" s="139">
        <f>LOOKUP("B.1.3.3.2.3.4.1.2.SNP.finalb.2",FamB_Final_Filter!$A$2:$A$127,FamB_Final_Filter!$B$2:$B$127)</f>
        <v>22220</v>
      </c>
      <c r="D164" s="7"/>
      <c r="E164" s="8"/>
      <c r="F164" s="139">
        <f>LOOKUP("B.1.3.3.2.3.4.1.2.SNP.finalb.2",FamB_Final_Filter!$A$2:$A$127,FamB_Final_Filter!$C$2:$C$127)</f>
        <v>5294</v>
      </c>
      <c r="G164" s="7"/>
      <c r="H164" s="8"/>
      <c r="I164" s="139">
        <f>LOOKUP("B.1.3.3.2.3.4.1.2.SNP.finalb.2",FamB_Final_Filter!$A$2:$A$127,FamB_Final_Filter!$D$2:$D$127)</f>
        <v>173</v>
      </c>
      <c r="J164" s="7"/>
      <c r="K164" s="8"/>
      <c r="L164" s="2">
        <v>20</v>
      </c>
      <c r="M164" s="140">
        <v>0.9</v>
      </c>
      <c r="N164" s="2">
        <v>3</v>
      </c>
      <c r="O164" s="2">
        <v>3</v>
      </c>
      <c r="P164" s="105">
        <v>0.5</v>
      </c>
      <c r="Q164" s="140">
        <v>0.05</v>
      </c>
      <c r="R164" s="11">
        <v>20</v>
      </c>
      <c r="S164" s="24"/>
      <c r="T164" s="24"/>
      <c r="U164" s="24"/>
      <c r="V164" s="24"/>
      <c r="W164" s="6"/>
    </row>
    <row r="165" spans="1:23" x14ac:dyDescent="0.25">
      <c r="A165" s="24" t="s">
        <v>39</v>
      </c>
      <c r="B165" s="43" t="s">
        <v>111</v>
      </c>
      <c r="C165" s="68">
        <f>LOOKUP("B.1.3.3.2.3.4.2.1.SNP.finalb.1",FamB_Final_Filter!$A$2:$A$127,FamB_Final_Filter!$B$2:$B$127)</f>
        <v>20503</v>
      </c>
      <c r="D165" s="7"/>
      <c r="E165" s="8">
        <f>C165/C3</f>
        <v>4.5570424898703991E-2</v>
      </c>
      <c r="F165" s="68">
        <f>LOOKUP("B.1.3.3.2.3.4.2.1.SNP.finalb.1",FamB_Final_Filter!$A$2:$A$127,FamB_Final_Filter!$C$2:$C$127)</f>
        <v>4950</v>
      </c>
      <c r="G165" s="7"/>
      <c r="H165" s="8">
        <f>F165/F3</f>
        <v>0.12284097677188803</v>
      </c>
      <c r="I165" s="68">
        <f>LOOKUP("B.1.3.3.2.3.4.2.1.SNP.finalb.1",FamB_Final_Filter!$A$2:$A$127,FamB_Final_Filter!$D$2:$D$127)</f>
        <v>173</v>
      </c>
      <c r="J165" s="7"/>
      <c r="K165" s="8">
        <f>I165/I3</f>
        <v>0.98857142857142855</v>
      </c>
      <c r="L165" s="44">
        <v>20</v>
      </c>
      <c r="M165" s="99">
        <v>0.95</v>
      </c>
      <c r="N165" s="44">
        <v>3</v>
      </c>
      <c r="O165" s="44">
        <v>3</v>
      </c>
      <c r="P165" s="126">
        <v>0.5</v>
      </c>
      <c r="Q165" s="99">
        <v>0.05</v>
      </c>
      <c r="R165" s="47">
        <v>20</v>
      </c>
      <c r="W165" s="3"/>
    </row>
    <row r="166" spans="1:23" x14ac:dyDescent="0.25">
      <c r="A166" s="24" t="s">
        <v>39</v>
      </c>
      <c r="B166" s="43" t="s">
        <v>111</v>
      </c>
      <c r="C166" s="68">
        <f>LOOKUP("B.1.3.3.2.3.4.2.1.SNP.finalb.2",FamB_Final_Filter!$A$2:$A$127,FamB_Final_Filter!$B$2:$B$127)</f>
        <v>21974</v>
      </c>
      <c r="D166" s="7"/>
      <c r="E166" s="8"/>
      <c r="F166" s="68">
        <f>LOOKUP("B.1.3.3.2.3.4.2.1.SNP.finalb.2",FamB_Final_Filter!$A$2:$A$127,FamB_Final_Filter!$C$2:$C$127)</f>
        <v>5215</v>
      </c>
      <c r="G166" s="7"/>
      <c r="H166" s="8"/>
      <c r="I166" s="68">
        <f>LOOKUP("B.1.3.3.2.3.4.2.1.SNP.finalb.2",FamB_Final_Filter!$A$2:$A$127,FamB_Final_Filter!$D$2:$D$127)</f>
        <v>173</v>
      </c>
      <c r="J166" s="7"/>
      <c r="K166" s="8"/>
      <c r="L166" s="44">
        <v>20</v>
      </c>
      <c r="M166" s="99">
        <v>0.9</v>
      </c>
      <c r="N166" s="44">
        <v>3</v>
      </c>
      <c r="O166" s="44">
        <v>3</v>
      </c>
      <c r="P166" s="126">
        <v>0.5</v>
      </c>
      <c r="Q166" s="99">
        <v>0.05</v>
      </c>
      <c r="R166" s="47">
        <v>20</v>
      </c>
      <c r="W166" s="3"/>
    </row>
    <row r="167" spans="1:23" x14ac:dyDescent="0.25">
      <c r="A167" s="24" t="s">
        <v>39</v>
      </c>
      <c r="B167" s="48" t="s">
        <v>103</v>
      </c>
      <c r="C167" s="68">
        <f>LOOKUP("B.1.3.3.2.3.2.2.2.SNP.finalb.1",FamB_Final_Filter!$A$2:$A$127,FamB_Final_Filter!$B$2:$B$127)</f>
        <v>20602</v>
      </c>
      <c r="D167" s="7"/>
      <c r="E167" s="8">
        <f>C168/C3</f>
        <v>4.9062164522947461E-2</v>
      </c>
      <c r="F167" s="68">
        <f>LOOKUP("B.1.3.3.2.3.2.2.2.SNP.finalb.1",FamB_Final_Filter!$A$2:$A$127,FamB_Final_Filter!$C$2:$C$127)</f>
        <v>4952</v>
      </c>
      <c r="G167" s="7"/>
      <c r="H167" s="8">
        <f>F168/F3</f>
        <v>0.1294173118919992</v>
      </c>
      <c r="I167" s="68">
        <f>LOOKUP("B.1.3.3.2.3.2.2.2.SNP.finalb.1",FamB_Final_Filter!$A$2:$A$127,FamB_Final_Filter!$D$2:$D$127)</f>
        <v>173</v>
      </c>
      <c r="J167" s="7"/>
      <c r="K167" s="8">
        <f>I168/I3</f>
        <v>0.98857142857142855</v>
      </c>
      <c r="L167" s="49">
        <v>20</v>
      </c>
      <c r="M167" s="101">
        <v>0.95</v>
      </c>
      <c r="N167" s="49">
        <v>3</v>
      </c>
      <c r="O167" s="49">
        <v>3</v>
      </c>
      <c r="P167" s="125">
        <v>0.5</v>
      </c>
      <c r="Q167" s="101">
        <v>0.05</v>
      </c>
      <c r="R167" s="52">
        <v>20</v>
      </c>
      <c r="W167" s="3"/>
    </row>
    <row r="168" spans="1:23" x14ac:dyDescent="0.25">
      <c r="A168" s="24" t="s">
        <v>39</v>
      </c>
      <c r="B168" s="48" t="s">
        <v>103</v>
      </c>
      <c r="C168" s="68">
        <f>LOOKUP("B.1.3.3.2.3.2.2.2.SNP.finalb.2",FamB_Final_Filter!$A$2:$A$127,FamB_Final_Filter!$B$2:$B$127)</f>
        <v>22074</v>
      </c>
      <c r="D168" s="7"/>
      <c r="E168" s="8"/>
      <c r="F168" s="68">
        <f>LOOKUP("B.1.3.3.2.3.2.2.2.SNP.finalb.2",FamB_Final_Filter!$A$2:$A$127,FamB_Final_Filter!$C$2:$C$127)</f>
        <v>5215</v>
      </c>
      <c r="G168" s="7"/>
      <c r="H168" s="8"/>
      <c r="I168" s="68">
        <f>LOOKUP("B.1.3.3.2.3.2.2.2.SNP.finalb.2",FamB_Final_Filter!$A$2:$A$127,FamB_Final_Filter!$D$2:$D$127)</f>
        <v>173</v>
      </c>
      <c r="J168" s="7"/>
      <c r="K168" s="8"/>
      <c r="L168" s="49">
        <v>20</v>
      </c>
      <c r="M168" s="101">
        <v>0.9</v>
      </c>
      <c r="N168" s="49">
        <v>3</v>
      </c>
      <c r="O168" s="49">
        <v>3</v>
      </c>
      <c r="P168" s="125">
        <v>0.5</v>
      </c>
      <c r="Q168" s="101">
        <v>0.05</v>
      </c>
      <c r="R168" s="52">
        <v>20</v>
      </c>
      <c r="W168" s="3"/>
    </row>
    <row r="169" spans="1:23" x14ac:dyDescent="0.25">
      <c r="A169" s="70" t="s">
        <v>120</v>
      </c>
      <c r="B169" s="92" t="str">
        <f>B164</f>
        <v>B.1.3.3.2.3.4.1.2</v>
      </c>
      <c r="C169" s="92">
        <f t="shared" ref="C169:R169" si="3">C164</f>
        <v>22220</v>
      </c>
      <c r="D169" s="92">
        <f t="shared" si="3"/>
        <v>0</v>
      </c>
      <c r="E169" s="92">
        <f t="shared" si="3"/>
        <v>0</v>
      </c>
      <c r="F169" s="92">
        <f t="shared" si="3"/>
        <v>5294</v>
      </c>
      <c r="G169" s="92">
        <f t="shared" si="3"/>
        <v>0</v>
      </c>
      <c r="H169" s="92">
        <f t="shared" si="3"/>
        <v>0</v>
      </c>
      <c r="I169" s="92">
        <f t="shared" si="3"/>
        <v>173</v>
      </c>
      <c r="J169" s="92">
        <f t="shared" si="3"/>
        <v>0</v>
      </c>
      <c r="K169" s="92">
        <f t="shared" si="3"/>
        <v>0</v>
      </c>
      <c r="L169" s="92">
        <f t="shared" si="3"/>
        <v>20</v>
      </c>
      <c r="M169" s="92">
        <f t="shared" si="3"/>
        <v>0.9</v>
      </c>
      <c r="N169" s="92">
        <f t="shared" si="3"/>
        <v>3</v>
      </c>
      <c r="O169" s="92">
        <f t="shared" si="3"/>
        <v>3</v>
      </c>
      <c r="P169" s="92">
        <f t="shared" si="3"/>
        <v>0.5</v>
      </c>
      <c r="Q169" s="92">
        <f t="shared" si="3"/>
        <v>0.05</v>
      </c>
      <c r="R169" s="92">
        <f t="shared" si="3"/>
        <v>20</v>
      </c>
      <c r="S169" s="102"/>
      <c r="T169" s="102"/>
      <c r="U169" s="102"/>
      <c r="V169" s="102"/>
      <c r="W169" s="103"/>
    </row>
    <row r="171" spans="1:23" x14ac:dyDescent="0.25">
      <c r="A171" s="53" t="s">
        <v>121</v>
      </c>
    </row>
  </sheetData>
  <pageMargins left="0.7" right="0.7" top="0.75" bottom="0.75" header="0.3" footer="0.3"/>
  <pageSetup orientation="portrait" r:id="rId1"/>
  <ignoredErrors>
    <ignoredError sqref="C152 F152 F163 I15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topLeftCell="A4" zoomScaleNormal="100" workbookViewId="0">
      <selection activeCell="A26" sqref="A26"/>
    </sheetView>
  </sheetViews>
  <sheetFormatPr defaultRowHeight="15" x14ac:dyDescent="0.25"/>
  <cols>
    <col min="1" max="1" width="39.7109375" customWidth="1"/>
  </cols>
  <sheetData>
    <row r="1" spans="1:4" x14ac:dyDescent="0.25">
      <c r="A1" t="s">
        <v>0</v>
      </c>
      <c r="B1" t="s">
        <v>124</v>
      </c>
      <c r="C1" t="s">
        <v>125</v>
      </c>
      <c r="D1" t="s">
        <v>5</v>
      </c>
    </row>
    <row r="2" spans="1:4" x14ac:dyDescent="0.25">
      <c r="A2" t="s">
        <v>43</v>
      </c>
      <c r="B2">
        <v>185944</v>
      </c>
      <c r="C2">
        <v>32040</v>
      </c>
      <c r="D2">
        <v>175</v>
      </c>
    </row>
    <row r="3" spans="1:4" x14ac:dyDescent="0.25">
      <c r="A3" t="s">
        <v>44</v>
      </c>
      <c r="B3">
        <v>185944</v>
      </c>
      <c r="C3">
        <v>32040</v>
      </c>
      <c r="D3">
        <v>175</v>
      </c>
    </row>
    <row r="4" spans="1:4" x14ac:dyDescent="0.25">
      <c r="A4" t="s">
        <v>50</v>
      </c>
      <c r="B4">
        <v>74662</v>
      </c>
      <c r="C4">
        <v>14398</v>
      </c>
      <c r="D4">
        <v>175</v>
      </c>
    </row>
    <row r="5" spans="1:4" x14ac:dyDescent="0.25">
      <c r="A5" t="s">
        <v>56</v>
      </c>
      <c r="B5">
        <v>58647</v>
      </c>
      <c r="C5">
        <v>12052</v>
      </c>
      <c r="D5">
        <v>175</v>
      </c>
    </row>
    <row r="6" spans="1:4" x14ac:dyDescent="0.25">
      <c r="A6" t="s">
        <v>58</v>
      </c>
      <c r="B6">
        <v>41032</v>
      </c>
      <c r="C6">
        <v>8244</v>
      </c>
      <c r="D6">
        <v>175</v>
      </c>
    </row>
    <row r="7" spans="1:4" x14ac:dyDescent="0.25">
      <c r="A7" t="s">
        <v>78</v>
      </c>
      <c r="B7">
        <v>41032</v>
      </c>
      <c r="C7">
        <v>8244</v>
      </c>
      <c r="D7">
        <v>174</v>
      </c>
    </row>
    <row r="8" spans="1:4" x14ac:dyDescent="0.25">
      <c r="A8" t="s">
        <v>79</v>
      </c>
      <c r="B8">
        <v>23666</v>
      </c>
      <c r="C8">
        <v>5825</v>
      </c>
      <c r="D8">
        <v>174</v>
      </c>
    </row>
    <row r="9" spans="1:4" x14ac:dyDescent="0.25">
      <c r="A9" t="s">
        <v>80</v>
      </c>
      <c r="B9">
        <v>23189</v>
      </c>
      <c r="C9">
        <v>5790</v>
      </c>
      <c r="D9">
        <v>174</v>
      </c>
    </row>
    <row r="10" spans="1:4" x14ac:dyDescent="0.25">
      <c r="A10" t="s">
        <v>59</v>
      </c>
      <c r="B10">
        <v>37465</v>
      </c>
      <c r="C10">
        <v>7720</v>
      </c>
      <c r="D10">
        <v>175</v>
      </c>
    </row>
    <row r="11" spans="1:4" x14ac:dyDescent="0.25">
      <c r="A11" t="s">
        <v>70</v>
      </c>
      <c r="B11">
        <v>37465</v>
      </c>
      <c r="C11">
        <v>7720</v>
      </c>
      <c r="D11">
        <v>174</v>
      </c>
    </row>
    <row r="12" spans="1:4" x14ac:dyDescent="0.25">
      <c r="A12" t="s">
        <v>71</v>
      </c>
      <c r="B12">
        <v>37465</v>
      </c>
      <c r="C12">
        <v>7720</v>
      </c>
      <c r="D12">
        <v>175</v>
      </c>
    </row>
    <row r="13" spans="1:4" x14ac:dyDescent="0.25">
      <c r="A13" t="s">
        <v>82</v>
      </c>
      <c r="B13">
        <v>26941</v>
      </c>
      <c r="C13">
        <v>6691</v>
      </c>
      <c r="D13">
        <v>175</v>
      </c>
    </row>
    <row r="14" spans="1:4" x14ac:dyDescent="0.25">
      <c r="A14" t="s">
        <v>83</v>
      </c>
      <c r="B14">
        <v>24493</v>
      </c>
      <c r="C14">
        <v>6084</v>
      </c>
      <c r="D14">
        <v>175</v>
      </c>
    </row>
    <row r="15" spans="1:4" x14ac:dyDescent="0.25">
      <c r="A15" t="s">
        <v>81</v>
      </c>
      <c r="B15">
        <v>22807</v>
      </c>
      <c r="C15">
        <v>5688</v>
      </c>
      <c r="D15">
        <v>175</v>
      </c>
    </row>
    <row r="16" spans="1:4" x14ac:dyDescent="0.25">
      <c r="A16" t="s">
        <v>91</v>
      </c>
      <c r="B16">
        <v>22034</v>
      </c>
      <c r="C16">
        <v>5486</v>
      </c>
      <c r="D16">
        <v>175</v>
      </c>
    </row>
    <row r="17" spans="1:4" x14ac:dyDescent="0.25">
      <c r="A17" t="s">
        <v>98</v>
      </c>
      <c r="B17">
        <v>22034</v>
      </c>
      <c r="C17">
        <v>5486</v>
      </c>
      <c r="D17">
        <v>174</v>
      </c>
    </row>
    <row r="18" spans="1:4" x14ac:dyDescent="0.25">
      <c r="A18" t="s">
        <v>97</v>
      </c>
      <c r="B18">
        <v>22034</v>
      </c>
      <c r="C18">
        <v>5486</v>
      </c>
      <c r="D18">
        <v>174</v>
      </c>
    </row>
    <row r="19" spans="1:4" x14ac:dyDescent="0.25">
      <c r="A19" t="s">
        <v>126</v>
      </c>
      <c r="B19">
        <v>18786</v>
      </c>
      <c r="C19">
        <v>5049</v>
      </c>
      <c r="D19">
        <v>174</v>
      </c>
    </row>
    <row r="20" spans="1:4" x14ac:dyDescent="0.25">
      <c r="A20" t="s">
        <v>127</v>
      </c>
      <c r="B20">
        <v>19852</v>
      </c>
      <c r="C20">
        <v>5305</v>
      </c>
      <c r="D20">
        <v>174</v>
      </c>
    </row>
    <row r="21" spans="1:4" x14ac:dyDescent="0.25">
      <c r="A21" t="s">
        <v>128</v>
      </c>
      <c r="B21">
        <v>19949</v>
      </c>
      <c r="C21">
        <v>5333</v>
      </c>
      <c r="D21">
        <v>174</v>
      </c>
    </row>
    <row r="22" spans="1:4" x14ac:dyDescent="0.25">
      <c r="A22" t="s">
        <v>129</v>
      </c>
      <c r="B22">
        <v>20492</v>
      </c>
      <c r="C22">
        <v>4945</v>
      </c>
      <c r="D22">
        <v>174</v>
      </c>
    </row>
    <row r="23" spans="1:4" x14ac:dyDescent="0.25">
      <c r="A23" t="s">
        <v>130</v>
      </c>
      <c r="B23">
        <v>22159</v>
      </c>
      <c r="C23">
        <v>5276</v>
      </c>
      <c r="D23">
        <v>174</v>
      </c>
    </row>
    <row r="24" spans="1:4" x14ac:dyDescent="0.25">
      <c r="A24" t="s">
        <v>131</v>
      </c>
      <c r="B24">
        <v>22625</v>
      </c>
      <c r="C24">
        <v>5376</v>
      </c>
      <c r="D24">
        <v>174</v>
      </c>
    </row>
    <row r="25" spans="1:4" x14ac:dyDescent="0.25">
      <c r="A25" t="s">
        <v>132</v>
      </c>
      <c r="B25">
        <v>22625</v>
      </c>
      <c r="C25">
        <v>5376</v>
      </c>
      <c r="D25">
        <v>174</v>
      </c>
    </row>
    <row r="26" spans="1:4" x14ac:dyDescent="0.25">
      <c r="A26" t="s">
        <v>133</v>
      </c>
      <c r="B26">
        <v>20492</v>
      </c>
      <c r="C26">
        <v>4945</v>
      </c>
      <c r="D26">
        <v>173</v>
      </c>
    </row>
    <row r="27" spans="1:4" x14ac:dyDescent="0.25">
      <c r="A27" t="s">
        <v>134</v>
      </c>
      <c r="B27">
        <v>22159</v>
      </c>
      <c r="C27">
        <v>5276</v>
      </c>
      <c r="D27">
        <v>173</v>
      </c>
    </row>
    <row r="28" spans="1:4" x14ac:dyDescent="0.25">
      <c r="A28" t="s">
        <v>92</v>
      </c>
      <c r="B28">
        <v>21309</v>
      </c>
      <c r="C28">
        <v>5294</v>
      </c>
      <c r="D28">
        <v>175</v>
      </c>
    </row>
    <row r="29" spans="1:4" x14ac:dyDescent="0.25">
      <c r="A29" t="s">
        <v>84</v>
      </c>
      <c r="B29">
        <v>28328</v>
      </c>
      <c r="C29">
        <v>6809</v>
      </c>
      <c r="D29">
        <v>175</v>
      </c>
    </row>
    <row r="30" spans="1:4" x14ac:dyDescent="0.25">
      <c r="A30" t="s">
        <v>85</v>
      </c>
      <c r="B30">
        <v>25167</v>
      </c>
      <c r="C30">
        <v>6136</v>
      </c>
      <c r="D30">
        <v>175</v>
      </c>
    </row>
    <row r="31" spans="1:4" x14ac:dyDescent="0.25">
      <c r="A31" t="s">
        <v>86</v>
      </c>
      <c r="B31">
        <v>23252</v>
      </c>
      <c r="C31">
        <v>5718</v>
      </c>
      <c r="D31">
        <v>175</v>
      </c>
    </row>
    <row r="32" spans="1:4" x14ac:dyDescent="0.25">
      <c r="A32" t="s">
        <v>57</v>
      </c>
      <c r="B32">
        <v>49756</v>
      </c>
      <c r="C32">
        <v>11274</v>
      </c>
      <c r="D32">
        <v>175</v>
      </c>
    </row>
    <row r="33" spans="1:4" x14ac:dyDescent="0.25">
      <c r="A33" t="s">
        <v>60</v>
      </c>
      <c r="B33">
        <v>38544</v>
      </c>
      <c r="C33">
        <v>8688</v>
      </c>
      <c r="D33">
        <v>175</v>
      </c>
    </row>
    <row r="34" spans="1:4" x14ac:dyDescent="0.25">
      <c r="A34" t="s">
        <v>61</v>
      </c>
      <c r="B34">
        <v>34401</v>
      </c>
      <c r="C34">
        <v>8215</v>
      </c>
      <c r="D34">
        <v>175</v>
      </c>
    </row>
    <row r="35" spans="1:4" x14ac:dyDescent="0.25">
      <c r="A35" t="s">
        <v>51</v>
      </c>
      <c r="B35">
        <v>74662</v>
      </c>
      <c r="C35">
        <v>14398</v>
      </c>
      <c r="D35">
        <v>174</v>
      </c>
    </row>
    <row r="36" spans="1:4" x14ac:dyDescent="0.25">
      <c r="A36" t="s">
        <v>52</v>
      </c>
      <c r="B36">
        <v>74662</v>
      </c>
      <c r="C36">
        <v>14398</v>
      </c>
      <c r="D36">
        <v>174</v>
      </c>
    </row>
    <row r="37" spans="1:4" x14ac:dyDescent="0.25">
      <c r="A37" t="s">
        <v>115</v>
      </c>
      <c r="B37">
        <v>74662</v>
      </c>
      <c r="C37">
        <v>14398</v>
      </c>
      <c r="D37">
        <v>175</v>
      </c>
    </row>
    <row r="38" spans="1:4" x14ac:dyDescent="0.25">
      <c r="A38" t="s">
        <v>45</v>
      </c>
      <c r="B38">
        <v>185944</v>
      </c>
      <c r="C38">
        <v>32040</v>
      </c>
      <c r="D38">
        <v>175</v>
      </c>
    </row>
    <row r="39" spans="1:4" x14ac:dyDescent="0.25">
      <c r="A39" t="s">
        <v>109</v>
      </c>
      <c r="B39">
        <v>47278</v>
      </c>
      <c r="C39">
        <v>9410</v>
      </c>
      <c r="D39">
        <v>173</v>
      </c>
    </row>
    <row r="40" spans="1:4" x14ac:dyDescent="0.25">
      <c r="A40" t="s">
        <v>116</v>
      </c>
      <c r="B40">
        <v>47278</v>
      </c>
      <c r="C40">
        <v>9410</v>
      </c>
      <c r="D40">
        <v>175</v>
      </c>
    </row>
    <row r="41" spans="1:4" x14ac:dyDescent="0.25">
      <c r="A41" t="s">
        <v>47</v>
      </c>
      <c r="B41">
        <v>185944</v>
      </c>
      <c r="C41">
        <v>32040</v>
      </c>
      <c r="D41">
        <v>175</v>
      </c>
    </row>
    <row r="42" spans="1:4" x14ac:dyDescent="0.25">
      <c r="A42" t="s">
        <v>117</v>
      </c>
      <c r="B42">
        <v>33528</v>
      </c>
      <c r="C42">
        <v>7326</v>
      </c>
      <c r="D42">
        <v>175</v>
      </c>
    </row>
    <row r="43" spans="1:4" x14ac:dyDescent="0.25">
      <c r="A43" t="s">
        <v>46</v>
      </c>
      <c r="B43">
        <v>170417</v>
      </c>
      <c r="C43">
        <v>28398</v>
      </c>
      <c r="D43">
        <v>175</v>
      </c>
    </row>
    <row r="44" spans="1:4" x14ac:dyDescent="0.25">
      <c r="A44" t="s">
        <v>48</v>
      </c>
      <c r="B44">
        <v>170417</v>
      </c>
      <c r="C44">
        <v>28398</v>
      </c>
      <c r="D44">
        <v>175</v>
      </c>
    </row>
    <row r="45" spans="1:4" x14ac:dyDescent="0.25">
      <c r="A45" t="s">
        <v>53</v>
      </c>
      <c r="B45">
        <v>57415</v>
      </c>
      <c r="C45">
        <v>10857</v>
      </c>
      <c r="D45">
        <v>175</v>
      </c>
    </row>
    <row r="46" spans="1:4" x14ac:dyDescent="0.25">
      <c r="A46" t="s">
        <v>54</v>
      </c>
      <c r="B46">
        <v>57415</v>
      </c>
      <c r="C46">
        <v>10857</v>
      </c>
      <c r="D46">
        <v>174</v>
      </c>
    </row>
    <row r="47" spans="1:4" x14ac:dyDescent="0.25">
      <c r="A47" t="s">
        <v>55</v>
      </c>
      <c r="B47">
        <v>57415</v>
      </c>
      <c r="C47">
        <v>10857</v>
      </c>
      <c r="D47">
        <v>174</v>
      </c>
    </row>
    <row r="48" spans="1:4" x14ac:dyDescent="0.25">
      <c r="A48" t="s">
        <v>66</v>
      </c>
      <c r="B48">
        <v>50910</v>
      </c>
      <c r="C48">
        <v>10162</v>
      </c>
      <c r="D48">
        <v>174</v>
      </c>
    </row>
    <row r="49" spans="1:4" x14ac:dyDescent="0.25">
      <c r="A49" t="s">
        <v>67</v>
      </c>
      <c r="B49">
        <v>35814</v>
      </c>
      <c r="C49">
        <v>7908</v>
      </c>
      <c r="D49">
        <v>174</v>
      </c>
    </row>
    <row r="50" spans="1:4" x14ac:dyDescent="0.25">
      <c r="A50" t="s">
        <v>62</v>
      </c>
      <c r="B50">
        <v>44739</v>
      </c>
      <c r="C50">
        <v>9700</v>
      </c>
      <c r="D50">
        <v>174</v>
      </c>
    </row>
    <row r="51" spans="1:4" x14ac:dyDescent="0.25">
      <c r="A51" t="s">
        <v>63</v>
      </c>
      <c r="B51">
        <v>37883</v>
      </c>
      <c r="C51">
        <v>8124</v>
      </c>
      <c r="D51">
        <v>174</v>
      </c>
    </row>
    <row r="52" spans="1:4" x14ac:dyDescent="0.25">
      <c r="A52" t="s">
        <v>68</v>
      </c>
      <c r="B52">
        <v>34641</v>
      </c>
      <c r="C52">
        <v>7599</v>
      </c>
      <c r="D52">
        <v>174</v>
      </c>
    </row>
    <row r="53" spans="1:4" x14ac:dyDescent="0.25">
      <c r="A53" t="s">
        <v>72</v>
      </c>
      <c r="B53">
        <v>34641</v>
      </c>
      <c r="C53">
        <v>7599</v>
      </c>
      <c r="D53">
        <v>174</v>
      </c>
    </row>
    <row r="54" spans="1:4" x14ac:dyDescent="0.25">
      <c r="A54" t="s">
        <v>73</v>
      </c>
      <c r="B54">
        <v>34641</v>
      </c>
      <c r="C54">
        <v>7599</v>
      </c>
      <c r="D54">
        <v>174</v>
      </c>
    </row>
    <row r="55" spans="1:4" x14ac:dyDescent="0.25">
      <c r="A55" t="s">
        <v>74</v>
      </c>
      <c r="B55">
        <v>34641</v>
      </c>
      <c r="C55">
        <v>7599</v>
      </c>
      <c r="D55">
        <v>174</v>
      </c>
    </row>
    <row r="56" spans="1:4" x14ac:dyDescent="0.25">
      <c r="A56" t="s">
        <v>88</v>
      </c>
      <c r="B56">
        <v>28366</v>
      </c>
      <c r="C56">
        <v>6821</v>
      </c>
      <c r="D56">
        <v>174</v>
      </c>
    </row>
    <row r="57" spans="1:4" x14ac:dyDescent="0.25">
      <c r="A57" t="s">
        <v>87</v>
      </c>
      <c r="B57">
        <v>23285</v>
      </c>
      <c r="C57">
        <v>5725</v>
      </c>
      <c r="D57">
        <v>174</v>
      </c>
    </row>
    <row r="58" spans="1:4" x14ac:dyDescent="0.25">
      <c r="A58" t="s">
        <v>93</v>
      </c>
      <c r="B58">
        <v>22567</v>
      </c>
      <c r="C58">
        <v>5545</v>
      </c>
      <c r="D58">
        <v>174</v>
      </c>
    </row>
    <row r="59" spans="1:4" x14ac:dyDescent="0.25">
      <c r="A59" t="s">
        <v>102</v>
      </c>
      <c r="B59">
        <v>22567</v>
      </c>
      <c r="C59">
        <v>5545</v>
      </c>
      <c r="D59">
        <v>174</v>
      </c>
    </row>
    <row r="60" spans="1:4" x14ac:dyDescent="0.25">
      <c r="A60" t="s">
        <v>99</v>
      </c>
      <c r="B60">
        <v>22567</v>
      </c>
      <c r="C60">
        <v>5545</v>
      </c>
      <c r="D60">
        <v>174</v>
      </c>
    </row>
    <row r="61" spans="1:4" x14ac:dyDescent="0.25">
      <c r="A61" t="s">
        <v>135</v>
      </c>
      <c r="B61">
        <v>18871</v>
      </c>
      <c r="C61">
        <v>5074</v>
      </c>
      <c r="D61">
        <v>174</v>
      </c>
    </row>
    <row r="62" spans="1:4" x14ac:dyDescent="0.25">
      <c r="A62" t="s">
        <v>136</v>
      </c>
      <c r="B62">
        <v>19941</v>
      </c>
      <c r="C62">
        <v>5331</v>
      </c>
      <c r="D62">
        <v>174</v>
      </c>
    </row>
    <row r="63" spans="1:4" x14ac:dyDescent="0.25">
      <c r="A63" t="s">
        <v>137</v>
      </c>
      <c r="B63">
        <v>20040</v>
      </c>
      <c r="C63">
        <v>5360</v>
      </c>
      <c r="D63">
        <v>174</v>
      </c>
    </row>
    <row r="64" spans="1:4" x14ac:dyDescent="0.25">
      <c r="A64" t="s">
        <v>138</v>
      </c>
      <c r="B64">
        <v>20602</v>
      </c>
      <c r="C64">
        <v>4952</v>
      </c>
      <c r="D64">
        <v>174</v>
      </c>
    </row>
    <row r="65" spans="1:4" x14ac:dyDescent="0.25">
      <c r="A65" t="s">
        <v>139</v>
      </c>
      <c r="B65">
        <v>22330</v>
      </c>
      <c r="C65">
        <v>5294</v>
      </c>
      <c r="D65">
        <v>174</v>
      </c>
    </row>
    <row r="66" spans="1:4" x14ac:dyDescent="0.25">
      <c r="A66" t="s">
        <v>140</v>
      </c>
      <c r="B66">
        <v>23267</v>
      </c>
      <c r="C66">
        <v>5437</v>
      </c>
      <c r="D66">
        <v>174</v>
      </c>
    </row>
    <row r="67" spans="1:4" x14ac:dyDescent="0.25">
      <c r="A67" t="s">
        <v>141</v>
      </c>
      <c r="B67">
        <v>22854</v>
      </c>
      <c r="C67">
        <v>5408</v>
      </c>
      <c r="D67">
        <v>174</v>
      </c>
    </row>
    <row r="68" spans="1:4" x14ac:dyDescent="0.25">
      <c r="A68" t="s">
        <v>142</v>
      </c>
      <c r="B68">
        <v>20602</v>
      </c>
      <c r="C68">
        <v>4952</v>
      </c>
      <c r="D68">
        <v>173</v>
      </c>
    </row>
    <row r="69" spans="1:4" x14ac:dyDescent="0.25">
      <c r="A69" t="s">
        <v>143</v>
      </c>
      <c r="B69">
        <v>22330</v>
      </c>
      <c r="C69">
        <v>5294</v>
      </c>
      <c r="D69">
        <v>173</v>
      </c>
    </row>
    <row r="70" spans="1:4" x14ac:dyDescent="0.25">
      <c r="A70" t="s">
        <v>100</v>
      </c>
      <c r="B70">
        <v>22567</v>
      </c>
      <c r="C70">
        <v>5545</v>
      </c>
      <c r="D70">
        <v>173</v>
      </c>
    </row>
    <row r="71" spans="1:4" x14ac:dyDescent="0.25">
      <c r="A71" t="s">
        <v>101</v>
      </c>
      <c r="B71">
        <v>22567</v>
      </c>
      <c r="C71">
        <v>5545</v>
      </c>
      <c r="D71">
        <v>173</v>
      </c>
    </row>
    <row r="72" spans="1:4" x14ac:dyDescent="0.25">
      <c r="A72" t="s">
        <v>94</v>
      </c>
      <c r="B72">
        <v>21801</v>
      </c>
      <c r="C72">
        <v>5345</v>
      </c>
      <c r="D72">
        <v>174</v>
      </c>
    </row>
    <row r="73" spans="1:4" x14ac:dyDescent="0.25">
      <c r="A73" t="s">
        <v>104</v>
      </c>
      <c r="B73">
        <v>21801</v>
      </c>
      <c r="C73">
        <v>5345</v>
      </c>
      <c r="D73">
        <v>174</v>
      </c>
    </row>
    <row r="74" spans="1:4" x14ac:dyDescent="0.25">
      <c r="A74" t="s">
        <v>103</v>
      </c>
      <c r="B74">
        <v>21801</v>
      </c>
      <c r="C74">
        <v>5345</v>
      </c>
      <c r="D74">
        <v>174</v>
      </c>
    </row>
    <row r="75" spans="1:4" x14ac:dyDescent="0.25">
      <c r="A75" t="s">
        <v>144</v>
      </c>
      <c r="B75">
        <v>18337</v>
      </c>
      <c r="C75">
        <v>4902</v>
      </c>
      <c r="D75">
        <v>174</v>
      </c>
    </row>
    <row r="76" spans="1:4" x14ac:dyDescent="0.25">
      <c r="A76" t="s">
        <v>145</v>
      </c>
      <c r="B76">
        <v>19403</v>
      </c>
      <c r="C76">
        <v>5158</v>
      </c>
      <c r="D76">
        <v>174</v>
      </c>
    </row>
    <row r="77" spans="1:4" x14ac:dyDescent="0.25">
      <c r="A77" t="s">
        <v>146</v>
      </c>
      <c r="B77">
        <v>19494</v>
      </c>
      <c r="C77">
        <v>5186</v>
      </c>
      <c r="D77">
        <v>174</v>
      </c>
    </row>
    <row r="78" spans="1:4" x14ac:dyDescent="0.25">
      <c r="A78" t="s">
        <v>147</v>
      </c>
      <c r="B78">
        <v>20602</v>
      </c>
      <c r="C78">
        <v>4952</v>
      </c>
      <c r="D78">
        <v>174</v>
      </c>
    </row>
    <row r="79" spans="1:4" x14ac:dyDescent="0.25">
      <c r="A79" t="s">
        <v>148</v>
      </c>
      <c r="B79">
        <v>22074</v>
      </c>
      <c r="C79">
        <v>5215</v>
      </c>
      <c r="D79">
        <v>174</v>
      </c>
    </row>
    <row r="80" spans="1:4" x14ac:dyDescent="0.25">
      <c r="A80" t="s">
        <v>149</v>
      </c>
      <c r="B80">
        <v>22452</v>
      </c>
      <c r="C80">
        <v>5237</v>
      </c>
      <c r="D80">
        <v>174</v>
      </c>
    </row>
    <row r="81" spans="1:4" x14ac:dyDescent="0.25">
      <c r="A81" t="s">
        <v>150</v>
      </c>
      <c r="B81">
        <v>22074</v>
      </c>
      <c r="C81">
        <v>5215</v>
      </c>
      <c r="D81">
        <v>174</v>
      </c>
    </row>
    <row r="82" spans="1:4" x14ac:dyDescent="0.25">
      <c r="A82" t="s">
        <v>151</v>
      </c>
      <c r="B82">
        <v>20602</v>
      </c>
      <c r="C82">
        <v>4952</v>
      </c>
      <c r="D82">
        <v>173</v>
      </c>
    </row>
    <row r="83" spans="1:4" x14ac:dyDescent="0.25">
      <c r="A83" t="s">
        <v>152</v>
      </c>
      <c r="B83">
        <v>22074</v>
      </c>
      <c r="C83">
        <v>5215</v>
      </c>
      <c r="D83">
        <v>173</v>
      </c>
    </row>
    <row r="84" spans="1:4" x14ac:dyDescent="0.25">
      <c r="A84" t="s">
        <v>105</v>
      </c>
      <c r="B84">
        <v>21801</v>
      </c>
      <c r="C84">
        <v>5345</v>
      </c>
      <c r="D84">
        <v>173</v>
      </c>
    </row>
    <row r="85" spans="1:4" x14ac:dyDescent="0.25">
      <c r="A85" t="s">
        <v>106</v>
      </c>
      <c r="B85">
        <v>21801</v>
      </c>
      <c r="C85">
        <v>5345</v>
      </c>
      <c r="D85">
        <v>173</v>
      </c>
    </row>
    <row r="86" spans="1:4" x14ac:dyDescent="0.25">
      <c r="A86" t="s">
        <v>89</v>
      </c>
      <c r="B86">
        <v>26967</v>
      </c>
      <c r="C86">
        <v>6703</v>
      </c>
      <c r="D86">
        <v>174</v>
      </c>
    </row>
    <row r="87" spans="1:4" x14ac:dyDescent="0.25">
      <c r="A87" t="s">
        <v>90</v>
      </c>
      <c r="B87">
        <v>22838</v>
      </c>
      <c r="C87">
        <v>5695</v>
      </c>
      <c r="D87">
        <v>174</v>
      </c>
    </row>
    <row r="88" spans="1:4" x14ac:dyDescent="0.25">
      <c r="A88" t="s">
        <v>95</v>
      </c>
      <c r="B88">
        <v>22145</v>
      </c>
      <c r="C88">
        <v>5517</v>
      </c>
      <c r="D88">
        <v>174</v>
      </c>
    </row>
    <row r="89" spans="1:4" x14ac:dyDescent="0.25">
      <c r="A89" t="s">
        <v>108</v>
      </c>
      <c r="B89">
        <v>22145</v>
      </c>
      <c r="C89">
        <v>5517</v>
      </c>
      <c r="D89">
        <v>174</v>
      </c>
    </row>
    <row r="90" spans="1:4" x14ac:dyDescent="0.25">
      <c r="A90" t="s">
        <v>107</v>
      </c>
      <c r="B90">
        <v>22145</v>
      </c>
      <c r="C90">
        <v>5517</v>
      </c>
      <c r="D90">
        <v>174</v>
      </c>
    </row>
    <row r="91" spans="1:4" x14ac:dyDescent="0.25">
      <c r="A91" t="s">
        <v>153</v>
      </c>
      <c r="B91">
        <v>18862</v>
      </c>
      <c r="C91">
        <v>5073</v>
      </c>
      <c r="D91">
        <v>174</v>
      </c>
    </row>
    <row r="92" spans="1:4" x14ac:dyDescent="0.25">
      <c r="A92" t="s">
        <v>154</v>
      </c>
      <c r="B92">
        <v>19931</v>
      </c>
      <c r="C92">
        <v>5329</v>
      </c>
      <c r="D92">
        <v>174</v>
      </c>
    </row>
    <row r="93" spans="1:4" x14ac:dyDescent="0.25">
      <c r="A93" t="s">
        <v>155</v>
      </c>
      <c r="B93">
        <v>20029</v>
      </c>
      <c r="C93">
        <v>5358</v>
      </c>
      <c r="D93">
        <v>174</v>
      </c>
    </row>
    <row r="94" spans="1:4" x14ac:dyDescent="0.25">
      <c r="A94" t="s">
        <v>156</v>
      </c>
      <c r="B94">
        <v>20503</v>
      </c>
      <c r="C94">
        <v>4950</v>
      </c>
      <c r="D94">
        <v>174</v>
      </c>
    </row>
    <row r="95" spans="1:4" x14ac:dyDescent="0.25">
      <c r="A95" t="s">
        <v>157</v>
      </c>
      <c r="B95">
        <v>22220</v>
      </c>
      <c r="C95">
        <v>5294</v>
      </c>
      <c r="D95">
        <v>174</v>
      </c>
    </row>
    <row r="96" spans="1:4" x14ac:dyDescent="0.25">
      <c r="A96" t="s">
        <v>158</v>
      </c>
      <c r="B96">
        <v>22744</v>
      </c>
      <c r="C96">
        <v>5408</v>
      </c>
      <c r="D96">
        <v>174</v>
      </c>
    </row>
    <row r="97" spans="1:4" x14ac:dyDescent="0.25">
      <c r="A97" t="s">
        <v>159</v>
      </c>
      <c r="B97">
        <v>22744</v>
      </c>
      <c r="C97">
        <v>5408</v>
      </c>
      <c r="D97">
        <v>174</v>
      </c>
    </row>
    <row r="98" spans="1:4" x14ac:dyDescent="0.25">
      <c r="A98" t="s">
        <v>160</v>
      </c>
      <c r="B98">
        <v>20503</v>
      </c>
      <c r="C98">
        <v>4950</v>
      </c>
      <c r="D98">
        <v>173</v>
      </c>
    </row>
    <row r="99" spans="1:4" x14ac:dyDescent="0.25">
      <c r="A99" t="s">
        <v>161</v>
      </c>
      <c r="B99">
        <v>22220</v>
      </c>
      <c r="C99">
        <v>5294</v>
      </c>
      <c r="D99">
        <v>173</v>
      </c>
    </row>
    <row r="100" spans="1:4" x14ac:dyDescent="0.25">
      <c r="A100" t="s">
        <v>96</v>
      </c>
      <c r="B100">
        <v>21420</v>
      </c>
      <c r="C100">
        <v>5323</v>
      </c>
      <c r="D100">
        <v>174</v>
      </c>
    </row>
    <row r="101" spans="1:4" x14ac:dyDescent="0.25">
      <c r="A101" t="s">
        <v>111</v>
      </c>
      <c r="B101">
        <v>21420</v>
      </c>
      <c r="C101">
        <v>5323</v>
      </c>
      <c r="D101">
        <v>174</v>
      </c>
    </row>
    <row r="102" spans="1:4" x14ac:dyDescent="0.25">
      <c r="A102" t="s">
        <v>162</v>
      </c>
      <c r="B102">
        <v>18328</v>
      </c>
      <c r="C102">
        <v>4900</v>
      </c>
      <c r="D102">
        <v>174</v>
      </c>
    </row>
    <row r="103" spans="1:4" x14ac:dyDescent="0.25">
      <c r="A103" t="s">
        <v>163</v>
      </c>
      <c r="B103">
        <v>19394</v>
      </c>
      <c r="C103">
        <v>5156</v>
      </c>
      <c r="D103">
        <v>174</v>
      </c>
    </row>
    <row r="104" spans="1:4" x14ac:dyDescent="0.25">
      <c r="A104" t="s">
        <v>164</v>
      </c>
      <c r="B104">
        <v>19484</v>
      </c>
      <c r="C104">
        <v>5184</v>
      </c>
      <c r="D104">
        <v>174</v>
      </c>
    </row>
    <row r="105" spans="1:4" x14ac:dyDescent="0.25">
      <c r="A105" t="s">
        <v>165</v>
      </c>
      <c r="B105">
        <v>20503</v>
      </c>
      <c r="C105">
        <v>4950</v>
      </c>
      <c r="D105">
        <v>174</v>
      </c>
    </row>
    <row r="106" spans="1:4" x14ac:dyDescent="0.25">
      <c r="A106" t="s">
        <v>166</v>
      </c>
      <c r="B106">
        <v>21974</v>
      </c>
      <c r="C106">
        <v>5215</v>
      </c>
      <c r="D106">
        <v>174</v>
      </c>
    </row>
    <row r="107" spans="1:4" x14ac:dyDescent="0.25">
      <c r="A107" t="s">
        <v>167</v>
      </c>
      <c r="B107">
        <v>21974</v>
      </c>
      <c r="C107">
        <v>5215</v>
      </c>
      <c r="D107">
        <v>174</v>
      </c>
    </row>
    <row r="108" spans="1:4" x14ac:dyDescent="0.25">
      <c r="A108" t="s">
        <v>168</v>
      </c>
      <c r="B108">
        <v>21974</v>
      </c>
      <c r="C108">
        <v>5215</v>
      </c>
      <c r="D108">
        <v>174</v>
      </c>
    </row>
    <row r="109" spans="1:4" x14ac:dyDescent="0.25">
      <c r="A109" t="s">
        <v>169</v>
      </c>
      <c r="B109">
        <v>20503</v>
      </c>
      <c r="C109">
        <v>4950</v>
      </c>
      <c r="D109">
        <v>173</v>
      </c>
    </row>
    <row r="110" spans="1:4" x14ac:dyDescent="0.25">
      <c r="A110" t="s">
        <v>170</v>
      </c>
      <c r="B110">
        <v>21974</v>
      </c>
      <c r="C110">
        <v>5215</v>
      </c>
      <c r="D110">
        <v>173</v>
      </c>
    </row>
    <row r="111" spans="1:4" x14ac:dyDescent="0.25">
      <c r="A111" t="s">
        <v>112</v>
      </c>
      <c r="B111">
        <v>21420</v>
      </c>
      <c r="C111">
        <v>5323</v>
      </c>
      <c r="D111">
        <v>174</v>
      </c>
    </row>
    <row r="112" spans="1:4" x14ac:dyDescent="0.25">
      <c r="A112" t="s">
        <v>69</v>
      </c>
      <c r="B112">
        <v>31193</v>
      </c>
      <c r="C112">
        <v>6997</v>
      </c>
      <c r="D112">
        <v>174</v>
      </c>
    </row>
    <row r="113" spans="1:4" x14ac:dyDescent="0.25">
      <c r="A113" t="s">
        <v>75</v>
      </c>
      <c r="B113">
        <v>31193</v>
      </c>
      <c r="C113">
        <v>6997</v>
      </c>
      <c r="D113">
        <v>174</v>
      </c>
    </row>
    <row r="114" spans="1:4" x14ac:dyDescent="0.25">
      <c r="A114" t="s">
        <v>76</v>
      </c>
      <c r="B114">
        <v>31193</v>
      </c>
      <c r="C114">
        <v>6997</v>
      </c>
      <c r="D114">
        <v>174</v>
      </c>
    </row>
    <row r="115" spans="1:4" x14ac:dyDescent="0.25">
      <c r="A115" t="s">
        <v>77</v>
      </c>
      <c r="B115">
        <v>31193</v>
      </c>
      <c r="C115">
        <v>6997</v>
      </c>
      <c r="D115">
        <v>174</v>
      </c>
    </row>
    <row r="116" spans="1:4" x14ac:dyDescent="0.25">
      <c r="A116" t="s">
        <v>110</v>
      </c>
      <c r="B116">
        <v>32717</v>
      </c>
      <c r="C116">
        <v>7627</v>
      </c>
      <c r="D116">
        <v>174</v>
      </c>
    </row>
    <row r="117" spans="1:4" x14ac:dyDescent="0.25">
      <c r="A117" t="s">
        <v>118</v>
      </c>
      <c r="B117">
        <v>57415</v>
      </c>
      <c r="C117">
        <v>10857</v>
      </c>
      <c r="D117">
        <v>175</v>
      </c>
    </row>
    <row r="118" spans="1:4" x14ac:dyDescent="0.25">
      <c r="A118" t="s">
        <v>49</v>
      </c>
      <c r="B118">
        <v>170417</v>
      </c>
      <c r="C118">
        <v>28398</v>
      </c>
      <c r="D118">
        <v>175</v>
      </c>
    </row>
    <row r="119" spans="1:4" x14ac:dyDescent="0.25">
      <c r="A119" t="s">
        <v>119</v>
      </c>
      <c r="B119">
        <v>41430</v>
      </c>
      <c r="C119">
        <v>8368</v>
      </c>
      <c r="D119">
        <v>175</v>
      </c>
    </row>
    <row r="120" spans="1:4" x14ac:dyDescent="0.25">
      <c r="A120" t="s">
        <v>65</v>
      </c>
      <c r="B120">
        <v>170417</v>
      </c>
      <c r="C120">
        <v>28398</v>
      </c>
      <c r="D120">
        <v>175</v>
      </c>
    </row>
    <row r="121" spans="1:4" x14ac:dyDescent="0.25">
      <c r="A121" t="s">
        <v>114</v>
      </c>
      <c r="B121">
        <v>130928</v>
      </c>
      <c r="C121">
        <v>27402</v>
      </c>
      <c r="D121">
        <v>175</v>
      </c>
    </row>
    <row r="122" spans="1:4" x14ac:dyDescent="0.25">
      <c r="A122" t="s">
        <v>171</v>
      </c>
      <c r="B122">
        <v>51539</v>
      </c>
      <c r="C122">
        <v>8965</v>
      </c>
      <c r="D122">
        <v>175</v>
      </c>
    </row>
    <row r="123" spans="1:4" x14ac:dyDescent="0.25">
      <c r="A123" t="s">
        <v>173</v>
      </c>
      <c r="B123">
        <v>283218</v>
      </c>
      <c r="C123">
        <v>39494</v>
      </c>
      <c r="D123">
        <v>175</v>
      </c>
    </row>
    <row r="124" spans="1:4" x14ac:dyDescent="0.25">
      <c r="A124" t="s">
        <v>174</v>
      </c>
      <c r="B124">
        <v>331186</v>
      </c>
      <c r="C124">
        <v>39768</v>
      </c>
      <c r="D124">
        <v>175</v>
      </c>
    </row>
    <row r="125" spans="1:4" x14ac:dyDescent="0.25">
      <c r="A125" t="s">
        <v>175</v>
      </c>
      <c r="B125">
        <v>308858</v>
      </c>
      <c r="C125">
        <v>39650</v>
      </c>
      <c r="D125">
        <v>175</v>
      </c>
    </row>
    <row r="126" spans="1:4" x14ac:dyDescent="0.25">
      <c r="A126" t="s">
        <v>176</v>
      </c>
      <c r="B126">
        <v>24520</v>
      </c>
      <c r="C126">
        <v>5323</v>
      </c>
      <c r="D126">
        <v>174</v>
      </c>
    </row>
    <row r="127" spans="1:4" x14ac:dyDescent="0.25">
      <c r="A127" t="s">
        <v>177</v>
      </c>
      <c r="B127">
        <v>449919</v>
      </c>
      <c r="C127">
        <v>40296</v>
      </c>
      <c r="D127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FamA</vt:lpstr>
      <vt:lpstr>FamA_Final_Filter</vt:lpstr>
      <vt:lpstr>FamB</vt:lpstr>
      <vt:lpstr>FamB_Final_Filter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soleary</dc:creator>
  <cp:lastModifiedBy>shannonigans</cp:lastModifiedBy>
  <dcterms:created xsi:type="dcterms:W3CDTF">2016-04-12T20:46:39Z</dcterms:created>
  <dcterms:modified xsi:type="dcterms:W3CDTF">2017-03-28T13:41:46Z</dcterms:modified>
</cp:coreProperties>
</file>