
<file path=[Content_Types].xml><?xml version="1.0" encoding="utf-8"?>
<Types xmlns="http://schemas.openxmlformats.org/package/2006/content-types">
  <Default ContentType="image/gif" Extension="gif"/>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 Overview" sheetId="1" r:id="rId3"/>
    <sheet state="visible" name="Cash Recipts Forecasting" sheetId="2" r:id="rId4"/>
    <sheet state="visible" name="Drivers" sheetId="3" r:id="rId5"/>
    <sheet state="visible" name="Tables" sheetId="4" r:id="rId6"/>
    <sheet state="visible" name="Facility" sheetId="5" r:id="rId7"/>
    <sheet state="visible" name="Results" sheetId="6" r:id="rId8"/>
    <sheet state="visible" name="Company Value Capture from Capi" sheetId="7" r:id="rId9"/>
  </sheets>
  <definedNames/>
  <calcPr/>
</workbook>
</file>

<file path=xl/sharedStrings.xml><?xml version="1.0" encoding="utf-8"?>
<sst xmlns="http://schemas.openxmlformats.org/spreadsheetml/2006/main" count="324" uniqueCount="238">
  <si>
    <t>RBF Model_Bigfoot Capital_Model Overview</t>
  </si>
  <si>
    <t>Investment Type</t>
  </si>
  <si>
    <t>Revenue-Based Financing ("RBF").</t>
  </si>
  <si>
    <t>What is RBF? Who is it for?</t>
  </si>
  <si>
    <t>RBF is an alternative investment structure with different mechanics, provisions and return profiles than either equity capital or traditional lending products. It is a growth-oriented financing instrument aligned with top-line growth for companies that either do not have the current growth rates/scale or the Founder desire to attract venture capital and/or lack the assets and meaningful profitability/cash flow to procure traditional debt products (bank) at the time of investment.</t>
  </si>
  <si>
    <t>Simplified RBF Example</t>
  </si>
  <si>
    <t xml:space="preserve">Simplified example of how RBF works: We invest $300k with a 36-month payback term. We require $450k (1.5x of investment) to be paid back over that term based on a % of your monthly cash receipts. Our return is IRR-driven based on the cash receipts we share in over the 36 months (or however long the investment is out). More growth = higher return as we're capturing cash faster. Lower growth = reduced return as we waiting longer for our share.
</t>
  </si>
  <si>
    <t>Model Purpose</t>
  </si>
  <si>
    <t>This representative model is meant to provide SaaS Founders with a sense for how Bigfoot Capital structures our RBF investments whereby our investment return is realized by sharing in a % of monthly cash receipts. We provide the forecasting schedule, drivers, facility detail, summary results and value capture detail so you can understand RBF.</t>
  </si>
  <si>
    <t>Model Creator</t>
  </si>
  <si>
    <t>Brian Parks, Managing Partner</t>
  </si>
  <si>
    <t>Contact info</t>
  </si>
  <si>
    <t>How to Use</t>
  </si>
  <si>
    <t>File --&gt; make a copy. You'll work with the 'Cash Receipts Forecasting' and 'Drivers' worksheets and see the facility detail and summary results on the 'Facility' and 'Results' worksheets, respectively and the value creation and capture on the 'Company Value Capture from Capital' worksheet (details below). Email me if you have questions/thoughts/want to chat in more detail. If you want to share your model, just email it to me, and we can discuss.</t>
  </si>
  <si>
    <t>Color Coding</t>
  </si>
  <si>
    <r>
      <rPr>
        <color rgb="FF0000FF"/>
      </rPr>
      <t>Blue</t>
    </r>
    <r>
      <rPr/>
      <t xml:space="preserve"> font with yellow highlighting = inputs | Black, </t>
    </r>
    <r>
      <rPr>
        <color rgb="FF38761D"/>
      </rPr>
      <t>Green</t>
    </r>
    <r>
      <rPr/>
      <t xml:space="preserve"> or </t>
    </r>
    <r>
      <rPr>
        <color rgb="FFFF00FF"/>
      </rPr>
      <t>Pink</t>
    </r>
    <r>
      <rPr/>
      <t xml:space="preserve"> Font = Outputs (calc. from same worksheet, calcs. from different worksheet, change of calc. in row or column).</t>
    </r>
  </si>
  <si>
    <t>Cash Receipts Forecasting Worksheet</t>
  </si>
  <si>
    <t>Two ways to forecast (you choose).</t>
  </si>
  <si>
    <t>Forecasting Options</t>
  </si>
  <si>
    <t>Explanation</t>
  </si>
  <si>
    <t>Option 1 - Forecast Driven:</t>
  </si>
  <si>
    <t>Enter your historical and monthly cash receipts in Column D. Month 0 (cell C28) pulls from 'Drivers' cell C9, so do not input it here.</t>
  </si>
  <si>
    <t>Option 2 - Growth Rate Driven:</t>
  </si>
  <si>
    <t>Enter monthly cash receipts growth rates in 'Drivers' cells D13-D15. These pull into 'Cash Receipts Forecasting' cells L29-L64 and produce the projected monthly cash receipts in cells J29-J64.</t>
  </si>
  <si>
    <t>Drivers Worksheet</t>
  </si>
  <si>
    <t>Input the following drivers. Make sure to read the comments for each cell (there's only 16 of them...)</t>
  </si>
  <si>
    <t>Driver</t>
  </si>
  <si>
    <t>Facility Credit Tier:</t>
  </si>
  <si>
    <t>Select from dropdown. We have not included our credit tier scoring model (working to open source it), but go ahead and rate yourself for now :)</t>
  </si>
  <si>
    <t>Facility Size:</t>
  </si>
  <si>
    <t>Input the size of the facility you desire. Note, our facilities range from $150,000 to $1.5M, generally representing an MRR multiple of 3-5x. For larger facilities we will tranche in capital in step with your capital plan to reduce your cost.</t>
  </si>
  <si>
    <t>Funding Date:</t>
  </si>
  <si>
    <t>Input the date of anticipate funding in mm/dd/yyyy format.</t>
  </si>
  <si>
    <t>Facility Term:</t>
  </si>
  <si>
    <t>This model works best for terms of 24 and 36 months, which are typical for us. You can input either one.</t>
  </si>
  <si>
    <t>Early Payoff Month:</t>
  </si>
  <si>
    <t>Select from dropdown your chosen month to payoff the facility early and save money via a reduced return cap. Big optionality benefit to facilitate future funding rounds (equity or debt) or a shift in cash management/balance sheet strategy.</t>
  </si>
  <si>
    <t>Facility Return Cap Due by Maturity Date:</t>
  </si>
  <si>
    <t>Output for overall repayment multiple obligation due by facility maturity date, determined based on credit tier, cash share type (fixed or variable) and length (# months) of facility term.</t>
  </si>
  <si>
    <t>Facility Return Cap Due at Actual Payoff Month:</t>
  </si>
  <si>
    <t>Output for overall repayment multiple obligation due at actual payoff month (should it occur earlier than maturity), determined based on credit tier, cash share type (fixed or variable) and length (# months) of facility term.</t>
  </si>
  <si>
    <t>Facility Fee:</t>
  </si>
  <si>
    <t>Output for the one-time facility fee of 1.5% of the total commitment, which is netted out of the first disbursement.</t>
  </si>
  <si>
    <t>Monthly Cash Receipts - Month 0:</t>
  </si>
  <si>
    <t>Input for your cash receipts from customers for the month prior to the funding month date. Your monthly cash receipts will grow off of this #.</t>
  </si>
  <si>
    <t>Cash Projections Type:</t>
  </si>
  <si>
    <t>The selection drives the monthly cash receipts used from the 'Cash Receipts Forecasting' and lays them into 'Facility' Column F.</t>
  </si>
  <si>
    <t>Cash Share Type:</t>
  </si>
  <si>
    <t>Select from dropdown. Fixed share is a fixed % throughout the term. Variable share will scale up over the term (cash flow relief, more complex, can expect higher return cap, modeled in 'Tables' 18-22).</t>
  </si>
  <si>
    <t>Monthly Cash Receipts Growth Rates:</t>
  </si>
  <si>
    <t>Only used in a Growth Rate Driven Projection type. Input your best guess for monthly growth for each 12 month period.</t>
  </si>
  <si>
    <t>Monthly Cash Receipts Haircut Rates:</t>
  </si>
  <si>
    <t>The discount we apply to your projections. Higher discount as we get farther out. These are standard for us, so I've protected the range.</t>
  </si>
  <si>
    <t>Fixed Monthly Cash Share Rate:</t>
  </si>
  <si>
    <t>The % of the prior month's cash receipts you'll share with Bigfoot, typically 5-8%.</t>
  </si>
  <si>
    <t>Variable Monthly Cash Share Rate:</t>
  </si>
  <si>
    <t>Same monthly cash sharing concept except it scales up over time in the range of 3-10% to provide cash flow relief. Will typically require a higher return cap as we're waiting longer to achieve our return.</t>
  </si>
  <si>
    <t>Tables Worksheet</t>
  </si>
  <si>
    <t>Output worksheet, so nothing for you to input here. Return Cap, Early Payoff and estimated interest payments/rate tables for both types of cash shares.</t>
  </si>
  <si>
    <t>Return Cap Tables:</t>
  </si>
  <si>
    <t>Show return caps for various facility terms (or payoff month) for both fixed and variable cash share facilities. These tables pull into 'Drivers' to determine the facility return cap due.</t>
  </si>
  <si>
    <t>Early Payoff Tables:</t>
  </si>
  <si>
    <t>Show early payoff amounts due at various payoff months for both fixed and variable cash facilities, based off of facility size, credit tier, and resulting periodic return caps.</t>
  </si>
  <si>
    <t>Total Interest Paid Tables:</t>
  </si>
  <si>
    <t>Calculate the total interest paid for both fixed and variable cash share facilities at various payoff months.</t>
  </si>
  <si>
    <t>Estimated Annual Interest Rate Tables:</t>
  </si>
  <si>
    <t>Estimates annual interest rate applicable. Please note that you cannot truly apply an interest rate to RBF facilities as they are IRR-driven based on the underlying cash flows.</t>
  </si>
  <si>
    <t>Facility Worksheet</t>
  </si>
  <si>
    <t>Output worksheet, so nothing for you to input here. Shows the RBF facility on a monthly basis and moves in step with all of the inputs you've provided in 'Cash Receipts Forecasting' and 'Drivers'.</t>
  </si>
  <si>
    <t>Cash Receipts Growth:</t>
  </si>
  <si>
    <t>Shows projected monthly cash share receipts growth rate as determined by your Forecast Driven or Growth Rate Driven inputs.</t>
  </si>
  <si>
    <t>Cash Receipts Haircut:</t>
  </si>
  <si>
    <t>Shows the haircut rates that we apply to your monthly cash receipts projections. We are generally looking for companies to grow cash receipts ~2x over three years.</t>
  </si>
  <si>
    <t>Cash Share Rate:</t>
  </si>
  <si>
    <t>Shows the monthly cash share rate for either a fixed or variable cash share type.</t>
  </si>
  <si>
    <t>Monthly Cash Receipts - Full:</t>
  </si>
  <si>
    <t>Shows projected monthly gross cash share receipts as determined by your Forecast Driven or Growth Rate Driven inputs.</t>
  </si>
  <si>
    <t>Monthly Cash Receipts - Haircut</t>
  </si>
  <si>
    <t>Shows projected monthly haircut cash share receipts as determined by your Forecast Driven or Growth Rate Driven inputs and our haircuts. These are the projections we structure off of to provide us both with buffer.</t>
  </si>
  <si>
    <t>Cash Share - Monthly:</t>
  </si>
  <si>
    <t>Calculates our cash share on a monthly basis. Flexes with payoff month, so once paid off, we no longer share. If paid off early, you'll see a large cash share (payment amount) for that month rather than the standard cash share.</t>
  </si>
  <si>
    <t>Cash Share - Cumulative:</t>
  </si>
  <si>
    <t>Calculates our cash share on a cumulative basis. Sums up to the return cap due at the maturity month or early payoff month.</t>
  </si>
  <si>
    <t>Return Cap Achieved:</t>
  </si>
  <si>
    <t>Calculates how much of our return cap we've achieved along the way. With an early payoff, you'll see it jump up to the early payoff month return cap due. Otherwise, it will tick its way up to the return cap due at maturity.</t>
  </si>
  <si>
    <t>IRR Achieved:</t>
  </si>
  <si>
    <t>Our best guess projected return based on all of the factors in this model. As you can see, we don't achieve a meaningful return until the last few months of the investment and take a lower return when paid off early, which is fair as we are no longer taking risk.</t>
  </si>
  <si>
    <t>Results Worksheet</t>
  </si>
  <si>
    <t>Output worksheet, so nothing for you to input here. Shows the expected cost for you and the expected return for Bigfoot from the RBF facility.</t>
  </si>
  <si>
    <t>Company Value Capture from Capital Worksheet</t>
  </si>
  <si>
    <t>Input your customer acquisition metrics to see the LTV and enterprise value you can generate and retain from this RBF facility. Both you and we should only move forward it you are able to create and retain value (that is, the investment is accretive).</t>
  </si>
  <si>
    <t>% for customer acquisition:</t>
  </si>
  <si>
    <t>Input the % of the facility amount you anticipate using for customer acquisition. E.g., if it's a $300k facility and you input 75%, we're assuming you're investing $225k into customer acquisition.</t>
  </si>
  <si>
    <t>CAC:</t>
  </si>
  <si>
    <t>Input your fully-loaded CAC.</t>
  </si>
  <si>
    <t>ARPU:</t>
  </si>
  <si>
    <t>Input ARPU.</t>
  </si>
  <si>
    <t>Customer Lifetime:</t>
  </si>
  <si>
    <t>Input your assumed customer lifetime for your cohorts.</t>
  </si>
  <si>
    <t>Valuation Multiple:</t>
  </si>
  <si>
    <t>We have put in 5.0x. You don't necessarily need to change this, but you can.</t>
  </si>
  <si>
    <t>Disclaimer:</t>
  </si>
  <si>
    <t>This model is an educational tool with drivers and results that are representative in nature. Bigfoot Capital has no obligation to provide financing to recipients of this model, but we're certainly happy to talk with you to evaluate a potential partnership and discuss what it could look like.</t>
  </si>
  <si>
    <t>RBF Model_Bigfoot Capital_Cash Receipts Forecasting</t>
  </si>
  <si>
    <t>Forecast Driven (Company Provided)</t>
  </si>
  <si>
    <t>Growth Rate Driven (uses growth rate assumptions on 'Drivers')</t>
  </si>
  <si>
    <t>Month Type</t>
  </si>
  <si>
    <t>Month Count</t>
  </si>
  <si>
    <t>Month</t>
  </si>
  <si>
    <t>Cash Receipts</t>
  </si>
  <si>
    <t>YoY Growth</t>
  </si>
  <si>
    <t>MoM Growth</t>
  </si>
  <si>
    <t>Historical</t>
  </si>
  <si>
    <t>Projected</t>
  </si>
  <si>
    <t>RBF Model_Bigfoot Capital_Drivers</t>
  </si>
  <si>
    <t>Facility Drivers</t>
  </si>
  <si>
    <t>Facility Credit Tier</t>
  </si>
  <si>
    <t>See comment and select from dropdown</t>
  </si>
  <si>
    <t>Facility Size (Principal Amount)</t>
  </si>
  <si>
    <t>See comment and input</t>
  </si>
  <si>
    <t>Funding Date</t>
  </si>
  <si>
    <t>Facility Term (# Months to Maturity Date)</t>
  </si>
  <si>
    <t>Early Payoff Month (Voluntary)</t>
  </si>
  <si>
    <t>See comment and select dropdown</t>
  </si>
  <si>
    <t>Facility Return Cap Due by Maturity Date</t>
  </si>
  <si>
    <t>See comment, not an input</t>
  </si>
  <si>
    <t>Facility Return Cap Due at Early Payoff Month</t>
  </si>
  <si>
    <t>Facility Fee (Multiple of Principal Due at Funding Date)</t>
  </si>
  <si>
    <t>Monthly Cash Receipts - Month 0 (Month Prior to Funding)</t>
  </si>
  <si>
    <t>Input for the month prior to funding</t>
  </si>
  <si>
    <t>Cash Projections Type (Forecast or Growth Rate Driven)</t>
  </si>
  <si>
    <t>Growth Rate Driven</t>
  </si>
  <si>
    <t>Cash Share Type (Fixed or Variable Cash Share Rate)</t>
  </si>
  <si>
    <t>Fixed</t>
  </si>
  <si>
    <t>Monthly Cash Receipts Drivers</t>
  </si>
  <si>
    <t>Ending Month</t>
  </si>
  <si>
    <t>Growth Rate</t>
  </si>
  <si>
    <t>Haircut Rate</t>
  </si>
  <si>
    <t>Monthly Cash Receipts - First 12 Months</t>
  </si>
  <si>
    <t>See comments for growth rate (input), haircut rate (not an input).</t>
  </si>
  <si>
    <t>Monthly Cash Receipts - Second 12 Months</t>
  </si>
  <si>
    <t>Monthly Cash Receipts - Third 12 Months</t>
  </si>
  <si>
    <t>Monthly Cash Receipts - Perpetuity</t>
  </si>
  <si>
    <t>Monthly Cash Share Drivers</t>
  </si>
  <si>
    <t>Fixed Monthly Cash Share Rate</t>
  </si>
  <si>
    <t>Variable Monthly Cash Share Rate - First 12 Months</t>
  </si>
  <si>
    <t>Variable Monthly Cash Share Rate - Second 12 Months</t>
  </si>
  <si>
    <t>Variable Monthly Cash Share Rate - Third 12 Months</t>
  </si>
  <si>
    <t>Cash Share Rate - Perpetuity</t>
  </si>
  <si>
    <t>See comment and leave at 0%</t>
  </si>
  <si>
    <t>RBF Model_Bigfoot Capital_Tables</t>
  </si>
  <si>
    <t>Return Cap Table (Fixed Cash Share Rate)</t>
  </si>
  <si>
    <t>Payoff Month</t>
  </si>
  <si>
    <t>Incrementer--&gt;</t>
  </si>
  <si>
    <t>Return Cap Table (Variable Cash Share Rate)</t>
  </si>
  <si>
    <t>Early Payoff Table (Fixed Cash Share Rate)</t>
  </si>
  <si>
    <t>Total Interest Paid (Fixed Cash Share Rate)</t>
  </si>
  <si>
    <t>Estimated Annual Interest Rate (Fixed Cash Share Rate)</t>
  </si>
  <si>
    <t>Early Payoff Table (Variable Cash Share Rate)</t>
  </si>
  <si>
    <t>Total Interest Paid (Variable Cash Share Rate)</t>
  </si>
  <si>
    <t>Estimated Annual Interest Rate (Variable Cash Share Rate)</t>
  </si>
  <si>
    <t>Payoff Table</t>
  </si>
  <si>
    <t>Return Cap Due</t>
  </si>
  <si>
    <t>Total Due</t>
  </si>
  <si>
    <t>Total Paid</t>
  </si>
  <si>
    <t>Payoff Amount</t>
  </si>
  <si>
    <t>RBF Model_Bigfoot Capital_Facility</t>
  </si>
  <si>
    <t>Cash Receipts Growth</t>
  </si>
  <si>
    <t>Cash Receipts Haircut</t>
  </si>
  <si>
    <t>Cash Share Rate</t>
  </si>
  <si>
    <t>Monthly Cash Receipts - Full</t>
  </si>
  <si>
    <t xml:space="preserve">Cash Share - Monthly </t>
  </si>
  <si>
    <t xml:space="preserve">Cash Share - Cumulative </t>
  </si>
  <si>
    <t>Return Cap Achieved</t>
  </si>
  <si>
    <t>IRR</t>
  </si>
  <si>
    <t>RBF Model_Bigfoot Capital_Results</t>
  </si>
  <si>
    <t>Facility Amount</t>
  </si>
  <si>
    <t>Facility Maturity Date</t>
  </si>
  <si>
    <t>Last Payment Date</t>
  </si>
  <si>
    <t># of Payments Months</t>
  </si>
  <si>
    <t>Months Repaid Before Maturity</t>
  </si>
  <si>
    <t>Total Interest Paid</t>
  </si>
  <si>
    <t>Estimated Annualized Interest Rate</t>
  </si>
  <si>
    <t>See comment - Fallacy</t>
  </si>
  <si>
    <t>IRR at Payoff Month</t>
  </si>
  <si>
    <t>See comment - Truth</t>
  </si>
  <si>
    <t>First 12 Months</t>
  </si>
  <si>
    <t>Your Cash Receipts - Gross</t>
  </si>
  <si>
    <t>Your Cash Receipts - Haircut</t>
  </si>
  <si>
    <t>YoY Monthly Cash Receipts Growth Rate - Gross</t>
  </si>
  <si>
    <t>YoY Monthly Cash Receipts Growth Rate - Haircut</t>
  </si>
  <si>
    <t># Cash Share Months</t>
  </si>
  <si>
    <t>Bigfoot Cash Share (your Payments to us)</t>
  </si>
  <si>
    <t>Average Monthly Payments</t>
  </si>
  <si>
    <t>Estimated Annual Interest Paid</t>
  </si>
  <si>
    <t>Estimated Annual Interest Rate</t>
  </si>
  <si>
    <t>RBF Model_Bigfoot Capital_Company Value Capture</t>
  </si>
  <si>
    <t>Facility</t>
  </si>
  <si>
    <t>Repayment (Average/Total)</t>
  </si>
  <si>
    <t>Value Generated from and Return on Capital</t>
  </si>
  <si>
    <t>Cost of Capital</t>
  </si>
  <si>
    <t>Investment Amount</t>
  </si>
  <si>
    <t>Draw
Amount</t>
  </si>
  <si>
    <t>Repayment
Term</t>
  </si>
  <si>
    <t>Cohort Lifetime Value (LTV) Generated*</t>
  </si>
  <si>
    <t>Enterprise Value (EV) Generated**</t>
  </si>
  <si>
    <t>LTV Generated:
Draw Amount</t>
  </si>
  <si>
    <t>EV Generated:
Draw Amount</t>
  </si>
  <si>
    <t>Total Repayment
Multiple</t>
  </si>
  <si>
    <t>LTV Retained:
Draw Amount</t>
  </si>
  <si>
    <t>EV Retained:
Draw Amount</t>
  </si>
  <si>
    <t>% for Customer Acquisition</t>
  </si>
  <si>
    <t>Customer Acquisition Capital to Deploy</t>
  </si>
  <si>
    <t>CAC</t>
  </si>
  <si>
    <t>ARPU</t>
  </si>
  <si>
    <t>Cohort Lifetime</t>
  </si>
  <si>
    <t>Customers Acquired</t>
  </si>
  <si>
    <t>Customer Lifetime Value</t>
  </si>
  <si>
    <t>Cohort Lifetime Value</t>
  </si>
  <si>
    <t>MRR Acquired</t>
  </si>
  <si>
    <t>ARR Acquired</t>
  </si>
  <si>
    <t>Valuation Multiple</t>
  </si>
  <si>
    <t>Enterprise Value Generated</t>
  </si>
  <si>
    <t>Repayment Multiple</t>
  </si>
  <si>
    <t>Cohort LTV:Customer Acquisition Capital</t>
  </si>
  <si>
    <t>Cohort LTV:Total Investment (Amount of Draw)</t>
  </si>
  <si>
    <t>Cohort LTV:Capital Cost (Total Repayment)</t>
  </si>
  <si>
    <t>Net Cohort LTV Retained</t>
  </si>
  <si>
    <t>Net Cohort LTV Retained as % of Customer Acquisition Capital</t>
  </si>
  <si>
    <t>Net Cohort LTV Retained as % of Total Investment</t>
  </si>
  <si>
    <t>Net Cohort LTV Retained as % of Total Repayment</t>
  </si>
  <si>
    <t>EV Generated:Customer Acquisition Capital</t>
  </si>
  <si>
    <t>EV Generated:Total Investment (Amount of Draw)</t>
  </si>
  <si>
    <t>EV Generated:Capital Cost (Total Repayment)</t>
  </si>
  <si>
    <t>Net Enterprise Value Retained</t>
  </si>
  <si>
    <t>Net EV Retained as X of Customer Acquisition Capital</t>
  </si>
  <si>
    <t>Net EV Retained as X of Total Investment</t>
  </si>
  <si>
    <t>Net EV Retained as X of Total Repayment</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</si>
</sst>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quot;Month &quot;0;&quot;Month -&quot;[red]0"/>
    <numFmt numFmtId="165" formatCode="mmm-yy"/>
    <numFmt numFmtId="166" formatCode="0.0%;[red](0.0%)"/>
    <numFmt numFmtId="167" formatCode="&quot;$&quot;#,##0"/>
    <numFmt numFmtId="168" formatCode="#,##0_);[Red](#,##0)"/>
    <numFmt numFmtId="169" formatCode="0&quot; months&quot;"/>
    <numFmt numFmtId="170" formatCode="&quot;Month &quot;0"/>
    <numFmt numFmtId="171" formatCode="0.00\x&quot; of Principal&quot;"/>
    <numFmt numFmtId="172" formatCode="0.000x&quot; of Principal&quot;"/>
    <numFmt numFmtId="173" formatCode="0.00%&quot; of Receipts&quot;"/>
    <numFmt numFmtId="174" formatCode="&quot;Tier &quot;0"/>
    <numFmt numFmtId="175" formatCode="0.00%;[red](0.00%)"/>
    <numFmt numFmtId="176" formatCode="&quot;$&quot;#,##0_);[Red]\(&quot;$&quot;#,##0\)"/>
    <numFmt numFmtId="177" formatCode="0.00\x"/>
    <numFmt numFmtId="178" formatCode="#,##0&quot; Months&quot;;[red](#,##0)&quot; Months&quot;"/>
    <numFmt numFmtId="179" formatCode="$#,##0;[Red]($#,##0)"/>
    <numFmt numFmtId="180" formatCode="0&quot; Months&quot;"/>
    <numFmt numFmtId="181" formatCode="0.00x"/>
    <numFmt numFmtId="182" formatCode="0.0x"/>
    <numFmt numFmtId="183" formatCode="0%;[red](0%)"/>
  </numFmts>
  <fonts count="32">
    <font>
      <sz val="10.0"/>
      <color rgb="FF000000"/>
      <name val="Arial"/>
    </font>
    <font>
      <b/>
    </font>
    <font/>
    <font>
      <u/>
      <color rgb="FF0000FF"/>
    </font>
    <font>
      <b/>
      <u/>
    </font>
    <font>
      <i/>
    </font>
    <font>
      <b/>
      <u/>
    </font>
    <font>
      <b/>
      <sz val="10.0"/>
      <color rgb="FF000000"/>
      <name val="Arial"/>
    </font>
    <font>
      <sz val="10.0"/>
      <color rgb="FF0000FF"/>
      <name val="Arial"/>
    </font>
    <font>
      <color rgb="FF000000"/>
    </font>
    <font>
      <color rgb="FF0000FF"/>
    </font>
    <font>
      <color rgb="FF38761D"/>
    </font>
    <font>
      <color rgb="FFFF00FF"/>
    </font>
    <font>
      <b/>
      <sz val="10.0"/>
      <name val="Arial"/>
    </font>
    <font>
      <sz val="10.0"/>
      <name val="Arial"/>
    </font>
    <font>
      <b/>
      <i/>
    </font>
    <font>
      <b/>
      <color rgb="FF0000FF"/>
    </font>
    <font>
      <b/>
      <color rgb="FF000000"/>
    </font>
    <font>
      <sz val="10.0"/>
      <color rgb="FF38761D"/>
      <name val="Arial"/>
    </font>
    <font>
      <sz val="10.0"/>
      <color rgb="FFFF0000"/>
      <name val="Arial"/>
    </font>
    <font>
      <sz val="10.0"/>
      <color rgb="FFFF00FF"/>
      <name val="Arial"/>
    </font>
    <font>
      <b/>
      <sz val="10.0"/>
      <color rgb="FFFF0000"/>
      <name val="Arial"/>
    </font>
    <font>
      <i/>
      <sz val="10.0"/>
      <color rgb="FF000000"/>
      <name val="Arial"/>
    </font>
    <font>
      <b/>
      <sz val="10.0"/>
      <color rgb="FF0000FF"/>
      <name val="Arial"/>
    </font>
    <font>
      <sz val="11.0"/>
      <name val="Times New Roman"/>
    </font>
    <font>
      <b/>
      <sz val="11.0"/>
      <color rgb="FFF3F3F3"/>
      <name val="Times New Roman"/>
    </font>
    <font>
      <b/>
      <sz val="11.0"/>
      <color rgb="FFFFFFFF"/>
      <name val="Times New Roman"/>
    </font>
    <font>
      <sz val="11.0"/>
      <color rgb="FF38761D"/>
      <name val="Times New Roman"/>
    </font>
    <font>
      <b/>
      <sz val="11.0"/>
      <name val="Times New Roman"/>
    </font>
    <font>
      <sz val="11.0"/>
      <color rgb="FF0000FF"/>
      <name val="Times New Roman"/>
    </font>
    <font>
      <sz val="11.0"/>
      <color rgb="FF000000"/>
      <name val="Times New Roman"/>
    </font>
    <font>
      <b/>
      <sz val="11.0"/>
      <color rgb="FF38761D"/>
      <name val="Times New Roman"/>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1C4587"/>
        <bgColor rgb="FF1C4587"/>
      </patternFill>
    </fill>
  </fills>
  <borders count="1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right/>
      <top/>
      <bottom style="thin">
        <color rgb="FF000000"/>
      </bottom>
    </border>
    <border>
      <left/>
      <right/>
      <bottom/>
    </border>
    <border>
      <left/>
      <right/>
      <top/>
    </border>
    <border>
      <left/>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readingOrder="0" vertical="top"/>
    </xf>
    <xf borderId="2" fillId="0" fontId="2" numFmtId="0" xfId="0" applyBorder="1" applyFont="1"/>
    <xf borderId="2" fillId="0" fontId="2" numFmtId="0" xfId="0" applyAlignment="1" applyBorder="1" applyFont="1">
      <alignment horizontal="left" readingOrder="0" shrinkToFit="0" vertical="top" wrapText="1"/>
    </xf>
    <xf borderId="3" fillId="0" fontId="2" numFmtId="0" xfId="0" applyBorder="1" applyFont="1"/>
    <xf borderId="4" fillId="0" fontId="1" numFmtId="0" xfId="0" applyAlignment="1" applyBorder="1" applyFont="1">
      <alignment readingOrder="0" vertical="top"/>
    </xf>
    <xf borderId="5" fillId="0" fontId="2" numFmtId="0" xfId="0" applyBorder="1" applyFont="1"/>
    <xf borderId="0" fillId="0" fontId="2" numFmtId="0" xfId="0" applyAlignment="1" applyFont="1">
      <alignment horizontal="left" readingOrder="0" shrinkToFit="0" vertical="top" wrapText="1"/>
    </xf>
    <xf borderId="5" fillId="0" fontId="2" numFmtId="0" xfId="0" applyAlignment="1" applyBorder="1" applyFont="1">
      <alignment horizontal="left" readingOrder="0" shrinkToFit="0" vertical="top" wrapText="1"/>
    </xf>
    <xf borderId="6" fillId="0" fontId="1" numFmtId="0" xfId="0" applyAlignment="1" applyBorder="1" applyFont="1">
      <alignment readingOrder="0" vertical="top"/>
    </xf>
    <xf borderId="7" fillId="0" fontId="2" numFmtId="0" xfId="0" applyBorder="1" applyFont="1"/>
    <xf borderId="8" fillId="0" fontId="2" numFmtId="0" xfId="0" applyBorder="1" applyFont="1"/>
    <xf borderId="0" fillId="0" fontId="1" numFmtId="0" xfId="0" applyAlignment="1" applyFont="1">
      <alignment readingOrder="0" vertical="top"/>
    </xf>
    <xf borderId="0" fillId="0" fontId="3" numFmtId="0" xfId="0" applyAlignment="1" applyFont="1">
      <alignment readingOrder="0"/>
    </xf>
    <xf borderId="4" fillId="0" fontId="1" numFmtId="0" xfId="0" applyAlignment="1" applyBorder="1" applyFont="1">
      <alignment readingOrder="0"/>
    </xf>
    <xf borderId="7" fillId="0" fontId="2" numFmtId="0" xfId="0" applyAlignment="1" applyBorder="1" applyFont="1">
      <alignment readingOrder="0" shrinkToFit="0" vertical="top" wrapText="1"/>
    </xf>
    <xf quotePrefix="1"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7" numFmtId="0" xfId="0" applyAlignment="1" applyFont="1">
      <alignment horizontal="right" readingOrder="0" shrinkToFit="0" vertical="center" wrapText="0"/>
    </xf>
    <xf borderId="0" fillId="0" fontId="7" numFmtId="0" xfId="0" applyAlignment="1" applyFont="1">
      <alignment horizontal="right" shrinkToFit="0" vertical="center" wrapText="0"/>
    </xf>
    <xf borderId="0" fillId="2" fontId="8" numFmtId="164" xfId="0" applyAlignment="1" applyFill="1" applyFont="1" applyNumberFormat="1">
      <alignment readingOrder="0" shrinkToFit="0" wrapText="0"/>
    </xf>
    <xf borderId="9" fillId="0" fontId="8" numFmtId="164" xfId="0" applyAlignment="1" applyBorder="1" applyFont="1" applyNumberFormat="1">
      <alignment readingOrder="0" shrinkToFit="0" wrapText="0"/>
    </xf>
    <xf borderId="0" fillId="0" fontId="9" numFmtId="165" xfId="0" applyAlignment="1" applyFont="1" applyNumberFormat="1">
      <alignment readingOrder="0"/>
    </xf>
    <xf borderId="0" fillId="2" fontId="10" numFmtId="6" xfId="0" applyAlignment="1" applyFont="1" applyNumberFormat="1">
      <alignment readingOrder="0"/>
    </xf>
    <xf borderId="0" fillId="0" fontId="2" numFmtId="166" xfId="0" applyAlignment="1" applyFont="1" applyNumberFormat="1">
      <alignment horizontal="right"/>
    </xf>
    <xf borderId="0" fillId="0" fontId="2" numFmtId="165" xfId="0" applyFont="1" applyNumberFormat="1"/>
    <xf borderId="0" fillId="0" fontId="2" numFmtId="6" xfId="0" applyFont="1" applyNumberFormat="1"/>
    <xf borderId="9" fillId="0" fontId="0" numFmtId="164" xfId="0" applyAlignment="1" applyBorder="1" applyFont="1" applyNumberFormat="1">
      <alignment readingOrder="0" shrinkToFit="0" wrapText="0"/>
    </xf>
    <xf borderId="7" fillId="2" fontId="8" numFmtId="164" xfId="0" applyAlignment="1" applyBorder="1" applyFont="1" applyNumberFormat="1">
      <alignment readingOrder="0" shrinkToFit="0" wrapText="0"/>
    </xf>
    <xf borderId="10" fillId="0" fontId="0" numFmtId="164" xfId="0" applyAlignment="1" applyBorder="1" applyFont="1" applyNumberFormat="1">
      <alignment readingOrder="0" shrinkToFit="0" wrapText="0"/>
    </xf>
    <xf borderId="7" fillId="0" fontId="9" numFmtId="165" xfId="0" applyAlignment="1" applyBorder="1" applyFont="1" applyNumberFormat="1">
      <alignment readingOrder="0"/>
    </xf>
    <xf borderId="7" fillId="2" fontId="10" numFmtId="6" xfId="0" applyAlignment="1" applyBorder="1" applyFont="1" applyNumberFormat="1">
      <alignment readingOrder="0"/>
    </xf>
    <xf borderId="7" fillId="0" fontId="2" numFmtId="166" xfId="0" applyAlignment="1" applyBorder="1" applyFont="1" applyNumberFormat="1">
      <alignment horizontal="right"/>
    </xf>
    <xf borderId="7" fillId="0" fontId="2" numFmtId="165" xfId="0" applyBorder="1" applyFont="1" applyNumberFormat="1"/>
    <xf borderId="7" fillId="0" fontId="2" numFmtId="6" xfId="0" applyBorder="1" applyFont="1" applyNumberFormat="1"/>
    <xf borderId="11" fillId="0" fontId="0" numFmtId="164" xfId="0" applyAlignment="1" applyBorder="1" applyFont="1" applyNumberFormat="1">
      <alignment readingOrder="0" shrinkToFit="0" wrapText="0"/>
    </xf>
    <xf borderId="12" fillId="2" fontId="8" numFmtId="164" xfId="0" applyAlignment="1" applyBorder="1" applyFont="1" applyNumberFormat="1">
      <alignment readingOrder="0" shrinkToFit="0" wrapText="0"/>
    </xf>
    <xf borderId="0" fillId="2" fontId="10" numFmtId="165" xfId="0" applyAlignment="1" applyFont="1" applyNumberFormat="1">
      <alignment readingOrder="0"/>
    </xf>
    <xf borderId="0" fillId="0" fontId="11" numFmtId="6" xfId="0" applyAlignment="1" applyFont="1" applyNumberFormat="1">
      <alignment readingOrder="0"/>
    </xf>
    <xf borderId="12" fillId="0" fontId="8" numFmtId="164" xfId="0" applyAlignment="1" applyBorder="1" applyFont="1" applyNumberFormat="1">
      <alignment readingOrder="0" shrinkToFit="0" wrapText="0"/>
    </xf>
    <xf borderId="2" fillId="2" fontId="8" numFmtId="164" xfId="0" applyAlignment="1" applyBorder="1" applyFont="1" applyNumberFormat="1">
      <alignment readingOrder="0" shrinkToFit="0" wrapText="0"/>
    </xf>
    <xf borderId="13" fillId="0" fontId="0" numFmtId="164" xfId="0" applyAlignment="1" applyBorder="1" applyFont="1" applyNumberFormat="1">
      <alignment readingOrder="0" shrinkToFit="0" wrapText="0"/>
    </xf>
    <xf borderId="2" fillId="0" fontId="9" numFmtId="165" xfId="0" applyAlignment="1" applyBorder="1" applyFont="1" applyNumberFormat="1">
      <alignment readingOrder="0"/>
    </xf>
    <xf borderId="2" fillId="2" fontId="10" numFmtId="6" xfId="0" applyAlignment="1" applyBorder="1" applyFont="1" applyNumberFormat="1">
      <alignment readingOrder="0"/>
    </xf>
    <xf borderId="2" fillId="0" fontId="2" numFmtId="166" xfId="0" applyAlignment="1" applyBorder="1" applyFont="1" applyNumberFormat="1">
      <alignment horizontal="right"/>
    </xf>
    <xf borderId="0" fillId="0" fontId="12" numFmtId="6" xfId="0" applyFont="1" applyNumberFormat="1"/>
    <xf borderId="0" fillId="0" fontId="11" numFmtId="166" xfId="0" applyFont="1" applyNumberFormat="1"/>
    <xf borderId="12" fillId="0" fontId="0" numFmtId="164" xfId="0" applyAlignment="1" applyBorder="1" applyFont="1" applyNumberFormat="1">
      <alignment readingOrder="0" shrinkToFit="0" wrapText="0"/>
    </xf>
    <xf borderId="7" fillId="0" fontId="11" numFmtId="166" xfId="0" applyBorder="1" applyFont="1" applyNumberFormat="1"/>
    <xf borderId="0" fillId="0" fontId="2" numFmtId="0" xfId="0" applyAlignment="1" applyFont="1">
      <alignment horizontal="right" readingOrder="0" vertical="center"/>
    </xf>
    <xf borderId="0" fillId="0" fontId="1" numFmtId="0" xfId="0" applyAlignment="1" applyFont="1">
      <alignment horizontal="right" readingOrder="0" vertical="center"/>
    </xf>
    <xf borderId="0" fillId="0" fontId="13" numFmtId="0" xfId="0" applyAlignment="1" applyFont="1">
      <alignment horizontal="left" readingOrder="0" vertical="top"/>
    </xf>
    <xf borderId="0" fillId="0" fontId="8" numFmtId="167" xfId="0" applyAlignment="1" applyFont="1" applyNumberFormat="1">
      <alignment horizontal="center" readingOrder="0" vertical="center"/>
    </xf>
    <xf borderId="0" fillId="0" fontId="14" numFmtId="0" xfId="0" applyAlignment="1" applyFont="1">
      <alignment horizontal="left" readingOrder="0" vertical="top"/>
    </xf>
    <xf borderId="14" fillId="2" fontId="8" numFmtId="168" xfId="0" applyAlignment="1" applyBorder="1" applyFont="1" applyNumberFormat="1">
      <alignment horizontal="center" readingOrder="0" vertical="center"/>
    </xf>
    <xf borderId="0" fillId="0" fontId="5" numFmtId="0" xfId="0" applyAlignment="1" applyFont="1">
      <alignment horizontal="left" readingOrder="0" vertical="center"/>
    </xf>
    <xf borderId="14" fillId="2" fontId="8" numFmtId="167" xfId="0" applyAlignment="1" applyBorder="1" applyFont="1" applyNumberFormat="1">
      <alignment horizontal="center" readingOrder="0" vertical="center"/>
    </xf>
    <xf borderId="0" fillId="0" fontId="8" numFmtId="14" xfId="0" applyAlignment="1" applyFont="1" applyNumberFormat="1">
      <alignment horizontal="center" readingOrder="0" vertical="center"/>
    </xf>
    <xf borderId="14" fillId="2" fontId="8" numFmtId="14" xfId="0" applyAlignment="1" applyBorder="1" applyFont="1" applyNumberFormat="1">
      <alignment horizontal="center" readingOrder="0" vertical="center"/>
    </xf>
    <xf borderId="0" fillId="0" fontId="8" numFmtId="169" xfId="0" applyAlignment="1" applyFont="1" applyNumberFormat="1">
      <alignment horizontal="center" readingOrder="0" vertical="center"/>
    </xf>
    <xf borderId="14" fillId="2" fontId="8" numFmtId="169" xfId="0" applyAlignment="1" applyBorder="1" applyFont="1" applyNumberFormat="1">
      <alignment horizontal="center" readingOrder="0" vertical="center"/>
    </xf>
    <xf borderId="0" fillId="0" fontId="10" numFmtId="170" xfId="0" applyAlignment="1" applyFont="1" applyNumberFormat="1">
      <alignment horizontal="center" readingOrder="0" vertical="center"/>
    </xf>
    <xf borderId="14" fillId="2" fontId="10" numFmtId="170" xfId="0" applyAlignment="1" applyBorder="1" applyFont="1" applyNumberFormat="1">
      <alignment horizontal="center" readingOrder="0" vertical="center"/>
    </xf>
    <xf borderId="0" fillId="0" fontId="8" numFmtId="171" xfId="0" applyAlignment="1" applyFont="1" applyNumberFormat="1">
      <alignment horizontal="center" vertical="center"/>
    </xf>
    <xf borderId="15" fillId="0" fontId="0" numFmtId="171" xfId="0" applyAlignment="1" applyBorder="1" applyFont="1" applyNumberFormat="1">
      <alignment horizontal="center" vertical="center"/>
    </xf>
    <xf borderId="0" fillId="0" fontId="8" numFmtId="172" xfId="0" applyAlignment="1" applyFont="1" applyNumberFormat="1">
      <alignment horizontal="center" vertical="center"/>
    </xf>
    <xf borderId="15" fillId="2" fontId="8" numFmtId="172" xfId="0" applyAlignment="1" applyBorder="1" applyFont="1" applyNumberFormat="1">
      <alignment horizontal="center" vertical="center"/>
    </xf>
    <xf borderId="0" fillId="0" fontId="0" numFmtId="0" xfId="0" applyAlignment="1" applyFont="1">
      <alignment horizontal="left" readingOrder="0" shrinkToFit="0" vertical="top" wrapText="0"/>
    </xf>
    <xf borderId="14" fillId="2" fontId="8" numFmtId="0" xfId="0" applyAlignment="1" applyBorder="1" applyFont="1">
      <alignment horizontal="center" readingOrder="0" vertical="center"/>
    </xf>
    <xf borderId="0" fillId="0" fontId="8" numFmtId="170" xfId="0" applyAlignment="1" applyFont="1" applyNumberFormat="1">
      <alignment horizontal="center" readingOrder="0" vertical="center"/>
    </xf>
    <xf borderId="14" fillId="2" fontId="8" numFmtId="170" xfId="0" applyAlignment="1" applyBorder="1" applyFont="1" applyNumberFormat="1">
      <alignment horizontal="center" readingOrder="0" vertical="center"/>
    </xf>
    <xf borderId="14" fillId="2" fontId="8" numFmtId="166" xfId="0" applyAlignment="1" applyBorder="1" applyFont="1" applyNumberFormat="1">
      <alignment horizontal="center" readingOrder="0" vertical="center"/>
    </xf>
    <xf borderId="0" fillId="0" fontId="15" numFmtId="0" xfId="0" applyAlignment="1" applyFont="1">
      <alignment horizontal="left" readingOrder="0" vertical="center"/>
    </xf>
    <xf borderId="0" fillId="0" fontId="8" numFmtId="173" xfId="0" applyAlignment="1" applyFont="1" applyNumberFormat="1">
      <alignment horizontal="center" readingOrder="0" vertical="center"/>
    </xf>
    <xf borderId="14" fillId="2" fontId="8" numFmtId="173" xfId="0" applyAlignment="1" applyBorder="1" applyFont="1" applyNumberFormat="1">
      <alignment horizontal="center" readingOrder="0" vertical="center"/>
    </xf>
    <xf borderId="0" fillId="0" fontId="11" numFmtId="168" xfId="0" applyAlignment="1" applyFont="1" applyNumberFormat="1">
      <alignment horizontal="center"/>
    </xf>
    <xf borderId="0" fillId="0" fontId="11" numFmtId="6" xfId="0" applyAlignment="1" applyFont="1" applyNumberFormat="1">
      <alignment horizontal="center"/>
    </xf>
    <xf borderId="0" fillId="0" fontId="16" numFmtId="174" xfId="0" applyAlignment="1" applyFont="1" applyNumberFormat="1">
      <alignment horizontal="center" readingOrder="0" vertical="center"/>
    </xf>
    <xf borderId="0" fillId="0" fontId="1" numFmtId="174" xfId="0" applyAlignment="1" applyFont="1" applyNumberFormat="1">
      <alignment horizontal="center" readingOrder="0" vertical="center"/>
    </xf>
    <xf borderId="0" fillId="0" fontId="17" numFmtId="170" xfId="0" applyAlignment="1" applyFont="1" applyNumberFormat="1">
      <alignment horizontal="center" readingOrder="0" vertical="center"/>
    </xf>
    <xf borderId="0" fillId="0" fontId="2" numFmtId="171" xfId="0" applyAlignment="1" applyFont="1" applyNumberFormat="1">
      <alignment horizontal="center" vertical="center"/>
    </xf>
    <xf borderId="14" fillId="2" fontId="8" numFmtId="171" xfId="0" applyAlignment="1" applyBorder="1" applyFont="1" applyNumberFormat="1">
      <alignment horizontal="center" readingOrder="0" vertical="center"/>
    </xf>
    <xf borderId="0" fillId="0" fontId="2" numFmtId="170" xfId="0" applyAlignment="1" applyFont="1" applyNumberFormat="1">
      <alignment horizontal="center" vertical="center"/>
    </xf>
    <xf borderId="0" fillId="0" fontId="2" numFmtId="170" xfId="0" applyAlignment="1" applyFont="1" applyNumberFormat="1">
      <alignment horizontal="center"/>
    </xf>
    <xf borderId="0" fillId="0" fontId="2" numFmtId="6" xfId="0" applyAlignment="1" applyFont="1" applyNumberFormat="1">
      <alignment horizontal="center"/>
    </xf>
    <xf borderId="0" fillId="0" fontId="2" numFmtId="0" xfId="0" applyAlignment="1" applyFont="1">
      <alignment horizontal="center"/>
    </xf>
    <xf borderId="0" fillId="0" fontId="2" numFmtId="166" xfId="0" applyAlignment="1" applyFont="1" applyNumberFormat="1">
      <alignment horizontal="center"/>
    </xf>
    <xf borderId="0" fillId="0" fontId="2" numFmtId="170" xfId="0" applyFont="1" applyNumberFormat="1"/>
    <xf borderId="0" fillId="0" fontId="2" numFmtId="6" xfId="0" applyFont="1" applyNumberFormat="1"/>
    <xf borderId="0" fillId="0" fontId="2" numFmtId="167" xfId="0" applyAlignment="1" applyFont="1" applyNumberFormat="1">
      <alignment horizontal="center"/>
    </xf>
    <xf borderId="0" fillId="0" fontId="2" numFmtId="171" xfId="0" applyAlignment="1" applyFont="1" applyNumberFormat="1">
      <alignment horizontal="center"/>
    </xf>
    <xf borderId="14" fillId="2" fontId="8" numFmtId="171" xfId="0" applyAlignment="1" applyBorder="1" applyFont="1" applyNumberFormat="1">
      <alignment horizontal="center" vertical="center"/>
    </xf>
    <xf borderId="0" fillId="0" fontId="0" numFmtId="0" xfId="0" applyAlignment="1" applyFont="1">
      <alignment readingOrder="0" shrinkToFit="0" wrapText="0"/>
    </xf>
    <xf borderId="0" fillId="0" fontId="0" numFmtId="0" xfId="0" applyAlignment="1" applyFont="1">
      <alignment shrinkToFit="0" wrapText="0"/>
    </xf>
    <xf borderId="0" fillId="0" fontId="14" numFmtId="0" xfId="0" applyFont="1"/>
    <xf borderId="0" fillId="0" fontId="8" numFmtId="0" xfId="0" applyAlignment="1" applyFont="1">
      <alignment readingOrder="0" shrinkToFit="0" wrapText="0"/>
    </xf>
    <xf borderId="9" fillId="2" fontId="8" numFmtId="170" xfId="0" applyAlignment="1" applyBorder="1" applyFont="1" applyNumberFormat="1">
      <alignment shrinkToFit="0" wrapText="0"/>
    </xf>
    <xf borderId="0" fillId="0" fontId="0" numFmtId="14" xfId="0" applyAlignment="1" applyFont="1" applyNumberFormat="1">
      <alignment shrinkToFit="0" wrapText="0"/>
    </xf>
    <xf borderId="0" fillId="0" fontId="0" numFmtId="175" xfId="0" applyAlignment="1" applyFont="1" applyNumberFormat="1">
      <alignment shrinkToFit="0" wrapText="0"/>
    </xf>
    <xf borderId="0" fillId="0" fontId="8" numFmtId="10" xfId="0" applyAlignment="1" applyFont="1" applyNumberFormat="1">
      <alignment readingOrder="0" shrinkToFit="0" wrapText="0"/>
    </xf>
    <xf borderId="0" fillId="0" fontId="0" numFmtId="167" xfId="0" applyAlignment="1" applyFont="1" applyNumberFormat="1">
      <alignment readingOrder="0" shrinkToFit="0" wrapText="0"/>
    </xf>
    <xf borderId="9" fillId="0" fontId="18" numFmtId="167" xfId="0" applyAlignment="1" applyBorder="1" applyFont="1" applyNumberFormat="1">
      <alignment readingOrder="0" shrinkToFit="0" wrapText="0"/>
    </xf>
    <xf borderId="9" fillId="0" fontId="0" numFmtId="167" xfId="0" applyAlignment="1" applyBorder="1" applyFont="1" applyNumberFormat="1">
      <alignment readingOrder="0" shrinkToFit="0" wrapText="0"/>
    </xf>
    <xf borderId="16" fillId="0" fontId="19" numFmtId="176" xfId="0" applyAlignment="1" applyBorder="1" applyFont="1" applyNumberFormat="1">
      <alignment horizontal="right" vertical="bottom"/>
    </xf>
    <xf borderId="0" fillId="0" fontId="0" numFmtId="9" xfId="0" applyAlignment="1" applyFont="1" applyNumberFormat="1">
      <alignment shrinkToFit="0" wrapText="0"/>
    </xf>
    <xf borderId="0" fillId="0" fontId="0" numFmtId="170" xfId="0" applyAlignment="1" applyFont="1" applyNumberFormat="1">
      <alignment shrinkToFit="0" wrapText="0"/>
    </xf>
    <xf borderId="0" fillId="0" fontId="20" numFmtId="14" xfId="0" applyAlignment="1" applyFont="1" applyNumberFormat="1">
      <alignment shrinkToFit="0" wrapText="0"/>
    </xf>
    <xf borderId="0" fillId="0" fontId="0" numFmtId="175" xfId="0" applyAlignment="1" applyFont="1" applyNumberFormat="1">
      <alignment horizontal="right" shrinkToFit="0" wrapText="0"/>
    </xf>
    <xf borderId="0" fillId="0" fontId="0" numFmtId="166" xfId="0" applyAlignment="1" applyFont="1" applyNumberFormat="1">
      <alignment readingOrder="0" shrinkToFit="0" wrapText="0"/>
    </xf>
    <xf borderId="9" fillId="0" fontId="20" numFmtId="167" xfId="0" applyAlignment="1" applyBorder="1" applyFont="1" applyNumberFormat="1">
      <alignment readingOrder="0" shrinkToFit="0" wrapText="0"/>
    </xf>
    <xf borderId="16" fillId="0" fontId="20" numFmtId="176" xfId="0" applyAlignment="1" applyBorder="1" applyFont="1" applyNumberFormat="1">
      <alignment horizontal="right" vertical="bottom"/>
    </xf>
    <xf borderId="0" fillId="0" fontId="0" numFmtId="167" xfId="0" applyAlignment="1" applyFont="1" applyNumberFormat="1">
      <alignment shrinkToFit="0" wrapText="0"/>
    </xf>
    <xf borderId="0" fillId="0" fontId="0" numFmtId="177" xfId="0" applyAlignment="1" applyFont="1" applyNumberFormat="1">
      <alignment shrinkToFit="0" wrapText="0"/>
    </xf>
    <xf borderId="0" fillId="0" fontId="0" numFmtId="166" xfId="0" applyAlignment="1" applyFont="1" applyNumberFormat="1">
      <alignment horizontal="right" shrinkToFit="0" wrapText="0"/>
    </xf>
    <xf borderId="16" fillId="0" fontId="0" numFmtId="176" xfId="0" applyAlignment="1" applyBorder="1" applyFont="1" applyNumberFormat="1">
      <alignment horizontal="right" vertical="bottom"/>
    </xf>
    <xf borderId="0" fillId="0" fontId="21" numFmtId="0" xfId="0" applyAlignment="1" applyFont="1">
      <alignment readingOrder="0" shrinkToFit="0" wrapText="0"/>
    </xf>
    <xf borderId="14" fillId="0" fontId="18" numFmtId="6" xfId="0" applyAlignment="1" applyBorder="1" applyFont="1" applyNumberFormat="1">
      <alignment horizontal="center" vertical="center"/>
    </xf>
    <xf borderId="14" fillId="0" fontId="18" numFmtId="14" xfId="0" applyAlignment="1" applyBorder="1" applyFont="1" applyNumberFormat="1">
      <alignment horizontal="center" vertical="center"/>
    </xf>
    <xf borderId="14" fillId="0" fontId="14" numFmtId="14" xfId="0" applyAlignment="1" applyBorder="1" applyFont="1" applyNumberFormat="1">
      <alignment horizontal="center" vertical="center"/>
    </xf>
    <xf borderId="14" fillId="0" fontId="18" numFmtId="178" xfId="0" applyAlignment="1" applyBorder="1" applyFont="1" applyNumberFormat="1">
      <alignment horizontal="center" vertical="center"/>
    </xf>
    <xf borderId="14" fillId="0" fontId="0" numFmtId="179" xfId="0" applyAlignment="1" applyBorder="1" applyFont="1" applyNumberFormat="1">
      <alignment horizontal="center" readingOrder="0" shrinkToFit="0" vertical="center" wrapText="0"/>
    </xf>
    <xf borderId="14" fillId="3" fontId="14" numFmtId="10" xfId="0" applyAlignment="1" applyBorder="1" applyFill="1" applyFont="1" applyNumberFormat="1">
      <alignment horizontal="center" vertical="center"/>
    </xf>
    <xf borderId="0" fillId="0" fontId="22" numFmtId="0" xfId="0" applyAlignment="1" applyFont="1">
      <alignment readingOrder="0" shrinkToFit="0" wrapText="0"/>
    </xf>
    <xf borderId="0" fillId="0" fontId="0" numFmtId="179" xfId="0" applyAlignment="1" applyFont="1" applyNumberFormat="1">
      <alignment horizontal="center" readingOrder="0" shrinkToFit="0" vertical="center" wrapText="0"/>
    </xf>
    <xf borderId="0" fillId="0" fontId="23" numFmtId="0" xfId="0" applyAlignment="1" applyFont="1">
      <alignment horizontal="center" readingOrder="0" shrinkToFit="0" vertical="center" wrapText="0"/>
    </xf>
    <xf borderId="0" fillId="0" fontId="7" numFmtId="0" xfId="0" applyAlignment="1" applyFont="1">
      <alignment horizontal="center" readingOrder="0" shrinkToFit="0" vertical="center" wrapText="0"/>
    </xf>
    <xf borderId="0" fillId="0" fontId="18" numFmtId="167" xfId="0" applyAlignment="1" applyFont="1" applyNumberFormat="1">
      <alignment horizontal="center" shrinkToFit="0" vertical="center" wrapText="0"/>
    </xf>
    <xf borderId="0" fillId="0" fontId="7" numFmtId="167" xfId="0" applyAlignment="1" applyFont="1" applyNumberFormat="1">
      <alignment horizontal="center" shrinkToFit="0" vertical="center" wrapText="0"/>
    </xf>
    <xf borderId="0" fillId="0" fontId="18" numFmtId="166" xfId="0" applyAlignment="1" applyFont="1" applyNumberFormat="1">
      <alignment horizontal="center" shrinkToFit="0" vertical="center" wrapText="0"/>
    </xf>
    <xf borderId="0" fillId="0" fontId="7" numFmtId="166" xfId="0" applyAlignment="1" applyFont="1" applyNumberFormat="1">
      <alignment horizontal="center" shrinkToFit="0" vertical="center" wrapText="0"/>
    </xf>
    <xf borderId="0" fillId="0" fontId="8" numFmtId="180" xfId="0" applyAlignment="1" applyFont="1" applyNumberFormat="1">
      <alignment horizontal="center" shrinkToFit="0" vertical="center" wrapText="0"/>
    </xf>
    <xf borderId="0" fillId="0" fontId="18" numFmtId="180" xfId="0" applyAlignment="1" applyFont="1" applyNumberFormat="1">
      <alignment horizontal="center" shrinkToFit="0" vertical="center" wrapText="0"/>
    </xf>
    <xf borderId="0" fillId="0" fontId="7" numFmtId="180" xfId="0" applyAlignment="1" applyFont="1" applyNumberFormat="1">
      <alignment horizontal="center" shrinkToFit="0" vertical="center" wrapText="0"/>
    </xf>
    <xf borderId="0" fillId="0" fontId="0" numFmtId="166" xfId="0" applyAlignment="1" applyFont="1" applyNumberFormat="1">
      <alignment horizontal="center" shrinkToFit="0" vertical="center" wrapText="0"/>
    </xf>
    <xf borderId="0" fillId="0" fontId="24" numFmtId="0" xfId="0" applyFont="1"/>
    <xf borderId="0" fillId="4" fontId="25" numFmtId="0" xfId="0" applyAlignment="1" applyFill="1" applyFont="1">
      <alignment horizontal="center" readingOrder="0" vertical="center"/>
    </xf>
    <xf borderId="17" fillId="4" fontId="26" numFmtId="0" xfId="0" applyAlignment="1" applyBorder="1" applyFont="1">
      <alignment horizontal="center" readingOrder="0" vertical="center"/>
    </xf>
    <xf borderId="17" fillId="0" fontId="2" numFmtId="0" xfId="0" applyBorder="1" applyFont="1"/>
    <xf borderId="18" fillId="0" fontId="2" numFmtId="0" xfId="0" applyBorder="1" applyFont="1"/>
    <xf borderId="0" fillId="0" fontId="24" numFmtId="0" xfId="0" applyAlignment="1" applyFont="1">
      <alignment readingOrder="0"/>
    </xf>
    <xf borderId="4" fillId="0" fontId="24" numFmtId="0" xfId="0" applyAlignment="1" applyBorder="1" applyFont="1">
      <alignment readingOrder="0"/>
    </xf>
    <xf borderId="5" fillId="0" fontId="27" numFmtId="6" xfId="0" applyAlignment="1" applyBorder="1" applyFont="1" applyNumberFormat="1">
      <alignment readingOrder="0"/>
    </xf>
    <xf borderId="1" fillId="0" fontId="28" numFmtId="0" xfId="0" applyAlignment="1" applyBorder="1" applyFont="1">
      <alignment horizontal="center" vertical="top"/>
    </xf>
    <xf borderId="3" fillId="0" fontId="28" numFmtId="0" xfId="0" applyAlignment="1" applyBorder="1" applyFont="1">
      <alignment horizontal="center" vertical="top"/>
    </xf>
    <xf borderId="2" fillId="0" fontId="28" numFmtId="0" xfId="0" applyAlignment="1" applyBorder="1" applyFont="1">
      <alignment horizontal="center" shrinkToFit="0" vertical="top" wrapText="1"/>
    </xf>
    <xf borderId="3" fillId="0" fontId="28" numFmtId="0" xfId="0" applyAlignment="1" applyBorder="1" applyFont="1">
      <alignment horizontal="center" shrinkToFit="0" vertical="top" wrapText="1"/>
    </xf>
    <xf borderId="5" fillId="0" fontId="29" numFmtId="9" xfId="0" applyAlignment="1" applyBorder="1" applyFont="1" applyNumberFormat="1">
      <alignment readingOrder="0"/>
    </xf>
    <xf borderId="6" fillId="0" fontId="24" numFmtId="6" xfId="0" applyBorder="1" applyFont="1" applyNumberFormat="1"/>
    <xf borderId="7" fillId="0" fontId="24" numFmtId="169" xfId="0" applyBorder="1" applyFont="1" applyNumberFormat="1"/>
    <xf borderId="6" fillId="0" fontId="24" numFmtId="6" xfId="0" applyBorder="1" applyFont="1" applyNumberFormat="1"/>
    <xf borderId="7" fillId="0" fontId="24" numFmtId="6" xfId="0" applyBorder="1" applyFont="1" applyNumberFormat="1"/>
    <xf borderId="7" fillId="0" fontId="24" numFmtId="167" xfId="0" applyBorder="1" applyFont="1" applyNumberFormat="1"/>
    <xf borderId="7" fillId="0" fontId="24" numFmtId="6" xfId="0" applyBorder="1" applyFont="1" applyNumberFormat="1"/>
    <xf borderId="7" fillId="0" fontId="24" numFmtId="181" xfId="0" applyBorder="1" applyFont="1" applyNumberFormat="1"/>
    <xf borderId="6" fillId="0" fontId="24" numFmtId="181" xfId="0" applyBorder="1" applyFont="1" applyNumberFormat="1"/>
    <xf borderId="8" fillId="0" fontId="24" numFmtId="181" xfId="0" applyBorder="1" applyFont="1" applyNumberFormat="1"/>
    <xf borderId="5" fillId="0" fontId="30" numFmtId="6" xfId="0" applyAlignment="1" applyBorder="1" applyFont="1" applyNumberFormat="1">
      <alignment readingOrder="0"/>
    </xf>
    <xf borderId="5" fillId="0" fontId="29" numFmtId="6" xfId="0" applyAlignment="1" applyBorder="1" applyFont="1" applyNumberFormat="1">
      <alignment readingOrder="0"/>
    </xf>
    <xf borderId="5" fillId="0" fontId="29" numFmtId="169" xfId="0" applyAlignment="1" applyBorder="1" applyFont="1" applyNumberFormat="1">
      <alignment readingOrder="0"/>
    </xf>
    <xf borderId="5" fillId="0" fontId="24" numFmtId="168" xfId="0" applyAlignment="1" applyBorder="1" applyFont="1" applyNumberFormat="1">
      <alignment readingOrder="0"/>
    </xf>
    <xf borderId="5" fillId="0" fontId="24" numFmtId="6" xfId="0" applyAlignment="1" applyBorder="1" applyFont="1" applyNumberFormat="1">
      <alignment readingOrder="0"/>
    </xf>
    <xf borderId="4" fillId="0" fontId="28" numFmtId="0" xfId="0" applyAlignment="1" applyBorder="1" applyFont="1">
      <alignment readingOrder="0"/>
    </xf>
    <xf borderId="5" fillId="0" fontId="28" numFmtId="6" xfId="0" applyAlignment="1" applyBorder="1" applyFont="1" applyNumberFormat="1">
      <alignment readingOrder="0"/>
    </xf>
    <xf borderId="4" fillId="0" fontId="2" numFmtId="0" xfId="0" applyBorder="1" applyFont="1"/>
    <xf borderId="5" fillId="0" fontId="29" numFmtId="182" xfId="0" applyAlignment="1" applyBorder="1" applyFont="1" applyNumberFormat="1">
      <alignment readingOrder="0"/>
    </xf>
    <xf borderId="5" fillId="0" fontId="31" numFmtId="6" xfId="0" applyAlignment="1" applyBorder="1" applyFont="1" applyNumberFormat="1">
      <alignment readingOrder="0"/>
    </xf>
    <xf borderId="5" fillId="0" fontId="28" numFmtId="182" xfId="0" applyAlignment="1" applyBorder="1" applyFont="1" applyNumberFormat="1">
      <alignment readingOrder="0"/>
    </xf>
    <xf borderId="0" fillId="0" fontId="24" numFmtId="0" xfId="0" applyAlignment="1" applyFont="1">
      <alignment readingOrder="0" shrinkToFit="0" wrapText="1"/>
    </xf>
    <xf borderId="0" fillId="0" fontId="28" numFmtId="0" xfId="0" applyAlignment="1" applyFont="1">
      <alignment readingOrder="0"/>
    </xf>
    <xf borderId="5" fillId="0" fontId="28" numFmtId="183" xfId="0" applyAlignment="1" applyBorder="1" applyFont="1" applyNumberFormat="1">
      <alignment readingOrder="0"/>
    </xf>
    <xf borderId="6" fillId="0" fontId="28" numFmtId="0" xfId="0" applyAlignment="1" applyBorder="1" applyFont="1">
      <alignment readingOrder="0"/>
    </xf>
    <xf borderId="8" fillId="0" fontId="28" numFmtId="6" xfId="0" applyAlignment="1" applyBorder="1" applyFont="1" applyNumberFormat="1">
      <alignment readingOrder="0"/>
    </xf>
    <xf borderId="8" fillId="0" fontId="28" numFmtId="182" xfId="0" applyAlignment="1" applyBorder="1" applyFont="1" applyNumberFormat="1">
      <alignment readingOrder="0"/>
    </xf>
    <xf borderId="0" fillId="0"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914400</xdr:colOff>
      <xdr:row>1</xdr:row>
      <xdr:rowOff>47625</xdr:rowOff>
    </xdr:from>
    <xdr:ext cx="1704975" cy="1704975"/>
    <xdr:pic>
      <xdr:nvPicPr>
        <xdr:cNvPr id="0" name="image1.gif"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2" width="20.14"/>
  </cols>
  <sheetData>
    <row r="1">
      <c r="A1" s="1" t="s">
        <v>0</v>
      </c>
    </row>
    <row r="8">
      <c r="A8" s="1"/>
    </row>
    <row r="9">
      <c r="A9" s="1"/>
      <c r="C9" s="2"/>
    </row>
    <row r="10">
      <c r="A10" s="1"/>
      <c r="C10" s="2"/>
    </row>
    <row r="11" ht="18.75" customHeight="1">
      <c r="A11" s="3" t="s">
        <v>1</v>
      </c>
      <c r="B11" s="4"/>
      <c r="C11" s="5" t="s">
        <v>2</v>
      </c>
      <c r="D11" s="4"/>
      <c r="E11" s="4"/>
      <c r="F11" s="4"/>
      <c r="G11" s="4"/>
      <c r="H11" s="4"/>
      <c r="I11" s="6"/>
    </row>
    <row r="12" ht="18.75" customHeight="1">
      <c r="A12" s="7"/>
      <c r="I12" s="8"/>
    </row>
    <row r="13" ht="7.5" customHeight="1">
      <c r="A13" s="7"/>
      <c r="C13" s="9"/>
      <c r="D13" s="9"/>
      <c r="E13" s="9"/>
      <c r="F13" s="9"/>
      <c r="G13" s="9"/>
      <c r="H13" s="9"/>
      <c r="I13" s="10"/>
    </row>
    <row r="14" ht="18.75" customHeight="1">
      <c r="A14" s="7" t="s">
        <v>3</v>
      </c>
      <c r="C14" s="9" t="s">
        <v>4</v>
      </c>
      <c r="I14" s="8"/>
    </row>
    <row r="15" ht="18.75" customHeight="1">
      <c r="A15" s="7"/>
      <c r="I15" s="8"/>
    </row>
    <row r="16" ht="18.75" customHeight="1">
      <c r="A16" s="7"/>
      <c r="I16" s="8"/>
    </row>
    <row r="17" ht="7.5" customHeight="1">
      <c r="A17" s="7"/>
      <c r="C17" s="9"/>
      <c r="D17" s="9"/>
      <c r="E17" s="9"/>
      <c r="F17" s="9"/>
      <c r="G17" s="9"/>
      <c r="H17" s="9"/>
      <c r="I17" s="10"/>
    </row>
    <row r="18" ht="18.75" customHeight="1">
      <c r="A18" s="7" t="s">
        <v>5</v>
      </c>
      <c r="C18" s="9" t="s">
        <v>6</v>
      </c>
      <c r="I18" s="8"/>
    </row>
    <row r="19" ht="18.75" customHeight="1">
      <c r="A19" s="7"/>
      <c r="I19" s="8"/>
    </row>
    <row r="20" ht="18.75" customHeight="1">
      <c r="A20" s="11"/>
      <c r="B20" s="12"/>
      <c r="C20" s="12"/>
      <c r="D20" s="12"/>
      <c r="E20" s="12"/>
      <c r="F20" s="12"/>
      <c r="G20" s="12"/>
      <c r="H20" s="12"/>
      <c r="I20" s="13"/>
    </row>
    <row r="21" ht="7.5" customHeight="1">
      <c r="A21" s="14"/>
      <c r="C21" s="9"/>
      <c r="D21" s="9"/>
      <c r="E21" s="9"/>
      <c r="F21" s="9"/>
      <c r="G21" s="9"/>
      <c r="H21" s="9"/>
      <c r="I21" s="9"/>
    </row>
    <row r="22" ht="18.75" customHeight="1">
      <c r="A22" s="3" t="s">
        <v>7</v>
      </c>
      <c r="B22" s="4"/>
      <c r="C22" s="5" t="s">
        <v>8</v>
      </c>
      <c r="D22" s="4"/>
      <c r="E22" s="4"/>
      <c r="F22" s="4"/>
      <c r="G22" s="4"/>
      <c r="H22" s="4"/>
      <c r="I22" s="6"/>
    </row>
    <row r="23" ht="22.5" customHeight="1">
      <c r="A23" s="7"/>
      <c r="I23" s="8"/>
    </row>
    <row r="24" ht="7.5" customHeight="1">
      <c r="A24" s="7"/>
      <c r="C24" s="2"/>
      <c r="I24" s="8"/>
    </row>
    <row r="25">
      <c r="A25" s="7" t="s">
        <v>9</v>
      </c>
      <c r="C25" s="2" t="s">
        <v>10</v>
      </c>
      <c r="I25" s="8"/>
    </row>
    <row r="26" ht="7.5" customHeight="1">
      <c r="A26" s="7"/>
      <c r="C26" s="2"/>
      <c r="I26" s="8"/>
    </row>
    <row r="27">
      <c r="A27" s="7" t="s">
        <v>11</v>
      </c>
      <c r="C27" s="15" t="str">
        <f>hyperlink("mailto:bparks@bigfootcap.com","bparks@bigfootcap.com")</f>
        <v>bparks@bigfootcap.com</v>
      </c>
      <c r="I27" s="8"/>
    </row>
    <row r="28" ht="7.5" customHeight="1">
      <c r="A28" s="7"/>
      <c r="C28" s="9"/>
      <c r="D28" s="9"/>
      <c r="E28" s="9"/>
      <c r="F28" s="9"/>
      <c r="G28" s="9"/>
      <c r="H28" s="9"/>
      <c r="I28" s="10"/>
    </row>
    <row r="29" ht="22.5" customHeight="1">
      <c r="A29" s="7" t="s">
        <v>12</v>
      </c>
      <c r="C29" s="9" t="s">
        <v>13</v>
      </c>
      <c r="I29" s="8"/>
    </row>
    <row r="30" ht="22.5" customHeight="1">
      <c r="A30" s="16"/>
      <c r="I30" s="8"/>
    </row>
    <row r="31" ht="14.25" customHeight="1">
      <c r="A31" s="16"/>
      <c r="I31" s="8"/>
    </row>
    <row r="32" ht="7.5" customHeight="1">
      <c r="A32" s="16"/>
      <c r="I32" s="8"/>
    </row>
    <row r="33" ht="28.5" customHeight="1">
      <c r="A33" s="11" t="s">
        <v>14</v>
      </c>
      <c r="B33" s="12"/>
      <c r="C33" s="17" t="s">
        <v>15</v>
      </c>
      <c r="D33" s="12"/>
      <c r="E33" s="12"/>
      <c r="F33" s="12"/>
      <c r="G33" s="12"/>
      <c r="H33" s="12"/>
      <c r="I33" s="13"/>
    </row>
    <row r="34" ht="7.5" customHeight="1">
      <c r="A34" s="1"/>
    </row>
    <row r="35">
      <c r="A35" s="18" t="s">
        <v>16</v>
      </c>
    </row>
    <row r="36">
      <c r="A36" s="19" t="s">
        <v>17</v>
      </c>
    </row>
    <row r="37">
      <c r="A37" s="1" t="s">
        <v>18</v>
      </c>
      <c r="C37" s="1" t="s">
        <v>19</v>
      </c>
    </row>
    <row r="38">
      <c r="A38" s="2" t="s">
        <v>20</v>
      </c>
      <c r="C38" s="2" t="s">
        <v>21</v>
      </c>
    </row>
    <row r="39">
      <c r="A39" s="2" t="s">
        <v>22</v>
      </c>
      <c r="C39" s="2" t="s">
        <v>23</v>
      </c>
    </row>
    <row r="41">
      <c r="A41" s="20" t="s">
        <v>24</v>
      </c>
    </row>
    <row r="42">
      <c r="A42" s="19" t="s">
        <v>25</v>
      </c>
    </row>
    <row r="43">
      <c r="A43" s="1" t="s">
        <v>26</v>
      </c>
      <c r="C43" s="1" t="s">
        <v>19</v>
      </c>
    </row>
    <row r="44">
      <c r="A44" s="2" t="s">
        <v>27</v>
      </c>
      <c r="C44" s="2" t="s">
        <v>28</v>
      </c>
    </row>
    <row r="45">
      <c r="A45" s="2" t="s">
        <v>29</v>
      </c>
      <c r="C45" s="2" t="s">
        <v>30</v>
      </c>
    </row>
    <row r="46">
      <c r="A46" s="2" t="s">
        <v>31</v>
      </c>
      <c r="C46" s="2" t="s">
        <v>32</v>
      </c>
    </row>
    <row r="47">
      <c r="A47" s="2" t="s">
        <v>33</v>
      </c>
      <c r="C47" s="2" t="s">
        <v>34</v>
      </c>
    </row>
    <row r="48">
      <c r="A48" s="2" t="s">
        <v>35</v>
      </c>
      <c r="C48" s="2" t="s">
        <v>36</v>
      </c>
    </row>
    <row r="49">
      <c r="A49" s="2" t="s">
        <v>37</v>
      </c>
      <c r="C49" s="2" t="s">
        <v>38</v>
      </c>
    </row>
    <row r="50">
      <c r="A50" s="2" t="s">
        <v>39</v>
      </c>
      <c r="C50" s="2" t="s">
        <v>40</v>
      </c>
    </row>
    <row r="51">
      <c r="A51" s="2" t="s">
        <v>41</v>
      </c>
      <c r="C51" s="2" t="s">
        <v>42</v>
      </c>
    </row>
    <row r="52">
      <c r="A52" s="2" t="s">
        <v>43</v>
      </c>
      <c r="C52" s="2" t="s">
        <v>44</v>
      </c>
    </row>
    <row r="53">
      <c r="A53" s="2" t="s">
        <v>45</v>
      </c>
      <c r="C53" s="2" t="s">
        <v>46</v>
      </c>
    </row>
    <row r="54">
      <c r="A54" s="2" t="s">
        <v>47</v>
      </c>
      <c r="C54" s="2" t="s">
        <v>48</v>
      </c>
    </row>
    <row r="55">
      <c r="A55" s="2" t="s">
        <v>49</v>
      </c>
      <c r="C55" s="2" t="s">
        <v>50</v>
      </c>
    </row>
    <row r="56">
      <c r="A56" s="2" t="s">
        <v>51</v>
      </c>
      <c r="C56" s="2" t="s">
        <v>52</v>
      </c>
    </row>
    <row r="57">
      <c r="A57" s="2" t="s">
        <v>53</v>
      </c>
      <c r="C57" s="2" t="s">
        <v>54</v>
      </c>
    </row>
    <row r="58">
      <c r="A58" s="2" t="s">
        <v>55</v>
      </c>
      <c r="C58" s="2" t="s">
        <v>56</v>
      </c>
    </row>
    <row r="59">
      <c r="A59" s="1"/>
    </row>
    <row r="60">
      <c r="A60" s="20" t="s">
        <v>57</v>
      </c>
    </row>
    <row r="61">
      <c r="A61" s="19" t="s">
        <v>58</v>
      </c>
    </row>
    <row r="62">
      <c r="A62" s="2" t="s">
        <v>59</v>
      </c>
      <c r="C62" s="2" t="s">
        <v>60</v>
      </c>
    </row>
    <row r="63">
      <c r="A63" s="2" t="s">
        <v>61</v>
      </c>
      <c r="C63" s="2" t="s">
        <v>62</v>
      </c>
    </row>
    <row r="64">
      <c r="A64" s="2" t="s">
        <v>63</v>
      </c>
      <c r="C64" s="2" t="s">
        <v>64</v>
      </c>
    </row>
    <row r="65">
      <c r="A65" s="2" t="s">
        <v>65</v>
      </c>
      <c r="C65" s="2" t="s">
        <v>66</v>
      </c>
    </row>
    <row r="67">
      <c r="A67" s="20" t="s">
        <v>67</v>
      </c>
    </row>
    <row r="68">
      <c r="A68" s="19" t="s">
        <v>68</v>
      </c>
    </row>
    <row r="69">
      <c r="A69" s="2" t="s">
        <v>69</v>
      </c>
      <c r="C69" s="2" t="s">
        <v>70</v>
      </c>
    </row>
    <row r="70">
      <c r="A70" s="2" t="s">
        <v>71</v>
      </c>
      <c r="C70" s="2" t="s">
        <v>72</v>
      </c>
    </row>
    <row r="71">
      <c r="A71" s="2" t="s">
        <v>73</v>
      </c>
      <c r="C71" s="2" t="s">
        <v>74</v>
      </c>
    </row>
    <row r="72" ht="15.75" customHeight="1">
      <c r="A72" s="2" t="s">
        <v>75</v>
      </c>
      <c r="C72" s="2" t="s">
        <v>76</v>
      </c>
    </row>
    <row r="73">
      <c r="A73" s="2" t="s">
        <v>77</v>
      </c>
      <c r="C73" s="2" t="s">
        <v>78</v>
      </c>
    </row>
    <row r="74">
      <c r="A74" s="2" t="s">
        <v>79</v>
      </c>
      <c r="C74" s="2" t="s">
        <v>80</v>
      </c>
    </row>
    <row r="75">
      <c r="A75" s="2" t="s">
        <v>81</v>
      </c>
      <c r="C75" s="2" t="s">
        <v>82</v>
      </c>
    </row>
    <row r="76">
      <c r="A76" s="2" t="s">
        <v>83</v>
      </c>
      <c r="C76" s="2" t="s">
        <v>84</v>
      </c>
    </row>
    <row r="77">
      <c r="A77" s="2" t="s">
        <v>85</v>
      </c>
      <c r="C77" s="2" t="s">
        <v>86</v>
      </c>
    </row>
    <row r="79">
      <c r="A79" s="20" t="s">
        <v>87</v>
      </c>
    </row>
    <row r="80">
      <c r="A80" s="19" t="s">
        <v>88</v>
      </c>
    </row>
    <row r="82">
      <c r="A82" s="20" t="s">
        <v>89</v>
      </c>
    </row>
    <row r="83">
      <c r="A83" s="19" t="s">
        <v>90</v>
      </c>
    </row>
    <row r="84">
      <c r="A84" s="2" t="s">
        <v>91</v>
      </c>
      <c r="C84" s="2" t="s">
        <v>92</v>
      </c>
    </row>
    <row r="85">
      <c r="A85" s="2" t="s">
        <v>93</v>
      </c>
      <c r="C85" s="2" t="s">
        <v>94</v>
      </c>
    </row>
    <row r="86">
      <c r="A86" s="2" t="s">
        <v>95</v>
      </c>
      <c r="C86" s="2" t="s">
        <v>96</v>
      </c>
    </row>
    <row r="87">
      <c r="A87" s="2" t="s">
        <v>97</v>
      </c>
      <c r="C87" s="2" t="s">
        <v>98</v>
      </c>
    </row>
    <row r="88">
      <c r="A88" s="2" t="s">
        <v>99</v>
      </c>
      <c r="C88" s="2" t="s">
        <v>100</v>
      </c>
    </row>
    <row r="90">
      <c r="A90" s="1" t="s">
        <v>101</v>
      </c>
    </row>
    <row r="91">
      <c r="A91" s="9" t="s">
        <v>102</v>
      </c>
    </row>
  </sheetData>
  <mergeCells count="7">
    <mergeCell ref="A91:G93"/>
    <mergeCell ref="C22:I23"/>
    <mergeCell ref="C11:I12"/>
    <mergeCell ref="C14:I16"/>
    <mergeCell ref="C18:I20"/>
    <mergeCell ref="C29:I31"/>
    <mergeCell ref="C33:I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1.29"/>
    <col customWidth="1" min="2" max="2" width="12.57"/>
    <col customWidth="1" min="3" max="3" width="7.29"/>
    <col customWidth="1" min="4" max="4" width="14.0"/>
    <col customWidth="1" min="5" max="5" width="11.57"/>
    <col customWidth="1" min="6" max="6" width="12.43"/>
    <col customWidth="1" min="7" max="7" width="3.0"/>
    <col customWidth="1" min="8" max="8" width="11.29"/>
    <col customWidth="1" min="9" max="9" width="7.29"/>
    <col customWidth="1" min="10" max="10" width="14.0"/>
    <col customWidth="1" min="11" max="11" width="11.57"/>
    <col customWidth="1" min="12" max="12" width="12.43"/>
  </cols>
  <sheetData>
    <row r="1">
      <c r="A1" s="1" t="s">
        <v>103</v>
      </c>
    </row>
    <row r="2">
      <c r="A2" s="21"/>
      <c r="B2" s="21"/>
      <c r="C2" s="21"/>
      <c r="D2" s="21"/>
      <c r="E2" s="21"/>
      <c r="F2" s="21"/>
      <c r="H2" s="22"/>
      <c r="I2" s="22"/>
      <c r="J2" s="22"/>
      <c r="K2" s="22"/>
      <c r="L2" s="22"/>
    </row>
    <row r="3">
      <c r="A3" s="21" t="s">
        <v>104</v>
      </c>
      <c r="H3" s="21" t="s">
        <v>105</v>
      </c>
    </row>
    <row r="4">
      <c r="A4" s="23" t="s">
        <v>106</v>
      </c>
      <c r="B4" s="24" t="s">
        <v>107</v>
      </c>
      <c r="C4" s="23" t="s">
        <v>108</v>
      </c>
      <c r="D4" s="24" t="s">
        <v>109</v>
      </c>
      <c r="E4" s="24" t="s">
        <v>110</v>
      </c>
      <c r="F4" s="24" t="s">
        <v>111</v>
      </c>
      <c r="H4" s="24" t="s">
        <v>107</v>
      </c>
      <c r="I4" s="23" t="s">
        <v>108</v>
      </c>
      <c r="J4" s="24" t="s">
        <v>109</v>
      </c>
      <c r="K4" s="24" t="s">
        <v>110</v>
      </c>
      <c r="L4" s="24" t="s">
        <v>111</v>
      </c>
    </row>
    <row r="5">
      <c r="A5" s="25" t="s">
        <v>112</v>
      </c>
      <c r="B5" s="26">
        <f t="shared" ref="B5:B27" si="2">B6-1</f>
        <v>-23</v>
      </c>
      <c r="C5" s="27">
        <f t="shared" ref="C5:C27" si="3">edate(C6,-1)</f>
        <v>42979</v>
      </c>
      <c r="D5" s="28">
        <v>25000.0</v>
      </c>
      <c r="E5" s="29" t="str">
        <f t="shared" ref="E5:E12" si="4">iferror(D5/#REF!-1,"N/A")</f>
        <v>N/A</v>
      </c>
      <c r="H5" s="26">
        <f t="shared" ref="H5:J5" si="1">B5</f>
        <v>-23</v>
      </c>
      <c r="I5" s="30">
        <f t="shared" si="1"/>
        <v>42979</v>
      </c>
      <c r="J5" s="31">
        <f t="shared" si="1"/>
        <v>25000</v>
      </c>
      <c r="K5" s="29" t="str">
        <f t="shared" ref="K5:K12" si="6">iferror(J5/#REF!-1,"N/A")</f>
        <v>N/A</v>
      </c>
    </row>
    <row r="6">
      <c r="A6" s="25" t="s">
        <v>112</v>
      </c>
      <c r="B6" s="32">
        <f t="shared" si="2"/>
        <v>-22</v>
      </c>
      <c r="C6" s="27">
        <f t="shared" si="3"/>
        <v>43009</v>
      </c>
      <c r="D6" s="28">
        <v>28000.0</v>
      </c>
      <c r="E6" s="29" t="str">
        <f t="shared" si="4"/>
        <v>N/A</v>
      </c>
      <c r="F6" s="29">
        <f t="shared" ref="F6:F64" si="7">iferror(D6/D5-1,"N/A")</f>
        <v>0.12</v>
      </c>
      <c r="H6" s="32">
        <f t="shared" ref="H6:J6" si="5">B6</f>
        <v>-22</v>
      </c>
      <c r="I6" s="30">
        <f t="shared" si="5"/>
        <v>43009</v>
      </c>
      <c r="J6" s="31">
        <f t="shared" si="5"/>
        <v>28000</v>
      </c>
      <c r="K6" s="29" t="str">
        <f t="shared" si="6"/>
        <v>N/A</v>
      </c>
    </row>
    <row r="7">
      <c r="A7" s="25" t="s">
        <v>112</v>
      </c>
      <c r="B7" s="32">
        <f t="shared" si="2"/>
        <v>-21</v>
      </c>
      <c r="C7" s="27">
        <f t="shared" si="3"/>
        <v>43040</v>
      </c>
      <c r="D7" s="28">
        <v>31000.0</v>
      </c>
      <c r="E7" s="29" t="str">
        <f t="shared" si="4"/>
        <v>N/A</v>
      </c>
      <c r="F7" s="29">
        <f t="shared" si="7"/>
        <v>0.1071428571</v>
      </c>
      <c r="H7" s="32">
        <f t="shared" ref="H7:J7" si="8">B7</f>
        <v>-21</v>
      </c>
      <c r="I7" s="30">
        <f t="shared" si="8"/>
        <v>43040</v>
      </c>
      <c r="J7" s="31">
        <f t="shared" si="8"/>
        <v>31000</v>
      </c>
      <c r="K7" s="29" t="str">
        <f t="shared" si="6"/>
        <v>N/A</v>
      </c>
    </row>
    <row r="8">
      <c r="A8" s="25" t="s">
        <v>112</v>
      </c>
      <c r="B8" s="32">
        <f t="shared" si="2"/>
        <v>-20</v>
      </c>
      <c r="C8" s="27">
        <f t="shared" si="3"/>
        <v>43070</v>
      </c>
      <c r="D8" s="28">
        <v>34000.0</v>
      </c>
      <c r="E8" s="29" t="str">
        <f t="shared" si="4"/>
        <v>N/A</v>
      </c>
      <c r="F8" s="29">
        <f t="shared" si="7"/>
        <v>0.09677419355</v>
      </c>
      <c r="H8" s="32">
        <f t="shared" ref="H8:J8" si="9">B8</f>
        <v>-20</v>
      </c>
      <c r="I8" s="30">
        <f t="shared" si="9"/>
        <v>43070</v>
      </c>
      <c r="J8" s="31">
        <f t="shared" si="9"/>
        <v>34000</v>
      </c>
      <c r="K8" s="29" t="str">
        <f t="shared" si="6"/>
        <v>N/A</v>
      </c>
    </row>
    <row r="9">
      <c r="A9" s="25" t="s">
        <v>112</v>
      </c>
      <c r="B9" s="32">
        <f t="shared" si="2"/>
        <v>-19</v>
      </c>
      <c r="C9" s="27">
        <f t="shared" si="3"/>
        <v>43101</v>
      </c>
      <c r="D9" s="28">
        <v>37000.0</v>
      </c>
      <c r="E9" s="29" t="str">
        <f t="shared" si="4"/>
        <v>N/A</v>
      </c>
      <c r="F9" s="29">
        <f t="shared" si="7"/>
        <v>0.08823529412</v>
      </c>
      <c r="H9" s="32">
        <f t="shared" ref="H9:J9" si="10">B9</f>
        <v>-19</v>
      </c>
      <c r="I9" s="30">
        <f t="shared" si="10"/>
        <v>43101</v>
      </c>
      <c r="J9" s="31">
        <f t="shared" si="10"/>
        <v>37000</v>
      </c>
      <c r="K9" s="29" t="str">
        <f t="shared" si="6"/>
        <v>N/A</v>
      </c>
    </row>
    <row r="10">
      <c r="A10" s="25" t="s">
        <v>112</v>
      </c>
      <c r="B10" s="32">
        <f t="shared" si="2"/>
        <v>-18</v>
      </c>
      <c r="C10" s="27">
        <f t="shared" si="3"/>
        <v>43132</v>
      </c>
      <c r="D10" s="28">
        <v>40000.0</v>
      </c>
      <c r="E10" s="29" t="str">
        <f t="shared" si="4"/>
        <v>N/A</v>
      </c>
      <c r="F10" s="29">
        <f t="shared" si="7"/>
        <v>0.08108108108</v>
      </c>
      <c r="H10" s="32">
        <f t="shared" ref="H10:J10" si="11">B10</f>
        <v>-18</v>
      </c>
      <c r="I10" s="30">
        <f t="shared" si="11"/>
        <v>43132</v>
      </c>
      <c r="J10" s="31">
        <f t="shared" si="11"/>
        <v>40000</v>
      </c>
      <c r="K10" s="29" t="str">
        <f t="shared" si="6"/>
        <v>N/A</v>
      </c>
    </row>
    <row r="11">
      <c r="A11" s="25" t="s">
        <v>112</v>
      </c>
      <c r="B11" s="32">
        <f t="shared" si="2"/>
        <v>-17</v>
      </c>
      <c r="C11" s="27">
        <f t="shared" si="3"/>
        <v>43160</v>
      </c>
      <c r="D11" s="28">
        <v>45000.0</v>
      </c>
      <c r="E11" s="29" t="str">
        <f t="shared" si="4"/>
        <v>N/A</v>
      </c>
      <c r="F11" s="29">
        <f t="shared" si="7"/>
        <v>0.125</v>
      </c>
      <c r="H11" s="32">
        <f t="shared" ref="H11:J11" si="12">B11</f>
        <v>-17</v>
      </c>
      <c r="I11" s="30">
        <f t="shared" si="12"/>
        <v>43160</v>
      </c>
      <c r="J11" s="31">
        <f t="shared" si="12"/>
        <v>45000</v>
      </c>
      <c r="K11" s="29" t="str">
        <f t="shared" si="6"/>
        <v>N/A</v>
      </c>
    </row>
    <row r="12">
      <c r="A12" s="25" t="s">
        <v>112</v>
      </c>
      <c r="B12" s="32">
        <f t="shared" si="2"/>
        <v>-16</v>
      </c>
      <c r="C12" s="27">
        <f t="shared" si="3"/>
        <v>43191</v>
      </c>
      <c r="D12" s="28">
        <v>48000.0</v>
      </c>
      <c r="E12" s="29" t="str">
        <f t="shared" si="4"/>
        <v>N/A</v>
      </c>
      <c r="F12" s="29">
        <f t="shared" si="7"/>
        <v>0.06666666667</v>
      </c>
      <c r="H12" s="32">
        <f t="shared" ref="H12:J12" si="13">B12</f>
        <v>-16</v>
      </c>
      <c r="I12" s="30">
        <f t="shared" si="13"/>
        <v>43191</v>
      </c>
      <c r="J12" s="31">
        <f t="shared" si="13"/>
        <v>48000</v>
      </c>
      <c r="K12" s="29" t="str">
        <f t="shared" si="6"/>
        <v>N/A</v>
      </c>
    </row>
    <row r="13">
      <c r="A13" s="25" t="s">
        <v>112</v>
      </c>
      <c r="B13" s="32">
        <f t="shared" si="2"/>
        <v>-15</v>
      </c>
      <c r="C13" s="27">
        <f t="shared" si="3"/>
        <v>43221</v>
      </c>
      <c r="D13" s="28">
        <v>52000.0</v>
      </c>
      <c r="E13" s="29" t="str">
        <f t="shared" ref="E13:E64" si="15">iferror(D13/D1-1,"N/A")</f>
        <v>N/A</v>
      </c>
      <c r="F13" s="29">
        <f t="shared" si="7"/>
        <v>0.08333333333</v>
      </c>
      <c r="H13" s="32">
        <f t="shared" ref="H13:J13" si="14">B13</f>
        <v>-15</v>
      </c>
      <c r="I13" s="30">
        <f t="shared" si="14"/>
        <v>43221</v>
      </c>
      <c r="J13" s="31">
        <f t="shared" si="14"/>
        <v>52000</v>
      </c>
      <c r="K13" s="29" t="str">
        <f t="shared" ref="K13:K64" si="17">iferror(J13/J1-1,"N/A")</f>
        <v>N/A</v>
      </c>
    </row>
    <row r="14">
      <c r="A14" s="25" t="s">
        <v>112</v>
      </c>
      <c r="B14" s="32">
        <f t="shared" si="2"/>
        <v>-14</v>
      </c>
      <c r="C14" s="27">
        <f t="shared" si="3"/>
        <v>43252</v>
      </c>
      <c r="D14" s="28">
        <v>55000.0</v>
      </c>
      <c r="E14" s="29" t="str">
        <f t="shared" si="15"/>
        <v>N/A</v>
      </c>
      <c r="F14" s="29">
        <f t="shared" si="7"/>
        <v>0.05769230769</v>
      </c>
      <c r="H14" s="32">
        <f t="shared" ref="H14:J14" si="16">B14</f>
        <v>-14</v>
      </c>
      <c r="I14" s="30">
        <f t="shared" si="16"/>
        <v>43252</v>
      </c>
      <c r="J14" s="31">
        <f t="shared" si="16"/>
        <v>55000</v>
      </c>
      <c r="K14" s="29" t="str">
        <f t="shared" si="17"/>
        <v>N/A</v>
      </c>
    </row>
    <row r="15">
      <c r="A15" s="25" t="s">
        <v>112</v>
      </c>
      <c r="B15" s="32">
        <f t="shared" si="2"/>
        <v>-13</v>
      </c>
      <c r="C15" s="27">
        <f t="shared" si="3"/>
        <v>43282</v>
      </c>
      <c r="D15" s="28">
        <v>57000.0</v>
      </c>
      <c r="E15" s="29" t="str">
        <f t="shared" si="15"/>
        <v>N/A</v>
      </c>
      <c r="F15" s="29">
        <f t="shared" si="7"/>
        <v>0.03636363636</v>
      </c>
      <c r="H15" s="32">
        <f t="shared" ref="H15:J15" si="18">B15</f>
        <v>-13</v>
      </c>
      <c r="I15" s="30">
        <f t="shared" si="18"/>
        <v>43282</v>
      </c>
      <c r="J15" s="31">
        <f t="shared" si="18"/>
        <v>57000</v>
      </c>
      <c r="K15" s="29" t="str">
        <f t="shared" si="17"/>
        <v>N/A</v>
      </c>
    </row>
    <row r="16">
      <c r="A16" s="33" t="s">
        <v>112</v>
      </c>
      <c r="B16" s="34">
        <f t="shared" si="2"/>
        <v>-12</v>
      </c>
      <c r="C16" s="35">
        <f t="shared" si="3"/>
        <v>43313</v>
      </c>
      <c r="D16" s="36">
        <v>60000.0</v>
      </c>
      <c r="E16" s="37" t="str">
        <f t="shared" si="15"/>
        <v>N/A</v>
      </c>
      <c r="F16" s="37">
        <f t="shared" si="7"/>
        <v>0.05263157895</v>
      </c>
      <c r="H16" s="34">
        <f t="shared" ref="H16:J16" si="19">B16</f>
        <v>-12</v>
      </c>
      <c r="I16" s="38">
        <f t="shared" si="19"/>
        <v>43313</v>
      </c>
      <c r="J16" s="39">
        <f t="shared" si="19"/>
        <v>60000</v>
      </c>
      <c r="K16" s="37" t="str">
        <f t="shared" si="17"/>
        <v>N/A</v>
      </c>
      <c r="L16" s="12"/>
    </row>
    <row r="17">
      <c r="A17" s="25" t="s">
        <v>112</v>
      </c>
      <c r="B17" s="40">
        <f t="shared" si="2"/>
        <v>-11</v>
      </c>
      <c r="C17" s="27">
        <f t="shared" si="3"/>
        <v>43344</v>
      </c>
      <c r="D17" s="28">
        <v>63000.0</v>
      </c>
      <c r="E17" s="29">
        <f t="shared" si="15"/>
        <v>1.52</v>
      </c>
      <c r="F17" s="29">
        <f t="shared" si="7"/>
        <v>0.05</v>
      </c>
      <c r="H17" s="40">
        <f t="shared" ref="H17:J17" si="20">B17</f>
        <v>-11</v>
      </c>
      <c r="I17" s="30">
        <f t="shared" si="20"/>
        <v>43344</v>
      </c>
      <c r="J17" s="31">
        <f t="shared" si="20"/>
        <v>63000</v>
      </c>
      <c r="K17" s="29">
        <f t="shared" si="17"/>
        <v>1.52</v>
      </c>
    </row>
    <row r="18">
      <c r="A18" s="25" t="s">
        <v>112</v>
      </c>
      <c r="B18" s="32">
        <f t="shared" si="2"/>
        <v>-10</v>
      </c>
      <c r="C18" s="27">
        <f t="shared" si="3"/>
        <v>43374</v>
      </c>
      <c r="D18" s="28">
        <v>68000.0</v>
      </c>
      <c r="E18" s="29">
        <f t="shared" si="15"/>
        <v>1.428571429</v>
      </c>
      <c r="F18" s="29">
        <f t="shared" si="7"/>
        <v>0.07936507937</v>
      </c>
      <c r="H18" s="32">
        <f t="shared" ref="H18:J18" si="21">B18</f>
        <v>-10</v>
      </c>
      <c r="I18" s="30">
        <f t="shared" si="21"/>
        <v>43374</v>
      </c>
      <c r="J18" s="31">
        <f t="shared" si="21"/>
        <v>68000</v>
      </c>
      <c r="K18" s="29">
        <f t="shared" si="17"/>
        <v>1.428571429</v>
      </c>
    </row>
    <row r="19">
      <c r="A19" s="25" t="s">
        <v>112</v>
      </c>
      <c r="B19" s="32">
        <f t="shared" si="2"/>
        <v>-9</v>
      </c>
      <c r="C19" s="27">
        <f t="shared" si="3"/>
        <v>43405</v>
      </c>
      <c r="D19" s="28">
        <v>74000.0</v>
      </c>
      <c r="E19" s="29">
        <f t="shared" si="15"/>
        <v>1.387096774</v>
      </c>
      <c r="F19" s="29">
        <f t="shared" si="7"/>
        <v>0.08823529412</v>
      </c>
      <c r="H19" s="32">
        <f t="shared" ref="H19:J19" si="22">B19</f>
        <v>-9</v>
      </c>
      <c r="I19" s="30">
        <f t="shared" si="22"/>
        <v>43405</v>
      </c>
      <c r="J19" s="31">
        <f t="shared" si="22"/>
        <v>74000</v>
      </c>
      <c r="K19" s="29">
        <f t="shared" si="17"/>
        <v>1.387096774</v>
      </c>
    </row>
    <row r="20">
      <c r="A20" s="25" t="s">
        <v>112</v>
      </c>
      <c r="B20" s="32">
        <f t="shared" si="2"/>
        <v>-8</v>
      </c>
      <c r="C20" s="27">
        <f t="shared" si="3"/>
        <v>43435</v>
      </c>
      <c r="D20" s="28">
        <v>80000.0</v>
      </c>
      <c r="E20" s="29">
        <f t="shared" si="15"/>
        <v>1.352941176</v>
      </c>
      <c r="F20" s="29">
        <f t="shared" si="7"/>
        <v>0.08108108108</v>
      </c>
      <c r="H20" s="32">
        <f t="shared" ref="H20:J20" si="23">B20</f>
        <v>-8</v>
      </c>
      <c r="I20" s="30">
        <f t="shared" si="23"/>
        <v>43435</v>
      </c>
      <c r="J20" s="31">
        <f t="shared" si="23"/>
        <v>80000</v>
      </c>
      <c r="K20" s="29">
        <f t="shared" si="17"/>
        <v>1.352941176</v>
      </c>
    </row>
    <row r="21">
      <c r="A21" s="25" t="s">
        <v>112</v>
      </c>
      <c r="B21" s="32">
        <f t="shared" si="2"/>
        <v>-7</v>
      </c>
      <c r="C21" s="27">
        <f t="shared" si="3"/>
        <v>43466</v>
      </c>
      <c r="D21" s="28">
        <v>88000.0</v>
      </c>
      <c r="E21" s="29">
        <f t="shared" si="15"/>
        <v>1.378378378</v>
      </c>
      <c r="F21" s="29">
        <f t="shared" si="7"/>
        <v>0.1</v>
      </c>
      <c r="H21" s="32">
        <f t="shared" ref="H21:J21" si="24">B21</f>
        <v>-7</v>
      </c>
      <c r="I21" s="30">
        <f t="shared" si="24"/>
        <v>43466</v>
      </c>
      <c r="J21" s="31">
        <f t="shared" si="24"/>
        <v>88000</v>
      </c>
      <c r="K21" s="29">
        <f t="shared" si="17"/>
        <v>1.378378378</v>
      </c>
    </row>
    <row r="22">
      <c r="A22" s="25" t="s">
        <v>112</v>
      </c>
      <c r="B22" s="32">
        <f t="shared" si="2"/>
        <v>-6</v>
      </c>
      <c r="C22" s="27">
        <f t="shared" si="3"/>
        <v>43497</v>
      </c>
      <c r="D22" s="28">
        <v>96000.0</v>
      </c>
      <c r="E22" s="29">
        <f t="shared" si="15"/>
        <v>1.4</v>
      </c>
      <c r="F22" s="29">
        <f t="shared" si="7"/>
        <v>0.09090909091</v>
      </c>
      <c r="H22" s="32">
        <f t="shared" ref="H22:J22" si="25">B22</f>
        <v>-6</v>
      </c>
      <c r="I22" s="30">
        <f t="shared" si="25"/>
        <v>43497</v>
      </c>
      <c r="J22" s="31">
        <f t="shared" si="25"/>
        <v>96000</v>
      </c>
      <c r="K22" s="29">
        <f t="shared" si="17"/>
        <v>1.4</v>
      </c>
    </row>
    <row r="23">
      <c r="A23" s="25" t="s">
        <v>112</v>
      </c>
      <c r="B23" s="32">
        <f t="shared" si="2"/>
        <v>-5</v>
      </c>
      <c r="C23" s="27">
        <f t="shared" si="3"/>
        <v>43525</v>
      </c>
      <c r="D23" s="28">
        <v>100000.0</v>
      </c>
      <c r="E23" s="29">
        <f t="shared" si="15"/>
        <v>1.222222222</v>
      </c>
      <c r="F23" s="29">
        <f t="shared" si="7"/>
        <v>0.04166666667</v>
      </c>
      <c r="H23" s="32">
        <f t="shared" ref="H23:J23" si="26">B23</f>
        <v>-5</v>
      </c>
      <c r="I23" s="30">
        <f t="shared" si="26"/>
        <v>43525</v>
      </c>
      <c r="J23" s="31">
        <f t="shared" si="26"/>
        <v>100000</v>
      </c>
      <c r="K23" s="29">
        <f t="shared" si="17"/>
        <v>1.222222222</v>
      </c>
    </row>
    <row r="24">
      <c r="A24" s="25" t="s">
        <v>112</v>
      </c>
      <c r="B24" s="32">
        <f t="shared" si="2"/>
        <v>-4</v>
      </c>
      <c r="C24" s="27">
        <f t="shared" si="3"/>
        <v>43556</v>
      </c>
      <c r="D24" s="28">
        <v>110000.0</v>
      </c>
      <c r="E24" s="29">
        <f t="shared" si="15"/>
        <v>1.291666667</v>
      </c>
      <c r="F24" s="29">
        <f t="shared" si="7"/>
        <v>0.1</v>
      </c>
      <c r="H24" s="32">
        <f t="shared" ref="H24:J24" si="27">B24</f>
        <v>-4</v>
      </c>
      <c r="I24" s="30">
        <f t="shared" si="27"/>
        <v>43556</v>
      </c>
      <c r="J24" s="31">
        <f t="shared" si="27"/>
        <v>110000</v>
      </c>
      <c r="K24" s="29">
        <f t="shared" si="17"/>
        <v>1.291666667</v>
      </c>
    </row>
    <row r="25">
      <c r="A25" s="25" t="s">
        <v>112</v>
      </c>
      <c r="B25" s="32">
        <f t="shared" si="2"/>
        <v>-3</v>
      </c>
      <c r="C25" s="27">
        <f t="shared" si="3"/>
        <v>43586</v>
      </c>
      <c r="D25" s="28">
        <v>120000.0</v>
      </c>
      <c r="E25" s="29">
        <f t="shared" si="15"/>
        <v>1.307692308</v>
      </c>
      <c r="F25" s="29">
        <f t="shared" si="7"/>
        <v>0.09090909091</v>
      </c>
      <c r="H25" s="32">
        <f t="shared" ref="H25:J25" si="28">B25</f>
        <v>-3</v>
      </c>
      <c r="I25" s="30">
        <f t="shared" si="28"/>
        <v>43586</v>
      </c>
      <c r="J25" s="31">
        <f t="shared" si="28"/>
        <v>120000</v>
      </c>
      <c r="K25" s="29">
        <f t="shared" si="17"/>
        <v>1.307692308</v>
      </c>
    </row>
    <row r="26">
      <c r="A26" s="25" t="s">
        <v>112</v>
      </c>
      <c r="B26" s="32">
        <f t="shared" si="2"/>
        <v>-2</v>
      </c>
      <c r="C26" s="27">
        <f t="shared" si="3"/>
        <v>43617</v>
      </c>
      <c r="D26" s="28">
        <v>130000.0</v>
      </c>
      <c r="E26" s="29">
        <f t="shared" si="15"/>
        <v>1.363636364</v>
      </c>
      <c r="F26" s="29">
        <f t="shared" si="7"/>
        <v>0.08333333333</v>
      </c>
      <c r="H26" s="32">
        <f t="shared" ref="H26:J26" si="29">B26</f>
        <v>-2</v>
      </c>
      <c r="I26" s="30">
        <f t="shared" si="29"/>
        <v>43617</v>
      </c>
      <c r="J26" s="31">
        <f t="shared" si="29"/>
        <v>130000</v>
      </c>
      <c r="K26" s="29">
        <f t="shared" si="17"/>
        <v>1.363636364</v>
      </c>
    </row>
    <row r="27">
      <c r="A27" s="25" t="s">
        <v>112</v>
      </c>
      <c r="B27" s="32">
        <f t="shared" si="2"/>
        <v>-1</v>
      </c>
      <c r="C27" s="27">
        <f t="shared" si="3"/>
        <v>43647</v>
      </c>
      <c r="D27" s="28">
        <v>140000.0</v>
      </c>
      <c r="E27" s="29">
        <f t="shared" si="15"/>
        <v>1.456140351</v>
      </c>
      <c r="F27" s="29">
        <f t="shared" si="7"/>
        <v>0.07692307692</v>
      </c>
      <c r="H27" s="32">
        <f t="shared" ref="H27:J27" si="30">B27</f>
        <v>-1</v>
      </c>
      <c r="I27" s="30">
        <f t="shared" si="30"/>
        <v>43647</v>
      </c>
      <c r="J27" s="31">
        <f t="shared" si="30"/>
        <v>140000</v>
      </c>
      <c r="K27" s="29">
        <f t="shared" si="17"/>
        <v>1.456140351</v>
      </c>
    </row>
    <row r="28">
      <c r="A28" s="25" t="s">
        <v>112</v>
      </c>
      <c r="B28" s="41">
        <v>0.0</v>
      </c>
      <c r="C28" s="42">
        <f>edate(Drivers!C6,-1)</f>
        <v>43678</v>
      </c>
      <c r="D28" s="43">
        <f>Drivers!C12</f>
        <v>150000</v>
      </c>
      <c r="E28" s="29">
        <f t="shared" si="15"/>
        <v>1.5</v>
      </c>
      <c r="F28" s="29">
        <f t="shared" si="7"/>
        <v>0.07142857143</v>
      </c>
      <c r="H28" s="44">
        <f t="shared" ref="H28:J28" si="31">B28</f>
        <v>0</v>
      </c>
      <c r="I28" s="38">
        <f t="shared" si="31"/>
        <v>43678</v>
      </c>
      <c r="J28" s="39">
        <f t="shared" si="31"/>
        <v>150000</v>
      </c>
      <c r="K28" s="37">
        <f t="shared" si="17"/>
        <v>1.5</v>
      </c>
      <c r="L28" s="12"/>
    </row>
    <row r="29">
      <c r="A29" s="45" t="s">
        <v>113</v>
      </c>
      <c r="B29" s="46">
        <f t="shared" ref="B29:B64" si="33">B28+1</f>
        <v>1</v>
      </c>
      <c r="C29" s="47">
        <f t="shared" ref="C29:C64" si="34">edate(C28,1)</f>
        <v>43709</v>
      </c>
      <c r="D29" s="48">
        <v>152000.0</v>
      </c>
      <c r="E29" s="49">
        <f t="shared" si="15"/>
        <v>1.412698413</v>
      </c>
      <c r="F29" s="49">
        <f t="shared" si="7"/>
        <v>0.01333333333</v>
      </c>
      <c r="H29" s="46">
        <f t="shared" ref="H29:I29" si="32">B29</f>
        <v>1</v>
      </c>
      <c r="I29" s="30">
        <f t="shared" si="32"/>
        <v>43709</v>
      </c>
      <c r="J29" s="50">
        <f t="shared" ref="J29:J64" si="36">J28*(1+L29)</f>
        <v>157500</v>
      </c>
      <c r="K29" s="49">
        <f t="shared" si="17"/>
        <v>1.5</v>
      </c>
      <c r="L29" s="51">
        <f>if($H29&lt;=Drivers!$C$19,Drivers!$D$19,if(and($H29&gt;Drivers!$C$19,$H29&lt;=Drivers!$C$20),Drivers!$D$20,if(and($H29&gt;Drivers!$C$20,$H29&lt;=Drivers!$C$21),Drivers!$D$21,Drivers!$D$22)))</f>
        <v>0.05</v>
      </c>
    </row>
    <row r="30">
      <c r="A30" s="25" t="s">
        <v>113</v>
      </c>
      <c r="B30" s="32">
        <f t="shared" si="33"/>
        <v>2</v>
      </c>
      <c r="C30" s="27">
        <f t="shared" si="34"/>
        <v>43739</v>
      </c>
      <c r="D30" s="28">
        <v>154000.0</v>
      </c>
      <c r="E30" s="29">
        <f t="shared" si="15"/>
        <v>1.264705882</v>
      </c>
      <c r="F30" s="29">
        <f t="shared" si="7"/>
        <v>0.01315789474</v>
      </c>
      <c r="H30" s="32">
        <f t="shared" ref="H30:I30" si="35">B30</f>
        <v>2</v>
      </c>
      <c r="I30" s="30">
        <f t="shared" si="35"/>
        <v>43739</v>
      </c>
      <c r="J30" s="31">
        <f t="shared" si="36"/>
        <v>165375</v>
      </c>
      <c r="K30" s="29">
        <f t="shared" si="17"/>
        <v>1.431985294</v>
      </c>
      <c r="L30" s="51">
        <f>if($H30&lt;=Drivers!$C$19,Drivers!$D$19,if(and($H30&gt;Drivers!$C$19,$H30&lt;=Drivers!$C$20),Drivers!$D$20,if(and($H30&gt;Drivers!$C$20,$H30&lt;=Drivers!$C$21),Drivers!$D$21,Drivers!$D$22)))</f>
        <v>0.05</v>
      </c>
    </row>
    <row r="31">
      <c r="A31" s="25" t="s">
        <v>113</v>
      </c>
      <c r="B31" s="32">
        <f t="shared" si="33"/>
        <v>3</v>
      </c>
      <c r="C31" s="27">
        <f t="shared" si="34"/>
        <v>43770</v>
      </c>
      <c r="D31" s="28">
        <v>157000.0</v>
      </c>
      <c r="E31" s="29">
        <f t="shared" si="15"/>
        <v>1.121621622</v>
      </c>
      <c r="F31" s="29">
        <f t="shared" si="7"/>
        <v>0.01948051948</v>
      </c>
      <c r="H31" s="32">
        <f t="shared" ref="H31:I31" si="37">B31</f>
        <v>3</v>
      </c>
      <c r="I31" s="30">
        <f t="shared" si="37"/>
        <v>43770</v>
      </c>
      <c r="J31" s="31">
        <f t="shared" si="36"/>
        <v>173643.75</v>
      </c>
      <c r="K31" s="29">
        <f t="shared" si="17"/>
        <v>1.346537162</v>
      </c>
      <c r="L31" s="51">
        <f>if($H31&lt;=Drivers!$C$19,Drivers!$D$19,if(and($H31&gt;Drivers!$C$19,$H31&lt;=Drivers!$C$20),Drivers!$D$20,if(and($H31&gt;Drivers!$C$20,$H31&lt;=Drivers!$C$21),Drivers!$D$21,Drivers!$D$22)))</f>
        <v>0.05</v>
      </c>
    </row>
    <row r="32">
      <c r="A32" s="25" t="s">
        <v>113</v>
      </c>
      <c r="B32" s="32">
        <f t="shared" si="33"/>
        <v>4</v>
      </c>
      <c r="C32" s="27">
        <f t="shared" si="34"/>
        <v>43800</v>
      </c>
      <c r="D32" s="28">
        <v>160000.0</v>
      </c>
      <c r="E32" s="29">
        <f t="shared" si="15"/>
        <v>1</v>
      </c>
      <c r="F32" s="29">
        <f t="shared" si="7"/>
        <v>0.01910828025</v>
      </c>
      <c r="H32" s="32">
        <f t="shared" ref="H32:I32" si="38">B32</f>
        <v>4</v>
      </c>
      <c r="I32" s="30">
        <f t="shared" si="38"/>
        <v>43800</v>
      </c>
      <c r="J32" s="31">
        <f t="shared" si="36"/>
        <v>182325.9375</v>
      </c>
      <c r="K32" s="29">
        <f t="shared" si="17"/>
        <v>1.279074219</v>
      </c>
      <c r="L32" s="51">
        <f>if($H32&lt;=Drivers!$C$19,Drivers!$D$19,if(and($H32&gt;Drivers!$C$19,$H32&lt;=Drivers!$C$20),Drivers!$D$20,if(and($H32&gt;Drivers!$C$20,$H32&lt;=Drivers!$C$21),Drivers!$D$21,Drivers!$D$22)))</f>
        <v>0.05</v>
      </c>
    </row>
    <row r="33">
      <c r="A33" s="25" t="s">
        <v>113</v>
      </c>
      <c r="B33" s="32">
        <f t="shared" si="33"/>
        <v>5</v>
      </c>
      <c r="C33" s="27">
        <f t="shared" si="34"/>
        <v>43831</v>
      </c>
      <c r="D33" s="28">
        <v>167000.0</v>
      </c>
      <c r="E33" s="29">
        <f t="shared" si="15"/>
        <v>0.8977272727</v>
      </c>
      <c r="F33" s="29">
        <f t="shared" si="7"/>
        <v>0.04375</v>
      </c>
      <c r="H33" s="32">
        <f t="shared" ref="H33:I33" si="39">B33</f>
        <v>5</v>
      </c>
      <c r="I33" s="30">
        <f t="shared" si="39"/>
        <v>43831</v>
      </c>
      <c r="J33" s="31">
        <f t="shared" si="36"/>
        <v>191442.2344</v>
      </c>
      <c r="K33" s="29">
        <f t="shared" si="17"/>
        <v>1.175479936</v>
      </c>
      <c r="L33" s="51">
        <f>if($H33&lt;=Drivers!$C$19,Drivers!$D$19,if(and($H33&gt;Drivers!$C$19,$H33&lt;=Drivers!$C$20),Drivers!$D$20,if(and($H33&gt;Drivers!$C$20,$H33&lt;=Drivers!$C$21),Drivers!$D$21,Drivers!$D$22)))</f>
        <v>0.05</v>
      </c>
    </row>
    <row r="34">
      <c r="A34" s="25" t="s">
        <v>113</v>
      </c>
      <c r="B34" s="32">
        <f t="shared" si="33"/>
        <v>6</v>
      </c>
      <c r="C34" s="27">
        <f t="shared" si="34"/>
        <v>43862</v>
      </c>
      <c r="D34" s="28">
        <v>170000.0</v>
      </c>
      <c r="E34" s="29">
        <f t="shared" si="15"/>
        <v>0.7708333333</v>
      </c>
      <c r="F34" s="29">
        <f t="shared" si="7"/>
        <v>0.01796407186</v>
      </c>
      <c r="H34" s="32">
        <f t="shared" ref="H34:I34" si="40">B34</f>
        <v>6</v>
      </c>
      <c r="I34" s="30">
        <f t="shared" si="40"/>
        <v>43862</v>
      </c>
      <c r="J34" s="31">
        <f t="shared" si="36"/>
        <v>201014.3461</v>
      </c>
      <c r="K34" s="29">
        <f t="shared" si="17"/>
        <v>1.093899438</v>
      </c>
      <c r="L34" s="51">
        <f>if($H34&lt;=Drivers!$C$19,Drivers!$D$19,if(and($H34&gt;Drivers!$C$19,$H34&lt;=Drivers!$C$20),Drivers!$D$20,if(and($H34&gt;Drivers!$C$20,$H34&lt;=Drivers!$C$21),Drivers!$D$21,Drivers!$D$22)))</f>
        <v>0.05</v>
      </c>
    </row>
    <row r="35">
      <c r="A35" s="25" t="s">
        <v>113</v>
      </c>
      <c r="B35" s="32">
        <f t="shared" si="33"/>
        <v>7</v>
      </c>
      <c r="C35" s="27">
        <f t="shared" si="34"/>
        <v>43891</v>
      </c>
      <c r="D35" s="28">
        <v>174000.0</v>
      </c>
      <c r="E35" s="29">
        <f t="shared" si="15"/>
        <v>0.74</v>
      </c>
      <c r="F35" s="29">
        <f t="shared" si="7"/>
        <v>0.02352941176</v>
      </c>
      <c r="H35" s="32">
        <f t="shared" ref="H35:I35" si="41">B35</f>
        <v>7</v>
      </c>
      <c r="I35" s="30">
        <f t="shared" si="41"/>
        <v>43891</v>
      </c>
      <c r="J35" s="31">
        <f t="shared" si="36"/>
        <v>211065.0634</v>
      </c>
      <c r="K35" s="29">
        <f t="shared" si="17"/>
        <v>1.110650634</v>
      </c>
      <c r="L35" s="51">
        <f>if($H35&lt;=Drivers!$C$19,Drivers!$D$19,if(and($H35&gt;Drivers!$C$19,$H35&lt;=Drivers!$C$20),Drivers!$D$20,if(and($H35&gt;Drivers!$C$20,$H35&lt;=Drivers!$C$21),Drivers!$D$21,Drivers!$D$22)))</f>
        <v>0.05</v>
      </c>
    </row>
    <row r="36">
      <c r="A36" s="25" t="s">
        <v>113</v>
      </c>
      <c r="B36" s="32">
        <f t="shared" si="33"/>
        <v>8</v>
      </c>
      <c r="C36" s="27">
        <f t="shared" si="34"/>
        <v>43922</v>
      </c>
      <c r="D36" s="28">
        <v>180000.0</v>
      </c>
      <c r="E36" s="29">
        <f t="shared" si="15"/>
        <v>0.6363636364</v>
      </c>
      <c r="F36" s="29">
        <f t="shared" si="7"/>
        <v>0.03448275862</v>
      </c>
      <c r="H36" s="32">
        <f t="shared" ref="H36:I36" si="42">B36</f>
        <v>8</v>
      </c>
      <c r="I36" s="30">
        <f t="shared" si="42"/>
        <v>43922</v>
      </c>
      <c r="J36" s="31">
        <f t="shared" si="36"/>
        <v>221618.3166</v>
      </c>
      <c r="K36" s="29">
        <f t="shared" si="17"/>
        <v>1.014711969</v>
      </c>
      <c r="L36" s="51">
        <f>if($H36&lt;=Drivers!$C$19,Drivers!$D$19,if(and($H36&gt;Drivers!$C$19,$H36&lt;=Drivers!$C$20),Drivers!$D$20,if(and($H36&gt;Drivers!$C$20,$H36&lt;=Drivers!$C$21),Drivers!$D$21,Drivers!$D$22)))</f>
        <v>0.05</v>
      </c>
    </row>
    <row r="37">
      <c r="A37" s="25" t="s">
        <v>113</v>
      </c>
      <c r="B37" s="32">
        <f t="shared" si="33"/>
        <v>9</v>
      </c>
      <c r="C37" s="27">
        <f t="shared" si="34"/>
        <v>43952</v>
      </c>
      <c r="D37" s="28">
        <v>192000.0</v>
      </c>
      <c r="E37" s="29">
        <f t="shared" si="15"/>
        <v>0.6</v>
      </c>
      <c r="F37" s="29">
        <f t="shared" si="7"/>
        <v>0.06666666667</v>
      </c>
      <c r="H37" s="32">
        <f t="shared" ref="H37:I37" si="43">B37</f>
        <v>9</v>
      </c>
      <c r="I37" s="30">
        <f t="shared" si="43"/>
        <v>43952</v>
      </c>
      <c r="J37" s="31">
        <f t="shared" si="36"/>
        <v>232699.2324</v>
      </c>
      <c r="K37" s="29">
        <f t="shared" si="17"/>
        <v>0.93916027</v>
      </c>
      <c r="L37" s="51">
        <f>if($H37&lt;=Drivers!$C$19,Drivers!$D$19,if(and($H37&gt;Drivers!$C$19,$H37&lt;=Drivers!$C$20),Drivers!$D$20,if(and($H37&gt;Drivers!$C$20,$H37&lt;=Drivers!$C$21),Drivers!$D$21,Drivers!$D$22)))</f>
        <v>0.05</v>
      </c>
    </row>
    <row r="38">
      <c r="A38" s="25" t="s">
        <v>113</v>
      </c>
      <c r="B38" s="32">
        <f t="shared" si="33"/>
        <v>10</v>
      </c>
      <c r="C38" s="27">
        <f t="shared" si="34"/>
        <v>43983</v>
      </c>
      <c r="D38" s="28">
        <v>195000.0</v>
      </c>
      <c r="E38" s="29">
        <f t="shared" si="15"/>
        <v>0.5</v>
      </c>
      <c r="F38" s="29">
        <f t="shared" si="7"/>
        <v>0.015625</v>
      </c>
      <c r="H38" s="32">
        <f t="shared" ref="H38:I38" si="44">B38</f>
        <v>10</v>
      </c>
      <c r="I38" s="30">
        <f t="shared" si="44"/>
        <v>43983</v>
      </c>
      <c r="J38" s="31">
        <f t="shared" si="36"/>
        <v>244334.194</v>
      </c>
      <c r="K38" s="29">
        <f t="shared" si="17"/>
        <v>0.8794938001</v>
      </c>
      <c r="L38" s="51">
        <f>if($H38&lt;=Drivers!$C$19,Drivers!$D$19,if(and($H38&gt;Drivers!$C$19,$H38&lt;=Drivers!$C$20),Drivers!$D$20,if(and($H38&gt;Drivers!$C$20,$H38&lt;=Drivers!$C$21),Drivers!$D$21,Drivers!$D$22)))</f>
        <v>0.05</v>
      </c>
    </row>
    <row r="39">
      <c r="A39" s="25" t="s">
        <v>113</v>
      </c>
      <c r="B39" s="32">
        <f t="shared" si="33"/>
        <v>11</v>
      </c>
      <c r="C39" s="27">
        <f t="shared" si="34"/>
        <v>44013</v>
      </c>
      <c r="D39" s="28">
        <v>200000.0</v>
      </c>
      <c r="E39" s="29">
        <f t="shared" si="15"/>
        <v>0.4285714286</v>
      </c>
      <c r="F39" s="29">
        <f t="shared" si="7"/>
        <v>0.02564102564</v>
      </c>
      <c r="H39" s="32">
        <f t="shared" ref="H39:I39" si="45">B39</f>
        <v>11</v>
      </c>
      <c r="I39" s="30">
        <f t="shared" si="45"/>
        <v>44013</v>
      </c>
      <c r="J39" s="31">
        <f t="shared" si="36"/>
        <v>256550.9037</v>
      </c>
      <c r="K39" s="29">
        <f t="shared" si="17"/>
        <v>0.8325064551</v>
      </c>
      <c r="L39" s="51">
        <f>if($H39&lt;=Drivers!$C$19,Drivers!$D$19,if(and($H39&gt;Drivers!$C$19,$H39&lt;=Drivers!$C$20),Drivers!$D$20,if(and($H39&gt;Drivers!$C$20,$H39&lt;=Drivers!$C$21),Drivers!$D$21,Drivers!$D$22)))</f>
        <v>0.05</v>
      </c>
    </row>
    <row r="40">
      <c r="A40" s="25" t="s">
        <v>113</v>
      </c>
      <c r="B40" s="52">
        <f t="shared" si="33"/>
        <v>12</v>
      </c>
      <c r="C40" s="27">
        <f t="shared" si="34"/>
        <v>44044</v>
      </c>
      <c r="D40" s="28">
        <v>205000.0</v>
      </c>
      <c r="E40" s="29">
        <f t="shared" si="15"/>
        <v>0.3666666667</v>
      </c>
      <c r="F40" s="29">
        <f t="shared" si="7"/>
        <v>0.025</v>
      </c>
      <c r="H40" s="52">
        <f t="shared" ref="H40:I40" si="46">B40</f>
        <v>12</v>
      </c>
      <c r="I40" s="38">
        <f t="shared" si="46"/>
        <v>44044</v>
      </c>
      <c r="J40" s="39">
        <f t="shared" si="36"/>
        <v>269378.4489</v>
      </c>
      <c r="K40" s="29">
        <f t="shared" si="17"/>
        <v>0.795856326</v>
      </c>
      <c r="L40" s="53">
        <f>if($H40&lt;=Drivers!$C$19,Drivers!$D$19,if(and($H40&gt;Drivers!$C$19,$H40&lt;=Drivers!$C$20),Drivers!$D$20,if(and($H40&gt;Drivers!$C$20,$H40&lt;=Drivers!$C$21),Drivers!$D$21,Drivers!$D$22)))</f>
        <v>0.05</v>
      </c>
    </row>
    <row r="41">
      <c r="A41" s="45" t="s">
        <v>113</v>
      </c>
      <c r="B41" s="46">
        <f t="shared" si="33"/>
        <v>13</v>
      </c>
      <c r="C41" s="47">
        <f t="shared" si="34"/>
        <v>44075</v>
      </c>
      <c r="D41" s="48">
        <v>210000.0</v>
      </c>
      <c r="E41" s="49">
        <f t="shared" si="15"/>
        <v>0.3815789474</v>
      </c>
      <c r="F41" s="49">
        <f t="shared" si="7"/>
        <v>0.0243902439</v>
      </c>
      <c r="H41" s="46">
        <f t="shared" ref="H41:I41" si="47">B41</f>
        <v>13</v>
      </c>
      <c r="I41" s="30">
        <f t="shared" si="47"/>
        <v>44075</v>
      </c>
      <c r="J41" s="31">
        <f t="shared" si="36"/>
        <v>277459.8024</v>
      </c>
      <c r="K41" s="49">
        <f t="shared" si="17"/>
        <v>0.7616495389</v>
      </c>
      <c r="L41" s="51">
        <f>if($H41&lt;=Drivers!$C$19,Drivers!$D$19,if(and($H41&gt;Drivers!$C$19,$H41&lt;=Drivers!$C$20),Drivers!$D$20,if(and($H41&gt;Drivers!$C$20,$H41&lt;=Drivers!$C$21),Drivers!$D$21,Drivers!$D$22)))</f>
        <v>0.03</v>
      </c>
    </row>
    <row r="42">
      <c r="A42" s="25" t="s">
        <v>113</v>
      </c>
      <c r="B42" s="32">
        <f t="shared" si="33"/>
        <v>14</v>
      </c>
      <c r="C42" s="27">
        <f t="shared" si="34"/>
        <v>44105</v>
      </c>
      <c r="D42" s="28">
        <v>216000.0</v>
      </c>
      <c r="E42" s="29">
        <f t="shared" si="15"/>
        <v>0.4025974026</v>
      </c>
      <c r="F42" s="29">
        <f t="shared" si="7"/>
        <v>0.02857142857</v>
      </c>
      <c r="H42" s="32">
        <f t="shared" ref="H42:I42" si="48">B42</f>
        <v>14</v>
      </c>
      <c r="I42" s="30">
        <f t="shared" si="48"/>
        <v>44105</v>
      </c>
      <c r="J42" s="31">
        <f t="shared" si="36"/>
        <v>285783.5964</v>
      </c>
      <c r="K42" s="29">
        <f t="shared" si="17"/>
        <v>0.7280943095</v>
      </c>
      <c r="L42" s="51">
        <f>if($H42&lt;=Drivers!$C$19,Drivers!$D$19,if(and($H42&gt;Drivers!$C$19,$H42&lt;=Drivers!$C$20),Drivers!$D$20,if(and($H42&gt;Drivers!$C$20,$H42&lt;=Drivers!$C$21),Drivers!$D$21,Drivers!$D$22)))</f>
        <v>0.03</v>
      </c>
    </row>
    <row r="43">
      <c r="A43" s="25" t="s">
        <v>113</v>
      </c>
      <c r="B43" s="32">
        <f t="shared" si="33"/>
        <v>15</v>
      </c>
      <c r="C43" s="27">
        <f t="shared" si="34"/>
        <v>44136</v>
      </c>
      <c r="D43" s="28">
        <v>220000.0</v>
      </c>
      <c r="E43" s="29">
        <f t="shared" si="15"/>
        <v>0.4012738854</v>
      </c>
      <c r="F43" s="29">
        <f t="shared" si="7"/>
        <v>0.01851851852</v>
      </c>
      <c r="H43" s="32">
        <f t="shared" ref="H43:I43" si="49">B43</f>
        <v>15</v>
      </c>
      <c r="I43" s="30">
        <f t="shared" si="49"/>
        <v>44136</v>
      </c>
      <c r="J43" s="31">
        <f t="shared" si="36"/>
        <v>294357.1043</v>
      </c>
      <c r="K43" s="29">
        <f t="shared" si="17"/>
        <v>0.6951782275</v>
      </c>
      <c r="L43" s="51">
        <f>if($H43&lt;=Drivers!$C$19,Drivers!$D$19,if(and($H43&gt;Drivers!$C$19,$H43&lt;=Drivers!$C$20),Drivers!$D$20,if(and($H43&gt;Drivers!$C$20,$H43&lt;=Drivers!$C$21),Drivers!$D$21,Drivers!$D$22)))</f>
        <v>0.03</v>
      </c>
    </row>
    <row r="44">
      <c r="A44" s="25" t="s">
        <v>113</v>
      </c>
      <c r="B44" s="32">
        <f t="shared" si="33"/>
        <v>16</v>
      </c>
      <c r="C44" s="27">
        <f t="shared" si="34"/>
        <v>44166</v>
      </c>
      <c r="D44" s="28">
        <v>225000.0</v>
      </c>
      <c r="E44" s="29">
        <f t="shared" si="15"/>
        <v>0.40625</v>
      </c>
      <c r="F44" s="29">
        <f t="shared" si="7"/>
        <v>0.02272727273</v>
      </c>
      <c r="H44" s="32">
        <f t="shared" ref="H44:I44" si="50">B44</f>
        <v>16</v>
      </c>
      <c r="I44" s="30">
        <f t="shared" si="50"/>
        <v>44166</v>
      </c>
      <c r="J44" s="31">
        <f t="shared" si="36"/>
        <v>303187.8175</v>
      </c>
      <c r="K44" s="29">
        <f t="shared" si="17"/>
        <v>0.6628891184</v>
      </c>
      <c r="L44" s="51">
        <f>if($H44&lt;=Drivers!$C$19,Drivers!$D$19,if(and($H44&gt;Drivers!$C$19,$H44&lt;=Drivers!$C$20),Drivers!$D$20,if(and($H44&gt;Drivers!$C$20,$H44&lt;=Drivers!$C$21),Drivers!$D$21,Drivers!$D$22)))</f>
        <v>0.03</v>
      </c>
    </row>
    <row r="45">
      <c r="A45" s="25" t="s">
        <v>113</v>
      </c>
      <c r="B45" s="32">
        <f t="shared" si="33"/>
        <v>17</v>
      </c>
      <c r="C45" s="27">
        <f t="shared" si="34"/>
        <v>44197</v>
      </c>
      <c r="D45" s="28">
        <v>230000.0</v>
      </c>
      <c r="E45" s="29">
        <f t="shared" si="15"/>
        <v>0.377245509</v>
      </c>
      <c r="F45" s="29">
        <f t="shared" si="7"/>
        <v>0.02222222222</v>
      </c>
      <c r="H45" s="32">
        <f t="shared" ref="H45:I45" si="51">B45</f>
        <v>17</v>
      </c>
      <c r="I45" s="30">
        <f t="shared" si="51"/>
        <v>44197</v>
      </c>
      <c r="J45" s="31">
        <f t="shared" si="36"/>
        <v>312283.452</v>
      </c>
      <c r="K45" s="29">
        <f t="shared" si="17"/>
        <v>0.6312150399</v>
      </c>
      <c r="L45" s="51">
        <f>if($H45&lt;=Drivers!$C$19,Drivers!$D$19,if(and($H45&gt;Drivers!$C$19,$H45&lt;=Drivers!$C$20),Drivers!$D$20,if(and($H45&gt;Drivers!$C$20,$H45&lt;=Drivers!$C$21),Drivers!$D$21,Drivers!$D$22)))</f>
        <v>0.03</v>
      </c>
    </row>
    <row r="46">
      <c r="A46" s="25" t="s">
        <v>113</v>
      </c>
      <c r="B46" s="32">
        <f t="shared" si="33"/>
        <v>18</v>
      </c>
      <c r="C46" s="27">
        <f t="shared" si="34"/>
        <v>44228</v>
      </c>
      <c r="D46" s="28">
        <v>240000.0</v>
      </c>
      <c r="E46" s="29">
        <f t="shared" si="15"/>
        <v>0.4117647059</v>
      </c>
      <c r="F46" s="29">
        <f t="shared" si="7"/>
        <v>0.04347826087</v>
      </c>
      <c r="H46" s="32">
        <f t="shared" ref="H46:I46" si="52">B46</f>
        <v>18</v>
      </c>
      <c r="I46" s="30">
        <f t="shared" si="52"/>
        <v>44228</v>
      </c>
      <c r="J46" s="31">
        <f t="shared" si="36"/>
        <v>321651.9555</v>
      </c>
      <c r="K46" s="29">
        <f t="shared" si="17"/>
        <v>0.6001442773</v>
      </c>
      <c r="L46" s="51">
        <f>if($H46&lt;=Drivers!$C$19,Drivers!$D$19,if(and($H46&gt;Drivers!$C$19,$H46&lt;=Drivers!$C$20),Drivers!$D$20,if(and($H46&gt;Drivers!$C$20,$H46&lt;=Drivers!$C$21),Drivers!$D$21,Drivers!$D$22)))</f>
        <v>0.03</v>
      </c>
    </row>
    <row r="47">
      <c r="A47" s="25" t="s">
        <v>113</v>
      </c>
      <c r="B47" s="32">
        <f t="shared" si="33"/>
        <v>19</v>
      </c>
      <c r="C47" s="27">
        <f t="shared" si="34"/>
        <v>44256</v>
      </c>
      <c r="D47" s="28">
        <v>250000.0</v>
      </c>
      <c r="E47" s="29">
        <f t="shared" si="15"/>
        <v>0.4367816092</v>
      </c>
      <c r="F47" s="29">
        <f t="shared" si="7"/>
        <v>0.04166666667</v>
      </c>
      <c r="H47" s="32">
        <f t="shared" ref="H47:I47" si="53">B47</f>
        <v>19</v>
      </c>
      <c r="I47" s="30">
        <f t="shared" si="53"/>
        <v>44256</v>
      </c>
      <c r="J47" s="31">
        <f t="shared" si="36"/>
        <v>331301.5142</v>
      </c>
      <c r="K47" s="29">
        <f t="shared" si="17"/>
        <v>0.5696653386</v>
      </c>
      <c r="L47" s="51">
        <f>if($H47&lt;=Drivers!$C$19,Drivers!$D$19,if(and($H47&gt;Drivers!$C$19,$H47&lt;=Drivers!$C$20),Drivers!$D$20,if(and($H47&gt;Drivers!$C$20,$H47&lt;=Drivers!$C$21),Drivers!$D$21,Drivers!$D$22)))</f>
        <v>0.03</v>
      </c>
    </row>
    <row r="48">
      <c r="A48" s="25" t="s">
        <v>113</v>
      </c>
      <c r="B48" s="32">
        <f t="shared" si="33"/>
        <v>20</v>
      </c>
      <c r="C48" s="27">
        <f t="shared" si="34"/>
        <v>44287</v>
      </c>
      <c r="D48" s="28">
        <v>260000.0</v>
      </c>
      <c r="E48" s="29">
        <f t="shared" si="15"/>
        <v>0.4444444444</v>
      </c>
      <c r="F48" s="29">
        <f t="shared" si="7"/>
        <v>0.04</v>
      </c>
      <c r="H48" s="32">
        <f t="shared" ref="H48:I48" si="54">B48</f>
        <v>20</v>
      </c>
      <c r="I48" s="30">
        <f t="shared" si="54"/>
        <v>44287</v>
      </c>
      <c r="J48" s="31">
        <f t="shared" si="36"/>
        <v>341240.5596</v>
      </c>
      <c r="K48" s="29">
        <f t="shared" si="17"/>
        <v>0.5397669512</v>
      </c>
      <c r="L48" s="51">
        <f>if($H48&lt;=Drivers!$C$19,Drivers!$D$19,if(and($H48&gt;Drivers!$C$19,$H48&lt;=Drivers!$C$20),Drivers!$D$20,if(and($H48&gt;Drivers!$C$20,$H48&lt;=Drivers!$C$21),Drivers!$D$21,Drivers!$D$22)))</f>
        <v>0.03</v>
      </c>
    </row>
    <row r="49">
      <c r="A49" s="25" t="s">
        <v>113</v>
      </c>
      <c r="B49" s="32">
        <f t="shared" si="33"/>
        <v>21</v>
      </c>
      <c r="C49" s="27">
        <f t="shared" si="34"/>
        <v>44317</v>
      </c>
      <c r="D49" s="28">
        <v>270000.0</v>
      </c>
      <c r="E49" s="29">
        <f t="shared" si="15"/>
        <v>0.40625</v>
      </c>
      <c r="F49" s="29">
        <f t="shared" si="7"/>
        <v>0.03846153846</v>
      </c>
      <c r="H49" s="32">
        <f t="shared" ref="H49:I49" si="55">B49</f>
        <v>21</v>
      </c>
      <c r="I49" s="30">
        <f t="shared" si="55"/>
        <v>44317</v>
      </c>
      <c r="J49" s="31">
        <f t="shared" si="36"/>
        <v>351477.7764</v>
      </c>
      <c r="K49" s="29">
        <f t="shared" si="17"/>
        <v>0.5104380569</v>
      </c>
      <c r="L49" s="51">
        <f>if($H49&lt;=Drivers!$C$19,Drivers!$D$19,if(and($H49&gt;Drivers!$C$19,$H49&lt;=Drivers!$C$20),Drivers!$D$20,if(and($H49&gt;Drivers!$C$20,$H49&lt;=Drivers!$C$21),Drivers!$D$21,Drivers!$D$22)))</f>
        <v>0.03</v>
      </c>
    </row>
    <row r="50">
      <c r="A50" s="25" t="s">
        <v>113</v>
      </c>
      <c r="B50" s="32">
        <f t="shared" si="33"/>
        <v>22</v>
      </c>
      <c r="C50" s="27">
        <f t="shared" si="34"/>
        <v>44348</v>
      </c>
      <c r="D50" s="28">
        <v>280000.0</v>
      </c>
      <c r="E50" s="29">
        <f t="shared" si="15"/>
        <v>0.4358974359</v>
      </c>
      <c r="F50" s="29">
        <f t="shared" si="7"/>
        <v>0.03703703704</v>
      </c>
      <c r="H50" s="32">
        <f t="shared" ref="H50:I50" si="56">B50</f>
        <v>22</v>
      </c>
      <c r="I50" s="30">
        <f t="shared" si="56"/>
        <v>44348</v>
      </c>
      <c r="J50" s="31">
        <f t="shared" si="36"/>
        <v>362022.1097</v>
      </c>
      <c r="K50" s="29">
        <f t="shared" si="17"/>
        <v>0.4816678082</v>
      </c>
      <c r="L50" s="51">
        <f>if($H50&lt;=Drivers!$C$19,Drivers!$D$19,if(and($H50&gt;Drivers!$C$19,$H50&lt;=Drivers!$C$20),Drivers!$D$20,if(and($H50&gt;Drivers!$C$20,$H50&lt;=Drivers!$C$21),Drivers!$D$21,Drivers!$D$22)))</f>
        <v>0.03</v>
      </c>
    </row>
    <row r="51">
      <c r="A51" s="25" t="s">
        <v>113</v>
      </c>
      <c r="B51" s="32">
        <f t="shared" si="33"/>
        <v>23</v>
      </c>
      <c r="C51" s="27">
        <f t="shared" si="34"/>
        <v>44378</v>
      </c>
      <c r="D51" s="28">
        <v>300000.0</v>
      </c>
      <c r="E51" s="29">
        <f t="shared" si="15"/>
        <v>0.5</v>
      </c>
      <c r="F51" s="29">
        <f t="shared" si="7"/>
        <v>0.07142857143</v>
      </c>
      <c r="H51" s="32">
        <f t="shared" ref="H51:I51" si="57">B51</f>
        <v>23</v>
      </c>
      <c r="I51" s="30">
        <f t="shared" si="57"/>
        <v>44378</v>
      </c>
      <c r="J51" s="31">
        <f t="shared" si="36"/>
        <v>372882.773</v>
      </c>
      <c r="K51" s="29">
        <f t="shared" si="17"/>
        <v>0.4534455643</v>
      </c>
      <c r="L51" s="51">
        <f>if($H51&lt;=Drivers!$C$19,Drivers!$D$19,if(and($H51&gt;Drivers!$C$19,$H51&lt;=Drivers!$C$20),Drivers!$D$20,if(and($H51&gt;Drivers!$C$20,$H51&lt;=Drivers!$C$21),Drivers!$D$21,Drivers!$D$22)))</f>
        <v>0.03</v>
      </c>
    </row>
    <row r="52">
      <c r="A52" s="25" t="s">
        <v>113</v>
      </c>
      <c r="B52" s="52">
        <f t="shared" si="33"/>
        <v>24</v>
      </c>
      <c r="C52" s="27">
        <f t="shared" si="34"/>
        <v>44409</v>
      </c>
      <c r="D52" s="28">
        <v>315000.0</v>
      </c>
      <c r="E52" s="29">
        <f t="shared" si="15"/>
        <v>0.5365853659</v>
      </c>
      <c r="F52" s="29">
        <f t="shared" si="7"/>
        <v>0.05</v>
      </c>
      <c r="H52" s="52">
        <f t="shared" ref="H52:I52" si="58">B52</f>
        <v>24</v>
      </c>
      <c r="I52" s="38">
        <f t="shared" si="58"/>
        <v>44409</v>
      </c>
      <c r="J52" s="39">
        <f t="shared" si="36"/>
        <v>384069.2562</v>
      </c>
      <c r="K52" s="29">
        <f t="shared" si="17"/>
        <v>0.4257608868</v>
      </c>
      <c r="L52" s="53">
        <f>if($H52&lt;=Drivers!$C$19,Drivers!$D$19,if(and($H52&gt;Drivers!$C$19,$H52&lt;=Drivers!$C$20),Drivers!$D$20,if(and($H52&gt;Drivers!$C$20,$H52&lt;=Drivers!$C$21),Drivers!$D$21,Drivers!$D$22)))</f>
        <v>0.03</v>
      </c>
    </row>
    <row r="53">
      <c r="A53" s="45" t="s">
        <v>113</v>
      </c>
      <c r="B53" s="46">
        <f t="shared" si="33"/>
        <v>25</v>
      </c>
      <c r="C53" s="47">
        <f t="shared" si="34"/>
        <v>44440</v>
      </c>
      <c r="D53" s="48">
        <v>325000.0</v>
      </c>
      <c r="E53" s="49">
        <f t="shared" si="15"/>
        <v>0.5476190476</v>
      </c>
      <c r="F53" s="49">
        <f t="shared" si="7"/>
        <v>0.03174603175</v>
      </c>
      <c r="H53" s="46">
        <f t="shared" ref="H53:I53" si="59">B53</f>
        <v>25</v>
      </c>
      <c r="I53" s="30">
        <f t="shared" si="59"/>
        <v>44440</v>
      </c>
      <c r="J53" s="31">
        <f t="shared" si="36"/>
        <v>391750.6413</v>
      </c>
      <c r="K53" s="49">
        <f t="shared" si="17"/>
        <v>0.4119185481</v>
      </c>
      <c r="L53" s="51">
        <f>if($H53&lt;=Drivers!$C$19,Drivers!$D$19,if(and($H53&gt;Drivers!$C$19,$H53&lt;=Drivers!$C$20),Drivers!$D$20,if(and($H53&gt;Drivers!$C$20,$H53&lt;=Drivers!$C$21),Drivers!$D$21,Drivers!$D$22)))</f>
        <v>0.02</v>
      </c>
    </row>
    <row r="54">
      <c r="A54" s="25" t="s">
        <v>113</v>
      </c>
      <c r="B54" s="32">
        <f t="shared" si="33"/>
        <v>26</v>
      </c>
      <c r="C54" s="27">
        <f t="shared" si="34"/>
        <v>44470</v>
      </c>
      <c r="D54" s="28">
        <v>335000.0</v>
      </c>
      <c r="E54" s="29">
        <f t="shared" si="15"/>
        <v>0.5509259259</v>
      </c>
      <c r="F54" s="29">
        <f t="shared" si="7"/>
        <v>0.03076923077</v>
      </c>
      <c r="H54" s="32">
        <f t="shared" ref="H54:I54" si="60">B54</f>
        <v>26</v>
      </c>
      <c r="I54" s="30">
        <f t="shared" si="60"/>
        <v>44470</v>
      </c>
      <c r="J54" s="31">
        <f t="shared" si="36"/>
        <v>399585.6542</v>
      </c>
      <c r="K54" s="29">
        <f t="shared" si="17"/>
        <v>0.3982106011</v>
      </c>
      <c r="L54" s="51">
        <f>if($H54&lt;=Drivers!$C$19,Drivers!$D$19,if(and($H54&gt;Drivers!$C$19,$H54&lt;=Drivers!$C$20),Drivers!$D$20,if(and($H54&gt;Drivers!$C$20,$H54&lt;=Drivers!$C$21),Drivers!$D$21,Drivers!$D$22)))</f>
        <v>0.02</v>
      </c>
    </row>
    <row r="55">
      <c r="A55" s="25" t="s">
        <v>113</v>
      </c>
      <c r="B55" s="32">
        <f t="shared" si="33"/>
        <v>27</v>
      </c>
      <c r="C55" s="27">
        <f t="shared" si="34"/>
        <v>44501</v>
      </c>
      <c r="D55" s="28">
        <v>345000.0</v>
      </c>
      <c r="E55" s="29">
        <f t="shared" si="15"/>
        <v>0.5681818182</v>
      </c>
      <c r="F55" s="29">
        <f t="shared" si="7"/>
        <v>0.02985074627</v>
      </c>
      <c r="H55" s="32">
        <f t="shared" ref="H55:I55" si="61">B55</f>
        <v>27</v>
      </c>
      <c r="I55" s="30">
        <f t="shared" si="61"/>
        <v>44501</v>
      </c>
      <c r="J55" s="31">
        <f t="shared" si="36"/>
        <v>407577.3672</v>
      </c>
      <c r="K55" s="29">
        <f t="shared" si="17"/>
        <v>0.3846357409</v>
      </c>
      <c r="L55" s="51">
        <f>if($H55&lt;=Drivers!$C$19,Drivers!$D$19,if(and($H55&gt;Drivers!$C$19,$H55&lt;=Drivers!$C$20),Drivers!$D$20,if(and($H55&gt;Drivers!$C$20,$H55&lt;=Drivers!$C$21),Drivers!$D$21,Drivers!$D$22)))</f>
        <v>0.02</v>
      </c>
    </row>
    <row r="56">
      <c r="A56" s="25" t="s">
        <v>113</v>
      </c>
      <c r="B56" s="32">
        <f t="shared" si="33"/>
        <v>28</v>
      </c>
      <c r="C56" s="27">
        <f t="shared" si="34"/>
        <v>44531</v>
      </c>
      <c r="D56" s="28">
        <v>350000.0</v>
      </c>
      <c r="E56" s="29">
        <f t="shared" si="15"/>
        <v>0.5555555556</v>
      </c>
      <c r="F56" s="29">
        <f t="shared" si="7"/>
        <v>0.01449275362</v>
      </c>
      <c r="H56" s="32">
        <f t="shared" ref="H56:I56" si="62">B56</f>
        <v>28</v>
      </c>
      <c r="I56" s="30">
        <f t="shared" si="62"/>
        <v>44531</v>
      </c>
      <c r="J56" s="31">
        <f t="shared" si="36"/>
        <v>415728.9146</v>
      </c>
      <c r="K56" s="29">
        <f t="shared" si="17"/>
        <v>0.3711926754</v>
      </c>
      <c r="L56" s="51">
        <f>if($H56&lt;=Drivers!$C$19,Drivers!$D$19,if(and($H56&gt;Drivers!$C$19,$H56&lt;=Drivers!$C$20),Drivers!$D$20,if(and($H56&gt;Drivers!$C$20,$H56&lt;=Drivers!$C$21),Drivers!$D$21,Drivers!$D$22)))</f>
        <v>0.02</v>
      </c>
    </row>
    <row r="57">
      <c r="A57" s="25" t="s">
        <v>113</v>
      </c>
      <c r="B57" s="32">
        <f t="shared" si="33"/>
        <v>29</v>
      </c>
      <c r="C57" s="27">
        <f t="shared" si="34"/>
        <v>44562</v>
      </c>
      <c r="D57" s="28">
        <v>360000.0</v>
      </c>
      <c r="E57" s="29">
        <f t="shared" si="15"/>
        <v>0.5652173913</v>
      </c>
      <c r="F57" s="29">
        <f t="shared" si="7"/>
        <v>0.02857142857</v>
      </c>
      <c r="H57" s="32">
        <f t="shared" ref="H57:I57" si="63">B57</f>
        <v>29</v>
      </c>
      <c r="I57" s="30">
        <f t="shared" si="63"/>
        <v>44562</v>
      </c>
      <c r="J57" s="31">
        <f t="shared" si="36"/>
        <v>424043.4929</v>
      </c>
      <c r="K57" s="29">
        <f t="shared" si="17"/>
        <v>0.3578801252</v>
      </c>
      <c r="L57" s="51">
        <f>if($H57&lt;=Drivers!$C$19,Drivers!$D$19,if(and($H57&gt;Drivers!$C$19,$H57&lt;=Drivers!$C$20),Drivers!$D$20,if(and($H57&gt;Drivers!$C$20,$H57&lt;=Drivers!$C$21),Drivers!$D$21,Drivers!$D$22)))</f>
        <v>0.02</v>
      </c>
    </row>
    <row r="58">
      <c r="A58" s="25" t="s">
        <v>113</v>
      </c>
      <c r="B58" s="32">
        <f t="shared" si="33"/>
        <v>30</v>
      </c>
      <c r="C58" s="27">
        <f t="shared" si="34"/>
        <v>44593</v>
      </c>
      <c r="D58" s="28">
        <v>370000.0</v>
      </c>
      <c r="E58" s="29">
        <f t="shared" si="15"/>
        <v>0.5416666667</v>
      </c>
      <c r="F58" s="29">
        <f t="shared" si="7"/>
        <v>0.02777777778</v>
      </c>
      <c r="H58" s="32">
        <f t="shared" ref="H58:I58" si="64">B58</f>
        <v>30</v>
      </c>
      <c r="I58" s="30">
        <f t="shared" si="64"/>
        <v>44593</v>
      </c>
      <c r="J58" s="31">
        <f t="shared" si="36"/>
        <v>432524.3627</v>
      </c>
      <c r="K58" s="29">
        <f t="shared" si="17"/>
        <v>0.344696823</v>
      </c>
      <c r="L58" s="51">
        <f>if($H58&lt;=Drivers!$C$19,Drivers!$D$19,if(and($H58&gt;Drivers!$C$19,$H58&lt;=Drivers!$C$20),Drivers!$D$20,if(and($H58&gt;Drivers!$C$20,$H58&lt;=Drivers!$C$21),Drivers!$D$21,Drivers!$D$22)))</f>
        <v>0.02</v>
      </c>
    </row>
    <row r="59">
      <c r="A59" s="25" t="s">
        <v>113</v>
      </c>
      <c r="B59" s="32">
        <f t="shared" si="33"/>
        <v>31</v>
      </c>
      <c r="C59" s="27">
        <f t="shared" si="34"/>
        <v>44621</v>
      </c>
      <c r="D59" s="28">
        <v>380000.0</v>
      </c>
      <c r="E59" s="29">
        <f t="shared" si="15"/>
        <v>0.52</v>
      </c>
      <c r="F59" s="29">
        <f t="shared" si="7"/>
        <v>0.02702702703</v>
      </c>
      <c r="H59" s="32">
        <f t="shared" ref="H59:I59" si="65">B59</f>
        <v>31</v>
      </c>
      <c r="I59" s="30">
        <f t="shared" si="65"/>
        <v>44621</v>
      </c>
      <c r="J59" s="31">
        <f t="shared" si="36"/>
        <v>441174.85</v>
      </c>
      <c r="K59" s="29">
        <f t="shared" si="17"/>
        <v>0.331641514</v>
      </c>
      <c r="L59" s="51">
        <f>if($H59&lt;=Drivers!$C$19,Drivers!$D$19,if(and($H59&gt;Drivers!$C$19,$H59&lt;=Drivers!$C$20),Drivers!$D$20,if(and($H59&gt;Drivers!$C$20,$H59&lt;=Drivers!$C$21),Drivers!$D$21,Drivers!$D$22)))</f>
        <v>0.02</v>
      </c>
    </row>
    <row r="60">
      <c r="A60" s="25" t="s">
        <v>113</v>
      </c>
      <c r="B60" s="32">
        <f t="shared" si="33"/>
        <v>32</v>
      </c>
      <c r="C60" s="27">
        <f t="shared" si="34"/>
        <v>44652</v>
      </c>
      <c r="D60" s="28">
        <v>390000.0</v>
      </c>
      <c r="E60" s="29">
        <f t="shared" si="15"/>
        <v>0.5</v>
      </c>
      <c r="F60" s="29">
        <f t="shared" si="7"/>
        <v>0.02631578947</v>
      </c>
      <c r="H60" s="32">
        <f t="shared" ref="H60:I60" si="66">B60</f>
        <v>32</v>
      </c>
      <c r="I60" s="30">
        <f t="shared" si="66"/>
        <v>44652</v>
      </c>
      <c r="J60" s="31">
        <f t="shared" si="36"/>
        <v>449998.347</v>
      </c>
      <c r="K60" s="29">
        <f t="shared" si="17"/>
        <v>0.3187129556</v>
      </c>
      <c r="L60" s="51">
        <f>if($H60&lt;=Drivers!$C$19,Drivers!$D$19,if(and($H60&gt;Drivers!$C$19,$H60&lt;=Drivers!$C$20),Drivers!$D$20,if(and($H60&gt;Drivers!$C$20,$H60&lt;=Drivers!$C$21),Drivers!$D$21,Drivers!$D$22)))</f>
        <v>0.02</v>
      </c>
    </row>
    <row r="61">
      <c r="A61" s="25" t="s">
        <v>113</v>
      </c>
      <c r="B61" s="32">
        <f t="shared" si="33"/>
        <v>33</v>
      </c>
      <c r="C61" s="27">
        <f t="shared" si="34"/>
        <v>44682</v>
      </c>
      <c r="D61" s="28">
        <v>400000.0</v>
      </c>
      <c r="E61" s="29">
        <f t="shared" si="15"/>
        <v>0.4814814815</v>
      </c>
      <c r="F61" s="29">
        <f t="shared" si="7"/>
        <v>0.02564102564</v>
      </c>
      <c r="H61" s="32">
        <f t="shared" ref="H61:I61" si="67">B61</f>
        <v>33</v>
      </c>
      <c r="I61" s="30">
        <f t="shared" si="67"/>
        <v>44682</v>
      </c>
      <c r="J61" s="31">
        <f t="shared" si="36"/>
        <v>458998.3139</v>
      </c>
      <c r="K61" s="29">
        <f t="shared" si="17"/>
        <v>0.3059099172</v>
      </c>
      <c r="L61" s="51">
        <f>if($H61&lt;=Drivers!$C$19,Drivers!$D$19,if(and($H61&gt;Drivers!$C$19,$H61&lt;=Drivers!$C$20),Drivers!$D$20,if(and($H61&gt;Drivers!$C$20,$H61&lt;=Drivers!$C$21),Drivers!$D$21,Drivers!$D$22)))</f>
        <v>0.02</v>
      </c>
    </row>
    <row r="62">
      <c r="A62" s="25" t="s">
        <v>113</v>
      </c>
      <c r="B62" s="32">
        <f t="shared" si="33"/>
        <v>34</v>
      </c>
      <c r="C62" s="27">
        <f t="shared" si="34"/>
        <v>44713</v>
      </c>
      <c r="D62" s="28">
        <v>415000.0</v>
      </c>
      <c r="E62" s="29">
        <f t="shared" si="15"/>
        <v>0.4821428571</v>
      </c>
      <c r="F62" s="29">
        <f t="shared" si="7"/>
        <v>0.0375</v>
      </c>
      <c r="H62" s="32">
        <f t="shared" ref="H62:I62" si="68">B62</f>
        <v>34</v>
      </c>
      <c r="I62" s="30">
        <f t="shared" si="68"/>
        <v>44713</v>
      </c>
      <c r="J62" s="31">
        <f t="shared" si="36"/>
        <v>468178.2802</v>
      </c>
      <c r="K62" s="29">
        <f t="shared" si="17"/>
        <v>0.2932311802</v>
      </c>
      <c r="L62" s="51">
        <f>if($H62&lt;=Drivers!$C$19,Drivers!$D$19,if(and($H62&gt;Drivers!$C$19,$H62&lt;=Drivers!$C$20),Drivers!$D$20,if(and($H62&gt;Drivers!$C$20,$H62&lt;=Drivers!$C$21),Drivers!$D$21,Drivers!$D$22)))</f>
        <v>0.02</v>
      </c>
    </row>
    <row r="63">
      <c r="A63" s="25" t="s">
        <v>113</v>
      </c>
      <c r="B63" s="32">
        <f t="shared" si="33"/>
        <v>35</v>
      </c>
      <c r="C63" s="27">
        <f t="shared" si="34"/>
        <v>44743</v>
      </c>
      <c r="D63" s="28">
        <v>430000.0</v>
      </c>
      <c r="E63" s="29">
        <f t="shared" si="15"/>
        <v>0.4333333333</v>
      </c>
      <c r="F63" s="29">
        <f t="shared" si="7"/>
        <v>0.03614457831</v>
      </c>
      <c r="H63" s="32">
        <f t="shared" ref="H63:I63" si="69">B63</f>
        <v>35</v>
      </c>
      <c r="I63" s="30">
        <f t="shared" si="69"/>
        <v>44743</v>
      </c>
      <c r="J63" s="31">
        <f t="shared" si="36"/>
        <v>477541.8458</v>
      </c>
      <c r="K63" s="29">
        <f t="shared" si="17"/>
        <v>0.2806755376</v>
      </c>
      <c r="L63" s="51">
        <f>if($H63&lt;=Drivers!$C$19,Drivers!$D$19,if(and($H63&gt;Drivers!$C$19,$H63&lt;=Drivers!$C$20),Drivers!$D$20,if(and($H63&gt;Drivers!$C$20,$H63&lt;=Drivers!$C$21),Drivers!$D$21,Drivers!$D$22)))</f>
        <v>0.02</v>
      </c>
    </row>
    <row r="64">
      <c r="A64" s="25" t="s">
        <v>113</v>
      </c>
      <c r="B64" s="32">
        <f t="shared" si="33"/>
        <v>36</v>
      </c>
      <c r="C64" s="27">
        <f t="shared" si="34"/>
        <v>44774</v>
      </c>
      <c r="D64" s="28">
        <v>450000.0</v>
      </c>
      <c r="E64" s="29">
        <f t="shared" si="15"/>
        <v>0.4285714286</v>
      </c>
      <c r="F64" s="29">
        <f t="shared" si="7"/>
        <v>0.04651162791</v>
      </c>
      <c r="H64" s="32">
        <f t="shared" ref="H64:I64" si="70">B64</f>
        <v>36</v>
      </c>
      <c r="I64" s="30">
        <f t="shared" si="70"/>
        <v>44774</v>
      </c>
      <c r="J64" s="31">
        <f t="shared" si="36"/>
        <v>487092.6827</v>
      </c>
      <c r="K64" s="29">
        <f t="shared" si="17"/>
        <v>0.2682417946</v>
      </c>
      <c r="L64" s="51">
        <f>if($H64&lt;=Drivers!$C$19,Drivers!$D$19,if(and($H64&gt;Drivers!$C$19,$H64&lt;=Drivers!$C$20),Drivers!$D$20,if(and($H64&gt;Drivers!$C$20,$H64&lt;=Drivers!$C$21),Drivers!$D$21,Drivers!$D$22)))</f>
        <v>0.02</v>
      </c>
    </row>
  </sheetData>
  <mergeCells count="2">
    <mergeCell ref="A3:F3"/>
    <mergeCell ref="H3:L3"/>
  </mergeCells>
  <dataValidations>
    <dataValidation type="list" allowBlank="1" sqref="A5:A64">
      <formula1>"Historical,Projected"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6.71"/>
    <col customWidth="1" min="2" max="2" width="12.86"/>
    <col customWidth="1" min="3" max="3" width="20.29"/>
    <col customWidth="1" min="4" max="4" width="15.43"/>
    <col customWidth="1" min="5" max="5" width="12.14"/>
    <col customWidth="1" min="6" max="7" width="15.57"/>
    <col customWidth="1" min="8" max="8" width="14.29"/>
  </cols>
  <sheetData>
    <row r="1">
      <c r="A1" s="1" t="s">
        <v>114</v>
      </c>
    </row>
    <row r="2">
      <c r="A2" s="54"/>
      <c r="B2" s="54"/>
      <c r="C2" s="54"/>
      <c r="D2" s="54"/>
      <c r="E2" s="55"/>
      <c r="F2" s="55"/>
      <c r="G2" s="55"/>
      <c r="H2" s="55"/>
    </row>
    <row r="3">
      <c r="A3" s="56" t="s">
        <v>115</v>
      </c>
      <c r="B3" s="57"/>
      <c r="C3" s="55"/>
      <c r="D3" s="55"/>
      <c r="E3" s="55"/>
      <c r="F3" s="55"/>
      <c r="G3" s="55"/>
      <c r="H3" s="55"/>
      <c r="I3" s="55"/>
      <c r="J3" s="55"/>
    </row>
    <row r="4">
      <c r="A4" s="58" t="s">
        <v>116</v>
      </c>
      <c r="B4" s="57"/>
      <c r="C4" s="59">
        <v>2.0</v>
      </c>
      <c r="D4" s="60" t="s">
        <v>117</v>
      </c>
      <c r="E4" s="55"/>
      <c r="F4" s="55"/>
      <c r="G4" s="55"/>
      <c r="H4" s="55"/>
      <c r="I4" s="55"/>
      <c r="J4" s="55"/>
    </row>
    <row r="5">
      <c r="A5" s="58" t="s">
        <v>118</v>
      </c>
      <c r="B5" s="57"/>
      <c r="C5" s="61">
        <v>300000.0</v>
      </c>
      <c r="D5" s="60" t="s">
        <v>119</v>
      </c>
      <c r="E5" s="55"/>
      <c r="F5" s="55"/>
      <c r="G5" s="55"/>
      <c r="H5" s="55"/>
      <c r="I5" s="55"/>
      <c r="J5" s="55"/>
    </row>
    <row r="6">
      <c r="A6" s="58" t="s">
        <v>120</v>
      </c>
      <c r="B6" s="62"/>
      <c r="C6" s="63">
        <v>43709.0</v>
      </c>
      <c r="D6" s="55"/>
      <c r="E6" s="55"/>
      <c r="F6" s="55"/>
      <c r="G6" s="55"/>
      <c r="H6" s="55"/>
      <c r="I6" s="55"/>
      <c r="J6" s="55"/>
    </row>
    <row r="7">
      <c r="A7" s="58" t="s">
        <v>121</v>
      </c>
      <c r="B7" s="64"/>
      <c r="C7" s="65">
        <v>36.0</v>
      </c>
      <c r="D7" s="60" t="s">
        <v>119</v>
      </c>
      <c r="E7" s="55"/>
      <c r="F7" s="55"/>
      <c r="G7" s="55"/>
      <c r="H7" s="55"/>
      <c r="I7" s="55"/>
      <c r="J7" s="55"/>
    </row>
    <row r="8">
      <c r="A8" s="2" t="s">
        <v>122</v>
      </c>
      <c r="B8" s="66"/>
      <c r="C8" s="67">
        <v>36.0</v>
      </c>
      <c r="D8" s="60" t="s">
        <v>123</v>
      </c>
      <c r="E8" s="55"/>
      <c r="F8" s="55"/>
      <c r="G8" s="55"/>
      <c r="H8" s="55"/>
      <c r="I8" s="55"/>
      <c r="J8" s="55"/>
    </row>
    <row r="9">
      <c r="A9" s="58" t="s">
        <v>124</v>
      </c>
      <c r="B9" s="68"/>
      <c r="C9" s="69">
        <f t="array" ref="C9">if( C14="Fixed",hlookup(C4,Tables!A7:D13,index(match(C7,Tables!A7:A13,0),0),false),hlookup(C4,Tables!A16:D22,index(match(C7,Tables!A16:A22,0),0),false))</f>
        <v>1.5</v>
      </c>
      <c r="D9" s="60" t="s">
        <v>125</v>
      </c>
      <c r="E9" s="55"/>
      <c r="F9" s="55"/>
      <c r="G9" s="55"/>
      <c r="H9" s="55"/>
      <c r="I9" s="55"/>
      <c r="J9" s="55"/>
    </row>
    <row r="10">
      <c r="A10" s="2" t="s">
        <v>126</v>
      </c>
      <c r="B10" s="21"/>
      <c r="C10" s="69">
        <f t="array" ref="C10">if( C14="Fixed",hlookup(C4,Tables!A7:D13,index(match(C8,Tables!A7:A13,0),0),false),hlookup(C4,Tables!A16:D22,index(match(C8,Tables!A16:A22,0),0),false))</f>
        <v>1.5</v>
      </c>
      <c r="D10" s="60" t="s">
        <v>125</v>
      </c>
      <c r="E10" s="55"/>
      <c r="F10" s="55"/>
      <c r="G10" s="55"/>
      <c r="H10" s="55"/>
      <c r="I10" s="55"/>
      <c r="J10" s="55"/>
    </row>
    <row r="11">
      <c r="A11" s="58" t="s">
        <v>127</v>
      </c>
      <c r="B11" s="70"/>
      <c r="C11" s="71">
        <v>0.015</v>
      </c>
      <c r="D11" s="60" t="s">
        <v>125</v>
      </c>
      <c r="E11" s="55"/>
      <c r="F11" s="55"/>
      <c r="G11" s="55"/>
      <c r="H11" s="55"/>
      <c r="I11" s="55"/>
      <c r="J11" s="55"/>
    </row>
    <row r="12">
      <c r="A12" s="72" t="s">
        <v>128</v>
      </c>
      <c r="B12" s="57"/>
      <c r="C12" s="61">
        <v>150000.0</v>
      </c>
      <c r="D12" s="60" t="s">
        <v>129</v>
      </c>
      <c r="E12" s="55"/>
      <c r="F12" s="55"/>
      <c r="G12" s="55"/>
      <c r="H12" s="55"/>
      <c r="I12" s="55"/>
      <c r="J12" s="55"/>
    </row>
    <row r="13">
      <c r="A13" s="58" t="s">
        <v>130</v>
      </c>
      <c r="C13" s="73" t="s">
        <v>131</v>
      </c>
      <c r="D13" s="60" t="s">
        <v>117</v>
      </c>
      <c r="E13" s="55"/>
      <c r="F13" s="55"/>
      <c r="G13" s="55"/>
      <c r="H13" s="55"/>
      <c r="I13" s="55"/>
      <c r="J13" s="55"/>
    </row>
    <row r="14">
      <c r="A14" s="58" t="s">
        <v>132</v>
      </c>
      <c r="C14" s="73" t="s">
        <v>133</v>
      </c>
      <c r="D14" s="60" t="s">
        <v>117</v>
      </c>
      <c r="E14" s="55"/>
      <c r="F14" s="55"/>
      <c r="G14" s="55"/>
      <c r="H14" s="55"/>
      <c r="I14" s="55"/>
      <c r="J14" s="55"/>
    </row>
    <row r="15">
      <c r="D15" s="21"/>
      <c r="E15" s="21"/>
      <c r="F15" s="55"/>
      <c r="G15" s="55"/>
      <c r="H15" s="55"/>
    </row>
    <row r="16">
      <c r="D16" s="21"/>
      <c r="E16" s="21"/>
      <c r="F16" s="55"/>
      <c r="G16" s="55"/>
      <c r="H16" s="55"/>
    </row>
    <row r="17">
      <c r="A17" s="1"/>
      <c r="B17" s="21"/>
      <c r="C17" s="21"/>
      <c r="D17" s="21"/>
      <c r="E17" s="21"/>
      <c r="F17" s="55"/>
      <c r="G17" s="55"/>
      <c r="H17" s="55"/>
    </row>
    <row r="18">
      <c r="A18" s="1" t="s">
        <v>134</v>
      </c>
      <c r="B18" s="21"/>
      <c r="C18" s="21" t="s">
        <v>135</v>
      </c>
      <c r="D18" s="21" t="s">
        <v>136</v>
      </c>
      <c r="E18" s="21" t="s">
        <v>137</v>
      </c>
      <c r="F18" s="55"/>
      <c r="G18" s="55"/>
      <c r="H18" s="55"/>
    </row>
    <row r="19">
      <c r="A19" s="72" t="s">
        <v>138</v>
      </c>
      <c r="B19" s="74"/>
      <c r="C19" s="75">
        <v>12.0</v>
      </c>
      <c r="D19" s="76">
        <v>0.05</v>
      </c>
      <c r="E19" s="76">
        <v>0.2</v>
      </c>
      <c r="F19" s="60" t="s">
        <v>139</v>
      </c>
      <c r="G19" s="55"/>
      <c r="H19" s="55"/>
    </row>
    <row r="20">
      <c r="A20" s="72" t="s">
        <v>140</v>
      </c>
      <c r="B20" s="74"/>
      <c r="C20" s="75">
        <v>24.0</v>
      </c>
      <c r="D20" s="76">
        <v>0.03</v>
      </c>
      <c r="E20" s="76">
        <v>0.3</v>
      </c>
      <c r="F20" s="60" t="s">
        <v>139</v>
      </c>
      <c r="G20" s="55"/>
      <c r="H20" s="55"/>
    </row>
    <row r="21">
      <c r="A21" s="72" t="s">
        <v>141</v>
      </c>
      <c r="B21" s="74"/>
      <c r="C21" s="75">
        <v>36.0</v>
      </c>
      <c r="D21" s="76">
        <v>0.02</v>
      </c>
      <c r="E21" s="76">
        <v>0.4</v>
      </c>
      <c r="F21" s="60" t="s">
        <v>139</v>
      </c>
      <c r="G21" s="55"/>
      <c r="H21" s="55"/>
    </row>
    <row r="22">
      <c r="A22" s="72" t="s">
        <v>142</v>
      </c>
      <c r="B22" s="55"/>
      <c r="C22" s="55"/>
      <c r="D22" s="76">
        <v>0.01</v>
      </c>
      <c r="E22" s="76">
        <v>0.5</v>
      </c>
      <c r="F22" s="60" t="s">
        <v>139</v>
      </c>
      <c r="G22" s="55"/>
      <c r="H22" s="55"/>
    </row>
    <row r="23">
      <c r="D23" s="77"/>
      <c r="E23" s="55"/>
      <c r="F23" s="55"/>
      <c r="G23" s="55"/>
      <c r="H23" s="55"/>
    </row>
    <row r="24">
      <c r="A24" s="1" t="s">
        <v>143</v>
      </c>
      <c r="D24" s="21"/>
      <c r="E24" s="55"/>
      <c r="F24" s="55"/>
      <c r="G24" s="55"/>
      <c r="H24" s="55"/>
    </row>
    <row r="25">
      <c r="A25" s="58" t="s">
        <v>144</v>
      </c>
      <c r="B25" s="78"/>
      <c r="C25" s="79">
        <v>0.06</v>
      </c>
      <c r="D25" s="60" t="s">
        <v>119</v>
      </c>
      <c r="E25" s="55"/>
      <c r="F25" s="55"/>
      <c r="G25" s="55"/>
      <c r="H25" s="55"/>
    </row>
    <row r="26">
      <c r="A26" s="72" t="s">
        <v>145</v>
      </c>
      <c r="B26" s="78"/>
      <c r="C26" s="79">
        <v>0.04</v>
      </c>
      <c r="D26" s="60" t="s">
        <v>119</v>
      </c>
      <c r="G26" s="55"/>
      <c r="H26" s="55"/>
    </row>
    <row r="27">
      <c r="A27" s="72" t="s">
        <v>146</v>
      </c>
      <c r="B27" s="78"/>
      <c r="C27" s="79">
        <v>0.08</v>
      </c>
      <c r="D27" s="60" t="s">
        <v>119</v>
      </c>
      <c r="G27" s="55"/>
      <c r="H27" s="55"/>
    </row>
    <row r="28">
      <c r="A28" s="72" t="s">
        <v>147</v>
      </c>
      <c r="B28" s="78"/>
      <c r="C28" s="79">
        <v>0.1</v>
      </c>
      <c r="D28" s="60" t="s">
        <v>119</v>
      </c>
      <c r="G28" s="55"/>
      <c r="H28" s="55"/>
    </row>
    <row r="29">
      <c r="A29" s="72" t="s">
        <v>148</v>
      </c>
      <c r="B29" s="78"/>
      <c r="C29" s="79">
        <v>0.0</v>
      </c>
      <c r="D29" s="60" t="s">
        <v>149</v>
      </c>
      <c r="G29" s="55"/>
      <c r="H29" s="55"/>
    </row>
  </sheetData>
  <dataValidations>
    <dataValidation type="list" allowBlank="1" sqref="C13">
      <formula1>"Forecast Driven,Growth Rate Driven"</formula1>
    </dataValidation>
    <dataValidation type="list" allowBlank="1" sqref="C8">
      <formula1>"12,18,24,30,36"</formula1>
    </dataValidation>
    <dataValidation type="list" allowBlank="1" sqref="C4">
      <formula1>"1,2,3"</formula1>
    </dataValidation>
    <dataValidation type="list" allowBlank="1" sqref="C14">
      <formula1>"Fixed,Variable"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29"/>
    <col customWidth="1" min="2" max="4" width="17.71"/>
    <col customWidth="1" min="5" max="5" width="14.29"/>
  </cols>
  <sheetData>
    <row r="1">
      <c r="A1" s="1" t="s">
        <v>150</v>
      </c>
    </row>
    <row r="3">
      <c r="A3" s="58" t="s">
        <v>116</v>
      </c>
      <c r="C3" s="80">
        <f>Drivers!C4</f>
        <v>2</v>
      </c>
    </row>
    <row r="4">
      <c r="A4" s="58" t="s">
        <v>118</v>
      </c>
      <c r="C4" s="81">
        <f>Drivers!C5</f>
        <v>300000</v>
      </c>
    </row>
    <row r="6">
      <c r="A6" s="21" t="s">
        <v>151</v>
      </c>
      <c r="E6" s="21"/>
      <c r="F6" s="21"/>
    </row>
    <row r="7">
      <c r="A7" s="21" t="s">
        <v>152</v>
      </c>
      <c r="B7" s="82">
        <v>1.0</v>
      </c>
      <c r="C7" s="83">
        <f t="shared" ref="C7:D7" si="1">B7+1</f>
        <v>2</v>
      </c>
      <c r="D7" s="83">
        <f t="shared" si="1"/>
        <v>3</v>
      </c>
    </row>
    <row r="8">
      <c r="A8" s="84" t="s">
        <v>153</v>
      </c>
      <c r="B8" s="85">
        <f t="shared" ref="B8:D8" si="2">(B13-B9)/count(A10:A13)</f>
        <v>0.0625</v>
      </c>
      <c r="C8" s="85">
        <f t="shared" si="2"/>
        <v>0.075</v>
      </c>
      <c r="D8" s="85">
        <f t="shared" si="2"/>
        <v>0.1</v>
      </c>
    </row>
    <row r="9">
      <c r="A9" s="67">
        <v>12.0</v>
      </c>
      <c r="B9" s="86">
        <v>1.15</v>
      </c>
      <c r="C9" s="86">
        <v>1.2</v>
      </c>
      <c r="D9" s="86">
        <v>1.3</v>
      </c>
    </row>
    <row r="10">
      <c r="A10" s="87">
        <f t="shared" ref="A10:A13" si="4">A9+6</f>
        <v>18</v>
      </c>
      <c r="B10" s="85">
        <f t="shared" ref="B10:D10" si="3">B9+B$8 </f>
        <v>1.2125</v>
      </c>
      <c r="C10" s="85">
        <f t="shared" si="3"/>
        <v>1.275</v>
      </c>
      <c r="D10" s="85">
        <f t="shared" si="3"/>
        <v>1.4</v>
      </c>
    </row>
    <row r="11">
      <c r="A11" s="87">
        <f t="shared" si="4"/>
        <v>24</v>
      </c>
      <c r="B11" s="85">
        <f t="shared" ref="B11:D11" si="5">B10+B$8 </f>
        <v>1.275</v>
      </c>
      <c r="C11" s="85">
        <f t="shared" si="5"/>
        <v>1.35</v>
      </c>
      <c r="D11" s="85">
        <f t="shared" si="5"/>
        <v>1.5</v>
      </c>
    </row>
    <row r="12">
      <c r="A12" s="87">
        <f t="shared" si="4"/>
        <v>30</v>
      </c>
      <c r="B12" s="85">
        <f t="shared" ref="B12:D12" si="6">B11+B$8 </f>
        <v>1.3375</v>
      </c>
      <c r="C12" s="85">
        <f t="shared" si="6"/>
        <v>1.425</v>
      </c>
      <c r="D12" s="85">
        <f t="shared" si="6"/>
        <v>1.6</v>
      </c>
    </row>
    <row r="13">
      <c r="A13" s="87">
        <f t="shared" si="4"/>
        <v>36</v>
      </c>
      <c r="B13" s="86">
        <v>1.4</v>
      </c>
      <c r="C13" s="86">
        <v>1.5</v>
      </c>
      <c r="D13" s="86">
        <v>1.7</v>
      </c>
    </row>
    <row r="15">
      <c r="A15" s="21" t="s">
        <v>154</v>
      </c>
    </row>
    <row r="16">
      <c r="A16" s="21" t="s">
        <v>152</v>
      </c>
      <c r="B16" s="83">
        <f t="shared" ref="B16:D16" si="7">B$7</f>
        <v>1</v>
      </c>
      <c r="C16" s="83">
        <f t="shared" si="7"/>
        <v>2</v>
      </c>
      <c r="D16" s="83">
        <f t="shared" si="7"/>
        <v>3</v>
      </c>
    </row>
    <row r="17">
      <c r="A17" s="84" t="s">
        <v>153</v>
      </c>
      <c r="B17" s="85">
        <f t="shared" ref="B17:D17" si="8">(B22-B18)/count(A19:A22)</f>
        <v>0.0875</v>
      </c>
      <c r="C17" s="85">
        <f t="shared" si="8"/>
        <v>0.1</v>
      </c>
      <c r="D17" s="85">
        <f t="shared" si="8"/>
        <v>0.125</v>
      </c>
    </row>
    <row r="18">
      <c r="A18" s="67">
        <v>12.0</v>
      </c>
      <c r="B18" s="86">
        <v>1.15</v>
      </c>
      <c r="C18" s="86">
        <v>1.2</v>
      </c>
      <c r="D18" s="86">
        <v>1.3</v>
      </c>
    </row>
    <row r="19">
      <c r="A19" s="87">
        <f t="shared" ref="A19:A22" si="10">A18+6</f>
        <v>18</v>
      </c>
      <c r="B19" s="85">
        <f t="shared" ref="B19:D19" si="9">B18+B$17 </f>
        <v>1.2375</v>
      </c>
      <c r="C19" s="85">
        <f t="shared" si="9"/>
        <v>1.3</v>
      </c>
      <c r="D19" s="85">
        <f t="shared" si="9"/>
        <v>1.425</v>
      </c>
    </row>
    <row r="20">
      <c r="A20" s="87">
        <f t="shared" si="10"/>
        <v>24</v>
      </c>
      <c r="B20" s="85">
        <f t="shared" ref="B20:D20" si="11">B19+B$17 </f>
        <v>1.325</v>
      </c>
      <c r="C20" s="85">
        <f t="shared" si="11"/>
        <v>1.4</v>
      </c>
      <c r="D20" s="85">
        <f t="shared" si="11"/>
        <v>1.55</v>
      </c>
    </row>
    <row r="21">
      <c r="A21" s="87">
        <f t="shared" si="10"/>
        <v>30</v>
      </c>
      <c r="B21" s="85">
        <f t="shared" ref="B21:D21" si="12">B20+B$17 </f>
        <v>1.4125</v>
      </c>
      <c r="C21" s="85">
        <f t="shared" si="12"/>
        <v>1.5</v>
      </c>
      <c r="D21" s="85">
        <f t="shared" si="12"/>
        <v>1.675</v>
      </c>
    </row>
    <row r="22">
      <c r="A22" s="87">
        <f t="shared" si="10"/>
        <v>36</v>
      </c>
      <c r="B22" s="86">
        <v>1.5</v>
      </c>
      <c r="C22" s="86">
        <v>1.6</v>
      </c>
      <c r="D22" s="86">
        <v>1.8</v>
      </c>
    </row>
    <row r="24">
      <c r="A24" s="21" t="s">
        <v>155</v>
      </c>
      <c r="E24" s="21"/>
      <c r="F24" s="21" t="s">
        <v>156</v>
      </c>
      <c r="K24" s="21" t="s">
        <v>157</v>
      </c>
    </row>
    <row r="25">
      <c r="A25" s="21" t="s">
        <v>152</v>
      </c>
      <c r="B25" s="83">
        <f t="shared" ref="B25:D25" si="13">B$7</f>
        <v>1</v>
      </c>
      <c r="C25" s="83">
        <f t="shared" si="13"/>
        <v>2</v>
      </c>
      <c r="D25" s="83">
        <f t="shared" si="13"/>
        <v>3</v>
      </c>
      <c r="E25" s="21"/>
      <c r="F25" s="21" t="str">
        <f t="shared" ref="F25:I25" si="14">A25</f>
        <v>Payoff Month</v>
      </c>
      <c r="G25" s="83">
        <f t="shared" si="14"/>
        <v>1</v>
      </c>
      <c r="H25" s="83">
        <f t="shared" si="14"/>
        <v>2</v>
      </c>
      <c r="I25" s="83">
        <f t="shared" si="14"/>
        <v>3</v>
      </c>
      <c r="K25" s="21" t="str">
        <f t="shared" ref="K25:N25" si="15">F25</f>
        <v>Payoff Month</v>
      </c>
      <c r="L25" s="83">
        <f t="shared" si="15"/>
        <v>1</v>
      </c>
      <c r="M25" s="83">
        <f t="shared" si="15"/>
        <v>2</v>
      </c>
      <c r="N25" s="83">
        <f t="shared" si="15"/>
        <v>3</v>
      </c>
    </row>
    <row r="26">
      <c r="A26" s="88">
        <f t="shared" ref="A26:A30" si="19">A9</f>
        <v>12</v>
      </c>
      <c r="B26" s="89">
        <f t="shared" ref="B26:D26" si="16">$C$4*B9</f>
        <v>345000</v>
      </c>
      <c r="C26" s="89">
        <f t="shared" si="16"/>
        <v>360000</v>
      </c>
      <c r="D26" s="89">
        <f t="shared" si="16"/>
        <v>390000</v>
      </c>
      <c r="E26" s="90"/>
      <c r="F26" s="88">
        <f t="shared" ref="F26:F30" si="21">A26</f>
        <v>12</v>
      </c>
      <c r="G26" s="89">
        <f t="shared" ref="G26:I26" si="17">B26-$C$4</f>
        <v>45000</v>
      </c>
      <c r="H26" s="89">
        <f t="shared" si="17"/>
        <v>60000</v>
      </c>
      <c r="I26" s="89">
        <f t="shared" si="17"/>
        <v>90000</v>
      </c>
      <c r="K26" s="88">
        <f t="shared" ref="K26:K30" si="23">F26</f>
        <v>12</v>
      </c>
      <c r="L26" s="91">
        <f t="shared" ref="L26:N26" si="18">G26/($C$4*$F26/12) </f>
        <v>0.15</v>
      </c>
      <c r="M26" s="91">
        <f t="shared" si="18"/>
        <v>0.2</v>
      </c>
      <c r="N26" s="91">
        <f t="shared" si="18"/>
        <v>0.3</v>
      </c>
    </row>
    <row r="27">
      <c r="A27" s="88">
        <f t="shared" si="19"/>
        <v>18</v>
      </c>
      <c r="B27" s="89">
        <f t="shared" ref="B27:D27" si="20">$C$4*B10</f>
        <v>363750</v>
      </c>
      <c r="C27" s="89">
        <f t="shared" si="20"/>
        <v>382500</v>
      </c>
      <c r="D27" s="89">
        <f t="shared" si="20"/>
        <v>420000</v>
      </c>
      <c r="E27" s="90"/>
      <c r="F27" s="88">
        <f t="shared" si="21"/>
        <v>18</v>
      </c>
      <c r="G27" s="89">
        <f t="shared" ref="G27:I27" si="22">B27-$C$4</f>
        <v>63750</v>
      </c>
      <c r="H27" s="89">
        <f t="shared" si="22"/>
        <v>82500</v>
      </c>
      <c r="I27" s="89">
        <f t="shared" si="22"/>
        <v>120000</v>
      </c>
      <c r="K27" s="88">
        <f t="shared" si="23"/>
        <v>18</v>
      </c>
      <c r="L27" s="91">
        <f t="shared" ref="L27:N27" si="24">G27/($C$4*$F27/12) </f>
        <v>0.1416666667</v>
      </c>
      <c r="M27" s="91">
        <f t="shared" si="24"/>
        <v>0.1833333333</v>
      </c>
      <c r="N27" s="91">
        <f t="shared" si="24"/>
        <v>0.2666666667</v>
      </c>
    </row>
    <row r="28">
      <c r="A28" s="88">
        <f t="shared" si="19"/>
        <v>24</v>
      </c>
      <c r="B28" s="89">
        <f t="shared" ref="B28:D28" si="25">$C$4*B11</f>
        <v>382500</v>
      </c>
      <c r="C28" s="89">
        <f t="shared" si="25"/>
        <v>405000</v>
      </c>
      <c r="D28" s="89">
        <f t="shared" si="25"/>
        <v>450000</v>
      </c>
      <c r="E28" s="90"/>
      <c r="F28" s="88">
        <f t="shared" si="21"/>
        <v>24</v>
      </c>
      <c r="G28" s="89">
        <f t="shared" ref="G28:I28" si="26">B28-$C$4</f>
        <v>82500</v>
      </c>
      <c r="H28" s="89">
        <f t="shared" si="26"/>
        <v>105000</v>
      </c>
      <c r="I28" s="89">
        <f t="shared" si="26"/>
        <v>150000</v>
      </c>
      <c r="K28" s="88">
        <f t="shared" si="23"/>
        <v>24</v>
      </c>
      <c r="L28" s="91">
        <f t="shared" ref="L28:N28" si="27">G28/($C$4*$F28/12) </f>
        <v>0.1375</v>
      </c>
      <c r="M28" s="91">
        <f t="shared" si="27"/>
        <v>0.175</v>
      </c>
      <c r="N28" s="91">
        <f t="shared" si="27"/>
        <v>0.25</v>
      </c>
    </row>
    <row r="29">
      <c r="A29" s="88">
        <f t="shared" si="19"/>
        <v>30</v>
      </c>
      <c r="B29" s="89">
        <f t="shared" ref="B29:D29" si="28">$C$4*B12</f>
        <v>401250</v>
      </c>
      <c r="C29" s="89">
        <f t="shared" si="28"/>
        <v>427500</v>
      </c>
      <c r="D29" s="89">
        <f t="shared" si="28"/>
        <v>480000</v>
      </c>
      <c r="E29" s="90"/>
      <c r="F29" s="88">
        <f t="shared" si="21"/>
        <v>30</v>
      </c>
      <c r="G29" s="89">
        <f t="shared" ref="G29:I29" si="29">B29-$C$4</f>
        <v>101250</v>
      </c>
      <c r="H29" s="89">
        <f t="shared" si="29"/>
        <v>127500</v>
      </c>
      <c r="I29" s="89">
        <f t="shared" si="29"/>
        <v>180000</v>
      </c>
      <c r="K29" s="88">
        <f t="shared" si="23"/>
        <v>30</v>
      </c>
      <c r="L29" s="91">
        <f t="shared" ref="L29:N29" si="30">G29/($C$4*$F29/12) </f>
        <v>0.135</v>
      </c>
      <c r="M29" s="91">
        <f t="shared" si="30"/>
        <v>0.17</v>
      </c>
      <c r="N29" s="91">
        <f t="shared" si="30"/>
        <v>0.24</v>
      </c>
    </row>
    <row r="30">
      <c r="A30" s="88">
        <f t="shared" si="19"/>
        <v>36</v>
      </c>
      <c r="B30" s="89">
        <f t="shared" ref="B30:D30" si="31">$C$4*B13</f>
        <v>420000</v>
      </c>
      <c r="C30" s="89">
        <f t="shared" si="31"/>
        <v>450000</v>
      </c>
      <c r="D30" s="89">
        <f t="shared" si="31"/>
        <v>510000</v>
      </c>
      <c r="E30" s="90"/>
      <c r="F30" s="88">
        <f t="shared" si="21"/>
        <v>36</v>
      </c>
      <c r="G30" s="89">
        <f t="shared" ref="G30:I30" si="32">B30-$C$4</f>
        <v>120000</v>
      </c>
      <c r="H30" s="89">
        <f t="shared" si="32"/>
        <v>150000</v>
      </c>
      <c r="I30" s="89">
        <f t="shared" si="32"/>
        <v>210000</v>
      </c>
      <c r="K30" s="88">
        <f t="shared" si="23"/>
        <v>36</v>
      </c>
      <c r="L30" s="91">
        <f t="shared" ref="L30:N30" si="33">G30/($C$4*$F30/12) </f>
        <v>0.1333333333</v>
      </c>
      <c r="M30" s="91">
        <f t="shared" si="33"/>
        <v>0.1666666667</v>
      </c>
      <c r="N30" s="91">
        <f t="shared" si="33"/>
        <v>0.2333333333</v>
      </c>
    </row>
    <row r="31">
      <c r="A31" s="21"/>
      <c r="B31" s="21"/>
      <c r="C31" s="21"/>
      <c r="D31" s="21"/>
      <c r="E31" s="21"/>
      <c r="F31" s="21"/>
    </row>
    <row r="32">
      <c r="A32" s="21" t="s">
        <v>158</v>
      </c>
      <c r="E32" s="21"/>
      <c r="F32" s="21" t="s">
        <v>159</v>
      </c>
      <c r="K32" s="21" t="s">
        <v>160</v>
      </c>
    </row>
    <row r="33">
      <c r="A33" s="21" t="s">
        <v>152</v>
      </c>
      <c r="B33" s="83">
        <f t="shared" ref="B33:D33" si="34">B$7</f>
        <v>1</v>
      </c>
      <c r="C33" s="83">
        <f t="shared" si="34"/>
        <v>2</v>
      </c>
      <c r="D33" s="83">
        <f t="shared" si="34"/>
        <v>3</v>
      </c>
      <c r="E33" s="21"/>
      <c r="F33" s="21" t="str">
        <f t="shared" ref="F33:I33" si="35">A33</f>
        <v>Payoff Month</v>
      </c>
      <c r="G33" s="83">
        <f t="shared" si="35"/>
        <v>1</v>
      </c>
      <c r="H33" s="83">
        <f t="shared" si="35"/>
        <v>2</v>
      </c>
      <c r="I33" s="83">
        <f t="shared" si="35"/>
        <v>3</v>
      </c>
      <c r="K33" s="21" t="str">
        <f t="shared" ref="K33:N33" si="36">F33</f>
        <v>Payoff Month</v>
      </c>
      <c r="L33" s="83">
        <f t="shared" si="36"/>
        <v>1</v>
      </c>
      <c r="M33" s="83">
        <f t="shared" si="36"/>
        <v>2</v>
      </c>
      <c r="N33" s="83">
        <f t="shared" si="36"/>
        <v>3</v>
      </c>
    </row>
    <row r="34">
      <c r="A34" s="88">
        <f t="shared" ref="A34:A38" si="40">A26</f>
        <v>12</v>
      </c>
      <c r="B34" s="89">
        <f t="shared" ref="B34:D34" si="37">$C$4*B18</f>
        <v>345000</v>
      </c>
      <c r="C34" s="89">
        <f t="shared" si="37"/>
        <v>360000</v>
      </c>
      <c r="D34" s="89">
        <f t="shared" si="37"/>
        <v>390000</v>
      </c>
      <c r="E34" s="21"/>
      <c r="F34" s="92">
        <f t="shared" ref="F34:F38" si="42">A34</f>
        <v>12</v>
      </c>
      <c r="G34" s="93">
        <f t="shared" ref="G34:I34" si="38">B34-$C$4</f>
        <v>45000</v>
      </c>
      <c r="H34" s="93">
        <f t="shared" si="38"/>
        <v>60000</v>
      </c>
      <c r="I34" s="93">
        <f t="shared" si="38"/>
        <v>90000</v>
      </c>
      <c r="K34" s="88">
        <f t="shared" ref="K34:K38" si="44">F34</f>
        <v>12</v>
      </c>
      <c r="L34" s="91">
        <f t="shared" ref="L34:N34" si="39">G34/($C$4*$F34/12) </f>
        <v>0.15</v>
      </c>
      <c r="M34" s="91">
        <f t="shared" si="39"/>
        <v>0.2</v>
      </c>
      <c r="N34" s="91">
        <f t="shared" si="39"/>
        <v>0.3</v>
      </c>
    </row>
    <row r="35">
      <c r="A35" s="88">
        <f t="shared" si="40"/>
        <v>18</v>
      </c>
      <c r="B35" s="89">
        <f t="shared" ref="B35:D35" si="41">$C$4*B19</f>
        <v>371250</v>
      </c>
      <c r="C35" s="89">
        <f t="shared" si="41"/>
        <v>390000</v>
      </c>
      <c r="D35" s="89">
        <f t="shared" si="41"/>
        <v>427500</v>
      </c>
      <c r="E35" s="21"/>
      <c r="F35" s="92">
        <f t="shared" si="42"/>
        <v>18</v>
      </c>
      <c r="G35" s="93">
        <f t="shared" ref="G35:I35" si="43">B35-$C$4</f>
        <v>71250</v>
      </c>
      <c r="H35" s="93">
        <f t="shared" si="43"/>
        <v>90000</v>
      </c>
      <c r="I35" s="93">
        <f t="shared" si="43"/>
        <v>127500</v>
      </c>
      <c r="K35" s="88">
        <f t="shared" si="44"/>
        <v>18</v>
      </c>
      <c r="L35" s="91">
        <f t="shared" ref="L35:N35" si="45">G35/($C$4*$F35/12) </f>
        <v>0.1583333333</v>
      </c>
      <c r="M35" s="91">
        <f t="shared" si="45"/>
        <v>0.2</v>
      </c>
      <c r="N35" s="91">
        <f t="shared" si="45"/>
        <v>0.2833333333</v>
      </c>
    </row>
    <row r="36">
      <c r="A36" s="88">
        <f t="shared" si="40"/>
        <v>24</v>
      </c>
      <c r="B36" s="89">
        <f t="shared" ref="B36:D36" si="46">$C$4*B20</f>
        <v>397500</v>
      </c>
      <c r="C36" s="89">
        <f t="shared" si="46"/>
        <v>420000</v>
      </c>
      <c r="D36" s="89">
        <f t="shared" si="46"/>
        <v>465000</v>
      </c>
      <c r="E36" s="21"/>
      <c r="F36" s="92">
        <f t="shared" si="42"/>
        <v>24</v>
      </c>
      <c r="G36" s="93">
        <f t="shared" ref="G36:I36" si="47">B36-$C$4</f>
        <v>97500</v>
      </c>
      <c r="H36" s="93">
        <f t="shared" si="47"/>
        <v>120000</v>
      </c>
      <c r="I36" s="93">
        <f t="shared" si="47"/>
        <v>165000</v>
      </c>
      <c r="K36" s="88">
        <f t="shared" si="44"/>
        <v>24</v>
      </c>
      <c r="L36" s="91">
        <f t="shared" ref="L36:N36" si="48">G36/($C$4*$F36/12) </f>
        <v>0.1625</v>
      </c>
      <c r="M36" s="91">
        <f t="shared" si="48"/>
        <v>0.2</v>
      </c>
      <c r="N36" s="91">
        <f t="shared" si="48"/>
        <v>0.275</v>
      </c>
    </row>
    <row r="37">
      <c r="A37" s="88">
        <f t="shared" si="40"/>
        <v>30</v>
      </c>
      <c r="B37" s="89">
        <f t="shared" ref="B37:D37" si="49">$C$4*B21</f>
        <v>423750</v>
      </c>
      <c r="C37" s="89">
        <f t="shared" si="49"/>
        <v>450000</v>
      </c>
      <c r="D37" s="89">
        <f t="shared" si="49"/>
        <v>502500</v>
      </c>
      <c r="E37" s="21"/>
      <c r="F37" s="92">
        <f t="shared" si="42"/>
        <v>30</v>
      </c>
      <c r="G37" s="93">
        <f t="shared" ref="G37:I37" si="50">B37-$C$4</f>
        <v>123750</v>
      </c>
      <c r="H37" s="93">
        <f t="shared" si="50"/>
        <v>150000</v>
      </c>
      <c r="I37" s="93">
        <f t="shared" si="50"/>
        <v>202500</v>
      </c>
      <c r="K37" s="88">
        <f t="shared" si="44"/>
        <v>30</v>
      </c>
      <c r="L37" s="91">
        <f t="shared" ref="L37:N37" si="51">G37/($C$4*$F37/12) </f>
        <v>0.165</v>
      </c>
      <c r="M37" s="91">
        <f t="shared" si="51"/>
        <v>0.2</v>
      </c>
      <c r="N37" s="91">
        <f t="shared" si="51"/>
        <v>0.27</v>
      </c>
    </row>
    <row r="38">
      <c r="A38" s="88">
        <f t="shared" si="40"/>
        <v>36</v>
      </c>
      <c r="B38" s="89">
        <f t="shared" ref="B38:D38" si="52">$C$4*B22</f>
        <v>450000</v>
      </c>
      <c r="C38" s="89">
        <f t="shared" si="52"/>
        <v>480000</v>
      </c>
      <c r="D38" s="89">
        <f t="shared" si="52"/>
        <v>540000</v>
      </c>
      <c r="E38" s="21"/>
      <c r="F38" s="92">
        <f t="shared" si="42"/>
        <v>36</v>
      </c>
      <c r="G38" s="93">
        <f t="shared" ref="G38:I38" si="53">B38-$C$4</f>
        <v>150000</v>
      </c>
      <c r="H38" s="93">
        <f t="shared" si="53"/>
        <v>180000</v>
      </c>
      <c r="I38" s="93">
        <f t="shared" si="53"/>
        <v>240000</v>
      </c>
      <c r="K38" s="88">
        <f t="shared" si="44"/>
        <v>36</v>
      </c>
      <c r="L38" s="91">
        <f t="shared" ref="L38:N38" si="54">G38/($C$4*$F38/12) </f>
        <v>0.1666666667</v>
      </c>
      <c r="M38" s="91">
        <f t="shared" si="54"/>
        <v>0.2</v>
      </c>
      <c r="N38" s="91">
        <f t="shared" si="54"/>
        <v>0.2666666667</v>
      </c>
    </row>
    <row r="39">
      <c r="A39" s="21"/>
      <c r="B39" s="21"/>
      <c r="C39" s="21"/>
      <c r="D39" s="21"/>
      <c r="E39" s="21"/>
      <c r="F39" s="21"/>
    </row>
    <row r="40">
      <c r="A40" s="21" t="s">
        <v>161</v>
      </c>
    </row>
    <row r="41">
      <c r="A41" s="21" t="s">
        <v>152</v>
      </c>
      <c r="B41" s="21" t="s">
        <v>162</v>
      </c>
      <c r="C41" s="21" t="s">
        <v>163</v>
      </c>
      <c r="D41" s="21" t="s">
        <v>164</v>
      </c>
      <c r="E41" s="21" t="s">
        <v>165</v>
      </c>
    </row>
    <row r="42">
      <c r="A42" s="88">
        <f t="shared" ref="A42:A46" si="55">A9</f>
        <v>12</v>
      </c>
      <c r="B42" s="86">
        <v>1.2</v>
      </c>
      <c r="C42" s="89">
        <f>Drivers!$C$5*B42</f>
        <v>360000</v>
      </c>
      <c r="D42" s="94">
        <f>vlookup($A42,Facility!$A$5:$J$65,Facility!I$3)</f>
        <v>116403.3109</v>
      </c>
      <c r="E42" s="89">
        <f t="shared" ref="E42:E46" si="56">C42-D42</f>
        <v>243596.6891</v>
      </c>
    </row>
    <row r="43">
      <c r="A43" s="88">
        <f t="shared" si="55"/>
        <v>18</v>
      </c>
      <c r="B43" s="95">
        <f t="shared" ref="B43:B45" si="57">($B$46-$B$42)/count($A$42:$A$45)+B42</f>
        <v>1.275</v>
      </c>
      <c r="C43" s="89">
        <f>Drivers!$C$5*B43</f>
        <v>382500</v>
      </c>
      <c r="D43" s="94">
        <f>vlookup($A43,Facility!$A$5:$J$65,Facility!I$3)</f>
        <v>191202.4909</v>
      </c>
      <c r="E43" s="89">
        <f t="shared" si="56"/>
        <v>191297.5091</v>
      </c>
    </row>
    <row r="44">
      <c r="A44" s="88">
        <f t="shared" si="55"/>
        <v>24</v>
      </c>
      <c r="B44" s="95">
        <f t="shared" si="57"/>
        <v>1.35</v>
      </c>
      <c r="C44" s="89">
        <f>Drivers!$C$5*B44</f>
        <v>405000</v>
      </c>
      <c r="D44" s="94">
        <f>vlookup($A44,Facility!$A$5:$J$65,Facility!I$3)</f>
        <v>278586.7119</v>
      </c>
      <c r="E44" s="89">
        <f t="shared" si="56"/>
        <v>126413.2881</v>
      </c>
    </row>
    <row r="45">
      <c r="A45" s="88">
        <f t="shared" si="55"/>
        <v>30</v>
      </c>
      <c r="B45" s="95">
        <f t="shared" si="57"/>
        <v>1.425</v>
      </c>
      <c r="C45" s="89">
        <f>Drivers!$C$5*B45</f>
        <v>427500</v>
      </c>
      <c r="D45" s="94">
        <f>vlookup($A45,Facility!$A$5:$J$65,Facility!I$3)</f>
        <v>368110.3192</v>
      </c>
      <c r="E45" s="89">
        <f t="shared" si="56"/>
        <v>59389.68085</v>
      </c>
    </row>
    <row r="46">
      <c r="A46" s="88">
        <f t="shared" si="55"/>
        <v>36</v>
      </c>
      <c r="B46" s="96">
        <v>1.5</v>
      </c>
      <c r="C46" s="89">
        <f>Drivers!$C$5*B46</f>
        <v>450000</v>
      </c>
      <c r="D46" s="94">
        <f>vlookup($A46,Facility!$A$5:$J$65,Facility!I$3)</f>
        <v>450000</v>
      </c>
      <c r="E46" s="89">
        <f t="shared" si="56"/>
        <v>0</v>
      </c>
    </row>
  </sheetData>
  <mergeCells count="9">
    <mergeCell ref="F24:I24"/>
    <mergeCell ref="K24:N24"/>
    <mergeCell ref="A32:D32"/>
    <mergeCell ref="A40:F40"/>
    <mergeCell ref="A24:D24"/>
    <mergeCell ref="A6:D6"/>
    <mergeCell ref="A15:D15"/>
    <mergeCell ref="K32:N32"/>
    <mergeCell ref="F32:I3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4.43"/>
    <col customWidth="1" min="2" max="2" width="9.43"/>
    <col customWidth="1" min="3" max="4" width="20.86"/>
    <col customWidth="1" min="5" max="5" width="15.86"/>
    <col customWidth="1" min="6" max="6" width="26.57"/>
    <col customWidth="1" min="7" max="7" width="29.57"/>
    <col customWidth="1" min="8" max="8" width="20.71"/>
    <col customWidth="1" min="9" max="9" width="23.57"/>
    <col customWidth="1" min="10" max="11" width="19.86"/>
  </cols>
  <sheetData>
    <row r="1">
      <c r="A1" s="1" t="s">
        <v>166</v>
      </c>
      <c r="B1" s="97"/>
      <c r="C1" s="98"/>
      <c r="D1" s="98"/>
      <c r="E1" s="98"/>
      <c r="F1" s="98"/>
      <c r="G1" s="98"/>
      <c r="H1" s="97"/>
      <c r="I1" s="98"/>
      <c r="J1" s="99"/>
      <c r="K1" s="99"/>
    </row>
    <row r="2">
      <c r="A2" s="72"/>
      <c r="B2" s="97"/>
      <c r="D2" s="98"/>
      <c r="E2" s="98"/>
      <c r="F2" s="98"/>
      <c r="G2" s="98"/>
      <c r="H2" s="98"/>
      <c r="I2" s="98"/>
      <c r="J2" s="99"/>
      <c r="K2" s="99"/>
    </row>
    <row r="3">
      <c r="A3" s="100">
        <v>1.0</v>
      </c>
      <c r="B3" s="97">
        <f t="shared" ref="B3:K3" si="1">A3+1</f>
        <v>2</v>
      </c>
      <c r="C3" s="97">
        <f t="shared" si="1"/>
        <v>3</v>
      </c>
      <c r="D3" s="97">
        <f t="shared" si="1"/>
        <v>4</v>
      </c>
      <c r="E3" s="97">
        <f t="shared" si="1"/>
        <v>5</v>
      </c>
      <c r="F3" s="97">
        <f t="shared" si="1"/>
        <v>6</v>
      </c>
      <c r="G3" s="97">
        <f t="shared" si="1"/>
        <v>7</v>
      </c>
      <c r="H3" s="97">
        <f t="shared" si="1"/>
        <v>8</v>
      </c>
      <c r="I3" s="97">
        <f t="shared" si="1"/>
        <v>9</v>
      </c>
      <c r="J3" s="97">
        <f t="shared" si="1"/>
        <v>10</v>
      </c>
      <c r="K3" s="97">
        <f t="shared" si="1"/>
        <v>11</v>
      </c>
    </row>
    <row r="4">
      <c r="A4" s="24" t="s">
        <v>107</v>
      </c>
      <c r="B4" s="23" t="s">
        <v>108</v>
      </c>
      <c r="C4" s="23" t="s">
        <v>167</v>
      </c>
      <c r="D4" s="23" t="s">
        <v>168</v>
      </c>
      <c r="E4" s="23" t="s">
        <v>169</v>
      </c>
      <c r="F4" s="23" t="s">
        <v>170</v>
      </c>
      <c r="G4" s="23" t="s">
        <v>77</v>
      </c>
      <c r="H4" s="23" t="s">
        <v>171</v>
      </c>
      <c r="I4" s="23" t="s">
        <v>172</v>
      </c>
      <c r="J4" s="23" t="s">
        <v>173</v>
      </c>
      <c r="K4" s="23" t="s">
        <v>174</v>
      </c>
    </row>
    <row r="5">
      <c r="A5" s="101">
        <v>0.0</v>
      </c>
      <c r="B5" s="102">
        <f>Drivers!C6</f>
        <v>43709</v>
      </c>
      <c r="C5" s="103"/>
      <c r="D5" s="104"/>
      <c r="E5" s="105"/>
      <c r="F5" s="106">
        <f>Drivers!C12</f>
        <v>150000</v>
      </c>
      <c r="G5" s="107">
        <f t="shared" ref="G5:G65" si="2">F5*(1-D5)</f>
        <v>150000</v>
      </c>
      <c r="H5" s="108">
        <f>-(Drivers!C5*(1-Drivers!C11))</f>
        <v>-295500</v>
      </c>
      <c r="I5" s="109"/>
      <c r="J5" s="98"/>
      <c r="K5" s="98"/>
    </row>
    <row r="6">
      <c r="A6" s="110">
        <f t="shared" ref="A6:A65" si="3">+A5+1</f>
        <v>1</v>
      </c>
      <c r="B6" s="111">
        <f>if(day(Drivers!$C$6)&gt;1,eomonth(B5,0)+1,EDATE(B5,1))</f>
        <v>43739</v>
      </c>
      <c r="C6" s="112">
        <f t="shared" ref="C6:C65" si="4">F6/F5-1</f>
        <v>0.05</v>
      </c>
      <c r="D6" s="112">
        <f>if($A6&lt;=Drivers!$C$19,Drivers!$E$19,if(and($A6&gt;Drivers!$C$19,$A6&lt;=Drivers!$C$20),Drivers!$E$20,if(and($A6&gt;Drivers!$C$20,$A6&lt;=Drivers!$C$21),Drivers!$E$21,Drivers!$E$22)))</f>
        <v>0.2</v>
      </c>
      <c r="E6" s="113">
        <f>if(Drivers!$C$14="Fixed",Drivers!$C$25,if(A6&lt;=Drivers!$C$19,Drivers!$C$26,if(and(A6&gt;Drivers!$C$19,A6&lt;=Drivers!$C$20),Drivers!$C$27,if(and(A6&gt;Drivers!$C$20,A6&lt;=Drivers!$C$21),Drivers!$C$28,0))))</f>
        <v>0.06</v>
      </c>
      <c r="F6" s="114">
        <f>if(Drivers!$C$13="Forecast Driven",vlookup(A6,'Cash Recipts Forecasting'!$B$5:$F$64,3,false),vlookup(A6,'Cash Recipts Forecasting'!$H$5:$L$64,3,false))</f>
        <v>157500</v>
      </c>
      <c r="G6" s="107">
        <f t="shared" si="2"/>
        <v>126000</v>
      </c>
      <c r="H6" s="115">
        <f>if(Drivers!$C$10=Drivers!$C$9,IF(AND(J5&lt;Drivers!$C$9,A6&lt;Drivers!$C$7),MIN((Drivers!$C$5*Drivers!$C$9)-I5,E6*G5),IF(J5&gt;=Drivers!$C$9,0,(Drivers!$C$5*Drivers!$C$9)-I5)),IF(AND(J5&lt;Drivers!$C$10,A6&lt;Drivers!$C$10),MIN((Drivers!$C$5*Drivers!$C$10)-I5,E6*G5),IF(J5&gt;=Drivers!$C$10,0,(Drivers!$C$5*Drivers!$C$10)-I5)))</f>
        <v>9000</v>
      </c>
      <c r="I6" s="116">
        <f t="shared" ref="I6:I65" si="5">SUM(H$6:H6)</f>
        <v>9000</v>
      </c>
      <c r="J6" s="117">
        <f>I6/Drivers!$C$5</f>
        <v>0.03</v>
      </c>
      <c r="K6" s="118" t="str">
        <f t="shared" ref="K6:K65" si="6">iferror(xirr(H$5:H6,B$5:B6),"N/A")</f>
        <v>N/A</v>
      </c>
    </row>
    <row r="7">
      <c r="A7" s="110">
        <f t="shared" si="3"/>
        <v>2</v>
      </c>
      <c r="B7" s="102">
        <f>if(day(Drivers!$C$6)&gt;1,eomonth(B6,0)+1,EDATE(B6,1))</f>
        <v>43770</v>
      </c>
      <c r="C7" s="112">
        <f t="shared" si="4"/>
        <v>0.05</v>
      </c>
      <c r="D7" s="112">
        <f>if($A7&lt;=Drivers!$C$19,Drivers!$E$19,if(and($A7&gt;Drivers!$C$19,$A7&lt;=Drivers!$C$20),Drivers!$E$20,if(and($A7&gt;Drivers!$C$20,$A7&lt;=Drivers!$C$21),Drivers!$E$21,Drivers!$E$22)))</f>
        <v>0.2</v>
      </c>
      <c r="E7" s="113">
        <f>if(Drivers!$C$14="Fixed",Drivers!$C$25,if(A7&lt;=Drivers!$C$19,Drivers!$C$26,if(and(A7&gt;Drivers!$C$19,A7&lt;=Drivers!$C$20),Drivers!$C$27,if(and(A7&gt;Drivers!$C$20,A7&lt;=Drivers!$C$21),Drivers!$C$28,0))))</f>
        <v>0.06</v>
      </c>
      <c r="F7" s="107">
        <f>if(Drivers!$C$13="Forecast Driven",vlookup(A7,'Cash Recipts Forecasting'!$B$5:$F$64,3,false),vlookup(A7,'Cash Recipts Forecasting'!$H$5:$L$64,3,false))</f>
        <v>165375</v>
      </c>
      <c r="G7" s="107">
        <f t="shared" si="2"/>
        <v>132300</v>
      </c>
      <c r="H7" s="119">
        <f>if(Drivers!$C$10=Drivers!$C$9,IF(AND(J6&lt;Drivers!$C$9,A7&lt;Drivers!$C$7),MIN((Drivers!$C$5*Drivers!$C$9)-I6,E7*G6),IF(J6&gt;=Drivers!$C$9,0,(Drivers!$C$5*Drivers!$C$9)-I6)),IF(AND(J6&lt;Drivers!$C$10,A7&lt;Drivers!$C$8),MIN((Drivers!$C$5*Drivers!$C$10)-I6,E7*G6),IF(J6&gt;=Drivers!$C$10,0,(Drivers!$C$5*Drivers!$C$10)-I6)))</f>
        <v>7560</v>
      </c>
      <c r="I7" s="116">
        <f t="shared" si="5"/>
        <v>16560</v>
      </c>
      <c r="J7" s="117">
        <f>I7/Drivers!$C$5</f>
        <v>0.0552</v>
      </c>
      <c r="K7" s="118" t="str">
        <f t="shared" si="6"/>
        <v>N/A</v>
      </c>
    </row>
    <row r="8">
      <c r="A8" s="110">
        <f t="shared" si="3"/>
        <v>3</v>
      </c>
      <c r="B8" s="102">
        <f>if(day(Drivers!$C$6)&gt;1,eomonth(B7,0)+1,EDATE(B7,1))</f>
        <v>43800</v>
      </c>
      <c r="C8" s="112">
        <f t="shared" si="4"/>
        <v>0.05</v>
      </c>
      <c r="D8" s="112">
        <f>if($A8&lt;=Drivers!$C$19,Drivers!$E$19,if(and($A8&gt;Drivers!$C$19,$A8&lt;=Drivers!$C$20),Drivers!$E$20,if(and($A8&gt;Drivers!$C$20,$A8&lt;=Drivers!$C$21),Drivers!$E$21,Drivers!$E$22)))</f>
        <v>0.2</v>
      </c>
      <c r="E8" s="113">
        <f>if(Drivers!$C$14="Fixed",Drivers!$C$25,if(A8&lt;=Drivers!$C$19,Drivers!$C$26,if(and(A8&gt;Drivers!$C$19,A8&lt;=Drivers!$C$20),Drivers!$C$27,if(and(A8&gt;Drivers!$C$20,A8&lt;=Drivers!$C$21),Drivers!$C$28,0))))</f>
        <v>0.06</v>
      </c>
      <c r="F8" s="107">
        <f>if(Drivers!$C$13="Forecast Driven",vlookup(A8,'Cash Recipts Forecasting'!$B$5:$F$64,3,false),vlookup(A8,'Cash Recipts Forecasting'!$H$5:$L$64,3,false))</f>
        <v>173643.75</v>
      </c>
      <c r="G8" s="107">
        <f t="shared" si="2"/>
        <v>138915</v>
      </c>
      <c r="H8" s="119">
        <f>if(Drivers!$C$10=Drivers!$C$9,IF(AND(J7&lt;Drivers!$C$9,A8&lt;Drivers!$C$7),MIN((Drivers!$C$5*Drivers!$C$9)-I7,E8*G7),IF(J7&gt;=Drivers!$C$9,0,(Drivers!$C$5*Drivers!$C$9)-I7)),IF(AND(J7&lt;Drivers!$C$10,A8&lt;Drivers!$C$8),MIN((Drivers!$C$5*Drivers!$C$10)-I7,E8*G7),IF(J7&gt;=Drivers!$C$10,0,(Drivers!$C$5*Drivers!$C$10)-I7)))</f>
        <v>7938</v>
      </c>
      <c r="I8" s="116">
        <f t="shared" si="5"/>
        <v>24498</v>
      </c>
      <c r="J8" s="117">
        <f>I8/Drivers!$C$5</f>
        <v>0.08166</v>
      </c>
      <c r="K8" s="118" t="str">
        <f t="shared" si="6"/>
        <v>N/A</v>
      </c>
    </row>
    <row r="9">
      <c r="A9" s="110">
        <f t="shared" si="3"/>
        <v>4</v>
      </c>
      <c r="B9" s="102">
        <f>if(day(Drivers!$C$6)&gt;1,eomonth(B8,0)+1,EDATE(B8,1))</f>
        <v>43831</v>
      </c>
      <c r="C9" s="112">
        <f t="shared" si="4"/>
        <v>0.05</v>
      </c>
      <c r="D9" s="112">
        <f>if($A9&lt;=Drivers!$C$19,Drivers!$E$19,if(and($A9&gt;Drivers!$C$19,$A9&lt;=Drivers!$C$20),Drivers!$E$20,if(and($A9&gt;Drivers!$C$20,$A9&lt;=Drivers!$C$21),Drivers!$E$21,Drivers!$E$22)))</f>
        <v>0.2</v>
      </c>
      <c r="E9" s="113">
        <f>if(Drivers!$C$14="Fixed",Drivers!$C$25,if(A9&lt;=Drivers!$C$19,Drivers!$C$26,if(and(A9&gt;Drivers!$C$19,A9&lt;=Drivers!$C$20),Drivers!$C$27,if(and(A9&gt;Drivers!$C$20,A9&lt;=Drivers!$C$21),Drivers!$C$28,0))))</f>
        <v>0.06</v>
      </c>
      <c r="F9" s="107">
        <f>if(Drivers!$C$13="Forecast Driven",vlookup(A9,'Cash Recipts Forecasting'!$B$5:$F$64,3,false),vlookup(A9,'Cash Recipts Forecasting'!$H$5:$L$64,3,false))</f>
        <v>182325.9375</v>
      </c>
      <c r="G9" s="107">
        <f t="shared" si="2"/>
        <v>145860.75</v>
      </c>
      <c r="H9" s="119">
        <f>if(Drivers!$C$10=Drivers!$C$9,IF(AND(J8&lt;Drivers!$C$9,A9&lt;Drivers!$C$7),MIN((Drivers!$C$5*Drivers!$C$9)-I8,E9*G8),IF(J8&gt;=Drivers!$C$9,0,(Drivers!$C$5*Drivers!$C$9)-I8)),IF(AND(J8&lt;Drivers!$C$10,A9&lt;Drivers!$C$8),MIN((Drivers!$C$5*Drivers!$C$10)-I8,E9*G8),IF(J8&gt;=Drivers!$C$10,0,(Drivers!$C$5*Drivers!$C$10)-I8)))</f>
        <v>8334.9</v>
      </c>
      <c r="I9" s="116">
        <f t="shared" si="5"/>
        <v>32832.9</v>
      </c>
      <c r="J9" s="117">
        <f>I9/Drivers!$C$5</f>
        <v>0.109443</v>
      </c>
      <c r="K9" s="118" t="str">
        <f t="shared" si="6"/>
        <v>N/A</v>
      </c>
    </row>
    <row r="10">
      <c r="A10" s="110">
        <f t="shared" si="3"/>
        <v>5</v>
      </c>
      <c r="B10" s="102">
        <f>if(day(Drivers!$C$6)&gt;1,eomonth(B9,0)+1,EDATE(B9,1))</f>
        <v>43862</v>
      </c>
      <c r="C10" s="112">
        <f t="shared" si="4"/>
        <v>0.05</v>
      </c>
      <c r="D10" s="112">
        <f>if($A10&lt;=Drivers!$C$19,Drivers!$E$19,if(and($A10&gt;Drivers!$C$19,$A10&lt;=Drivers!$C$20),Drivers!$E$20,if(and($A10&gt;Drivers!$C$20,$A10&lt;=Drivers!$C$21),Drivers!$E$21,Drivers!$E$22)))</f>
        <v>0.2</v>
      </c>
      <c r="E10" s="113">
        <f>if(Drivers!$C$14="Fixed",Drivers!$C$25,if(A10&lt;=Drivers!$C$19,Drivers!$C$26,if(and(A10&gt;Drivers!$C$19,A10&lt;=Drivers!$C$20),Drivers!$C$27,if(and(A10&gt;Drivers!$C$20,A10&lt;=Drivers!$C$21),Drivers!$C$28,0))))</f>
        <v>0.06</v>
      </c>
      <c r="F10" s="107">
        <f>if(Drivers!$C$13="Forecast Driven",vlookup(A10,'Cash Recipts Forecasting'!$B$5:$F$64,3,false),vlookup(A10,'Cash Recipts Forecasting'!$H$5:$L$64,3,false))</f>
        <v>191442.2344</v>
      </c>
      <c r="G10" s="107">
        <f t="shared" si="2"/>
        <v>153153.7875</v>
      </c>
      <c r="H10" s="119">
        <f>if(Drivers!$C$10=Drivers!$C$9,IF(AND(J9&lt;Drivers!$C$9,A10&lt;Drivers!$C$7),MIN((Drivers!$C$5*Drivers!$C$9)-I9,E10*G9),IF(J9&gt;=Drivers!$C$9,0,(Drivers!$C$5*Drivers!$C$9)-I9)),IF(AND(J9&lt;Drivers!$C$10,A10&lt;Drivers!$C$8),MIN((Drivers!$C$5*Drivers!$C$10)-I9,E10*G9),IF(J9&gt;=Drivers!$C$10,0,(Drivers!$C$5*Drivers!$C$10)-I9)))</f>
        <v>8751.645</v>
      </c>
      <c r="I10" s="116">
        <f t="shared" si="5"/>
        <v>41584.545</v>
      </c>
      <c r="J10" s="117">
        <f>I10/Drivers!$C$5</f>
        <v>0.13861515</v>
      </c>
      <c r="K10" s="118">
        <f t="shared" si="6"/>
        <v>-0.9986563547</v>
      </c>
    </row>
    <row r="11">
      <c r="A11" s="110">
        <f t="shared" si="3"/>
        <v>6</v>
      </c>
      <c r="B11" s="102">
        <f>if(day(Drivers!$C$6)&gt;1,eomonth(B10,0)+1,EDATE(B10,1))</f>
        <v>43891</v>
      </c>
      <c r="C11" s="112">
        <f t="shared" si="4"/>
        <v>0.05</v>
      </c>
      <c r="D11" s="112">
        <f>if($A11&lt;=Drivers!$C$19,Drivers!$E$19,if(and($A11&gt;Drivers!$C$19,$A11&lt;=Drivers!$C$20),Drivers!$E$20,if(and($A11&gt;Drivers!$C$20,$A11&lt;=Drivers!$C$21),Drivers!$E$21,Drivers!$E$22)))</f>
        <v>0.2</v>
      </c>
      <c r="E11" s="113">
        <f>if(Drivers!$C$14="Fixed",Drivers!$C$25,if(A11&lt;=Drivers!$C$19,Drivers!$C$26,if(and(A11&gt;Drivers!$C$19,A11&lt;=Drivers!$C$20),Drivers!$C$27,if(and(A11&gt;Drivers!$C$20,A11&lt;=Drivers!$C$21),Drivers!$C$28,0))))</f>
        <v>0.06</v>
      </c>
      <c r="F11" s="107">
        <f>if(Drivers!$C$13="Forecast Driven",vlookup(A11,'Cash Recipts Forecasting'!$B$5:$F$64,3,false),vlookup(A11,'Cash Recipts Forecasting'!$H$5:$L$64,3,false))</f>
        <v>201014.3461</v>
      </c>
      <c r="G11" s="107">
        <f t="shared" si="2"/>
        <v>160811.4769</v>
      </c>
      <c r="H11" s="119">
        <f>if(Drivers!$C$10=Drivers!$C$9,IF(AND(J10&lt;Drivers!$C$9,A11&lt;Drivers!$C$7),MIN((Drivers!$C$5*Drivers!$C$9)-I10,E11*G10),IF(J10&gt;=Drivers!$C$9,0,(Drivers!$C$5*Drivers!$C$9)-I10)),IF(AND(J10&lt;Drivers!$C$10,A11&lt;Drivers!$C$8),MIN((Drivers!$C$5*Drivers!$C$10)-I10,E11*G10),IF(J10&gt;=Drivers!$C$10,0,(Drivers!$C$5*Drivers!$C$10)-I10)))</f>
        <v>9189.22725</v>
      </c>
      <c r="I11" s="116">
        <f t="shared" si="5"/>
        <v>50773.77225</v>
      </c>
      <c r="J11" s="117">
        <f>I11/Drivers!$C$5</f>
        <v>0.1692459075</v>
      </c>
      <c r="K11" s="118">
        <f t="shared" si="6"/>
        <v>-0.9938422445</v>
      </c>
    </row>
    <row r="12">
      <c r="A12" s="110">
        <f t="shared" si="3"/>
        <v>7</v>
      </c>
      <c r="B12" s="102">
        <f>if(day(Drivers!$C$6)&gt;1,eomonth(B11,0)+1,EDATE(B11,1))</f>
        <v>43922</v>
      </c>
      <c r="C12" s="112">
        <f t="shared" si="4"/>
        <v>0.05</v>
      </c>
      <c r="D12" s="112">
        <f>if($A12&lt;=Drivers!$C$19,Drivers!$E$19,if(and($A12&gt;Drivers!$C$19,$A12&lt;=Drivers!$C$20),Drivers!$E$20,if(and($A12&gt;Drivers!$C$20,$A12&lt;=Drivers!$C$21),Drivers!$E$21,Drivers!$E$22)))</f>
        <v>0.2</v>
      </c>
      <c r="E12" s="113">
        <f>if(Drivers!$C$14="Fixed",Drivers!$C$25,if(A12&lt;=Drivers!$C$19,Drivers!$C$26,if(and(A12&gt;Drivers!$C$19,A12&lt;=Drivers!$C$20),Drivers!$C$27,if(and(A12&gt;Drivers!$C$20,A12&lt;=Drivers!$C$21),Drivers!$C$28,0))))</f>
        <v>0.06</v>
      </c>
      <c r="F12" s="107">
        <f>if(Drivers!$C$13="Forecast Driven",vlookup(A12,'Cash Recipts Forecasting'!$B$5:$F$64,3,false),vlookup(A12,'Cash Recipts Forecasting'!$H$5:$L$64,3,false))</f>
        <v>211065.0634</v>
      </c>
      <c r="G12" s="107">
        <f t="shared" si="2"/>
        <v>168852.0507</v>
      </c>
      <c r="H12" s="119">
        <f>if(Drivers!$C$10=Drivers!$C$9,IF(AND(J11&lt;Drivers!$C$9,A12&lt;Drivers!$C$7),MIN((Drivers!$C$5*Drivers!$C$9)-I11,E12*G11),IF(J11&gt;=Drivers!$C$9,0,(Drivers!$C$5*Drivers!$C$9)-I11)),IF(AND(J11&lt;Drivers!$C$10,A12&lt;Drivers!$C$8),MIN((Drivers!$C$5*Drivers!$C$10)-I11,E12*G11),IF(J11&gt;=Drivers!$C$10,0,(Drivers!$C$5*Drivers!$C$10)-I11)))</f>
        <v>9648.688613</v>
      </c>
      <c r="I12" s="116">
        <f t="shared" si="5"/>
        <v>60422.46086</v>
      </c>
      <c r="J12" s="117">
        <f>I12/Drivers!$C$5</f>
        <v>0.2014082029</v>
      </c>
      <c r="K12" s="118">
        <f t="shared" si="6"/>
        <v>-0.9818329226</v>
      </c>
    </row>
    <row r="13">
      <c r="A13" s="110">
        <f t="shared" si="3"/>
        <v>8</v>
      </c>
      <c r="B13" s="102">
        <f>if(day(Drivers!$C$6)&gt;1,eomonth(B12,0)+1,EDATE(B12,1))</f>
        <v>43952</v>
      </c>
      <c r="C13" s="112">
        <f t="shared" si="4"/>
        <v>0.05</v>
      </c>
      <c r="D13" s="112">
        <f>if($A13&lt;=Drivers!$C$19,Drivers!$E$19,if(and($A13&gt;Drivers!$C$19,$A13&lt;=Drivers!$C$20),Drivers!$E$20,if(and($A13&gt;Drivers!$C$20,$A13&lt;=Drivers!$C$21),Drivers!$E$21,Drivers!$E$22)))</f>
        <v>0.2</v>
      </c>
      <c r="E13" s="113">
        <f>if(Drivers!$C$14="Fixed",Drivers!$C$25,if(A13&lt;=Drivers!$C$19,Drivers!$C$26,if(and(A13&gt;Drivers!$C$19,A13&lt;=Drivers!$C$20),Drivers!$C$27,if(and(A13&gt;Drivers!$C$20,A13&lt;=Drivers!$C$21),Drivers!$C$28,0))))</f>
        <v>0.06</v>
      </c>
      <c r="F13" s="107">
        <f>if(Drivers!$C$13="Forecast Driven",vlookup(A13,'Cash Recipts Forecasting'!$B$5:$F$64,3,false),vlookup(A13,'Cash Recipts Forecasting'!$H$5:$L$64,3,false))</f>
        <v>221618.3166</v>
      </c>
      <c r="G13" s="107">
        <f t="shared" si="2"/>
        <v>177294.6533</v>
      </c>
      <c r="H13" s="119">
        <f>if(Drivers!$C$10=Drivers!$C$9,IF(AND(J12&lt;Drivers!$C$9,A13&lt;Drivers!$C$7),MIN((Drivers!$C$5*Drivers!$C$9)-I12,E13*G12),IF(J12&gt;=Drivers!$C$9,0,(Drivers!$C$5*Drivers!$C$9)-I12)),IF(AND(J12&lt;Drivers!$C$10,A13&lt;Drivers!$C$8),MIN((Drivers!$C$5*Drivers!$C$10)-I12,E13*G12),IF(J12&gt;=Drivers!$C$10,0,(Drivers!$C$5*Drivers!$C$10)-I12)))</f>
        <v>10131.12304</v>
      </c>
      <c r="I13" s="116">
        <f t="shared" si="5"/>
        <v>70553.58391</v>
      </c>
      <c r="J13" s="117">
        <f>I13/Drivers!$C$5</f>
        <v>0.235178613</v>
      </c>
      <c r="K13" s="118">
        <f t="shared" si="6"/>
        <v>-0.9599174735</v>
      </c>
    </row>
    <row r="14">
      <c r="A14" s="110">
        <f t="shared" si="3"/>
        <v>9</v>
      </c>
      <c r="B14" s="102">
        <f>if(day(Drivers!$C$6)&gt;1,eomonth(B13,0)+1,EDATE(B13,1))</f>
        <v>43983</v>
      </c>
      <c r="C14" s="112">
        <f t="shared" si="4"/>
        <v>0.05</v>
      </c>
      <c r="D14" s="112">
        <f>if($A14&lt;=Drivers!$C$19,Drivers!$E$19,if(and($A14&gt;Drivers!$C$19,$A14&lt;=Drivers!$C$20),Drivers!$E$20,if(and($A14&gt;Drivers!$C$20,$A14&lt;=Drivers!$C$21),Drivers!$E$21,Drivers!$E$22)))</f>
        <v>0.2</v>
      </c>
      <c r="E14" s="113">
        <f>if(Drivers!$C$14="Fixed",Drivers!$C$25,if(A14&lt;=Drivers!$C$19,Drivers!$C$26,if(and(A14&gt;Drivers!$C$19,A14&lt;=Drivers!$C$20),Drivers!$C$27,if(and(A14&gt;Drivers!$C$20,A14&lt;=Drivers!$C$21),Drivers!$C$28,0))))</f>
        <v>0.06</v>
      </c>
      <c r="F14" s="107">
        <f>if(Drivers!$C$13="Forecast Driven",vlookup(A14,'Cash Recipts Forecasting'!$B$5:$F$64,3,false),vlookup(A14,'Cash Recipts Forecasting'!$H$5:$L$64,3,false))</f>
        <v>232699.2324</v>
      </c>
      <c r="G14" s="107">
        <f t="shared" si="2"/>
        <v>186159.3859</v>
      </c>
      <c r="H14" s="119">
        <f>if(Drivers!$C$10=Drivers!$C$9,IF(AND(J13&lt;Drivers!$C$9,A14&lt;Drivers!$C$7),MIN((Drivers!$C$5*Drivers!$C$9)-I13,E14*G13),IF(J13&gt;=Drivers!$C$9,0,(Drivers!$C$5*Drivers!$C$9)-I13)),IF(AND(J13&lt;Drivers!$C$10,A14&lt;Drivers!$C$8),MIN((Drivers!$C$5*Drivers!$C$10)-I13,E14*G13),IF(J13&gt;=Drivers!$C$10,0,(Drivers!$C$5*Drivers!$C$10)-I13)))</f>
        <v>10637.6792</v>
      </c>
      <c r="I14" s="116">
        <f t="shared" si="5"/>
        <v>81191.2631</v>
      </c>
      <c r="J14" s="117">
        <f>I14/Drivers!$C$5</f>
        <v>0.2706375437</v>
      </c>
      <c r="K14" s="118">
        <f t="shared" si="6"/>
        <v>-0.9265970261</v>
      </c>
    </row>
    <row r="15">
      <c r="A15" s="110">
        <f t="shared" si="3"/>
        <v>10</v>
      </c>
      <c r="B15" s="102">
        <f>if(day(Drivers!$C$6)&gt;1,eomonth(B14,0)+1,EDATE(B14,1))</f>
        <v>44013</v>
      </c>
      <c r="C15" s="112">
        <f t="shared" si="4"/>
        <v>0.05</v>
      </c>
      <c r="D15" s="112">
        <f>if($A15&lt;=Drivers!$C$19,Drivers!$E$19,if(and($A15&gt;Drivers!$C$19,$A15&lt;=Drivers!$C$20),Drivers!$E$20,if(and($A15&gt;Drivers!$C$20,$A15&lt;=Drivers!$C$21),Drivers!$E$21,Drivers!$E$22)))</f>
        <v>0.2</v>
      </c>
      <c r="E15" s="113">
        <f>if(Drivers!$C$14="Fixed",Drivers!$C$25,if(A15&lt;=Drivers!$C$19,Drivers!$C$26,if(and(A15&gt;Drivers!$C$19,A15&lt;=Drivers!$C$20),Drivers!$C$27,if(and(A15&gt;Drivers!$C$20,A15&lt;=Drivers!$C$21),Drivers!$C$28,0))))</f>
        <v>0.06</v>
      </c>
      <c r="F15" s="107">
        <f>if(Drivers!$C$13="Forecast Driven",vlookup(A15,'Cash Recipts Forecasting'!$B$5:$F$64,3,false),vlookup(A15,'Cash Recipts Forecasting'!$H$5:$L$64,3,false))</f>
        <v>244334.194</v>
      </c>
      <c r="G15" s="107">
        <f t="shared" si="2"/>
        <v>195467.3552</v>
      </c>
      <c r="H15" s="119">
        <f>if(Drivers!$C$10=Drivers!$C$9,IF(AND(J14&lt;Drivers!$C$9,A15&lt;Drivers!$C$7),MIN((Drivers!$C$5*Drivers!$C$9)-I14,E15*G14),IF(J14&gt;=Drivers!$C$9,0,(Drivers!$C$5*Drivers!$C$9)-I14)),IF(AND(J14&lt;Drivers!$C$10,A15&lt;Drivers!$C$8),MIN((Drivers!$C$5*Drivers!$C$10)-I14,E15*G14),IF(J14&gt;=Drivers!$C$10,0,(Drivers!$C$5*Drivers!$C$10)-I14)))</f>
        <v>11169.56316</v>
      </c>
      <c r="I15" s="116">
        <f t="shared" si="5"/>
        <v>92360.82626</v>
      </c>
      <c r="J15" s="117">
        <f>I15/Drivers!$C$5</f>
        <v>0.3078694209</v>
      </c>
      <c r="K15" s="118">
        <f t="shared" si="6"/>
        <v>-0.8823706535</v>
      </c>
    </row>
    <row r="16">
      <c r="A16" s="110">
        <f t="shared" si="3"/>
        <v>11</v>
      </c>
      <c r="B16" s="102">
        <f>if(day(Drivers!$C$6)&gt;1,eomonth(B15,0)+1,EDATE(B15,1))</f>
        <v>44044</v>
      </c>
      <c r="C16" s="112">
        <f t="shared" si="4"/>
        <v>0.05</v>
      </c>
      <c r="D16" s="112">
        <f>if($A16&lt;=Drivers!$C$19,Drivers!$E$19,if(and($A16&gt;Drivers!$C$19,$A16&lt;=Drivers!$C$20),Drivers!$E$20,if(and($A16&gt;Drivers!$C$20,$A16&lt;=Drivers!$C$21),Drivers!$E$21,Drivers!$E$22)))</f>
        <v>0.2</v>
      </c>
      <c r="E16" s="113">
        <f>if(Drivers!$C$14="Fixed",Drivers!$C$25,if(A16&lt;=Drivers!$C$19,Drivers!$C$26,if(and(A16&gt;Drivers!$C$19,A16&lt;=Drivers!$C$20),Drivers!$C$27,if(and(A16&gt;Drivers!$C$20,A16&lt;=Drivers!$C$21),Drivers!$C$28,0))))</f>
        <v>0.06</v>
      </c>
      <c r="F16" s="107">
        <f>if(Drivers!$C$13="Forecast Driven",vlookup(A16,'Cash Recipts Forecasting'!$B$5:$F$64,3,false),vlookup(A16,'Cash Recipts Forecasting'!$H$5:$L$64,3,false))</f>
        <v>256550.9037</v>
      </c>
      <c r="G16" s="107">
        <f t="shared" si="2"/>
        <v>205240.723</v>
      </c>
      <c r="H16" s="119">
        <f>if(Drivers!$C$10=Drivers!$C$9,IF(AND(J15&lt;Drivers!$C$9,A16&lt;Drivers!$C$7),MIN((Drivers!$C$5*Drivers!$C$9)-I15,E16*G15),IF(J15&gt;=Drivers!$C$9,0,(Drivers!$C$5*Drivers!$C$9)-I15)),IF(AND(J15&lt;Drivers!$C$10,A16&lt;Drivers!$C$8),MIN((Drivers!$C$5*Drivers!$C$10)-I15,E16*G15),IF(J15&gt;=Drivers!$C$10,0,(Drivers!$C$5*Drivers!$C$10)-I15)))</f>
        <v>11728.04131</v>
      </c>
      <c r="I16" s="116">
        <f t="shared" si="5"/>
        <v>104088.8676</v>
      </c>
      <c r="J16" s="117">
        <f>I16/Drivers!$C$5</f>
        <v>0.3469628919</v>
      </c>
      <c r="K16" s="118">
        <f t="shared" si="6"/>
        <v>-0.8282686645</v>
      </c>
    </row>
    <row r="17">
      <c r="A17" s="110">
        <f t="shared" si="3"/>
        <v>12</v>
      </c>
      <c r="B17" s="102">
        <f>if(day(Drivers!$C$6)&gt;1,eomonth(B16,0)+1,EDATE(B16,1))</f>
        <v>44075</v>
      </c>
      <c r="C17" s="112">
        <f t="shared" si="4"/>
        <v>0.05</v>
      </c>
      <c r="D17" s="112">
        <f>if($A17&lt;=Drivers!$C$19,Drivers!$E$19,if(and($A17&gt;Drivers!$C$19,$A17&lt;=Drivers!$C$20),Drivers!$E$20,if(and($A17&gt;Drivers!$C$20,$A17&lt;=Drivers!$C$21),Drivers!$E$21,Drivers!$E$22)))</f>
        <v>0.2</v>
      </c>
      <c r="E17" s="113">
        <f>if(Drivers!$C$14="Fixed",Drivers!$C$25,if(A17&lt;=Drivers!$C$19,Drivers!$C$26,if(and(A17&gt;Drivers!$C$19,A17&lt;=Drivers!$C$20),Drivers!$C$27,if(and(A17&gt;Drivers!$C$20,A17&lt;=Drivers!$C$21),Drivers!$C$28,0))))</f>
        <v>0.06</v>
      </c>
      <c r="F17" s="107">
        <f>if(Drivers!$C$13="Forecast Driven",vlookup(A17,'Cash Recipts Forecasting'!$B$5:$F$64,3,false),vlookup(A17,'Cash Recipts Forecasting'!$H$5:$L$64,3,false))</f>
        <v>269378.4489</v>
      </c>
      <c r="G17" s="107">
        <f t="shared" si="2"/>
        <v>215502.7591</v>
      </c>
      <c r="H17" s="119">
        <f>if(Drivers!$C$10=Drivers!$C$9,IF(AND(J16&lt;Drivers!$C$9,A17&lt;Drivers!$C$7),MIN((Drivers!$C$5*Drivers!$C$9)-I16,E17*G16),IF(J16&gt;=Drivers!$C$9,0,(Drivers!$C$5*Drivers!$C$9)-I16)),IF(AND(J16&lt;Drivers!$C$10,A17&lt;Drivers!$C$8),MIN((Drivers!$C$5*Drivers!$C$10)-I16,E17*G16),IF(J16&gt;=Drivers!$C$10,0,(Drivers!$C$5*Drivers!$C$10)-I16)))</f>
        <v>12314.44338</v>
      </c>
      <c r="I17" s="116">
        <f t="shared" si="5"/>
        <v>116403.3109</v>
      </c>
      <c r="J17" s="117">
        <f>I17/Drivers!$C$5</f>
        <v>0.3880110365</v>
      </c>
      <c r="K17" s="118">
        <f t="shared" si="6"/>
        <v>-0.7661757613</v>
      </c>
    </row>
    <row r="18">
      <c r="A18" s="110">
        <f t="shared" si="3"/>
        <v>13</v>
      </c>
      <c r="B18" s="102">
        <f>if(day(Drivers!$C$6)&gt;1,eomonth(B17,0)+1,EDATE(B17,1))</f>
        <v>44105</v>
      </c>
      <c r="C18" s="112">
        <f t="shared" si="4"/>
        <v>0.03</v>
      </c>
      <c r="D18" s="112">
        <f>if($A18&lt;=Drivers!$C$19,Drivers!$E$19,if(and($A18&gt;Drivers!$C$19,$A18&lt;=Drivers!$C$20),Drivers!$E$20,if(and($A18&gt;Drivers!$C$20,$A18&lt;=Drivers!$C$21),Drivers!$E$21,Drivers!$E$22)))</f>
        <v>0.3</v>
      </c>
      <c r="E18" s="113">
        <f>if(Drivers!$C$14="Fixed",Drivers!$C$25,if(A18&lt;=Drivers!$C$19,Drivers!$C$26,if(and(A18&gt;Drivers!$C$19,A18&lt;=Drivers!$C$20),Drivers!$C$27,if(and(A18&gt;Drivers!$C$20,A18&lt;=Drivers!$C$21),Drivers!$C$28,0))))</f>
        <v>0.06</v>
      </c>
      <c r="F18" s="107">
        <f>if(Drivers!$C$13="Forecast Driven",vlookup(A18,'Cash Recipts Forecasting'!$B$5:$F$64,3,false),vlookup(A18,'Cash Recipts Forecasting'!$H$5:$L$64,3,false))</f>
        <v>277459.8024</v>
      </c>
      <c r="G18" s="107">
        <f t="shared" si="2"/>
        <v>194221.8617</v>
      </c>
      <c r="H18" s="119">
        <f>if(Drivers!$C$10=Drivers!$C$9,IF(AND(J17&lt;Drivers!$C$9,A18&lt;Drivers!$C$7),MIN((Drivers!$C$5*Drivers!$C$9)-I17,E18*G17),IF(J17&gt;=Drivers!$C$9,0,(Drivers!$C$5*Drivers!$C$9)-I17)),IF(AND(J17&lt;Drivers!$C$10,A18&lt;Drivers!$C$8),MIN((Drivers!$C$5*Drivers!$C$10)-I17,E18*G17),IF(J17&gt;=Drivers!$C$10,0,(Drivers!$C$5*Drivers!$C$10)-I17)))</f>
        <v>12930.16555</v>
      </c>
      <c r="I18" s="116">
        <f t="shared" si="5"/>
        <v>129333.4765</v>
      </c>
      <c r="J18" s="117">
        <f>I18/Drivers!$C$5</f>
        <v>0.4311115883</v>
      </c>
      <c r="K18" s="118">
        <f t="shared" si="6"/>
        <v>-0.6983378125</v>
      </c>
    </row>
    <row r="19">
      <c r="A19" s="110">
        <f t="shared" si="3"/>
        <v>14</v>
      </c>
      <c r="B19" s="102">
        <f>if(day(Drivers!$C$6)&gt;1,eomonth(B18,0)+1,EDATE(B18,1))</f>
        <v>44136</v>
      </c>
      <c r="C19" s="112">
        <f t="shared" si="4"/>
        <v>0.03</v>
      </c>
      <c r="D19" s="112">
        <f>if($A19&lt;=Drivers!$C$19,Drivers!$E$19,if(and($A19&gt;Drivers!$C$19,$A19&lt;=Drivers!$C$20),Drivers!$E$20,if(and($A19&gt;Drivers!$C$20,$A19&lt;=Drivers!$C$21),Drivers!$E$21,Drivers!$E$22)))</f>
        <v>0.3</v>
      </c>
      <c r="E19" s="113">
        <f>if(Drivers!$C$14="Fixed",Drivers!$C$25,if(A19&lt;=Drivers!$C$19,Drivers!$C$26,if(and(A19&gt;Drivers!$C$19,A19&lt;=Drivers!$C$20),Drivers!$C$27,if(and(A19&gt;Drivers!$C$20,A19&lt;=Drivers!$C$21),Drivers!$C$28,0))))</f>
        <v>0.06</v>
      </c>
      <c r="F19" s="107">
        <f>if(Drivers!$C$13="Forecast Driven",vlookup(A19,'Cash Recipts Forecasting'!$B$5:$F$64,3,false),vlookup(A19,'Cash Recipts Forecasting'!$H$5:$L$64,3,false))</f>
        <v>285783.5964</v>
      </c>
      <c r="G19" s="107">
        <f t="shared" si="2"/>
        <v>200048.5175</v>
      </c>
      <c r="H19" s="119">
        <f>if(Drivers!$C$10=Drivers!$C$9,IF(AND(J18&lt;Drivers!$C$9,A19&lt;Drivers!$C$7),MIN((Drivers!$C$5*Drivers!$C$9)-I18,E19*G18),IF(J18&gt;=Drivers!$C$9,0,(Drivers!$C$5*Drivers!$C$9)-I18)),IF(AND(J18&lt;Drivers!$C$10,A19&lt;Drivers!$C$8),MIN((Drivers!$C$5*Drivers!$C$10)-I18,E19*G18),IF(J18&gt;=Drivers!$C$10,0,(Drivers!$C$5*Drivers!$C$10)-I18)))</f>
        <v>11653.3117</v>
      </c>
      <c r="I19" s="116">
        <f t="shared" si="5"/>
        <v>140986.7882</v>
      </c>
      <c r="J19" s="117">
        <f>I19/Drivers!$C$5</f>
        <v>0.4699559606</v>
      </c>
      <c r="K19" s="118">
        <f t="shared" si="6"/>
        <v>-0.6361782194</v>
      </c>
    </row>
    <row r="20">
      <c r="A20" s="110">
        <f t="shared" si="3"/>
        <v>15</v>
      </c>
      <c r="B20" s="102">
        <f>if(day(Drivers!$C$6)&gt;1,eomonth(B19,0)+1,EDATE(B19,1))</f>
        <v>44166</v>
      </c>
      <c r="C20" s="112">
        <f t="shared" si="4"/>
        <v>0.03</v>
      </c>
      <c r="D20" s="112">
        <f>if($A20&lt;=Drivers!$C$19,Drivers!$E$19,if(and($A20&gt;Drivers!$C$19,$A20&lt;=Drivers!$C$20),Drivers!$E$20,if(and($A20&gt;Drivers!$C$20,$A20&lt;=Drivers!$C$21),Drivers!$E$21,Drivers!$E$22)))</f>
        <v>0.3</v>
      </c>
      <c r="E20" s="113">
        <f>if(Drivers!$C$14="Fixed",Drivers!$C$25,if(A20&lt;=Drivers!$C$19,Drivers!$C$26,if(and(A20&gt;Drivers!$C$19,A20&lt;=Drivers!$C$20),Drivers!$C$27,if(and(A20&gt;Drivers!$C$20,A20&lt;=Drivers!$C$21),Drivers!$C$28,0))))</f>
        <v>0.06</v>
      </c>
      <c r="F20" s="107">
        <f>if(Drivers!$C$13="Forecast Driven",vlookup(A20,'Cash Recipts Forecasting'!$B$5:$F$64,3,false),vlookup(A20,'Cash Recipts Forecasting'!$H$5:$L$64,3,false))</f>
        <v>294357.1043</v>
      </c>
      <c r="G20" s="107">
        <f t="shared" si="2"/>
        <v>206049.973</v>
      </c>
      <c r="H20" s="119">
        <f>if(Drivers!$C$10=Drivers!$C$9,IF(AND(J19&lt;Drivers!$C$9,A20&lt;Drivers!$C$7),MIN((Drivers!$C$5*Drivers!$C$9)-I19,E20*G19),IF(J19&gt;=Drivers!$C$9,0,(Drivers!$C$5*Drivers!$C$9)-I19)),IF(AND(J19&lt;Drivers!$C$10,A20&lt;Drivers!$C$8),MIN((Drivers!$C$5*Drivers!$C$10)-I19,E20*G19),IF(J19&gt;=Drivers!$C$10,0,(Drivers!$C$5*Drivers!$C$10)-I19)))</f>
        <v>12002.91105</v>
      </c>
      <c r="I20" s="116">
        <f t="shared" si="5"/>
        <v>152989.6992</v>
      </c>
      <c r="J20" s="117">
        <f>I20/Drivers!$C$5</f>
        <v>0.5099656641</v>
      </c>
      <c r="K20" s="118">
        <f t="shared" si="6"/>
        <v>-0.5724862817</v>
      </c>
    </row>
    <row r="21">
      <c r="A21" s="110">
        <f t="shared" si="3"/>
        <v>16</v>
      </c>
      <c r="B21" s="102">
        <f>if(day(Drivers!$C$6)&gt;1,eomonth(B20,0)+1,EDATE(B20,1))</f>
        <v>44197</v>
      </c>
      <c r="C21" s="112">
        <f t="shared" si="4"/>
        <v>0.03</v>
      </c>
      <c r="D21" s="112">
        <f>if($A21&lt;=Drivers!$C$19,Drivers!$E$19,if(and($A21&gt;Drivers!$C$19,$A21&lt;=Drivers!$C$20),Drivers!$E$20,if(and($A21&gt;Drivers!$C$20,$A21&lt;=Drivers!$C$21),Drivers!$E$21,Drivers!$E$22)))</f>
        <v>0.3</v>
      </c>
      <c r="E21" s="113">
        <f>if(Drivers!$C$14="Fixed",Drivers!$C$25,if(A21&lt;=Drivers!$C$19,Drivers!$C$26,if(and(A21&gt;Drivers!$C$19,A21&lt;=Drivers!$C$20),Drivers!$C$27,if(and(A21&gt;Drivers!$C$20,A21&lt;=Drivers!$C$21),Drivers!$C$28,0))))</f>
        <v>0.06</v>
      </c>
      <c r="F21" s="107">
        <f>if(Drivers!$C$13="Forecast Driven",vlookup(A21,'Cash Recipts Forecasting'!$B$5:$F$64,3,false),vlookup(A21,'Cash Recipts Forecasting'!$H$5:$L$64,3,false))</f>
        <v>303187.8175</v>
      </c>
      <c r="G21" s="107">
        <f t="shared" si="2"/>
        <v>212231.4722</v>
      </c>
      <c r="H21" s="119">
        <f>if(Drivers!$C$10=Drivers!$C$9,IF(AND(J20&lt;Drivers!$C$9,A21&lt;Drivers!$C$7),MIN((Drivers!$C$5*Drivers!$C$9)-I20,E21*G20),IF(J20&gt;=Drivers!$C$9,0,(Drivers!$C$5*Drivers!$C$9)-I20)),IF(AND(J20&lt;Drivers!$C$10,A21&lt;Drivers!$C$8),MIN((Drivers!$C$5*Drivers!$C$10)-I20,E21*G20),IF(J20&gt;=Drivers!$C$10,0,(Drivers!$C$5*Drivers!$C$10)-I20)))</f>
        <v>12362.99838</v>
      </c>
      <c r="I21" s="116">
        <f t="shared" si="5"/>
        <v>165352.6976</v>
      </c>
      <c r="J21" s="117">
        <f>I21/Drivers!$C$5</f>
        <v>0.5511756588</v>
      </c>
      <c r="K21" s="118">
        <f t="shared" si="6"/>
        <v>-0.5082625323</v>
      </c>
    </row>
    <row r="22">
      <c r="A22" s="110">
        <f t="shared" si="3"/>
        <v>17</v>
      </c>
      <c r="B22" s="102">
        <f>if(day(Drivers!$C$6)&gt;1,eomonth(B21,0)+1,EDATE(B21,1))</f>
        <v>44228</v>
      </c>
      <c r="C22" s="112">
        <f t="shared" si="4"/>
        <v>0.03</v>
      </c>
      <c r="D22" s="112">
        <f>if($A22&lt;=Drivers!$C$19,Drivers!$E$19,if(and($A22&gt;Drivers!$C$19,$A22&lt;=Drivers!$C$20),Drivers!$E$20,if(and($A22&gt;Drivers!$C$20,$A22&lt;=Drivers!$C$21),Drivers!$E$21,Drivers!$E$22)))</f>
        <v>0.3</v>
      </c>
      <c r="E22" s="113">
        <f>if(Drivers!$C$14="Fixed",Drivers!$C$25,if(A22&lt;=Drivers!$C$19,Drivers!$C$26,if(and(A22&gt;Drivers!$C$19,A22&lt;=Drivers!$C$20),Drivers!$C$27,if(and(A22&gt;Drivers!$C$20,A22&lt;=Drivers!$C$21),Drivers!$C$28,0))))</f>
        <v>0.06</v>
      </c>
      <c r="F22" s="107">
        <f>if(Drivers!$C$13="Forecast Driven",vlookup(A22,'Cash Recipts Forecasting'!$B$5:$F$64,3,false),vlookup(A22,'Cash Recipts Forecasting'!$H$5:$L$64,3,false))</f>
        <v>312283.452</v>
      </c>
      <c r="G22" s="107">
        <f t="shared" si="2"/>
        <v>218598.4164</v>
      </c>
      <c r="H22" s="119">
        <f>if(Drivers!$C$10=Drivers!$C$9,IF(AND(J21&lt;Drivers!$C$9,A22&lt;Drivers!$C$7),MIN((Drivers!$C$5*Drivers!$C$9)-I21,E22*G21),IF(J21&gt;=Drivers!$C$9,0,(Drivers!$C$5*Drivers!$C$9)-I21)),IF(AND(J21&lt;Drivers!$C$10,A22&lt;Drivers!$C$8),MIN((Drivers!$C$5*Drivers!$C$10)-I21,E22*G21),IF(J21&gt;=Drivers!$C$10,0,(Drivers!$C$5*Drivers!$C$10)-I21)))</f>
        <v>12733.88833</v>
      </c>
      <c r="I22" s="116">
        <f t="shared" si="5"/>
        <v>178086.586</v>
      </c>
      <c r="J22" s="117">
        <f>I22/Drivers!$C$5</f>
        <v>0.5936219532</v>
      </c>
      <c r="K22" s="118">
        <f t="shared" si="6"/>
        <v>-0.4444551203</v>
      </c>
    </row>
    <row r="23">
      <c r="A23" s="110">
        <f t="shared" si="3"/>
        <v>18</v>
      </c>
      <c r="B23" s="102">
        <f>if(day(Drivers!$C$6)&gt;1,eomonth(B22,0)+1,EDATE(B22,1))</f>
        <v>44256</v>
      </c>
      <c r="C23" s="112">
        <f t="shared" si="4"/>
        <v>0.03</v>
      </c>
      <c r="D23" s="112">
        <f>if($A23&lt;=Drivers!$C$19,Drivers!$E$19,if(and($A23&gt;Drivers!$C$19,$A23&lt;=Drivers!$C$20),Drivers!$E$20,if(and($A23&gt;Drivers!$C$20,$A23&lt;=Drivers!$C$21),Drivers!$E$21,Drivers!$E$22)))</f>
        <v>0.3</v>
      </c>
      <c r="E23" s="113">
        <f>if(Drivers!$C$14="Fixed",Drivers!$C$25,if(A23&lt;=Drivers!$C$19,Drivers!$C$26,if(and(A23&gt;Drivers!$C$19,A23&lt;=Drivers!$C$20),Drivers!$C$27,if(and(A23&gt;Drivers!$C$20,A23&lt;=Drivers!$C$21),Drivers!$C$28,0))))</f>
        <v>0.06</v>
      </c>
      <c r="F23" s="107">
        <f>if(Drivers!$C$13="Forecast Driven",vlookup(A23,'Cash Recipts Forecasting'!$B$5:$F$64,3,false),vlookup(A23,'Cash Recipts Forecasting'!$H$5:$L$64,3,false))</f>
        <v>321651.9555</v>
      </c>
      <c r="G23" s="107">
        <f t="shared" si="2"/>
        <v>225156.3689</v>
      </c>
      <c r="H23" s="119">
        <f>if(Drivers!$C$10=Drivers!$C$9,IF(AND(J22&lt;Drivers!$C$9,A23&lt;Drivers!$C$7),MIN((Drivers!$C$5*Drivers!$C$9)-I22,E23*G22),IF(J22&gt;=Drivers!$C$9,0,(Drivers!$C$5*Drivers!$C$9)-I22)),IF(AND(J22&lt;Drivers!$C$10,A23&lt;Drivers!$C$8),MIN((Drivers!$C$5*Drivers!$C$10)-I22,E23*G22),IF(J22&gt;=Drivers!$C$10,0,(Drivers!$C$5*Drivers!$C$10)-I22)))</f>
        <v>13115.90498</v>
      </c>
      <c r="I23" s="116">
        <f t="shared" si="5"/>
        <v>191202.4909</v>
      </c>
      <c r="J23" s="117">
        <f>I23/Drivers!$C$5</f>
        <v>0.6373416365</v>
      </c>
      <c r="K23" s="118">
        <f t="shared" si="6"/>
        <v>-0.3820144985</v>
      </c>
    </row>
    <row r="24">
      <c r="A24" s="110">
        <f t="shared" si="3"/>
        <v>19</v>
      </c>
      <c r="B24" s="102">
        <f>if(day(Drivers!$C$6)&gt;1,eomonth(B23,0)+1,EDATE(B23,1))</f>
        <v>44287</v>
      </c>
      <c r="C24" s="112">
        <f t="shared" si="4"/>
        <v>0.03</v>
      </c>
      <c r="D24" s="112">
        <f>if($A24&lt;=Drivers!$C$19,Drivers!$E$19,if(and($A24&gt;Drivers!$C$19,$A24&lt;=Drivers!$C$20),Drivers!$E$20,if(and($A24&gt;Drivers!$C$20,$A24&lt;=Drivers!$C$21),Drivers!$E$21,Drivers!$E$22)))</f>
        <v>0.3</v>
      </c>
      <c r="E24" s="113">
        <f>if(Drivers!$C$14="Fixed",Drivers!$C$25,if(A24&lt;=Drivers!$C$19,Drivers!$C$26,if(and(A24&gt;Drivers!$C$19,A24&lt;=Drivers!$C$20),Drivers!$C$27,if(and(A24&gt;Drivers!$C$20,A24&lt;=Drivers!$C$21),Drivers!$C$28,0))))</f>
        <v>0.06</v>
      </c>
      <c r="F24" s="107">
        <f>if(Drivers!$C$13="Forecast Driven",vlookup(A24,'Cash Recipts Forecasting'!$B$5:$F$64,3,false),vlookup(A24,'Cash Recipts Forecasting'!$H$5:$L$64,3,false))</f>
        <v>331301.5142</v>
      </c>
      <c r="G24" s="107">
        <f t="shared" si="2"/>
        <v>231911.06</v>
      </c>
      <c r="H24" s="119">
        <f>if(Drivers!$C$10=Drivers!$C$9,IF(AND(J23&lt;Drivers!$C$9,A24&lt;Drivers!$C$7),MIN((Drivers!$C$5*Drivers!$C$9)-I23,E24*G23),IF(J23&gt;=Drivers!$C$9,0,(Drivers!$C$5*Drivers!$C$9)-I23)),IF(AND(J23&lt;Drivers!$C$10,A24&lt;Drivers!$C$8),MIN((Drivers!$C$5*Drivers!$C$10)-I23,E24*G23),IF(J23&gt;=Drivers!$C$10,0,(Drivers!$C$5*Drivers!$C$10)-I23)))</f>
        <v>13509.38213</v>
      </c>
      <c r="I24" s="116">
        <f t="shared" si="5"/>
        <v>204711.8731</v>
      </c>
      <c r="J24" s="117">
        <f>I24/Drivers!$C$5</f>
        <v>0.6823729103</v>
      </c>
      <c r="K24" s="118">
        <f t="shared" si="6"/>
        <v>-0.3211102844</v>
      </c>
    </row>
    <row r="25">
      <c r="A25" s="110">
        <f t="shared" si="3"/>
        <v>20</v>
      </c>
      <c r="B25" s="102">
        <f>if(day(Drivers!$C$6)&gt;1,eomonth(B24,0)+1,EDATE(B24,1))</f>
        <v>44317</v>
      </c>
      <c r="C25" s="112">
        <f t="shared" si="4"/>
        <v>0.03</v>
      </c>
      <c r="D25" s="112">
        <f>if($A25&lt;=Drivers!$C$19,Drivers!$E$19,if(and($A25&gt;Drivers!$C$19,$A25&lt;=Drivers!$C$20),Drivers!$E$20,if(and($A25&gt;Drivers!$C$20,$A25&lt;=Drivers!$C$21),Drivers!$E$21,Drivers!$E$22)))</f>
        <v>0.3</v>
      </c>
      <c r="E25" s="113">
        <f>if(Drivers!$C$14="Fixed",Drivers!$C$25,if(A25&lt;=Drivers!$C$19,Drivers!$C$26,if(and(A25&gt;Drivers!$C$19,A25&lt;=Drivers!$C$20),Drivers!$C$27,if(and(A25&gt;Drivers!$C$20,A25&lt;=Drivers!$C$21),Drivers!$C$28,0))))</f>
        <v>0.06</v>
      </c>
      <c r="F25" s="107">
        <f>if(Drivers!$C$13="Forecast Driven",vlookup(A25,'Cash Recipts Forecasting'!$B$5:$F$64,3,false),vlookup(A25,'Cash Recipts Forecasting'!$H$5:$L$64,3,false))</f>
        <v>341240.5596</v>
      </c>
      <c r="G25" s="107">
        <f t="shared" si="2"/>
        <v>238868.3917</v>
      </c>
      <c r="H25" s="119">
        <f>if(Drivers!$C$10=Drivers!$C$9,IF(AND(J24&lt;Drivers!$C$9,A25&lt;Drivers!$C$7),MIN((Drivers!$C$5*Drivers!$C$9)-I24,E25*G24),IF(J24&gt;=Drivers!$C$9,0,(Drivers!$C$5*Drivers!$C$9)-I24)),IF(AND(J24&lt;Drivers!$C$10,A25&lt;Drivers!$C$8),MIN((Drivers!$C$5*Drivers!$C$10)-I24,E25*G24),IF(J24&gt;=Drivers!$C$10,0,(Drivers!$C$5*Drivers!$C$10)-I24)))</f>
        <v>13914.6636</v>
      </c>
      <c r="I25" s="116">
        <f t="shared" si="5"/>
        <v>218626.5367</v>
      </c>
      <c r="J25" s="117">
        <f>I25/Drivers!$C$5</f>
        <v>0.7287551222</v>
      </c>
      <c r="K25" s="118">
        <f t="shared" si="6"/>
        <v>-0.2621812446</v>
      </c>
    </row>
    <row r="26">
      <c r="A26" s="110">
        <f t="shared" si="3"/>
        <v>21</v>
      </c>
      <c r="B26" s="102">
        <f>if(day(Drivers!$C$6)&gt;1,eomonth(B25,0)+1,EDATE(B25,1))</f>
        <v>44348</v>
      </c>
      <c r="C26" s="112">
        <f t="shared" si="4"/>
        <v>0.03</v>
      </c>
      <c r="D26" s="112">
        <f>if($A26&lt;=Drivers!$C$19,Drivers!$E$19,if(and($A26&gt;Drivers!$C$19,$A26&lt;=Drivers!$C$20),Drivers!$E$20,if(and($A26&gt;Drivers!$C$20,$A26&lt;=Drivers!$C$21),Drivers!$E$21,Drivers!$E$22)))</f>
        <v>0.3</v>
      </c>
      <c r="E26" s="113">
        <f>if(Drivers!$C$14="Fixed",Drivers!$C$25,if(A26&lt;=Drivers!$C$19,Drivers!$C$26,if(and(A26&gt;Drivers!$C$19,A26&lt;=Drivers!$C$20),Drivers!$C$27,if(and(A26&gt;Drivers!$C$20,A26&lt;=Drivers!$C$21),Drivers!$C$28,0))))</f>
        <v>0.06</v>
      </c>
      <c r="F26" s="107">
        <f>if(Drivers!$C$13="Forecast Driven",vlookup(A26,'Cash Recipts Forecasting'!$B$5:$F$64,3,false),vlookup(A26,'Cash Recipts Forecasting'!$H$5:$L$64,3,false))</f>
        <v>351477.7764</v>
      </c>
      <c r="G26" s="107">
        <f t="shared" si="2"/>
        <v>246034.4435</v>
      </c>
      <c r="H26" s="119">
        <f>if(Drivers!$C$10=Drivers!$C$9,IF(AND(J25&lt;Drivers!$C$9,A26&lt;Drivers!$C$7),MIN((Drivers!$C$5*Drivers!$C$9)-I25,E26*G25),IF(J25&gt;=Drivers!$C$9,0,(Drivers!$C$5*Drivers!$C$9)-I25)),IF(AND(J25&lt;Drivers!$C$10,A26&lt;Drivers!$C$8),MIN((Drivers!$C$5*Drivers!$C$10)-I25,E26*G25),IF(J25&gt;=Drivers!$C$10,0,(Drivers!$C$5*Drivers!$C$10)-I25)))</f>
        <v>14332.1035</v>
      </c>
      <c r="I26" s="116">
        <f t="shared" si="5"/>
        <v>232958.6402</v>
      </c>
      <c r="J26" s="117">
        <f>I26/Drivers!$C$5</f>
        <v>0.7765288006</v>
      </c>
      <c r="K26" s="118">
        <f t="shared" si="6"/>
        <v>-0.2054132635</v>
      </c>
    </row>
    <row r="27">
      <c r="A27" s="110">
        <f t="shared" si="3"/>
        <v>22</v>
      </c>
      <c r="B27" s="102">
        <f>if(day(Drivers!$C$6)&gt;1,eomonth(B26,0)+1,EDATE(B26,1))</f>
        <v>44378</v>
      </c>
      <c r="C27" s="112">
        <f t="shared" si="4"/>
        <v>0.03</v>
      </c>
      <c r="D27" s="112">
        <f>if($A27&lt;=Drivers!$C$19,Drivers!$E$19,if(and($A27&gt;Drivers!$C$19,$A27&lt;=Drivers!$C$20),Drivers!$E$20,if(and($A27&gt;Drivers!$C$20,$A27&lt;=Drivers!$C$21),Drivers!$E$21,Drivers!$E$22)))</f>
        <v>0.3</v>
      </c>
      <c r="E27" s="113">
        <f>if(Drivers!$C$14="Fixed",Drivers!$C$25,if(A27&lt;=Drivers!$C$19,Drivers!$C$26,if(and(A27&gt;Drivers!$C$19,A27&lt;=Drivers!$C$20),Drivers!$C$27,if(and(A27&gt;Drivers!$C$20,A27&lt;=Drivers!$C$21),Drivers!$C$28,0))))</f>
        <v>0.06</v>
      </c>
      <c r="F27" s="107">
        <f>if(Drivers!$C$13="Forecast Driven",vlookup(A27,'Cash Recipts Forecasting'!$B$5:$F$64,3,false),vlookup(A27,'Cash Recipts Forecasting'!$H$5:$L$64,3,false))</f>
        <v>362022.1097</v>
      </c>
      <c r="G27" s="107">
        <f t="shared" si="2"/>
        <v>253415.4768</v>
      </c>
      <c r="H27" s="119">
        <f>if(Drivers!$C$10=Drivers!$C$9,IF(AND(J26&lt;Drivers!$C$9,A27&lt;Drivers!$C$7),MIN((Drivers!$C$5*Drivers!$C$9)-I26,E27*G26),IF(J26&gt;=Drivers!$C$9,0,(Drivers!$C$5*Drivers!$C$9)-I26)),IF(AND(J26&lt;Drivers!$C$10,A27&lt;Drivers!$C$8),MIN((Drivers!$C$5*Drivers!$C$10)-I26,E27*G26),IF(J26&gt;=Drivers!$C$10,0,(Drivers!$C$5*Drivers!$C$10)-I26)))</f>
        <v>14762.06661</v>
      </c>
      <c r="I27" s="116">
        <f t="shared" si="5"/>
        <v>247720.7068</v>
      </c>
      <c r="J27" s="117">
        <f>I27/Drivers!$C$5</f>
        <v>0.8257356893</v>
      </c>
      <c r="K27" s="118">
        <f t="shared" si="6"/>
        <v>-0.1509953708</v>
      </c>
    </row>
    <row r="28">
      <c r="A28" s="110">
        <f t="shared" si="3"/>
        <v>23</v>
      </c>
      <c r="B28" s="102">
        <f>if(day(Drivers!$C$6)&gt;1,eomonth(B27,0)+1,EDATE(B27,1))</f>
        <v>44409</v>
      </c>
      <c r="C28" s="112">
        <f t="shared" si="4"/>
        <v>0.03</v>
      </c>
      <c r="D28" s="112">
        <f>if($A28&lt;=Drivers!$C$19,Drivers!$E$19,if(and($A28&gt;Drivers!$C$19,$A28&lt;=Drivers!$C$20),Drivers!$E$20,if(and($A28&gt;Drivers!$C$20,$A28&lt;=Drivers!$C$21),Drivers!$E$21,Drivers!$E$22)))</f>
        <v>0.3</v>
      </c>
      <c r="E28" s="113">
        <f>if(Drivers!$C$14="Fixed",Drivers!$C$25,if(A28&lt;=Drivers!$C$19,Drivers!$C$26,if(and(A28&gt;Drivers!$C$19,A28&lt;=Drivers!$C$20),Drivers!$C$27,if(and(A28&gt;Drivers!$C$20,A28&lt;=Drivers!$C$21),Drivers!$C$28,0))))</f>
        <v>0.06</v>
      </c>
      <c r="F28" s="107">
        <f>if(Drivers!$C$13="Forecast Driven",vlookup(A28,'Cash Recipts Forecasting'!$B$5:$F$64,3,false),vlookup(A28,'Cash Recipts Forecasting'!$H$5:$L$64,3,false))</f>
        <v>372882.773</v>
      </c>
      <c r="G28" s="107">
        <f t="shared" si="2"/>
        <v>261017.9411</v>
      </c>
      <c r="H28" s="119">
        <f>if(Drivers!$C$10=Drivers!$C$9,IF(AND(J27&lt;Drivers!$C$9,A28&lt;Drivers!$C$7),MIN((Drivers!$C$5*Drivers!$C$9)-I27,E28*G27),IF(J27&gt;=Drivers!$C$9,0,(Drivers!$C$5*Drivers!$C$9)-I27)),IF(AND(J27&lt;Drivers!$C$10,A28&lt;Drivers!$C$8),MIN((Drivers!$C$5*Drivers!$C$10)-I27,E28*G27),IF(J27&gt;=Drivers!$C$10,0,(Drivers!$C$5*Drivers!$C$10)-I27)))</f>
        <v>15204.92861</v>
      </c>
      <c r="I28" s="116">
        <f t="shared" si="5"/>
        <v>262925.6354</v>
      </c>
      <c r="J28" s="117">
        <f>I28/Drivers!$C$5</f>
        <v>0.8764187847</v>
      </c>
      <c r="K28" s="118">
        <f t="shared" si="6"/>
        <v>-0.09897180602</v>
      </c>
    </row>
    <row r="29">
      <c r="A29" s="110">
        <f t="shared" si="3"/>
        <v>24</v>
      </c>
      <c r="B29" s="102">
        <f>if(day(Drivers!$C$6)&gt;1,eomonth(B28,0)+1,EDATE(B28,1))</f>
        <v>44440</v>
      </c>
      <c r="C29" s="112">
        <f t="shared" si="4"/>
        <v>0.03</v>
      </c>
      <c r="D29" s="112">
        <f>if($A29&lt;=Drivers!$C$19,Drivers!$E$19,if(and($A29&gt;Drivers!$C$19,$A29&lt;=Drivers!$C$20),Drivers!$E$20,if(and($A29&gt;Drivers!$C$20,$A29&lt;=Drivers!$C$21),Drivers!$E$21,Drivers!$E$22)))</f>
        <v>0.3</v>
      </c>
      <c r="E29" s="113">
        <f>if(Drivers!$C$14="Fixed",Drivers!$C$25,if(A29&lt;=Drivers!$C$19,Drivers!$C$26,if(and(A29&gt;Drivers!$C$19,A29&lt;=Drivers!$C$20),Drivers!$C$27,if(and(A29&gt;Drivers!$C$20,A29&lt;=Drivers!$C$21),Drivers!$C$28,0))))</f>
        <v>0.06</v>
      </c>
      <c r="F29" s="107">
        <f>if(Drivers!$C$13="Forecast Driven",vlookup(A29,'Cash Recipts Forecasting'!$B$5:$F$64,3,false),vlookup(A29,'Cash Recipts Forecasting'!$H$5:$L$64,3,false))</f>
        <v>384069.2562</v>
      </c>
      <c r="G29" s="107">
        <f t="shared" si="2"/>
        <v>268848.4793</v>
      </c>
      <c r="H29" s="119">
        <f>if(Drivers!$C$10=Drivers!$C$9,IF(AND(J28&lt;Drivers!$C$9,A29&lt;Drivers!$C$7),MIN((Drivers!$C$5*Drivers!$C$9)-I28,E29*G28),IF(J28&gt;=Drivers!$C$9,0,(Drivers!$C$5*Drivers!$C$9)-I28)),IF(AND(J28&lt;Drivers!$C$10,A29&lt;Drivers!$C$8),MIN((Drivers!$C$5*Drivers!$C$10)-I28,E29*G28),IF(J28&gt;=Drivers!$C$10,0,(Drivers!$C$5*Drivers!$C$10)-I28)))</f>
        <v>15661.07647</v>
      </c>
      <c r="I29" s="116">
        <f t="shared" si="5"/>
        <v>278586.7119</v>
      </c>
      <c r="J29" s="117">
        <f>I29/Drivers!$C$5</f>
        <v>0.9286223729</v>
      </c>
      <c r="K29" s="118">
        <f t="shared" si="6"/>
        <v>-0.04937524839</v>
      </c>
    </row>
    <row r="30">
      <c r="A30" s="110">
        <f t="shared" si="3"/>
        <v>25</v>
      </c>
      <c r="B30" s="102">
        <f>if(day(Drivers!$C$6)&gt;1,eomonth(B29,0)+1,EDATE(B29,1))</f>
        <v>44470</v>
      </c>
      <c r="C30" s="112">
        <f t="shared" si="4"/>
        <v>0.02</v>
      </c>
      <c r="D30" s="112">
        <f>if($A30&lt;=Drivers!$C$19,Drivers!$E$19,if(and($A30&gt;Drivers!$C$19,$A30&lt;=Drivers!$C$20),Drivers!$E$20,if(and($A30&gt;Drivers!$C$20,$A30&lt;=Drivers!$C$21),Drivers!$E$21,Drivers!$E$22)))</f>
        <v>0.4</v>
      </c>
      <c r="E30" s="113">
        <f>if(Drivers!$C$14="Fixed",Drivers!$C$25,if(A30&lt;=Drivers!$C$19,Drivers!$C$26,if(and(A30&gt;Drivers!$C$19,A30&lt;=Drivers!$C$20),Drivers!$C$27,if(and(A30&gt;Drivers!$C$20,A30&lt;=Drivers!$C$21),Drivers!$C$28,0))))</f>
        <v>0.06</v>
      </c>
      <c r="F30" s="107">
        <f>if(Drivers!$C$13="Forecast Driven",vlookup(A30,'Cash Recipts Forecasting'!$B$5:$F$64,3,false),vlookup(A30,'Cash Recipts Forecasting'!$H$5:$L$64,3,false))</f>
        <v>391750.6413</v>
      </c>
      <c r="G30" s="107">
        <f t="shared" si="2"/>
        <v>235050.3848</v>
      </c>
      <c r="H30" s="119">
        <f>if(Drivers!$C$10=Drivers!$C$9,IF(AND(J29&lt;Drivers!$C$9,A30&lt;Drivers!$C$7),MIN((Drivers!$C$5*Drivers!$C$9)-I29,E30*G29),IF(J29&gt;=Drivers!$C$9,0,(Drivers!$C$5*Drivers!$C$9)-I29)),IF(AND(J29&lt;Drivers!$C$10,A30&lt;Drivers!$C$8),MIN((Drivers!$C$5*Drivers!$C$10)-I29,E30*G29),IF(J29&gt;=Drivers!$C$10,0,(Drivers!$C$5*Drivers!$C$10)-I29)))</f>
        <v>16130.90876</v>
      </c>
      <c r="I30" s="116">
        <f t="shared" si="5"/>
        <v>294717.6206</v>
      </c>
      <c r="J30" s="117">
        <f>I30/Drivers!$C$5</f>
        <v>0.9823920687</v>
      </c>
      <c r="K30" s="118">
        <f t="shared" si="6"/>
        <v>-0.002193825675</v>
      </c>
    </row>
    <row r="31">
      <c r="A31" s="110">
        <f t="shared" si="3"/>
        <v>26</v>
      </c>
      <c r="B31" s="102">
        <f>if(day(Drivers!$C$6)&gt;1,eomonth(B30,0)+1,EDATE(B30,1))</f>
        <v>44501</v>
      </c>
      <c r="C31" s="112">
        <f t="shared" si="4"/>
        <v>0.02</v>
      </c>
      <c r="D31" s="112">
        <f>if($A31&lt;=Drivers!$C$19,Drivers!$E$19,if(and($A31&gt;Drivers!$C$19,$A31&lt;=Drivers!$C$20),Drivers!$E$20,if(and($A31&gt;Drivers!$C$20,$A31&lt;=Drivers!$C$21),Drivers!$E$21,Drivers!$E$22)))</f>
        <v>0.4</v>
      </c>
      <c r="E31" s="113">
        <f>if(Drivers!$C$14="Fixed",Drivers!$C$25,if(A31&lt;=Drivers!$C$19,Drivers!$C$26,if(and(A31&gt;Drivers!$C$19,A31&lt;=Drivers!$C$20),Drivers!$C$27,if(and(A31&gt;Drivers!$C$20,A31&lt;=Drivers!$C$21),Drivers!$C$28,0))))</f>
        <v>0.06</v>
      </c>
      <c r="F31" s="107">
        <f>if(Drivers!$C$13="Forecast Driven",vlookup(A31,'Cash Recipts Forecasting'!$B$5:$F$64,3,false),vlookup(A31,'Cash Recipts Forecasting'!$H$5:$L$64,3,false))</f>
        <v>399585.6542</v>
      </c>
      <c r="G31" s="107">
        <f t="shared" si="2"/>
        <v>239751.3925</v>
      </c>
      <c r="H31" s="119">
        <f>if(Drivers!$C$10=Drivers!$C$9,IF(AND(J30&lt;Drivers!$C$9,A31&lt;Drivers!$C$7),MIN((Drivers!$C$5*Drivers!$C$9)-I30,E31*G30),IF(J30&gt;=Drivers!$C$9,0,(Drivers!$C$5*Drivers!$C$9)-I30)),IF(AND(J30&lt;Drivers!$C$10,A31&lt;Drivers!$C$8),MIN((Drivers!$C$5*Drivers!$C$10)-I30,E31*G30),IF(J30&gt;=Drivers!$C$10,0,(Drivers!$C$5*Drivers!$C$10)-I30)))</f>
        <v>14103.02309</v>
      </c>
      <c r="I31" s="116">
        <f t="shared" si="5"/>
        <v>308820.6437</v>
      </c>
      <c r="J31" s="117">
        <f>I31/Drivers!$C$5</f>
        <v>1.029402146</v>
      </c>
      <c r="K31" s="118">
        <f t="shared" si="6"/>
        <v>0.03607498454</v>
      </c>
    </row>
    <row r="32">
      <c r="A32" s="110">
        <f t="shared" si="3"/>
        <v>27</v>
      </c>
      <c r="B32" s="102">
        <f>if(day(Drivers!$C$6)&gt;1,eomonth(B31,0)+1,EDATE(B31,1))</f>
        <v>44531</v>
      </c>
      <c r="C32" s="112">
        <f t="shared" si="4"/>
        <v>0.02</v>
      </c>
      <c r="D32" s="112">
        <f>if($A32&lt;=Drivers!$C$19,Drivers!$E$19,if(and($A32&gt;Drivers!$C$19,$A32&lt;=Drivers!$C$20),Drivers!$E$20,if(and($A32&gt;Drivers!$C$20,$A32&lt;=Drivers!$C$21),Drivers!$E$21,Drivers!$E$22)))</f>
        <v>0.4</v>
      </c>
      <c r="E32" s="113">
        <f>if(Drivers!$C$14="Fixed",Drivers!$C$25,if(A32&lt;=Drivers!$C$19,Drivers!$C$26,if(and(A32&gt;Drivers!$C$19,A32&lt;=Drivers!$C$20),Drivers!$C$27,if(and(A32&gt;Drivers!$C$20,A32&lt;=Drivers!$C$21),Drivers!$C$28,0))))</f>
        <v>0.06</v>
      </c>
      <c r="F32" s="107">
        <f>if(Drivers!$C$13="Forecast Driven",vlookup(A32,'Cash Recipts Forecasting'!$B$5:$F$64,3,false),vlookup(A32,'Cash Recipts Forecasting'!$H$5:$L$64,3,false))</f>
        <v>407577.3672</v>
      </c>
      <c r="G32" s="107">
        <f t="shared" si="2"/>
        <v>244546.4203</v>
      </c>
      <c r="H32" s="119">
        <f>if(Drivers!$C$10=Drivers!$C$9,IF(AND(J31&lt;Drivers!$C$9,A32&lt;Drivers!$C$7),MIN((Drivers!$C$5*Drivers!$C$9)-I31,E32*G31),IF(J31&gt;=Drivers!$C$9,0,(Drivers!$C$5*Drivers!$C$9)-I31)),IF(AND(J31&lt;Drivers!$C$10,A32&lt;Drivers!$C$8),MIN((Drivers!$C$5*Drivers!$C$10)-I31,E32*G31),IF(J31&gt;=Drivers!$C$10,0,(Drivers!$C$5*Drivers!$C$10)-I31)))</f>
        <v>14385.08355</v>
      </c>
      <c r="I32" s="116">
        <f t="shared" si="5"/>
        <v>323205.7273</v>
      </c>
      <c r="J32" s="117">
        <f>I32/Drivers!$C$5</f>
        <v>1.077352424</v>
      </c>
      <c r="K32" s="118">
        <f t="shared" si="6"/>
        <v>0.07244600821</v>
      </c>
    </row>
    <row r="33">
      <c r="A33" s="110">
        <f t="shared" si="3"/>
        <v>28</v>
      </c>
      <c r="B33" s="102">
        <f>if(day(Drivers!$C$6)&gt;1,eomonth(B32,0)+1,EDATE(B32,1))</f>
        <v>44562</v>
      </c>
      <c r="C33" s="112">
        <f t="shared" si="4"/>
        <v>0.02</v>
      </c>
      <c r="D33" s="112">
        <f>if($A33&lt;=Drivers!$C$19,Drivers!$E$19,if(and($A33&gt;Drivers!$C$19,$A33&lt;=Drivers!$C$20),Drivers!$E$20,if(and($A33&gt;Drivers!$C$20,$A33&lt;=Drivers!$C$21),Drivers!$E$21,Drivers!$E$22)))</f>
        <v>0.4</v>
      </c>
      <c r="E33" s="113">
        <f>if(Drivers!$C$14="Fixed",Drivers!$C$25,if(A33&lt;=Drivers!$C$19,Drivers!$C$26,if(and(A33&gt;Drivers!$C$19,A33&lt;=Drivers!$C$20),Drivers!$C$27,if(and(A33&gt;Drivers!$C$20,A33&lt;=Drivers!$C$21),Drivers!$C$28,0))))</f>
        <v>0.06</v>
      </c>
      <c r="F33" s="107">
        <f>if(Drivers!$C$13="Forecast Driven",vlookup(A33,'Cash Recipts Forecasting'!$B$5:$F$64,3,false),vlookup(A33,'Cash Recipts Forecasting'!$H$5:$L$64,3,false))</f>
        <v>415728.9146</v>
      </c>
      <c r="G33" s="107">
        <f t="shared" si="2"/>
        <v>249437.3488</v>
      </c>
      <c r="H33" s="119">
        <f>if(Drivers!$C$10=Drivers!$C$9,IF(AND(J32&lt;Drivers!$C$9,A33&lt;Drivers!$C$7),MIN((Drivers!$C$5*Drivers!$C$9)-I32,E33*G32),IF(J32&gt;=Drivers!$C$9,0,(Drivers!$C$5*Drivers!$C$9)-I32)),IF(AND(J32&lt;Drivers!$C$10,A33&lt;Drivers!$C$8),MIN((Drivers!$C$5*Drivers!$C$10)-I32,E33*G32),IF(J32&gt;=Drivers!$C$10,0,(Drivers!$C$5*Drivers!$C$10)-I32)))</f>
        <v>14672.78522</v>
      </c>
      <c r="I33" s="116">
        <f t="shared" si="5"/>
        <v>337878.5125</v>
      </c>
      <c r="J33" s="117">
        <f>I33/Drivers!$C$5</f>
        <v>1.126261708</v>
      </c>
      <c r="K33" s="118">
        <f t="shared" si="6"/>
        <v>0.1069624186</v>
      </c>
    </row>
    <row r="34">
      <c r="A34" s="110">
        <f t="shared" si="3"/>
        <v>29</v>
      </c>
      <c r="B34" s="102">
        <f>if(day(Drivers!$C$6)&gt;1,eomonth(B33,0)+1,EDATE(B33,1))</f>
        <v>44593</v>
      </c>
      <c r="C34" s="112">
        <f t="shared" si="4"/>
        <v>0.02</v>
      </c>
      <c r="D34" s="112">
        <f>if($A34&lt;=Drivers!$C$19,Drivers!$E$19,if(and($A34&gt;Drivers!$C$19,$A34&lt;=Drivers!$C$20),Drivers!$E$20,if(and($A34&gt;Drivers!$C$20,$A34&lt;=Drivers!$C$21),Drivers!$E$21,Drivers!$E$22)))</f>
        <v>0.4</v>
      </c>
      <c r="E34" s="113">
        <f>if(Drivers!$C$14="Fixed",Drivers!$C$25,if(A34&lt;=Drivers!$C$19,Drivers!$C$26,if(and(A34&gt;Drivers!$C$19,A34&lt;=Drivers!$C$20),Drivers!$C$27,if(and(A34&gt;Drivers!$C$20,A34&lt;=Drivers!$C$21),Drivers!$C$28,0))))</f>
        <v>0.06</v>
      </c>
      <c r="F34" s="107">
        <f>if(Drivers!$C$13="Forecast Driven",vlookup(A34,'Cash Recipts Forecasting'!$B$5:$F$64,3,false),vlookup(A34,'Cash Recipts Forecasting'!$H$5:$L$64,3,false))</f>
        <v>424043.4929</v>
      </c>
      <c r="G34" s="107">
        <f t="shared" si="2"/>
        <v>254426.0957</v>
      </c>
      <c r="H34" s="119">
        <f>if(Drivers!$C$10=Drivers!$C$9,IF(AND(J33&lt;Drivers!$C$9,A34&lt;Drivers!$C$7),MIN((Drivers!$C$5*Drivers!$C$9)-I33,E34*G33),IF(J33&gt;=Drivers!$C$9,0,(Drivers!$C$5*Drivers!$C$9)-I33)),IF(AND(J33&lt;Drivers!$C$10,A34&lt;Drivers!$C$8),MIN((Drivers!$C$5*Drivers!$C$10)-I33,E34*G33),IF(J33&gt;=Drivers!$C$10,0,(Drivers!$C$5*Drivers!$C$10)-I33)))</f>
        <v>14966.24093</v>
      </c>
      <c r="I34" s="116">
        <f t="shared" si="5"/>
        <v>352844.7534</v>
      </c>
      <c r="J34" s="117">
        <f>I34/Drivers!$C$5</f>
        <v>1.176149178</v>
      </c>
      <c r="K34" s="118">
        <f t="shared" si="6"/>
        <v>0.1396826239</v>
      </c>
    </row>
    <row r="35">
      <c r="A35" s="110">
        <f t="shared" si="3"/>
        <v>30</v>
      </c>
      <c r="B35" s="102">
        <f>if(day(Drivers!$C$6)&gt;1,eomonth(B34,0)+1,EDATE(B34,1))</f>
        <v>44621</v>
      </c>
      <c r="C35" s="112">
        <f t="shared" si="4"/>
        <v>0.02</v>
      </c>
      <c r="D35" s="112">
        <f>if($A35&lt;=Drivers!$C$19,Drivers!$E$19,if(and($A35&gt;Drivers!$C$19,$A35&lt;=Drivers!$C$20),Drivers!$E$20,if(and($A35&gt;Drivers!$C$20,$A35&lt;=Drivers!$C$21),Drivers!$E$21,Drivers!$E$22)))</f>
        <v>0.4</v>
      </c>
      <c r="E35" s="113">
        <f>if(Drivers!$C$14="Fixed",Drivers!$C$25,if(A35&lt;=Drivers!$C$19,Drivers!$C$26,if(and(A35&gt;Drivers!$C$19,A35&lt;=Drivers!$C$20),Drivers!$C$27,if(and(A35&gt;Drivers!$C$20,A35&lt;=Drivers!$C$21),Drivers!$C$28,0))))</f>
        <v>0.06</v>
      </c>
      <c r="F35" s="107">
        <f>if(Drivers!$C$13="Forecast Driven",vlookup(A35,'Cash Recipts Forecasting'!$B$5:$F$64,3,false),vlookup(A35,'Cash Recipts Forecasting'!$H$5:$L$64,3,false))</f>
        <v>432524.3627</v>
      </c>
      <c r="G35" s="107">
        <f t="shared" si="2"/>
        <v>259514.6176</v>
      </c>
      <c r="H35" s="119">
        <f>if(Drivers!$C$10=Drivers!$C$9,IF(AND(J34&lt;Drivers!$C$9,A35&lt;Drivers!$C$7),MIN((Drivers!$C$5*Drivers!$C$9)-I34,E35*G34),IF(J34&gt;=Drivers!$C$9,0,(Drivers!$C$5*Drivers!$C$9)-I34)),IF(AND(J34&lt;Drivers!$C$10,A35&lt;Drivers!$C$8),MIN((Drivers!$C$5*Drivers!$C$10)-I34,E35*G34),IF(J34&gt;=Drivers!$C$10,0,(Drivers!$C$5*Drivers!$C$10)-I34)))</f>
        <v>15265.56574</v>
      </c>
      <c r="I35" s="116">
        <f t="shared" si="5"/>
        <v>368110.3192</v>
      </c>
      <c r="J35" s="117">
        <f>I35/Drivers!$C$5</f>
        <v>1.227034397</v>
      </c>
      <c r="K35" s="118">
        <f t="shared" si="6"/>
        <v>0.1707141778</v>
      </c>
    </row>
    <row r="36">
      <c r="A36" s="110">
        <f t="shared" si="3"/>
        <v>31</v>
      </c>
      <c r="B36" s="102">
        <f>if(day(Drivers!$C$6)&gt;1,eomonth(B35,0)+1,EDATE(B35,1))</f>
        <v>44652</v>
      </c>
      <c r="C36" s="112">
        <f t="shared" si="4"/>
        <v>0.02</v>
      </c>
      <c r="D36" s="112">
        <f>if($A36&lt;=Drivers!$C$19,Drivers!$E$19,if(and($A36&gt;Drivers!$C$19,$A36&lt;=Drivers!$C$20),Drivers!$E$20,if(and($A36&gt;Drivers!$C$20,$A36&lt;=Drivers!$C$21),Drivers!$E$21,Drivers!$E$22)))</f>
        <v>0.4</v>
      </c>
      <c r="E36" s="113">
        <f>if(Drivers!$C$14="Fixed",Drivers!$C$25,if(A36&lt;=Drivers!$C$19,Drivers!$C$26,if(and(A36&gt;Drivers!$C$19,A36&lt;=Drivers!$C$20),Drivers!$C$27,if(and(A36&gt;Drivers!$C$20,A36&lt;=Drivers!$C$21),Drivers!$C$28,0))))</f>
        <v>0.06</v>
      </c>
      <c r="F36" s="107">
        <f>if(Drivers!$C$13="Forecast Driven",vlookup(A36,'Cash Recipts Forecasting'!$B$5:$F$64,3,false),vlookup(A36,'Cash Recipts Forecasting'!$H$5:$L$64,3,false))</f>
        <v>441174.85</v>
      </c>
      <c r="G36" s="107">
        <f t="shared" si="2"/>
        <v>264704.91</v>
      </c>
      <c r="H36" s="119">
        <f>if(Drivers!$C$10=Drivers!$C$9,IF(AND(J35&lt;Drivers!$C$9,A36&lt;Drivers!$C$7),MIN((Drivers!$C$5*Drivers!$C$9)-I35,E36*G35),IF(J35&gt;=Drivers!$C$9,0,(Drivers!$C$5*Drivers!$C$9)-I35)),IF(AND(J35&lt;Drivers!$C$10,A36&lt;Drivers!$C$8),MIN((Drivers!$C$5*Drivers!$C$10)-I35,E36*G35),IF(J35&gt;=Drivers!$C$10,0,(Drivers!$C$5*Drivers!$C$10)-I35)))</f>
        <v>15570.87706</v>
      </c>
      <c r="I36" s="116">
        <f t="shared" si="5"/>
        <v>383681.1962</v>
      </c>
      <c r="J36" s="117">
        <f>I36/Drivers!$C$5</f>
        <v>1.278937321</v>
      </c>
      <c r="K36" s="118">
        <f t="shared" si="6"/>
        <v>0.2001002671</v>
      </c>
    </row>
    <row r="37">
      <c r="A37" s="110">
        <f t="shared" si="3"/>
        <v>32</v>
      </c>
      <c r="B37" s="102">
        <f>if(day(Drivers!$C$6)&gt;1,eomonth(B36,0)+1,EDATE(B36,1))</f>
        <v>44682</v>
      </c>
      <c r="C37" s="112">
        <f t="shared" si="4"/>
        <v>0.02</v>
      </c>
      <c r="D37" s="112">
        <f>if($A37&lt;=Drivers!$C$19,Drivers!$E$19,if(and($A37&gt;Drivers!$C$19,$A37&lt;=Drivers!$C$20),Drivers!$E$20,if(and($A37&gt;Drivers!$C$20,$A37&lt;=Drivers!$C$21),Drivers!$E$21,Drivers!$E$22)))</f>
        <v>0.4</v>
      </c>
      <c r="E37" s="113">
        <f>if(Drivers!$C$14="Fixed",Drivers!$C$25,if(A37&lt;=Drivers!$C$19,Drivers!$C$26,if(and(A37&gt;Drivers!$C$19,A37&lt;=Drivers!$C$20),Drivers!$C$27,if(and(A37&gt;Drivers!$C$20,A37&lt;=Drivers!$C$21),Drivers!$C$28,0))))</f>
        <v>0.06</v>
      </c>
      <c r="F37" s="107">
        <f>if(Drivers!$C$13="Forecast Driven",vlookup(A37,'Cash Recipts Forecasting'!$B$5:$F$64,3,false),vlookup(A37,'Cash Recipts Forecasting'!$H$5:$L$64,3,false))</f>
        <v>449998.347</v>
      </c>
      <c r="G37" s="107">
        <f t="shared" si="2"/>
        <v>269999.0082</v>
      </c>
      <c r="H37" s="119">
        <f>if(Drivers!$C$10=Drivers!$C$9,IF(AND(J36&lt;Drivers!$C$9,A37&lt;Drivers!$C$7),MIN((Drivers!$C$5*Drivers!$C$9)-I36,E37*G36),IF(J36&gt;=Drivers!$C$9,0,(Drivers!$C$5*Drivers!$C$9)-I36)),IF(AND(J36&lt;Drivers!$C$10,A37&lt;Drivers!$C$8),MIN((Drivers!$C$5*Drivers!$C$10)-I36,E37*G36),IF(J36&gt;=Drivers!$C$10,0,(Drivers!$C$5*Drivers!$C$10)-I36)))</f>
        <v>15882.2946</v>
      </c>
      <c r="I37" s="116">
        <f t="shared" si="5"/>
        <v>399563.4908</v>
      </c>
      <c r="J37" s="117">
        <f>I37/Drivers!$C$5</f>
        <v>1.331878303</v>
      </c>
      <c r="K37" s="118">
        <f t="shared" si="6"/>
        <v>0.2279315967</v>
      </c>
    </row>
    <row r="38">
      <c r="A38" s="110">
        <f t="shared" si="3"/>
        <v>33</v>
      </c>
      <c r="B38" s="102">
        <f>if(day(Drivers!$C$6)&gt;1,eomonth(B37,0)+1,EDATE(B37,1))</f>
        <v>44713</v>
      </c>
      <c r="C38" s="112">
        <f t="shared" si="4"/>
        <v>0.02</v>
      </c>
      <c r="D38" s="112">
        <f>if($A38&lt;=Drivers!$C$19,Drivers!$E$19,if(and($A38&gt;Drivers!$C$19,$A38&lt;=Drivers!$C$20),Drivers!$E$20,if(and($A38&gt;Drivers!$C$20,$A38&lt;=Drivers!$C$21),Drivers!$E$21,Drivers!$E$22)))</f>
        <v>0.4</v>
      </c>
      <c r="E38" s="113">
        <f>if(Drivers!$C$14="Fixed",Drivers!$C$25,if(A38&lt;=Drivers!$C$19,Drivers!$C$26,if(and(A38&gt;Drivers!$C$19,A38&lt;=Drivers!$C$20),Drivers!$C$27,if(and(A38&gt;Drivers!$C$20,A38&lt;=Drivers!$C$21),Drivers!$C$28,0))))</f>
        <v>0.06</v>
      </c>
      <c r="F38" s="107">
        <f>if(Drivers!$C$13="Forecast Driven",vlookup(A38,'Cash Recipts Forecasting'!$B$5:$F$64,3,false),vlookup(A38,'Cash Recipts Forecasting'!$H$5:$L$64,3,false))</f>
        <v>458998.3139</v>
      </c>
      <c r="G38" s="107">
        <f t="shared" si="2"/>
        <v>275398.9884</v>
      </c>
      <c r="H38" s="119">
        <f>if(Drivers!$C$10=Drivers!$C$9,IF(AND(J37&lt;Drivers!$C$9,A38&lt;Drivers!$C$7),MIN((Drivers!$C$5*Drivers!$C$9)-I37,E38*G37),IF(J37&gt;=Drivers!$C$9,0,(Drivers!$C$5*Drivers!$C$9)-I37)),IF(AND(J37&lt;Drivers!$C$10,A38&lt;Drivers!$C$8),MIN((Drivers!$C$5*Drivers!$C$10)-I37,E38*G37),IF(J37&gt;=Drivers!$C$10,0,(Drivers!$C$5*Drivers!$C$10)-I37)))</f>
        <v>16199.94049</v>
      </c>
      <c r="I38" s="116">
        <f t="shared" si="5"/>
        <v>415763.4313</v>
      </c>
      <c r="J38" s="117">
        <f>I38/Drivers!$C$5</f>
        <v>1.385878104</v>
      </c>
      <c r="K38" s="118">
        <f t="shared" si="6"/>
        <v>0.2542715472</v>
      </c>
    </row>
    <row r="39">
      <c r="A39" s="110">
        <f t="shared" si="3"/>
        <v>34</v>
      </c>
      <c r="B39" s="102">
        <f>if(day(Drivers!$C$6)&gt;1,eomonth(B38,0)+1,EDATE(B38,1))</f>
        <v>44743</v>
      </c>
      <c r="C39" s="112">
        <f t="shared" si="4"/>
        <v>0.02</v>
      </c>
      <c r="D39" s="112">
        <f>if($A39&lt;=Drivers!$C$19,Drivers!$E$19,if(and($A39&gt;Drivers!$C$19,$A39&lt;=Drivers!$C$20),Drivers!$E$20,if(and($A39&gt;Drivers!$C$20,$A39&lt;=Drivers!$C$21),Drivers!$E$21,Drivers!$E$22)))</f>
        <v>0.4</v>
      </c>
      <c r="E39" s="113">
        <f>if(Drivers!$C$14="Fixed",Drivers!$C$25,if(A39&lt;=Drivers!$C$19,Drivers!$C$26,if(and(A39&gt;Drivers!$C$19,A39&lt;=Drivers!$C$20),Drivers!$C$27,if(and(A39&gt;Drivers!$C$20,A39&lt;=Drivers!$C$21),Drivers!$C$28,0))))</f>
        <v>0.06</v>
      </c>
      <c r="F39" s="107">
        <f>if(Drivers!$C$13="Forecast Driven",vlookup(A39,'Cash Recipts Forecasting'!$B$5:$F$64,3,false),vlookup(A39,'Cash Recipts Forecasting'!$H$5:$L$64,3,false))</f>
        <v>468178.2802</v>
      </c>
      <c r="G39" s="107">
        <f t="shared" si="2"/>
        <v>280906.9681</v>
      </c>
      <c r="H39" s="119">
        <f>if(Drivers!$C$10=Drivers!$C$9,IF(AND(J38&lt;Drivers!$C$9,A39&lt;Drivers!$C$7),MIN((Drivers!$C$5*Drivers!$C$9)-I38,E39*G38),IF(J38&gt;=Drivers!$C$9,0,(Drivers!$C$5*Drivers!$C$9)-I38)),IF(AND(J38&lt;Drivers!$C$10,A39&lt;Drivers!$C$8),MIN((Drivers!$C$5*Drivers!$C$10)-I38,E39*G38),IF(J38&gt;=Drivers!$C$10,0,(Drivers!$C$5*Drivers!$C$10)-I38)))</f>
        <v>16523.9393</v>
      </c>
      <c r="I39" s="116">
        <f t="shared" si="5"/>
        <v>432287.3706</v>
      </c>
      <c r="J39" s="117">
        <f>I39/Drivers!$C$5</f>
        <v>1.440957902</v>
      </c>
      <c r="K39" s="118">
        <f t="shared" si="6"/>
        <v>0.2792131588</v>
      </c>
    </row>
    <row r="40">
      <c r="A40" s="110">
        <f t="shared" si="3"/>
        <v>35</v>
      </c>
      <c r="B40" s="102">
        <f>if(day(Drivers!$C$6)&gt;1,eomonth(B39,0)+1,EDATE(B39,1))</f>
        <v>44774</v>
      </c>
      <c r="C40" s="112">
        <f t="shared" si="4"/>
        <v>0.02</v>
      </c>
      <c r="D40" s="112">
        <f>if($A40&lt;=Drivers!$C$19,Drivers!$E$19,if(and($A40&gt;Drivers!$C$19,$A40&lt;=Drivers!$C$20),Drivers!$E$20,if(and($A40&gt;Drivers!$C$20,$A40&lt;=Drivers!$C$21),Drivers!$E$21,Drivers!$E$22)))</f>
        <v>0.4</v>
      </c>
      <c r="E40" s="113">
        <f>if(Drivers!$C$14="Fixed",Drivers!$C$25,if(A40&lt;=Drivers!$C$19,Drivers!$C$26,if(and(A40&gt;Drivers!$C$19,A40&lt;=Drivers!$C$20),Drivers!$C$27,if(and(A40&gt;Drivers!$C$20,A40&lt;=Drivers!$C$21),Drivers!$C$28,0))))</f>
        <v>0.06</v>
      </c>
      <c r="F40" s="107">
        <f>if(Drivers!$C$13="Forecast Driven",vlookup(A40,'Cash Recipts Forecasting'!$B$5:$F$64,3,false),vlookup(A40,'Cash Recipts Forecasting'!$H$5:$L$64,3,false))</f>
        <v>477541.8458</v>
      </c>
      <c r="G40" s="107">
        <f t="shared" si="2"/>
        <v>286525.1075</v>
      </c>
      <c r="H40" s="119">
        <f>if(Drivers!$C$10=Drivers!$C$9,IF(AND(J39&lt;Drivers!$C$9,A40&lt;Drivers!$C$7),MIN((Drivers!$C$5*Drivers!$C$9)-I39,E40*G39),IF(J39&gt;=Drivers!$C$9,0,(Drivers!$C$5*Drivers!$C$9)-I39)),IF(AND(J39&lt;Drivers!$C$10,A40&lt;Drivers!$C$8),MIN((Drivers!$C$5*Drivers!$C$10)-I39,E40*G39),IF(J39&gt;=Drivers!$C$10,0,(Drivers!$C$5*Drivers!$C$10)-I39)))</f>
        <v>16854.41809</v>
      </c>
      <c r="I40" s="116">
        <f t="shared" si="5"/>
        <v>449141.7887</v>
      </c>
      <c r="J40" s="117">
        <f>I40/Drivers!$C$5</f>
        <v>1.497139296</v>
      </c>
      <c r="K40" s="118">
        <f t="shared" si="6"/>
        <v>0.3028162848</v>
      </c>
    </row>
    <row r="41">
      <c r="A41" s="110">
        <f t="shared" si="3"/>
        <v>36</v>
      </c>
      <c r="B41" s="102">
        <f>if(day(Drivers!$C$6)&gt;1,eomonth(B40,0)+1,EDATE(B40,1))</f>
        <v>44805</v>
      </c>
      <c r="C41" s="112">
        <f t="shared" si="4"/>
        <v>0.02</v>
      </c>
      <c r="D41" s="112">
        <f>if($A41&lt;=Drivers!$C$19,Drivers!$E$19,if(and($A41&gt;Drivers!$C$19,$A41&lt;=Drivers!$C$20),Drivers!$E$20,if(and($A41&gt;Drivers!$C$20,$A41&lt;=Drivers!$C$21),Drivers!$E$21,Drivers!$E$22)))</f>
        <v>0.4</v>
      </c>
      <c r="E41" s="113">
        <f>if(Drivers!$C$14="Fixed",Drivers!$C$25,if(A41&lt;=Drivers!$C$19,Drivers!$C$26,if(and(A41&gt;Drivers!$C$19,A41&lt;=Drivers!$C$20),Drivers!$C$27,if(and(A41&gt;Drivers!$C$20,A41&lt;=Drivers!$C$21),Drivers!$C$28,0))))</f>
        <v>0.06</v>
      </c>
      <c r="F41" s="107">
        <f>if(Drivers!$C$13="Forecast Driven",vlookup(A41,'Cash Recipts Forecasting'!$B$5:$F$64,3,false),vlookup(A41,'Cash Recipts Forecasting'!$H$5:$L$64,3,false))</f>
        <v>487092.6827</v>
      </c>
      <c r="G41" s="107">
        <f t="shared" si="2"/>
        <v>292255.6096</v>
      </c>
      <c r="H41" s="119">
        <f>if(Drivers!$C$10=Drivers!$C$9,IF(AND(J40&lt;Drivers!$C$9,A41&lt;Drivers!$C$7),MIN((Drivers!$C$5*Drivers!$C$9)-I40,E41*G40),IF(J40&gt;=Drivers!$C$9,0,(Drivers!$C$5*Drivers!$C$9)-I40)),IF(AND(J40&lt;Drivers!$C$10,A41&lt;Drivers!$C$8),MIN((Drivers!$C$5*Drivers!$C$10)-I40,E41*G40),IF(J40&gt;=Drivers!$C$10,0,(Drivers!$C$5*Drivers!$C$10)-I40)))</f>
        <v>858.2113104</v>
      </c>
      <c r="I41" s="116">
        <f t="shared" si="5"/>
        <v>450000</v>
      </c>
      <c r="J41" s="117">
        <f>I41/Drivers!$C$5</f>
        <v>1.5</v>
      </c>
      <c r="K41" s="118">
        <f t="shared" si="6"/>
        <v>0.3039593277</v>
      </c>
    </row>
    <row r="42">
      <c r="A42" s="110">
        <f t="shared" si="3"/>
        <v>37</v>
      </c>
      <c r="B42" s="102">
        <f>if(day(Drivers!$C$6)&gt;1,eomonth(B41,0)+1,EDATE(B41,1))</f>
        <v>44835</v>
      </c>
      <c r="C42" s="112">
        <f t="shared" si="4"/>
        <v>0.01</v>
      </c>
      <c r="D42" s="112">
        <f>if($A42&lt;=Drivers!$C$19,Drivers!$E$19,if(and($A42&gt;Drivers!$C$19,$A42&lt;=Drivers!$C$20),Drivers!$E$20,if(and($A42&gt;Drivers!$C$20,$A42&lt;=Drivers!$C$21),Drivers!$E$21,Drivers!$E$22)))</f>
        <v>0.5</v>
      </c>
      <c r="E42" s="113">
        <f>if(Drivers!$C$14="Fixed",Drivers!$C$25,if(A42&lt;=Drivers!$C$19,Drivers!$C$26,if(and(A42&gt;Drivers!$C$19,A42&lt;=Drivers!$C$20),Drivers!$C$27,if(and(A42&gt;Drivers!$C$20,A42&lt;=Drivers!$C$21),Drivers!$C$28,0))))</f>
        <v>0.06</v>
      </c>
      <c r="F42" s="114">
        <f>F41*(1+Drivers!$D$22)</f>
        <v>491963.6096</v>
      </c>
      <c r="G42" s="107">
        <f t="shared" si="2"/>
        <v>245981.8048</v>
      </c>
      <c r="H42" s="119">
        <f>if(Drivers!$C$10=Drivers!$C$9,IF(AND(J41&lt;Drivers!$C$9,A42&lt;Drivers!$C$7),MIN((Drivers!$C$5*Drivers!$C$9)-I41,E42*G41),IF(J41&gt;=Drivers!$C$9,0,(Drivers!$C$5*Drivers!$C$9)-I41)),IF(AND(J41&lt;Drivers!$C$10,A42&lt;Drivers!$C$8),MIN((Drivers!$C$5*Drivers!$C$10)-I41,E42*G41),IF(J41&gt;=Drivers!$C$10,0,(Drivers!$C$5*Drivers!$C$10)-I41)))</f>
        <v>0</v>
      </c>
      <c r="I42" s="116">
        <f t="shared" si="5"/>
        <v>450000</v>
      </c>
      <c r="J42" s="117">
        <f>I42/Drivers!$C$5</f>
        <v>1.5</v>
      </c>
      <c r="K42" s="118">
        <f t="shared" si="6"/>
        <v>0.3039593277</v>
      </c>
    </row>
    <row r="43">
      <c r="A43" s="110">
        <f t="shared" si="3"/>
        <v>38</v>
      </c>
      <c r="B43" s="102">
        <f>if(day(Drivers!$C$6)&gt;1,eomonth(B42,0)+1,EDATE(B42,1))</f>
        <v>44866</v>
      </c>
      <c r="C43" s="112">
        <f t="shared" si="4"/>
        <v>0.01</v>
      </c>
      <c r="D43" s="112">
        <f>if($A43&lt;=Drivers!$C$19,Drivers!$E$19,if(and($A43&gt;Drivers!$C$19,$A43&lt;=Drivers!$C$20),Drivers!$E$20,if(and($A43&gt;Drivers!$C$20,$A43&lt;=Drivers!$C$21),Drivers!$E$21,Drivers!$E$22)))</f>
        <v>0.5</v>
      </c>
      <c r="E43" s="113">
        <f>if(Drivers!$C$14="Fixed",Drivers!$C$25,if(A43&lt;=Drivers!$C$19,Drivers!$C$26,if(and(A43&gt;Drivers!$C$19,A43&lt;=Drivers!$C$20),Drivers!$C$27,if(and(A43&gt;Drivers!$C$20,A43&lt;=Drivers!$C$21),Drivers!$C$28,0))))</f>
        <v>0.06</v>
      </c>
      <c r="F43" s="107">
        <f>F42*(1+Drivers!$D$22)</f>
        <v>496883.2456</v>
      </c>
      <c r="G43" s="107">
        <f t="shared" si="2"/>
        <v>248441.6228</v>
      </c>
      <c r="H43" s="119">
        <f>if(Drivers!$C$10=Drivers!$C$9,IF(AND(J42&lt;Drivers!$C$9,A43&lt;Drivers!$C$7),MIN((Drivers!$C$5*Drivers!$C$9)-I42,E43*G42),IF(J42&gt;=Drivers!$C$9,0,(Drivers!$C$5*Drivers!$C$9)-I42)),IF(AND(J42&lt;Drivers!$C$10,A43&lt;Drivers!$C$8),MIN((Drivers!$C$5*Drivers!$C$10)-I42,E43*G42),IF(J42&gt;=Drivers!$C$10,0,(Drivers!$C$5*Drivers!$C$10)-I42)))</f>
        <v>0</v>
      </c>
      <c r="I43" s="116">
        <f t="shared" si="5"/>
        <v>450000</v>
      </c>
      <c r="J43" s="117">
        <f>I43/Drivers!$C$5</f>
        <v>1.5</v>
      </c>
      <c r="K43" s="118">
        <f t="shared" si="6"/>
        <v>0.3039593277</v>
      </c>
    </row>
    <row r="44">
      <c r="A44" s="110">
        <f t="shared" si="3"/>
        <v>39</v>
      </c>
      <c r="B44" s="102">
        <f>if(day(Drivers!$C$6)&gt;1,eomonth(B43,0)+1,EDATE(B43,1))</f>
        <v>44896</v>
      </c>
      <c r="C44" s="112">
        <f t="shared" si="4"/>
        <v>0.01</v>
      </c>
      <c r="D44" s="112">
        <f>if($A44&lt;=Drivers!$C$19,Drivers!$E$19,if(and($A44&gt;Drivers!$C$19,$A44&lt;=Drivers!$C$20),Drivers!$E$20,if(and($A44&gt;Drivers!$C$20,$A44&lt;=Drivers!$C$21),Drivers!$E$21,Drivers!$E$22)))</f>
        <v>0.5</v>
      </c>
      <c r="E44" s="113">
        <f>if(Drivers!$C$14="Fixed",Drivers!$C$25,if(A44&lt;=Drivers!$C$19,Drivers!$C$26,if(and(A44&gt;Drivers!$C$19,A44&lt;=Drivers!$C$20),Drivers!$C$27,if(and(A44&gt;Drivers!$C$20,A44&lt;=Drivers!$C$21),Drivers!$C$28,0))))</f>
        <v>0.06</v>
      </c>
      <c r="F44" s="107">
        <f>F43*(1+Drivers!$D$22)</f>
        <v>501852.0781</v>
      </c>
      <c r="G44" s="107">
        <f t="shared" si="2"/>
        <v>250926.0391</v>
      </c>
      <c r="H44" s="119">
        <f>if(Drivers!$C$10=Drivers!$C$9,IF(AND(J43&lt;Drivers!$C$9,A44&lt;Drivers!$C$7),MIN((Drivers!$C$5*Drivers!$C$9)-I43,E44*G43),IF(J43&gt;=Drivers!$C$9,0,(Drivers!$C$5*Drivers!$C$9)-I43)),IF(AND(J43&lt;Drivers!$C$10,A44&lt;Drivers!$C$8),MIN((Drivers!$C$5*Drivers!$C$10)-I43,E44*G43),IF(J43&gt;=Drivers!$C$10,0,(Drivers!$C$5*Drivers!$C$10)-I43)))</f>
        <v>0</v>
      </c>
      <c r="I44" s="116">
        <f t="shared" si="5"/>
        <v>450000</v>
      </c>
      <c r="J44" s="117">
        <f>I44/Drivers!$C$5</f>
        <v>1.5</v>
      </c>
      <c r="K44" s="118">
        <f t="shared" si="6"/>
        <v>0.3039593277</v>
      </c>
    </row>
    <row r="45">
      <c r="A45" s="110">
        <f t="shared" si="3"/>
        <v>40</v>
      </c>
      <c r="B45" s="102">
        <f>if(day(Drivers!$C$6)&gt;1,eomonth(B44,0)+1,EDATE(B44,1))</f>
        <v>44927</v>
      </c>
      <c r="C45" s="112">
        <f t="shared" si="4"/>
        <v>0.01</v>
      </c>
      <c r="D45" s="112">
        <f>if($A45&lt;=Drivers!$C$19,Drivers!$E$19,if(and($A45&gt;Drivers!$C$19,$A45&lt;=Drivers!$C$20),Drivers!$E$20,if(and($A45&gt;Drivers!$C$20,$A45&lt;=Drivers!$C$21),Drivers!$E$21,Drivers!$E$22)))</f>
        <v>0.5</v>
      </c>
      <c r="E45" s="113">
        <f>if(Drivers!$C$14="Fixed",Drivers!$C$25,if(A45&lt;=Drivers!$C$19,Drivers!$C$26,if(and(A45&gt;Drivers!$C$19,A45&lt;=Drivers!$C$20),Drivers!$C$27,if(and(A45&gt;Drivers!$C$20,A45&lt;=Drivers!$C$21),Drivers!$C$28,0))))</f>
        <v>0.06</v>
      </c>
      <c r="F45" s="107">
        <f>F44*(1+Drivers!$D$22)</f>
        <v>506870.5989</v>
      </c>
      <c r="G45" s="107">
        <f t="shared" si="2"/>
        <v>253435.2994</v>
      </c>
      <c r="H45" s="119">
        <f>if(Drivers!$C$10=Drivers!$C$9,IF(AND(J44&lt;Drivers!$C$9,A45&lt;Drivers!$C$7),MIN((Drivers!$C$5*Drivers!$C$9)-I44,E45*G44),IF(J44&gt;=Drivers!$C$9,0,(Drivers!$C$5*Drivers!$C$9)-I44)),IF(AND(J44&lt;Drivers!$C$10,A45&lt;Drivers!$C$8),MIN((Drivers!$C$5*Drivers!$C$10)-I44,E45*G44),IF(J44&gt;=Drivers!$C$10,0,(Drivers!$C$5*Drivers!$C$10)-I44)))</f>
        <v>0</v>
      </c>
      <c r="I45" s="116">
        <f t="shared" si="5"/>
        <v>450000</v>
      </c>
      <c r="J45" s="117">
        <f>I45/Drivers!$C$5</f>
        <v>1.5</v>
      </c>
      <c r="K45" s="118">
        <f t="shared" si="6"/>
        <v>0.3039593277</v>
      </c>
    </row>
    <row r="46">
      <c r="A46" s="110">
        <f t="shared" si="3"/>
        <v>41</v>
      </c>
      <c r="B46" s="102">
        <f>if(day(Drivers!$C$6)&gt;1,eomonth(B45,0)+1,EDATE(B45,1))</f>
        <v>44958</v>
      </c>
      <c r="C46" s="112">
        <f t="shared" si="4"/>
        <v>0.01</v>
      </c>
      <c r="D46" s="112">
        <f>if($A46&lt;=Drivers!$C$19,Drivers!$E$19,if(and($A46&gt;Drivers!$C$19,$A46&lt;=Drivers!$C$20),Drivers!$E$20,if(and($A46&gt;Drivers!$C$20,$A46&lt;=Drivers!$C$21),Drivers!$E$21,Drivers!$E$22)))</f>
        <v>0.5</v>
      </c>
      <c r="E46" s="113">
        <f>if(Drivers!$C$14="Fixed",Drivers!$C$25,if(A46&lt;=Drivers!$C$19,Drivers!$C$26,if(and(A46&gt;Drivers!$C$19,A46&lt;=Drivers!$C$20),Drivers!$C$27,if(and(A46&gt;Drivers!$C$20,A46&lt;=Drivers!$C$21),Drivers!$C$28,0))))</f>
        <v>0.06</v>
      </c>
      <c r="F46" s="107">
        <f>F45*(1+Drivers!$D$22)</f>
        <v>511939.3049</v>
      </c>
      <c r="G46" s="107">
        <f t="shared" si="2"/>
        <v>255969.6524</v>
      </c>
      <c r="H46" s="119">
        <f>if(Drivers!$C$10=Drivers!$C$9,IF(AND(J45&lt;Drivers!$C$9,A46&lt;Drivers!$C$7),MIN((Drivers!$C$5*Drivers!$C$9)-I45,E46*G45),IF(J45&gt;=Drivers!$C$9,0,(Drivers!$C$5*Drivers!$C$9)-I45)),IF(AND(J45&lt;Drivers!$C$10,A46&lt;Drivers!$C$8),MIN((Drivers!$C$5*Drivers!$C$10)-I45,E46*G45),IF(J45&gt;=Drivers!$C$10,0,(Drivers!$C$5*Drivers!$C$10)-I45)))</f>
        <v>0</v>
      </c>
      <c r="I46" s="116">
        <f t="shared" si="5"/>
        <v>450000</v>
      </c>
      <c r="J46" s="117">
        <f>I46/Drivers!$C$5</f>
        <v>1.5</v>
      </c>
      <c r="K46" s="118">
        <f t="shared" si="6"/>
        <v>0.3039593277</v>
      </c>
    </row>
    <row r="47">
      <c r="A47" s="110">
        <f t="shared" si="3"/>
        <v>42</v>
      </c>
      <c r="B47" s="102">
        <f>if(day(Drivers!$C$6)&gt;1,eomonth(B46,0)+1,EDATE(B46,1))</f>
        <v>44986</v>
      </c>
      <c r="C47" s="112">
        <f t="shared" si="4"/>
        <v>0.01</v>
      </c>
      <c r="D47" s="112">
        <f>if($A47&lt;=Drivers!$C$19,Drivers!$E$19,if(and($A47&gt;Drivers!$C$19,$A47&lt;=Drivers!$C$20),Drivers!$E$20,if(and($A47&gt;Drivers!$C$20,$A47&lt;=Drivers!$C$21),Drivers!$E$21,Drivers!$E$22)))</f>
        <v>0.5</v>
      </c>
      <c r="E47" s="113">
        <f>if(Drivers!$C$14="Fixed",Drivers!$C$25,if(A47&lt;=Drivers!$C$19,Drivers!$C$26,if(and(A47&gt;Drivers!$C$19,A47&lt;=Drivers!$C$20),Drivers!$C$27,if(and(A47&gt;Drivers!$C$20,A47&lt;=Drivers!$C$21),Drivers!$C$28,0))))</f>
        <v>0.06</v>
      </c>
      <c r="F47" s="107">
        <f>F46*(1+Drivers!$D$22)</f>
        <v>517058.6979</v>
      </c>
      <c r="G47" s="107">
        <f t="shared" si="2"/>
        <v>258529.349</v>
      </c>
      <c r="H47" s="119">
        <f>if(Drivers!$C$10=Drivers!$C$9,IF(AND(J46&lt;Drivers!$C$9,A47&lt;Drivers!$C$7),MIN((Drivers!$C$5*Drivers!$C$9)-I46,E47*G46),IF(J46&gt;=Drivers!$C$9,0,(Drivers!$C$5*Drivers!$C$9)-I46)),IF(AND(J46&lt;Drivers!$C$10,A47&lt;Drivers!$C$8),MIN((Drivers!$C$5*Drivers!$C$10)-I46,E47*G46),IF(J46&gt;=Drivers!$C$10,0,(Drivers!$C$5*Drivers!$C$10)-I46)))</f>
        <v>0</v>
      </c>
      <c r="I47" s="116">
        <f t="shared" si="5"/>
        <v>450000</v>
      </c>
      <c r="J47" s="117">
        <f>I47/Drivers!$C$5</f>
        <v>1.5</v>
      </c>
      <c r="K47" s="118">
        <f t="shared" si="6"/>
        <v>0.3039593277</v>
      </c>
    </row>
    <row r="48">
      <c r="A48" s="110">
        <f t="shared" si="3"/>
        <v>43</v>
      </c>
      <c r="B48" s="102">
        <f>if(day(Drivers!$C$6)&gt;1,eomonth(B47,0)+1,EDATE(B47,1))</f>
        <v>45017</v>
      </c>
      <c r="C48" s="112">
        <f t="shared" si="4"/>
        <v>0.01</v>
      </c>
      <c r="D48" s="112">
        <f>if($A48&lt;=Drivers!$C$19,Drivers!$E$19,if(and($A48&gt;Drivers!$C$19,$A48&lt;=Drivers!$C$20),Drivers!$E$20,if(and($A48&gt;Drivers!$C$20,$A48&lt;=Drivers!$C$21),Drivers!$E$21,Drivers!$E$22)))</f>
        <v>0.5</v>
      </c>
      <c r="E48" s="113">
        <f>if(Drivers!$C$14="Fixed",Drivers!$C$25,if(A48&lt;=Drivers!$C$19,Drivers!$C$26,if(and(A48&gt;Drivers!$C$19,A48&lt;=Drivers!$C$20),Drivers!$C$27,if(and(A48&gt;Drivers!$C$20,A48&lt;=Drivers!$C$21),Drivers!$C$28,0))))</f>
        <v>0.06</v>
      </c>
      <c r="F48" s="107">
        <f>F47*(1+Drivers!$D$22)</f>
        <v>522229.2849</v>
      </c>
      <c r="G48" s="107">
        <f t="shared" si="2"/>
        <v>261114.6425</v>
      </c>
      <c r="H48" s="119">
        <f>if(Drivers!$C$10=Drivers!$C$9,IF(AND(J47&lt;Drivers!$C$9,A48&lt;Drivers!$C$7),MIN((Drivers!$C$5*Drivers!$C$9)-I47,E48*G47),IF(J47&gt;=Drivers!$C$9,0,(Drivers!$C$5*Drivers!$C$9)-I47)),IF(AND(J47&lt;Drivers!$C$10,A48&lt;Drivers!$C$8),MIN((Drivers!$C$5*Drivers!$C$10)-I47,E48*G47),IF(J47&gt;=Drivers!$C$10,0,(Drivers!$C$5*Drivers!$C$10)-I47)))</f>
        <v>0</v>
      </c>
      <c r="I48" s="116">
        <f t="shared" si="5"/>
        <v>450000</v>
      </c>
      <c r="J48" s="117">
        <f>I48/Drivers!$C$5</f>
        <v>1.5</v>
      </c>
      <c r="K48" s="118">
        <f t="shared" si="6"/>
        <v>0.3039593277</v>
      </c>
    </row>
    <row r="49">
      <c r="A49" s="110">
        <f t="shared" si="3"/>
        <v>44</v>
      </c>
      <c r="B49" s="102">
        <f>if(day(Drivers!$C$6)&gt;1,eomonth(B48,0)+1,EDATE(B48,1))</f>
        <v>45047</v>
      </c>
      <c r="C49" s="112">
        <f t="shared" si="4"/>
        <v>0.01</v>
      </c>
      <c r="D49" s="112">
        <f>if($A49&lt;=Drivers!$C$19,Drivers!$E$19,if(and($A49&gt;Drivers!$C$19,$A49&lt;=Drivers!$C$20),Drivers!$E$20,if(and($A49&gt;Drivers!$C$20,$A49&lt;=Drivers!$C$21),Drivers!$E$21,Drivers!$E$22)))</f>
        <v>0.5</v>
      </c>
      <c r="E49" s="113">
        <f>if(Drivers!$C$14="Fixed",Drivers!$C$25,if(A49&lt;=Drivers!$C$19,Drivers!$C$26,if(and(A49&gt;Drivers!$C$19,A49&lt;=Drivers!$C$20),Drivers!$C$27,if(and(A49&gt;Drivers!$C$20,A49&lt;=Drivers!$C$21),Drivers!$C$28,0))))</f>
        <v>0.06</v>
      </c>
      <c r="F49" s="107">
        <f>F48*(1+Drivers!$D$22)</f>
        <v>527451.5778</v>
      </c>
      <c r="G49" s="107">
        <f t="shared" si="2"/>
        <v>263725.7889</v>
      </c>
      <c r="H49" s="119">
        <f>if(Drivers!$C$10=Drivers!$C$9,IF(AND(J48&lt;Drivers!$C$9,A49&lt;Drivers!$C$7),MIN((Drivers!$C$5*Drivers!$C$9)-I48,E49*G48),IF(J48&gt;=Drivers!$C$9,0,(Drivers!$C$5*Drivers!$C$9)-I48)),IF(AND(J48&lt;Drivers!$C$10,A49&lt;Drivers!$C$8),MIN((Drivers!$C$5*Drivers!$C$10)-I48,E49*G48),IF(J48&gt;=Drivers!$C$10,0,(Drivers!$C$5*Drivers!$C$10)-I48)))</f>
        <v>0</v>
      </c>
      <c r="I49" s="116">
        <f t="shared" si="5"/>
        <v>450000</v>
      </c>
      <c r="J49" s="117">
        <f>I49/Drivers!$C$5</f>
        <v>1.5</v>
      </c>
      <c r="K49" s="118">
        <f t="shared" si="6"/>
        <v>0.3039593277</v>
      </c>
    </row>
    <row r="50">
      <c r="A50" s="110">
        <f t="shared" si="3"/>
        <v>45</v>
      </c>
      <c r="B50" s="102">
        <f>if(day(Drivers!$C$6)&gt;1,eomonth(B49,0)+1,EDATE(B49,1))</f>
        <v>45078</v>
      </c>
      <c r="C50" s="112">
        <f t="shared" si="4"/>
        <v>0.01</v>
      </c>
      <c r="D50" s="112">
        <f>if($A50&lt;=Drivers!$C$19,Drivers!$E$19,if(and($A50&gt;Drivers!$C$19,$A50&lt;=Drivers!$C$20),Drivers!$E$20,if(and($A50&gt;Drivers!$C$20,$A50&lt;=Drivers!$C$21),Drivers!$E$21,Drivers!$E$22)))</f>
        <v>0.5</v>
      </c>
      <c r="E50" s="113">
        <f>if(Drivers!$C$14="Fixed",Drivers!$C$25,if(A50&lt;=Drivers!$C$19,Drivers!$C$26,if(and(A50&gt;Drivers!$C$19,A50&lt;=Drivers!$C$20),Drivers!$C$27,if(and(A50&gt;Drivers!$C$20,A50&lt;=Drivers!$C$21),Drivers!$C$28,0))))</f>
        <v>0.06</v>
      </c>
      <c r="F50" s="107">
        <f>F49*(1+Drivers!$D$22)</f>
        <v>532726.0935</v>
      </c>
      <c r="G50" s="107">
        <f t="shared" si="2"/>
        <v>266363.0468</v>
      </c>
      <c r="H50" s="119">
        <f>if(Drivers!$C$10=Drivers!$C$9,IF(AND(J49&lt;Drivers!$C$9,A50&lt;Drivers!$C$7),MIN((Drivers!$C$5*Drivers!$C$9)-I49,E50*G49),IF(J49&gt;=Drivers!$C$9,0,(Drivers!$C$5*Drivers!$C$9)-I49)),IF(AND(J49&lt;Drivers!$C$10,A50&lt;Drivers!$C$8),MIN((Drivers!$C$5*Drivers!$C$10)-I49,E50*G49),IF(J49&gt;=Drivers!$C$10,0,(Drivers!$C$5*Drivers!$C$10)-I49)))</f>
        <v>0</v>
      </c>
      <c r="I50" s="116">
        <f t="shared" si="5"/>
        <v>450000</v>
      </c>
      <c r="J50" s="117">
        <f>I50/Drivers!$C$5</f>
        <v>1.5</v>
      </c>
      <c r="K50" s="118">
        <f t="shared" si="6"/>
        <v>0.3039593277</v>
      </c>
    </row>
    <row r="51">
      <c r="A51" s="110">
        <f t="shared" si="3"/>
        <v>46</v>
      </c>
      <c r="B51" s="102">
        <f>if(day(Drivers!$C$6)&gt;1,eomonth(B50,0)+1,EDATE(B50,1))</f>
        <v>45108</v>
      </c>
      <c r="C51" s="112">
        <f t="shared" si="4"/>
        <v>0.01</v>
      </c>
      <c r="D51" s="112">
        <f>if($A51&lt;=Drivers!$C$19,Drivers!$E$19,if(and($A51&gt;Drivers!$C$19,$A51&lt;=Drivers!$C$20),Drivers!$E$20,if(and($A51&gt;Drivers!$C$20,$A51&lt;=Drivers!$C$21),Drivers!$E$21,Drivers!$E$22)))</f>
        <v>0.5</v>
      </c>
      <c r="E51" s="113">
        <f>if(Drivers!$C$14="Fixed",Drivers!$C$25,if(A51&lt;=Drivers!$C$19,Drivers!$C$26,if(and(A51&gt;Drivers!$C$19,A51&lt;=Drivers!$C$20),Drivers!$C$27,if(and(A51&gt;Drivers!$C$20,A51&lt;=Drivers!$C$21),Drivers!$C$28,0))))</f>
        <v>0.06</v>
      </c>
      <c r="F51" s="107">
        <f>F50*(1+Drivers!$D$22)</f>
        <v>538053.3545</v>
      </c>
      <c r="G51" s="107">
        <f t="shared" si="2"/>
        <v>269026.6772</v>
      </c>
      <c r="H51" s="119">
        <f>if(Drivers!$C$10=Drivers!$C$9,IF(AND(J50&lt;Drivers!$C$9,A51&lt;Drivers!$C$7),MIN((Drivers!$C$5*Drivers!$C$9)-I50,E51*G50),IF(J50&gt;=Drivers!$C$9,0,(Drivers!$C$5*Drivers!$C$9)-I50)),IF(AND(J50&lt;Drivers!$C$10,A51&lt;Drivers!$C$8),MIN((Drivers!$C$5*Drivers!$C$10)-I50,E51*G50),IF(J50&gt;=Drivers!$C$10,0,(Drivers!$C$5*Drivers!$C$10)-I50)))</f>
        <v>0</v>
      </c>
      <c r="I51" s="116">
        <f t="shared" si="5"/>
        <v>450000</v>
      </c>
      <c r="J51" s="117">
        <f>I51/Drivers!$C$5</f>
        <v>1.5</v>
      </c>
      <c r="K51" s="118">
        <f t="shared" si="6"/>
        <v>0.3039593277</v>
      </c>
    </row>
    <row r="52">
      <c r="A52" s="110">
        <f t="shared" si="3"/>
        <v>47</v>
      </c>
      <c r="B52" s="102">
        <f>if(day(Drivers!$C$6)&gt;1,eomonth(B51,0)+1,EDATE(B51,1))</f>
        <v>45139</v>
      </c>
      <c r="C52" s="112">
        <f t="shared" si="4"/>
        <v>0.01</v>
      </c>
      <c r="D52" s="112">
        <f>if($A52&lt;=Drivers!$C$19,Drivers!$E$19,if(and($A52&gt;Drivers!$C$19,$A52&lt;=Drivers!$C$20),Drivers!$E$20,if(and($A52&gt;Drivers!$C$20,$A52&lt;=Drivers!$C$21),Drivers!$E$21,Drivers!$E$22)))</f>
        <v>0.5</v>
      </c>
      <c r="E52" s="113">
        <f>if(Drivers!$C$14="Fixed",Drivers!$C$25,if(A52&lt;=Drivers!$C$19,Drivers!$C$26,if(and(A52&gt;Drivers!$C$19,A52&lt;=Drivers!$C$20),Drivers!$C$27,if(and(A52&gt;Drivers!$C$20,A52&lt;=Drivers!$C$21),Drivers!$C$28,0))))</f>
        <v>0.06</v>
      </c>
      <c r="F52" s="107">
        <f>F51*(1+Drivers!$D$22)</f>
        <v>543433.888</v>
      </c>
      <c r="G52" s="107">
        <f t="shared" si="2"/>
        <v>271716.944</v>
      </c>
      <c r="H52" s="119">
        <f>if(Drivers!$C$10=Drivers!$C$9,IF(AND(J51&lt;Drivers!$C$9,A52&lt;Drivers!$C$7),MIN((Drivers!$C$5*Drivers!$C$9)-I51,E52*G51),IF(J51&gt;=Drivers!$C$9,0,(Drivers!$C$5*Drivers!$C$9)-I51)),IF(AND(J51&lt;Drivers!$C$10,A52&lt;Drivers!$C$8),MIN((Drivers!$C$5*Drivers!$C$10)-I51,E52*G51),IF(J51&gt;=Drivers!$C$10,0,(Drivers!$C$5*Drivers!$C$10)-I51)))</f>
        <v>0</v>
      </c>
      <c r="I52" s="116">
        <f t="shared" si="5"/>
        <v>450000</v>
      </c>
      <c r="J52" s="117">
        <f>I52/Drivers!$C$5</f>
        <v>1.5</v>
      </c>
      <c r="K52" s="118">
        <f t="shared" si="6"/>
        <v>0.3039593277</v>
      </c>
    </row>
    <row r="53">
      <c r="A53" s="110">
        <f t="shared" si="3"/>
        <v>48</v>
      </c>
      <c r="B53" s="102">
        <f>if(day(Drivers!$C$6)&gt;1,eomonth(B52,0)+1,EDATE(B52,1))</f>
        <v>45170</v>
      </c>
      <c r="C53" s="112">
        <f t="shared" si="4"/>
        <v>0.01</v>
      </c>
      <c r="D53" s="112">
        <f>if($A53&lt;=Drivers!$C$19,Drivers!$E$19,if(and($A53&gt;Drivers!$C$19,$A53&lt;=Drivers!$C$20),Drivers!$E$20,if(and($A53&gt;Drivers!$C$20,$A53&lt;=Drivers!$C$21),Drivers!$E$21,Drivers!$E$22)))</f>
        <v>0.5</v>
      </c>
      <c r="E53" s="113">
        <f>if(Drivers!$C$14="Fixed",Drivers!$C$25,if(A53&lt;=Drivers!$C$19,Drivers!$C$26,if(and(A53&gt;Drivers!$C$19,A53&lt;=Drivers!$C$20),Drivers!$C$27,if(and(A53&gt;Drivers!$C$20,A53&lt;=Drivers!$C$21),Drivers!$C$28,0))))</f>
        <v>0.06</v>
      </c>
      <c r="F53" s="107">
        <f>F52*(1+Drivers!$D$22)</f>
        <v>548868.2269</v>
      </c>
      <c r="G53" s="107">
        <f t="shared" si="2"/>
        <v>274434.1134</v>
      </c>
      <c r="H53" s="119">
        <f>if(Drivers!$C$10=Drivers!$C$9,IF(AND(J52&lt;Drivers!$C$9,A53&lt;Drivers!$C$7),MIN((Drivers!$C$5*Drivers!$C$9)-I52,E53*G52),IF(J52&gt;=Drivers!$C$9,0,(Drivers!$C$5*Drivers!$C$9)-I52)),IF(AND(J52&lt;Drivers!$C$10,A53&lt;Drivers!$C$8),MIN((Drivers!$C$5*Drivers!$C$10)-I52,E53*G52),IF(J52&gt;=Drivers!$C$10,0,(Drivers!$C$5*Drivers!$C$10)-I52)))</f>
        <v>0</v>
      </c>
      <c r="I53" s="116">
        <f t="shared" si="5"/>
        <v>450000</v>
      </c>
      <c r="J53" s="117">
        <f>I53/Drivers!$C$5</f>
        <v>1.5</v>
      </c>
      <c r="K53" s="118">
        <f t="shared" si="6"/>
        <v>0.3039593277</v>
      </c>
    </row>
    <row r="54">
      <c r="A54" s="110">
        <f t="shared" si="3"/>
        <v>49</v>
      </c>
      <c r="B54" s="102">
        <f>if(day(Drivers!$C$6)&gt;1,eomonth(B53,0)+1,EDATE(B53,1))</f>
        <v>45200</v>
      </c>
      <c r="C54" s="112">
        <f t="shared" si="4"/>
        <v>0.01</v>
      </c>
      <c r="D54" s="112">
        <f>if($A54&lt;=Drivers!$C$19,Drivers!$E$19,if(and($A54&gt;Drivers!$C$19,$A54&lt;=Drivers!$C$20),Drivers!$E$20,if(and($A54&gt;Drivers!$C$20,$A54&lt;=Drivers!$C$21),Drivers!$E$21,Drivers!$E$22)))</f>
        <v>0.5</v>
      </c>
      <c r="E54" s="113">
        <f>if(Drivers!$C$14="Fixed",Drivers!$C$25,if(A54&lt;=Drivers!$C$19,Drivers!$C$26,if(and(A54&gt;Drivers!$C$19,A54&lt;=Drivers!$C$20),Drivers!$C$27,if(and(A54&gt;Drivers!$C$20,A54&lt;=Drivers!$C$21),Drivers!$C$28,0))))</f>
        <v>0.06</v>
      </c>
      <c r="F54" s="107">
        <f>F53*(1+Drivers!$D$22)</f>
        <v>554356.9092</v>
      </c>
      <c r="G54" s="107">
        <f t="shared" si="2"/>
        <v>277178.4546</v>
      </c>
      <c r="H54" s="119">
        <f>if(Drivers!$C$10=Drivers!$C$9,IF(AND(J53&lt;Drivers!$C$9,A54&lt;Drivers!$C$7),MIN((Drivers!$C$5*Drivers!$C$9)-I53,E54*G53),IF(J53&gt;=Drivers!$C$9,0,(Drivers!$C$5*Drivers!$C$9)-I53)),IF(AND(J53&lt;Drivers!$C$10,A54&lt;Drivers!$C$8),MIN((Drivers!$C$5*Drivers!$C$10)-I53,E54*G53),IF(J53&gt;=Drivers!$C$10,0,(Drivers!$C$5*Drivers!$C$10)-I53)))</f>
        <v>0</v>
      </c>
      <c r="I54" s="116">
        <f t="shared" si="5"/>
        <v>450000</v>
      </c>
      <c r="J54" s="117">
        <f>I54/Drivers!$C$5</f>
        <v>1.5</v>
      </c>
      <c r="K54" s="118">
        <f t="shared" si="6"/>
        <v>0.3039593277</v>
      </c>
    </row>
    <row r="55">
      <c r="A55" s="110">
        <f t="shared" si="3"/>
        <v>50</v>
      </c>
      <c r="B55" s="102">
        <f>if(day(Drivers!$C$6)&gt;1,eomonth(B54,0)+1,EDATE(B54,1))</f>
        <v>45231</v>
      </c>
      <c r="C55" s="112">
        <f t="shared" si="4"/>
        <v>0.01</v>
      </c>
      <c r="D55" s="112">
        <f>if($A55&lt;=Drivers!$C$19,Drivers!$E$19,if(and($A55&gt;Drivers!$C$19,$A55&lt;=Drivers!$C$20),Drivers!$E$20,if(and($A55&gt;Drivers!$C$20,$A55&lt;=Drivers!$C$21),Drivers!$E$21,Drivers!$E$22)))</f>
        <v>0.5</v>
      </c>
      <c r="E55" s="113">
        <f>if(Drivers!$C$14="Fixed",Drivers!$C$25,if(A55&lt;=Drivers!$C$19,Drivers!$C$26,if(and(A55&gt;Drivers!$C$19,A55&lt;=Drivers!$C$20),Drivers!$C$27,if(and(A55&gt;Drivers!$C$20,A55&lt;=Drivers!$C$21),Drivers!$C$28,0))))</f>
        <v>0.06</v>
      </c>
      <c r="F55" s="107">
        <f>F54*(1+Drivers!$D$22)</f>
        <v>559900.4783</v>
      </c>
      <c r="G55" s="107">
        <f t="shared" si="2"/>
        <v>279950.2391</v>
      </c>
      <c r="H55" s="119">
        <f>if(Drivers!$C$10=Drivers!$C$9,IF(AND(J54&lt;Drivers!$C$9,A55&lt;Drivers!$C$7),MIN((Drivers!$C$5*Drivers!$C$9)-I54,E55*G54),IF(J54&gt;=Drivers!$C$9,0,(Drivers!$C$5*Drivers!$C$9)-I54)),IF(AND(J54&lt;Drivers!$C$10,A55&lt;Drivers!$C$8),MIN((Drivers!$C$5*Drivers!$C$10)-I54,E55*G54),IF(J54&gt;=Drivers!$C$10,0,(Drivers!$C$5*Drivers!$C$10)-I54)))</f>
        <v>0</v>
      </c>
      <c r="I55" s="116">
        <f t="shared" si="5"/>
        <v>450000</v>
      </c>
      <c r="J55" s="117">
        <f>I55/Drivers!$C$5</f>
        <v>1.5</v>
      </c>
      <c r="K55" s="118">
        <f t="shared" si="6"/>
        <v>0.3039593277</v>
      </c>
    </row>
    <row r="56">
      <c r="A56" s="110">
        <f t="shared" si="3"/>
        <v>51</v>
      </c>
      <c r="B56" s="102">
        <f>if(day(Drivers!$C$6)&gt;1,eomonth(B55,0)+1,EDATE(B55,1))</f>
        <v>45261</v>
      </c>
      <c r="C56" s="112">
        <f t="shared" si="4"/>
        <v>0.01</v>
      </c>
      <c r="D56" s="112">
        <f>if($A56&lt;=Drivers!$C$19,Drivers!$E$19,if(and($A56&gt;Drivers!$C$19,$A56&lt;=Drivers!$C$20),Drivers!$E$20,if(and($A56&gt;Drivers!$C$20,$A56&lt;=Drivers!$C$21),Drivers!$E$21,Drivers!$E$22)))</f>
        <v>0.5</v>
      </c>
      <c r="E56" s="113">
        <f>if(Drivers!$C$14="Fixed",Drivers!$C$25,if(A56&lt;=Drivers!$C$19,Drivers!$C$26,if(and(A56&gt;Drivers!$C$19,A56&lt;=Drivers!$C$20),Drivers!$C$27,if(and(A56&gt;Drivers!$C$20,A56&lt;=Drivers!$C$21),Drivers!$C$28,0))))</f>
        <v>0.06</v>
      </c>
      <c r="F56" s="107">
        <f>F55*(1+Drivers!$D$22)</f>
        <v>565499.483</v>
      </c>
      <c r="G56" s="107">
        <f t="shared" si="2"/>
        <v>282749.7415</v>
      </c>
      <c r="H56" s="119">
        <f>if(Drivers!$C$10=Drivers!$C$9,IF(AND(J55&lt;Drivers!$C$9,A56&lt;Drivers!$C$7),MIN((Drivers!$C$5*Drivers!$C$9)-I55,E56*G55),IF(J55&gt;=Drivers!$C$9,0,(Drivers!$C$5*Drivers!$C$9)-I55)),IF(AND(J55&lt;Drivers!$C$10,A56&lt;Drivers!$C$8),MIN((Drivers!$C$5*Drivers!$C$10)-I55,E56*G55),IF(J55&gt;=Drivers!$C$10,0,(Drivers!$C$5*Drivers!$C$10)-I55)))</f>
        <v>0</v>
      </c>
      <c r="I56" s="116">
        <f t="shared" si="5"/>
        <v>450000</v>
      </c>
      <c r="J56" s="117">
        <f>I56/Drivers!$C$5</f>
        <v>1.5</v>
      </c>
      <c r="K56" s="118">
        <f t="shared" si="6"/>
        <v>0.3039593277</v>
      </c>
    </row>
    <row r="57">
      <c r="A57" s="110">
        <f t="shared" si="3"/>
        <v>52</v>
      </c>
      <c r="B57" s="102">
        <f>if(day(Drivers!$C$6)&gt;1,eomonth(B56,0)+1,EDATE(B56,1))</f>
        <v>45292</v>
      </c>
      <c r="C57" s="112">
        <f t="shared" si="4"/>
        <v>0.01</v>
      </c>
      <c r="D57" s="112">
        <f>if($A57&lt;=Drivers!$C$19,Drivers!$E$19,if(and($A57&gt;Drivers!$C$19,$A57&lt;=Drivers!$C$20),Drivers!$E$20,if(and($A57&gt;Drivers!$C$20,$A57&lt;=Drivers!$C$21),Drivers!$E$21,Drivers!$E$22)))</f>
        <v>0.5</v>
      </c>
      <c r="E57" s="113">
        <f>if(Drivers!$C$14="Fixed",Drivers!$C$25,if(A57&lt;=Drivers!$C$19,Drivers!$C$26,if(and(A57&gt;Drivers!$C$19,A57&lt;=Drivers!$C$20),Drivers!$C$27,if(and(A57&gt;Drivers!$C$20,A57&lt;=Drivers!$C$21),Drivers!$C$28,0))))</f>
        <v>0.06</v>
      </c>
      <c r="F57" s="107">
        <f>F56*(1+Drivers!$D$22)</f>
        <v>571154.4779</v>
      </c>
      <c r="G57" s="107">
        <f t="shared" si="2"/>
        <v>285577.2389</v>
      </c>
      <c r="H57" s="119">
        <f>if(Drivers!$C$10=Drivers!$C$9,IF(AND(J56&lt;Drivers!$C$9,A57&lt;Drivers!$C$7),MIN((Drivers!$C$5*Drivers!$C$9)-I56,E57*G56),IF(J56&gt;=Drivers!$C$9,0,(Drivers!$C$5*Drivers!$C$9)-I56)),IF(AND(J56&lt;Drivers!$C$10,A57&lt;Drivers!$C$8),MIN((Drivers!$C$5*Drivers!$C$10)-I56,E57*G56),IF(J56&gt;=Drivers!$C$10,0,(Drivers!$C$5*Drivers!$C$10)-I56)))</f>
        <v>0</v>
      </c>
      <c r="I57" s="116">
        <f t="shared" si="5"/>
        <v>450000</v>
      </c>
      <c r="J57" s="117">
        <f>I57/Drivers!$C$5</f>
        <v>1.5</v>
      </c>
      <c r="K57" s="118">
        <f t="shared" si="6"/>
        <v>0.3039593277</v>
      </c>
    </row>
    <row r="58">
      <c r="A58" s="110">
        <f t="shared" si="3"/>
        <v>53</v>
      </c>
      <c r="B58" s="102">
        <f>if(day(Drivers!$C$6)&gt;1,eomonth(B57,0)+1,EDATE(B57,1))</f>
        <v>45323</v>
      </c>
      <c r="C58" s="112">
        <f t="shared" si="4"/>
        <v>0.01</v>
      </c>
      <c r="D58" s="112">
        <f>if($A58&lt;=Drivers!$C$19,Drivers!$E$19,if(and($A58&gt;Drivers!$C$19,$A58&lt;=Drivers!$C$20),Drivers!$E$20,if(and($A58&gt;Drivers!$C$20,$A58&lt;=Drivers!$C$21),Drivers!$E$21,Drivers!$E$22)))</f>
        <v>0.5</v>
      </c>
      <c r="E58" s="113">
        <f>if(Drivers!$C$14="Fixed",Drivers!$C$25,if(A58&lt;=Drivers!$C$19,Drivers!$C$26,if(and(A58&gt;Drivers!$C$19,A58&lt;=Drivers!$C$20),Drivers!$C$27,if(and(A58&gt;Drivers!$C$20,A58&lt;=Drivers!$C$21),Drivers!$C$28,0))))</f>
        <v>0.06</v>
      </c>
      <c r="F58" s="107">
        <f>F57*(1+Drivers!$D$22)</f>
        <v>576866.0226</v>
      </c>
      <c r="G58" s="107">
        <f t="shared" si="2"/>
        <v>288433.0113</v>
      </c>
      <c r="H58" s="119">
        <f>if(Drivers!$C$10=Drivers!$C$9,IF(AND(J57&lt;Drivers!$C$9,A58&lt;Drivers!$C$7),MIN((Drivers!$C$5*Drivers!$C$9)-I57,E58*G57),IF(J57&gt;=Drivers!$C$9,0,(Drivers!$C$5*Drivers!$C$9)-I57)),IF(AND(J57&lt;Drivers!$C$10,A58&lt;Drivers!$C$8),MIN((Drivers!$C$5*Drivers!$C$10)-I57,E58*G57),IF(J57&gt;=Drivers!$C$10,0,(Drivers!$C$5*Drivers!$C$10)-I57)))</f>
        <v>0</v>
      </c>
      <c r="I58" s="116">
        <f t="shared" si="5"/>
        <v>450000</v>
      </c>
      <c r="J58" s="117">
        <f>I58/Drivers!$C$5</f>
        <v>1.5</v>
      </c>
      <c r="K58" s="118">
        <f t="shared" si="6"/>
        <v>0.3039593277</v>
      </c>
    </row>
    <row r="59">
      <c r="A59" s="110">
        <f t="shared" si="3"/>
        <v>54</v>
      </c>
      <c r="B59" s="102">
        <f>if(day(Drivers!$C$6)&gt;1,eomonth(B58,0)+1,EDATE(B58,1))</f>
        <v>45352</v>
      </c>
      <c r="C59" s="112">
        <f t="shared" si="4"/>
        <v>0.01</v>
      </c>
      <c r="D59" s="112">
        <f>if($A59&lt;=Drivers!$C$19,Drivers!$E$19,if(and($A59&gt;Drivers!$C$19,$A59&lt;=Drivers!$C$20),Drivers!$E$20,if(and($A59&gt;Drivers!$C$20,$A59&lt;=Drivers!$C$21),Drivers!$E$21,Drivers!$E$22)))</f>
        <v>0.5</v>
      </c>
      <c r="E59" s="113">
        <f>if(Drivers!$C$14="Fixed",Drivers!$C$25,if(A59&lt;=Drivers!$C$19,Drivers!$C$26,if(and(A59&gt;Drivers!$C$19,A59&lt;=Drivers!$C$20),Drivers!$C$27,if(and(A59&gt;Drivers!$C$20,A59&lt;=Drivers!$C$21),Drivers!$C$28,0))))</f>
        <v>0.06</v>
      </c>
      <c r="F59" s="107">
        <f>F58*(1+Drivers!$D$22)</f>
        <v>582634.6829</v>
      </c>
      <c r="G59" s="107">
        <f t="shared" si="2"/>
        <v>291317.3414</v>
      </c>
      <c r="H59" s="119">
        <f>if(Drivers!$C$10=Drivers!$C$9,IF(AND(J58&lt;Drivers!$C$9,A59&lt;Drivers!$C$7),MIN((Drivers!$C$5*Drivers!$C$9)-I58,E59*G58),IF(J58&gt;=Drivers!$C$9,0,(Drivers!$C$5*Drivers!$C$9)-I58)),IF(AND(J58&lt;Drivers!$C$10,A59&lt;Drivers!$C$8),MIN((Drivers!$C$5*Drivers!$C$10)-I58,E59*G58),IF(J58&gt;=Drivers!$C$10,0,(Drivers!$C$5*Drivers!$C$10)-I58)))</f>
        <v>0</v>
      </c>
      <c r="I59" s="116">
        <f t="shared" si="5"/>
        <v>450000</v>
      </c>
      <c r="J59" s="117">
        <f>I59/Drivers!$C$5</f>
        <v>1.5</v>
      </c>
      <c r="K59" s="118">
        <f t="shared" si="6"/>
        <v>0.3039593277</v>
      </c>
    </row>
    <row r="60">
      <c r="A60" s="110">
        <f t="shared" si="3"/>
        <v>55</v>
      </c>
      <c r="B60" s="102">
        <f>if(day(Drivers!$C$6)&gt;1,eomonth(B59,0)+1,EDATE(B59,1))</f>
        <v>45383</v>
      </c>
      <c r="C60" s="112">
        <f t="shared" si="4"/>
        <v>0.01</v>
      </c>
      <c r="D60" s="112">
        <f>if($A60&lt;=Drivers!$C$19,Drivers!$E$19,if(and($A60&gt;Drivers!$C$19,$A60&lt;=Drivers!$C$20),Drivers!$E$20,if(and($A60&gt;Drivers!$C$20,$A60&lt;=Drivers!$C$21),Drivers!$E$21,Drivers!$E$22)))</f>
        <v>0.5</v>
      </c>
      <c r="E60" s="113">
        <f>if(Drivers!$C$14="Fixed",Drivers!$C$25,if(A60&lt;=Drivers!$C$19,Drivers!$C$26,if(and(A60&gt;Drivers!$C$19,A60&lt;=Drivers!$C$20),Drivers!$C$27,if(and(A60&gt;Drivers!$C$20,A60&lt;=Drivers!$C$21),Drivers!$C$28,0))))</f>
        <v>0.06</v>
      </c>
      <c r="F60" s="107">
        <f>F59*(1+Drivers!$D$22)</f>
        <v>588461.0297</v>
      </c>
      <c r="G60" s="107">
        <f t="shared" si="2"/>
        <v>294230.5148</v>
      </c>
      <c r="H60" s="119">
        <f>if(Drivers!$C$10=Drivers!$C$9,IF(AND(J59&lt;Drivers!$C$9,A60&lt;Drivers!$C$7),MIN((Drivers!$C$5*Drivers!$C$9)-I59,E60*G59),IF(J59&gt;=Drivers!$C$9,0,(Drivers!$C$5*Drivers!$C$9)-I59)),IF(AND(J59&lt;Drivers!$C$10,A60&lt;Drivers!$C$8),MIN((Drivers!$C$5*Drivers!$C$10)-I59,E60*G59),IF(J59&gt;=Drivers!$C$10,0,(Drivers!$C$5*Drivers!$C$10)-I59)))</f>
        <v>0</v>
      </c>
      <c r="I60" s="116">
        <f t="shared" si="5"/>
        <v>450000</v>
      </c>
      <c r="J60" s="117">
        <f>I60/Drivers!$C$5</f>
        <v>1.5</v>
      </c>
      <c r="K60" s="118">
        <f t="shared" si="6"/>
        <v>0.3039593277</v>
      </c>
    </row>
    <row r="61">
      <c r="A61" s="110">
        <f t="shared" si="3"/>
        <v>56</v>
      </c>
      <c r="B61" s="102">
        <f>if(day(Drivers!$C$6)&gt;1,eomonth(B60,0)+1,EDATE(B60,1))</f>
        <v>45413</v>
      </c>
      <c r="C61" s="112">
        <f t="shared" si="4"/>
        <v>0.01</v>
      </c>
      <c r="D61" s="112">
        <f>if($A61&lt;=Drivers!$C$19,Drivers!$E$19,if(and($A61&gt;Drivers!$C$19,$A61&lt;=Drivers!$C$20),Drivers!$E$20,if(and($A61&gt;Drivers!$C$20,$A61&lt;=Drivers!$C$21),Drivers!$E$21,Drivers!$E$22)))</f>
        <v>0.5</v>
      </c>
      <c r="E61" s="113">
        <f>if(Drivers!$C$14="Fixed",Drivers!$C$25,if(A61&lt;=Drivers!$C$19,Drivers!$C$26,if(and(A61&gt;Drivers!$C$19,A61&lt;=Drivers!$C$20),Drivers!$C$27,if(and(A61&gt;Drivers!$C$20,A61&lt;=Drivers!$C$21),Drivers!$C$28,0))))</f>
        <v>0.06</v>
      </c>
      <c r="F61" s="107">
        <f>F60*(1+Drivers!$D$22)</f>
        <v>594345.64</v>
      </c>
      <c r="G61" s="107">
        <f t="shared" si="2"/>
        <v>297172.82</v>
      </c>
      <c r="H61" s="119">
        <f>if(Drivers!$C$10=Drivers!$C$9,IF(AND(J60&lt;Drivers!$C$9,A61&lt;Drivers!$C$7),MIN((Drivers!$C$5*Drivers!$C$9)-I60,E61*G60),IF(J60&gt;=Drivers!$C$9,0,(Drivers!$C$5*Drivers!$C$9)-I60)),IF(AND(J60&lt;Drivers!$C$10,A61&lt;Drivers!$C$8),MIN((Drivers!$C$5*Drivers!$C$10)-I60,E61*G60),IF(J60&gt;=Drivers!$C$10,0,(Drivers!$C$5*Drivers!$C$10)-I60)))</f>
        <v>0</v>
      </c>
      <c r="I61" s="116">
        <f t="shared" si="5"/>
        <v>450000</v>
      </c>
      <c r="J61" s="117">
        <f>I61/Drivers!$C$5</f>
        <v>1.5</v>
      </c>
      <c r="K61" s="118">
        <f t="shared" si="6"/>
        <v>0.3039593277</v>
      </c>
    </row>
    <row r="62">
      <c r="A62" s="110">
        <f t="shared" si="3"/>
        <v>57</v>
      </c>
      <c r="B62" s="102">
        <f>if(day(Drivers!$C$6)&gt;1,eomonth(B61,0)+1,EDATE(B61,1))</f>
        <v>45444</v>
      </c>
      <c r="C62" s="112">
        <f t="shared" si="4"/>
        <v>0.01</v>
      </c>
      <c r="D62" s="112">
        <f>if($A62&lt;=Drivers!$C$19,Drivers!$E$19,if(and($A62&gt;Drivers!$C$19,$A62&lt;=Drivers!$C$20),Drivers!$E$20,if(and($A62&gt;Drivers!$C$20,$A62&lt;=Drivers!$C$21),Drivers!$E$21,Drivers!$E$22)))</f>
        <v>0.5</v>
      </c>
      <c r="E62" s="113">
        <f>if(Drivers!$C$14="Fixed",Drivers!$C$25,if(A62&lt;=Drivers!$C$19,Drivers!$C$26,if(and(A62&gt;Drivers!$C$19,A62&lt;=Drivers!$C$20),Drivers!$C$27,if(and(A62&gt;Drivers!$C$20,A62&lt;=Drivers!$C$21),Drivers!$C$28,0))))</f>
        <v>0.06</v>
      </c>
      <c r="F62" s="107">
        <f>F61*(1+Drivers!$D$22)</f>
        <v>600289.0964</v>
      </c>
      <c r="G62" s="107">
        <f t="shared" si="2"/>
        <v>300144.5482</v>
      </c>
      <c r="H62" s="119">
        <f>if(Drivers!$C$10=Drivers!$C$9,IF(AND(J61&lt;Drivers!$C$9,A62&lt;Drivers!$C$7),MIN((Drivers!$C$5*Drivers!$C$9)-I61,E62*G61),IF(J61&gt;=Drivers!$C$9,0,(Drivers!$C$5*Drivers!$C$9)-I61)),IF(AND(J61&lt;Drivers!$C$10,A62&lt;Drivers!$C$8),MIN((Drivers!$C$5*Drivers!$C$10)-I61,E62*G61),IF(J61&gt;=Drivers!$C$10,0,(Drivers!$C$5*Drivers!$C$10)-I61)))</f>
        <v>0</v>
      </c>
      <c r="I62" s="116">
        <f t="shared" si="5"/>
        <v>450000</v>
      </c>
      <c r="J62" s="117">
        <f>I62/Drivers!$C$5</f>
        <v>1.5</v>
      </c>
      <c r="K62" s="118">
        <f t="shared" si="6"/>
        <v>0.3039593277</v>
      </c>
    </row>
    <row r="63">
      <c r="A63" s="110">
        <f t="shared" si="3"/>
        <v>58</v>
      </c>
      <c r="B63" s="102">
        <f>if(day(Drivers!$C$6)&gt;1,eomonth(B62,0)+1,EDATE(B62,1))</f>
        <v>45474</v>
      </c>
      <c r="C63" s="112">
        <f t="shared" si="4"/>
        <v>0.01</v>
      </c>
      <c r="D63" s="112">
        <f>if($A63&lt;=Drivers!$C$19,Drivers!$E$19,if(and($A63&gt;Drivers!$C$19,$A63&lt;=Drivers!$C$20),Drivers!$E$20,if(and($A63&gt;Drivers!$C$20,$A63&lt;=Drivers!$C$21),Drivers!$E$21,Drivers!$E$22)))</f>
        <v>0.5</v>
      </c>
      <c r="E63" s="113">
        <f>if(Drivers!$C$14="Fixed",Drivers!$C$25,if(A63&lt;=Drivers!$C$19,Drivers!$C$26,if(and(A63&gt;Drivers!$C$19,A63&lt;=Drivers!$C$20),Drivers!$C$27,if(and(A63&gt;Drivers!$C$20,A63&lt;=Drivers!$C$21),Drivers!$C$28,0))))</f>
        <v>0.06</v>
      </c>
      <c r="F63" s="107">
        <f>F62*(1+Drivers!$D$22)</f>
        <v>606291.9874</v>
      </c>
      <c r="G63" s="107">
        <f t="shared" si="2"/>
        <v>303145.9937</v>
      </c>
      <c r="H63" s="119">
        <f>if(Drivers!$C$10=Drivers!$C$9,IF(AND(J62&lt;Drivers!$C$9,A63&lt;Drivers!$C$7),MIN((Drivers!$C$5*Drivers!$C$9)-I62,E63*G62),IF(J62&gt;=Drivers!$C$9,0,(Drivers!$C$5*Drivers!$C$9)-I62)),IF(AND(J62&lt;Drivers!$C$10,A63&lt;Drivers!$C$8),MIN((Drivers!$C$5*Drivers!$C$10)-I62,E63*G62),IF(J62&gt;=Drivers!$C$10,0,(Drivers!$C$5*Drivers!$C$10)-I62)))</f>
        <v>0</v>
      </c>
      <c r="I63" s="116">
        <f t="shared" si="5"/>
        <v>450000</v>
      </c>
      <c r="J63" s="117">
        <f>I63/Drivers!$C$5</f>
        <v>1.5</v>
      </c>
      <c r="K63" s="118">
        <f t="shared" si="6"/>
        <v>0.3039593277</v>
      </c>
    </row>
    <row r="64">
      <c r="A64" s="110">
        <f t="shared" si="3"/>
        <v>59</v>
      </c>
      <c r="B64" s="102">
        <f>if(day(Drivers!$C$6)&gt;1,eomonth(B63,0)+1,EDATE(B63,1))</f>
        <v>45505</v>
      </c>
      <c r="C64" s="112">
        <f t="shared" si="4"/>
        <v>0.01</v>
      </c>
      <c r="D64" s="112">
        <f>if($A64&lt;=Drivers!$C$19,Drivers!$E$19,if(and($A64&gt;Drivers!$C$19,$A64&lt;=Drivers!$C$20),Drivers!$E$20,if(and($A64&gt;Drivers!$C$20,$A64&lt;=Drivers!$C$21),Drivers!$E$21,Drivers!$E$22)))</f>
        <v>0.5</v>
      </c>
      <c r="E64" s="113">
        <f>if(Drivers!$C$14="Fixed",Drivers!$C$25,if(A64&lt;=Drivers!$C$19,Drivers!$C$26,if(and(A64&gt;Drivers!$C$19,A64&lt;=Drivers!$C$20),Drivers!$C$27,if(and(A64&gt;Drivers!$C$20,A64&lt;=Drivers!$C$21),Drivers!$C$28,0))))</f>
        <v>0.06</v>
      </c>
      <c r="F64" s="107">
        <f>F63*(1+Drivers!$D$22)</f>
        <v>612354.9072</v>
      </c>
      <c r="G64" s="107">
        <f t="shared" si="2"/>
        <v>306177.4536</v>
      </c>
      <c r="H64" s="119">
        <f>if(Drivers!$C$10=Drivers!$C$9,IF(AND(J63&lt;Drivers!$C$9,A64&lt;Drivers!$C$7),MIN((Drivers!$C$5*Drivers!$C$9)-I63,E64*G63),IF(J63&gt;=Drivers!$C$9,0,(Drivers!$C$5*Drivers!$C$9)-I63)),IF(AND(J63&lt;Drivers!$C$10,A64&lt;Drivers!$C$8),MIN((Drivers!$C$5*Drivers!$C$10)-I63,E64*G63),IF(J63&gt;=Drivers!$C$10,0,(Drivers!$C$5*Drivers!$C$10)-I63)))</f>
        <v>0</v>
      </c>
      <c r="I64" s="116">
        <f t="shared" si="5"/>
        <v>450000</v>
      </c>
      <c r="J64" s="117">
        <f>I64/Drivers!$C$5</f>
        <v>1.5</v>
      </c>
      <c r="K64" s="118">
        <f t="shared" si="6"/>
        <v>0.3039593277</v>
      </c>
    </row>
    <row r="65">
      <c r="A65" s="110">
        <f t="shared" si="3"/>
        <v>60</v>
      </c>
      <c r="B65" s="102">
        <f>if(day(Drivers!$C$6)&gt;1,eomonth(B64,0)+1,EDATE(B64,1))</f>
        <v>45536</v>
      </c>
      <c r="C65" s="112">
        <f t="shared" si="4"/>
        <v>0.01</v>
      </c>
      <c r="D65" s="112">
        <f>if($A65&lt;=Drivers!$C$19,Drivers!$E$19,if(and($A65&gt;Drivers!$C$19,$A65&lt;=Drivers!$C$20),Drivers!$E$20,if(and($A65&gt;Drivers!$C$20,$A65&lt;=Drivers!$C$21),Drivers!$E$21,Drivers!$E$22)))</f>
        <v>0.5</v>
      </c>
      <c r="E65" s="113">
        <f>if(Drivers!$C$14="Fixed",Drivers!$C$25,if(A65&lt;=Drivers!$C$19,Drivers!$C$26,if(and(A65&gt;Drivers!$C$19,A65&lt;=Drivers!$C$20),Drivers!$C$27,if(and(A65&gt;Drivers!$C$20,A65&lt;=Drivers!$C$21),Drivers!$C$28,0))))</f>
        <v>0.06</v>
      </c>
      <c r="F65" s="107">
        <f>F64*(1+Drivers!$D$22)</f>
        <v>618478.4563</v>
      </c>
      <c r="G65" s="107">
        <f t="shared" si="2"/>
        <v>309239.2282</v>
      </c>
      <c r="H65" s="119">
        <f>if(Drivers!$C$10=Drivers!$C$9,IF(AND(J64&lt;Drivers!$C$9,A65&lt;Drivers!$C$7),MIN((Drivers!$C$5*Drivers!$C$9)-I64,E65*G64),IF(J64&gt;=Drivers!$C$9,0,(Drivers!$C$5*Drivers!$C$9)-I64)),IF(AND(J64&lt;Drivers!$C$10,A65&lt;Drivers!$C$8),MIN((Drivers!$C$5*Drivers!$C$10)-I64,E65*G64),IF(J64&gt;=Drivers!$C$10,0,(Drivers!$C$5*Drivers!$C$10)-I64)))</f>
        <v>0</v>
      </c>
      <c r="I65" s="116">
        <f t="shared" si="5"/>
        <v>450000</v>
      </c>
      <c r="J65" s="117">
        <f>I65/Drivers!$C$5</f>
        <v>1.5</v>
      </c>
      <c r="K65" s="118">
        <f t="shared" si="6"/>
        <v>0.3039593277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7.57"/>
    <col customWidth="1" min="2" max="2" width="14.86"/>
    <col customWidth="1" min="3" max="3" width="17.57"/>
    <col customWidth="1" min="4" max="4" width="15.43"/>
    <col customWidth="1" min="5" max="5" width="26.57"/>
  </cols>
  <sheetData>
    <row r="1">
      <c r="A1" s="1" t="s">
        <v>175</v>
      </c>
      <c r="B1" s="120"/>
      <c r="C1" s="98"/>
      <c r="D1" s="98"/>
      <c r="E1" s="98"/>
    </row>
    <row r="2">
      <c r="A2" s="72"/>
      <c r="B2" s="97"/>
      <c r="D2" s="98"/>
      <c r="E2" s="98"/>
    </row>
    <row r="3">
      <c r="A3" s="58" t="s">
        <v>176</v>
      </c>
      <c r="B3" s="121">
        <f>Drivers!C5</f>
        <v>300000</v>
      </c>
      <c r="C3" s="98"/>
      <c r="D3" s="98"/>
      <c r="E3" s="98"/>
    </row>
    <row r="4">
      <c r="A4" s="58" t="s">
        <v>177</v>
      </c>
      <c r="B4" s="122">
        <f>+EDATE(Drivers!C6,Drivers!C7)</f>
        <v>44805</v>
      </c>
      <c r="C4" s="98"/>
      <c r="D4" s="98"/>
      <c r="E4" s="98"/>
    </row>
    <row r="5">
      <c r="A5" s="58" t="s">
        <v>178</v>
      </c>
      <c r="B5" s="123">
        <f>+EDATE(B4,-B7)</f>
        <v>44805</v>
      </c>
      <c r="C5" s="98"/>
      <c r="D5" s="98"/>
      <c r="E5" s="98"/>
    </row>
    <row r="6">
      <c r="A6" s="58" t="s">
        <v>179</v>
      </c>
      <c r="B6" s="124">
        <f>+COUNTIF(Facility!H4:H65,"&gt;0")</f>
        <v>36</v>
      </c>
      <c r="C6" s="98"/>
      <c r="D6" s="98"/>
    </row>
    <row r="7">
      <c r="A7" s="58" t="s">
        <v>180</v>
      </c>
      <c r="B7" s="124">
        <f>Drivers!C7-B6</f>
        <v>0</v>
      </c>
      <c r="C7" s="98"/>
      <c r="D7" s="98"/>
    </row>
    <row r="8">
      <c r="A8" s="72" t="s">
        <v>181</v>
      </c>
      <c r="B8" s="125">
        <f t="shared" ref="B8:B9" si="1">E22</f>
        <v>150000</v>
      </c>
      <c r="C8" s="98"/>
      <c r="D8" s="98"/>
    </row>
    <row r="9">
      <c r="A9" s="72" t="s">
        <v>182</v>
      </c>
      <c r="B9" s="126">
        <f t="shared" si="1"/>
        <v>0.1666666667</v>
      </c>
      <c r="C9" s="127" t="s">
        <v>183</v>
      </c>
      <c r="D9" s="98"/>
    </row>
    <row r="10">
      <c r="A10" s="2" t="s">
        <v>184</v>
      </c>
      <c r="B10" s="126">
        <f>vlookup(B6,Facility!A5:K65,11,false)</f>
        <v>0.3039593277</v>
      </c>
      <c r="C10" s="127" t="s">
        <v>185</v>
      </c>
      <c r="D10" s="98"/>
    </row>
    <row r="11">
      <c r="B11" s="128"/>
      <c r="C11" s="98"/>
      <c r="D11" s="98"/>
    </row>
    <row r="12">
      <c r="B12" s="129" t="s">
        <v>186</v>
      </c>
      <c r="C12" s="130" t="str">
        <f>"Second "&amp;text(if(and($B$6&gt;Drivers!$C$19,$B$6&lt;Drivers!$C$20),Drivers!$C$20-$B$6,if($B$6&gt;=Drivers!$C$20,Drivers!$C$19,0)),"0")&amp;" Months"</f>
        <v>Second 12 Months</v>
      </c>
      <c r="D12" s="130" t="str">
        <f>"Third "&amp;text(if(and($B$6&gt;Drivers!$C$20,$B$6&lt;Drivers!$C$21),Drivers!$C$19-(Drivers!$C$21-$B$6),if($B$6=Drivers!$C$21,Drivers!$C$19,0)),"0")&amp;" Months"</f>
        <v>Third 12 Months</v>
      </c>
      <c r="E12" s="130" t="str">
        <f>"Full Term (term = "&amp;text(E18,"0")&amp;" months)"</f>
        <v>Full Term (term = 36 months)</v>
      </c>
    </row>
    <row r="13">
      <c r="A13" s="97" t="s">
        <v>187</v>
      </c>
      <c r="B13" s="131">
        <f>sumif(Facility!$A$5:$A$65 ,"&lt;"&amp;Drivers!$C19,Facility!$F$5:$F$65)</f>
        <v>2387568.978</v>
      </c>
      <c r="C13" s="131">
        <f>sumifs(Facility!$F$5:$F$65,Facility!$A$5:$A$65 ,"&gt;="&amp;Drivers!$C19,Facility!$A$5:$A$65 ,"&lt;"&amp;Drivers!$C20)</f>
        <v>3823026.91</v>
      </c>
      <c r="D13" s="131">
        <f>sumifs(Facility!$F$5:$F$65,Facility!$A$5:$A$65 ,"&gt;="&amp;Drivers!$C20,Facility!$A$5:$A$65 ,"&lt;"&amp;Drivers!$C21)</f>
        <v>5151171.326</v>
      </c>
      <c r="E13" s="132">
        <f t="shared" ref="E13:E14" si="2">sum(B13:D13)</f>
        <v>11361767.21</v>
      </c>
    </row>
    <row r="14">
      <c r="A14" s="97" t="s">
        <v>188</v>
      </c>
      <c r="B14" s="131">
        <f>sumif(Facility!$A$5:$A$65 ,"&lt;"&amp;Drivers!$C19,Facility!$G$5:$G$65)</f>
        <v>1940055.182</v>
      </c>
      <c r="C14" s="131">
        <f>sumifs(Facility!$G$5:$G$65,Facility!$A$5:$A$65 ,"&gt;="&amp;Drivers!$C19,Facility!$A$5:$A$65 ,"&lt;"&amp;Drivers!$C20)</f>
        <v>2703056.682</v>
      </c>
      <c r="D14" s="131">
        <f>sumifs(Facility!$G$5:$G$65,Facility!$A$5:$A$65 ,"&gt;="&amp;Drivers!$C20,Facility!$A$5:$A$65 ,"&lt;"&amp;Drivers!$C21)</f>
        <v>3129109.721</v>
      </c>
      <c r="E14" s="132">
        <f t="shared" si="2"/>
        <v>7772221.586</v>
      </c>
    </row>
    <row r="15">
      <c r="A15" s="97" t="s">
        <v>189</v>
      </c>
      <c r="B15" s="133">
        <f>(vlookup(Drivers!C19,Facility!$A$5:$J$65,Facility!$F$3,False))/Drivers!C12-1</f>
        <v>0.795856326</v>
      </c>
      <c r="C15" s="133">
        <f>(vlookup(Drivers!C20,Facility!$A$5:$J$65,Facility!$F$3,False))/(vlookup(Drivers!C19,Facility!$A$5:$J$65,Facility!$F$3,False))-1</f>
        <v>0.4257608868</v>
      </c>
      <c r="D15" s="133">
        <f>(vlookup(Drivers!C21,Facility!$A$5:$J$65,Facility!$F$3,False))/(vlookup(Drivers!C20,Facility!$A$5:$J$65,Facility!$F$3,False))-1</f>
        <v>0.2682417946</v>
      </c>
      <c r="E15" s="134">
        <f>(vlookup(Drivers!C21,Facility!$A$5:$J$65,Facility!$F$3,False))/Drivers!C12-1</f>
        <v>2.247284552</v>
      </c>
    </row>
    <row r="16">
      <c r="A16" s="97" t="s">
        <v>190</v>
      </c>
      <c r="B16" s="133">
        <f>(vlookup(Drivers!C19,Facility!$A$5:$J$65,Facility!$G$3,False))/Drivers!C12-1</f>
        <v>0.4366850608</v>
      </c>
      <c r="C16" s="133">
        <f>(vlookup(Drivers!C20,Facility!$A$5:$J$65,Facility!$G$3,False))/(vlookup(Drivers!C19,Facility!$A$5:$J$65,Facility!$G$3,False))-1</f>
        <v>0.247540776</v>
      </c>
      <c r="D16" s="133">
        <f>(vlookup(Drivers!C21,Facility!$A$5:$J$65,Facility!$G$3,False))/(vlookup(Drivers!C20,Facility!$A$5:$J$65,Facility!$G$3,False))-1</f>
        <v>0.08706439534</v>
      </c>
      <c r="E16" s="134">
        <f>(vlookup(Drivers!C21,Facility!$A$5:$J$65,Facility!$G$3,False))/Drivers!C12-1</f>
        <v>0.9483707309</v>
      </c>
    </row>
    <row r="17">
      <c r="B17" s="131"/>
      <c r="C17" s="131"/>
      <c r="D17" s="131"/>
      <c r="E17" s="132"/>
    </row>
    <row r="18">
      <c r="A18" s="97" t="s">
        <v>191</v>
      </c>
      <c r="B18" s="135">
        <v>12.0</v>
      </c>
      <c r="C18" s="136">
        <f>if(and($B$6&gt;Drivers!$C$19,$B$6&lt;Drivers!$C$20),Drivers!$C$20-$B$6,if($B$6&gt;=Drivers!$C$20,Drivers!$C$19,0))</f>
        <v>12</v>
      </c>
      <c r="D18" s="136">
        <f>if(and($B$6&gt;Drivers!$C$20,$B$6&lt;Drivers!$C$21),Drivers!$C$19-(Drivers!$C$21-$B$6),if($B$6=Drivers!$C$21,Drivers!$C$19,0))</f>
        <v>12</v>
      </c>
      <c r="E18" s="137">
        <f t="shared" ref="E18:E19" si="3">sum(B18:D18)</f>
        <v>36</v>
      </c>
    </row>
    <row r="19">
      <c r="A19" s="97" t="s">
        <v>192</v>
      </c>
      <c r="B19" s="131">
        <f>sumif(Facility!$A$6:$A$65 ,"&lt;="&amp;Drivers!$C19,Facility!$H$6:$H$65)</f>
        <v>116403.3109</v>
      </c>
      <c r="C19" s="131">
        <f>sumifs(Facility!$H$6:$H$65,Facility!$A$6:$A$65 ,"&gt;"&amp;Drivers!$C19,Facility!$A$6:$A$65 ,"&lt;="&amp;Drivers!$C20)</f>
        <v>162183.4009</v>
      </c>
      <c r="D19" s="131">
        <f>sumifs(Facility!$H$6:$H$65,Facility!$A$6:$A$65 ,"&gt;"&amp;Drivers!$C20,Facility!$A$6:$A$65 ,"&lt;="&amp;Drivers!$C21)</f>
        <v>171413.2881</v>
      </c>
      <c r="E19" s="132">
        <f t="shared" si="3"/>
        <v>450000</v>
      </c>
    </row>
    <row r="20">
      <c r="A20" s="97" t="s">
        <v>193</v>
      </c>
      <c r="B20" s="131">
        <f>iferror(B19/Drivers!$C$19,0)</f>
        <v>9700.275912</v>
      </c>
      <c r="C20" s="131">
        <f>if(and($B$6&gt;Drivers!$C$19,$B$6&lt;Drivers!$C$20),C19/(B6-Drivers!$C$19),C19/Drivers!$C$19)</f>
        <v>13515.28341</v>
      </c>
      <c r="D20" s="131">
        <f>if(and($B$6&gt;Drivers!$C$20,$B$6&lt;Drivers!$C$21),D19/(Drivers!$C$21-$B$6),D19/Drivers!$C$19)</f>
        <v>14284.44068</v>
      </c>
      <c r="E20" s="132">
        <f>E19/Drivers!C8</f>
        <v>12500</v>
      </c>
    </row>
    <row r="21"/>
    <row r="22">
      <c r="A22" s="97" t="s">
        <v>194</v>
      </c>
      <c r="B22" s="131">
        <f>(($E$19-Drivers!$C$5)/$E$19)*B19</f>
        <v>38801.10365</v>
      </c>
      <c r="C22" s="131">
        <f>(($E$19-Drivers!$C$5)/$E$19)*C19</f>
        <v>54061.13364</v>
      </c>
      <c r="D22" s="131">
        <f>(($E$19-Drivers!$C$5)/$E$19)*D19</f>
        <v>57137.76271</v>
      </c>
      <c r="E22" s="132">
        <f>sum(B22:D22)</f>
        <v>150000</v>
      </c>
    </row>
    <row r="23">
      <c r="A23" s="97" t="s">
        <v>195</v>
      </c>
      <c r="B23" s="138">
        <f>B22/(Drivers!$C$5*B18/12)</f>
        <v>0.1293370122</v>
      </c>
      <c r="C23" s="138">
        <f>C22/(Drivers!$C$5*C18/12)</f>
        <v>0.1802037788</v>
      </c>
      <c r="D23" s="138">
        <f>D22/(Drivers!$C$5*D18/12)</f>
        <v>0.190459209</v>
      </c>
      <c r="E23" s="134">
        <f>E22/(Drivers!$C$5*E18/12)</f>
        <v>0.1666666667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0"/>
    <col customWidth="1" min="2" max="2" width="57.57"/>
    <col customWidth="1" min="3" max="3" width="11.0"/>
    <col customWidth="1" min="4" max="4" width="3.0"/>
    <col customWidth="1" min="5" max="5" width="9.43"/>
    <col customWidth="1" min="6" max="6" width="11.14"/>
    <col customWidth="1" min="7" max="7" width="13.57"/>
    <col customWidth="1" min="8" max="8" width="14.57"/>
    <col customWidth="1" min="9" max="9" width="13.43"/>
    <col customWidth="1" min="10" max="10" width="23.0"/>
    <col customWidth="1" min="11" max="11" width="21.57"/>
    <col customWidth="1" min="12" max="12" width="20.57"/>
    <col customWidth="1" min="13" max="13" width="15.57"/>
    <col customWidth="1" min="14" max="14" width="14.43"/>
    <col customWidth="1" min="15" max="15" width="16.14"/>
    <col customWidth="1" min="16" max="16" width="14.14"/>
    <col customWidth="1" min="17" max="17" width="13.71"/>
  </cols>
  <sheetData>
    <row r="1">
      <c r="A1" s="1" t="s">
        <v>196</v>
      </c>
      <c r="B1" s="139"/>
      <c r="C1" s="139"/>
      <c r="D1" s="139"/>
      <c r="E1" s="139"/>
      <c r="F1" s="139"/>
      <c r="G1" s="139"/>
      <c r="H1" s="139"/>
      <c r="I1" s="139"/>
      <c r="J1" s="139"/>
      <c r="K1" s="139"/>
      <c r="L1" s="139"/>
      <c r="M1" s="139"/>
      <c r="N1" s="139"/>
      <c r="O1" s="139"/>
      <c r="P1" s="139"/>
      <c r="Q1" s="139"/>
      <c r="R1" s="139"/>
      <c r="S1" s="139"/>
      <c r="T1" s="139"/>
      <c r="U1" s="139"/>
      <c r="V1" s="139"/>
    </row>
    <row r="2">
      <c r="A2" s="1"/>
      <c r="B2" s="139"/>
      <c r="C2" s="139"/>
      <c r="D2" s="139"/>
      <c r="E2" s="139"/>
      <c r="F2" s="139"/>
      <c r="G2" s="139"/>
      <c r="H2" s="139"/>
      <c r="I2" s="139"/>
      <c r="J2" s="139"/>
      <c r="K2" s="139"/>
      <c r="L2" s="139"/>
      <c r="M2" s="139"/>
      <c r="N2" s="139"/>
      <c r="O2" s="139"/>
      <c r="P2" s="139"/>
      <c r="Q2" s="139"/>
      <c r="R2" s="139"/>
      <c r="S2" s="139"/>
      <c r="T2" s="139"/>
      <c r="U2" s="139"/>
      <c r="V2" s="139"/>
    </row>
    <row r="3">
      <c r="A3" s="139"/>
      <c r="B3" s="140" t="str">
        <f>"Value Capture - "&amp;text(Drivers!C5,"$0,0")&amp;" Investment"</f>
        <v>Value Capture - $300,000 Investment</v>
      </c>
      <c r="D3" s="139"/>
      <c r="E3" s="140" t="s">
        <v>197</v>
      </c>
      <c r="G3" s="140" t="s">
        <v>198</v>
      </c>
      <c r="K3" s="141" t="s">
        <v>199</v>
      </c>
      <c r="L3" s="142"/>
      <c r="M3" s="142"/>
      <c r="N3" s="143"/>
      <c r="O3" s="141" t="s">
        <v>200</v>
      </c>
      <c r="P3" s="142"/>
      <c r="Q3" s="142"/>
      <c r="R3" s="139"/>
      <c r="S3" s="139"/>
      <c r="T3" s="139"/>
      <c r="U3" s="139"/>
      <c r="V3" s="139"/>
    </row>
    <row r="4">
      <c r="A4" s="144"/>
      <c r="B4" s="145" t="s">
        <v>201</v>
      </c>
      <c r="C4" s="146">
        <f>Drivers!C5</f>
        <v>300000</v>
      </c>
      <c r="D4" s="144"/>
      <c r="E4" s="147" t="s">
        <v>202</v>
      </c>
      <c r="F4" s="148" t="s">
        <v>203</v>
      </c>
      <c r="G4" s="149" t="str">
        <f>"First " &amp;text(Drivers!$C$19,"0")&amp;" months (avg.)"</f>
        <v>First 12 months (avg.)</v>
      </c>
      <c r="H4" s="149" t="str">
        <f>"Second " &amp;text(Drivers!$C$19,"0")&amp;" months (avg.)"</f>
        <v>Second 12 months (avg.)</v>
      </c>
      <c r="I4" s="149" t="str">
        <f>"Third " &amp;text(Drivers!$C$19,"0")&amp;" months (avg.)"</f>
        <v>Third 12 months (avg.)</v>
      </c>
      <c r="J4" s="150" t="str">
        <f>"Total 
Repayment ("&amp;text(Results!B6,"0")&amp;" months)"</f>
        <v>Total 
Repayment (36 months)</v>
      </c>
      <c r="K4" s="149" t="s">
        <v>204</v>
      </c>
      <c r="L4" s="149" t="s">
        <v>205</v>
      </c>
      <c r="M4" s="149" t="s">
        <v>206</v>
      </c>
      <c r="N4" s="150" t="s">
        <v>207</v>
      </c>
      <c r="O4" s="149" t="s">
        <v>208</v>
      </c>
      <c r="P4" s="149" t="s">
        <v>209</v>
      </c>
      <c r="Q4" s="150" t="s">
        <v>210</v>
      </c>
      <c r="R4" s="139"/>
      <c r="S4" s="139"/>
      <c r="T4" s="139"/>
      <c r="U4" s="139"/>
      <c r="V4" s="139"/>
    </row>
    <row r="5">
      <c r="A5" s="144"/>
      <c r="B5" s="145" t="s">
        <v>211</v>
      </c>
      <c r="C5" s="151">
        <v>0.75</v>
      </c>
      <c r="D5" s="144"/>
      <c r="E5" s="152">
        <f>C4</f>
        <v>300000</v>
      </c>
      <c r="F5" s="153">
        <f>Drivers!C7</f>
        <v>36</v>
      </c>
      <c r="G5" s="154">
        <f>Results!B20</f>
        <v>9700.275912</v>
      </c>
      <c r="H5" s="155">
        <f>Results!C20</f>
        <v>13515.28341</v>
      </c>
      <c r="I5" s="156">
        <f>Results!D20</f>
        <v>14284.44068</v>
      </c>
      <c r="J5" s="156">
        <f>Results!E19</f>
        <v>450000</v>
      </c>
      <c r="K5" s="154">
        <f>C14</f>
        <v>675000</v>
      </c>
      <c r="L5" s="157">
        <f>C19</f>
        <v>2700000</v>
      </c>
      <c r="M5" s="158">
        <f>K5/C4</f>
        <v>2.25</v>
      </c>
      <c r="N5" s="158">
        <f>L5/C4</f>
        <v>9</v>
      </c>
      <c r="O5" s="159">
        <f>J5/E5</f>
        <v>1.5</v>
      </c>
      <c r="P5" s="158">
        <f t="shared" ref="P5:Q5" si="1">(K5-$J5)/$C4</f>
        <v>0.75</v>
      </c>
      <c r="Q5" s="160">
        <f t="shared" si="1"/>
        <v>7.5</v>
      </c>
      <c r="R5" s="139"/>
      <c r="S5" s="139"/>
      <c r="T5" s="139"/>
      <c r="U5" s="139"/>
      <c r="V5" s="139"/>
    </row>
    <row r="6">
      <c r="A6" s="144"/>
      <c r="B6" s="145" t="s">
        <v>212</v>
      </c>
      <c r="C6" s="161">
        <f>C4*C5</f>
        <v>225000</v>
      </c>
      <c r="D6" s="144"/>
      <c r="E6" s="139"/>
      <c r="F6" s="139"/>
      <c r="G6" s="139"/>
      <c r="H6" s="139"/>
      <c r="I6" s="139"/>
      <c r="J6" s="139"/>
      <c r="K6" s="139"/>
      <c r="L6" s="139"/>
      <c r="M6" s="139"/>
      <c r="N6" s="139"/>
      <c r="O6" s="139"/>
      <c r="P6" s="139"/>
      <c r="Q6" s="139"/>
      <c r="R6" s="139"/>
      <c r="S6" s="139"/>
      <c r="T6" s="139"/>
      <c r="U6" s="139"/>
      <c r="V6" s="139"/>
    </row>
    <row r="7">
      <c r="A7" s="144"/>
      <c r="B7" s="145"/>
      <c r="C7" s="162"/>
      <c r="D7" s="144"/>
      <c r="E7" s="139"/>
      <c r="F7" s="139"/>
      <c r="G7" s="139"/>
      <c r="H7" s="139"/>
      <c r="I7" s="139"/>
      <c r="J7" s="139"/>
      <c r="K7" s="139"/>
      <c r="L7" s="139"/>
      <c r="M7" s="139"/>
      <c r="N7" s="139"/>
      <c r="O7" s="139"/>
      <c r="P7" s="139"/>
      <c r="Q7" s="139"/>
      <c r="R7" s="139"/>
      <c r="S7" s="139"/>
      <c r="T7" s="139"/>
      <c r="U7" s="139"/>
      <c r="V7" s="139"/>
    </row>
    <row r="8">
      <c r="A8" s="144"/>
      <c r="B8" s="145" t="s">
        <v>213</v>
      </c>
      <c r="C8" s="162">
        <v>1500.0</v>
      </c>
      <c r="D8" s="144"/>
      <c r="E8" s="139"/>
      <c r="F8" s="139"/>
      <c r="G8" s="139"/>
      <c r="H8" s="139"/>
      <c r="I8" s="139"/>
      <c r="J8" s="139"/>
      <c r="K8" s="139"/>
      <c r="L8" s="139"/>
      <c r="M8" s="139"/>
      <c r="N8" s="139"/>
      <c r="O8" s="139"/>
      <c r="P8" s="139"/>
      <c r="Q8" s="139"/>
      <c r="R8" s="139"/>
      <c r="S8" s="139"/>
      <c r="T8" s="139"/>
      <c r="U8" s="139"/>
      <c r="V8" s="139"/>
    </row>
    <row r="9">
      <c r="A9" s="144"/>
      <c r="B9" s="145" t="s">
        <v>214</v>
      </c>
      <c r="C9" s="162">
        <v>300.0</v>
      </c>
      <c r="D9" s="144"/>
      <c r="E9" s="139"/>
      <c r="F9" s="139"/>
      <c r="G9" s="139"/>
      <c r="H9" s="139"/>
      <c r="I9" s="139"/>
      <c r="J9" s="139"/>
      <c r="K9" s="139"/>
      <c r="L9" s="139"/>
      <c r="M9" s="139"/>
      <c r="N9" s="139"/>
      <c r="O9" s="139"/>
      <c r="P9" s="139"/>
      <c r="Q9" s="139"/>
      <c r="R9" s="139"/>
      <c r="S9" s="139"/>
      <c r="T9" s="139"/>
      <c r="U9" s="139"/>
      <c r="V9" s="139"/>
    </row>
    <row r="10">
      <c r="A10" s="144"/>
      <c r="B10" s="145" t="s">
        <v>215</v>
      </c>
      <c r="C10" s="163">
        <v>15.0</v>
      </c>
      <c r="D10" s="144"/>
      <c r="E10" s="139"/>
      <c r="F10" s="139"/>
      <c r="G10" s="139"/>
      <c r="H10" s="139"/>
      <c r="I10" s="139"/>
      <c r="J10" s="139"/>
      <c r="K10" s="139"/>
      <c r="L10" s="139"/>
      <c r="M10" s="139"/>
      <c r="N10" s="139"/>
      <c r="O10" s="139"/>
      <c r="P10" s="139"/>
      <c r="Q10" s="139"/>
      <c r="R10" s="139"/>
      <c r="S10" s="139"/>
      <c r="T10" s="139"/>
      <c r="U10" s="139"/>
      <c r="V10" s="139"/>
    </row>
    <row r="11">
      <c r="A11" s="144"/>
      <c r="B11" s="145"/>
      <c r="C11" s="164"/>
      <c r="D11" s="144"/>
      <c r="E11" s="139"/>
      <c r="F11" s="139"/>
      <c r="G11" s="139"/>
      <c r="H11" s="139"/>
      <c r="I11" s="139"/>
      <c r="J11" s="139"/>
      <c r="K11" s="139"/>
      <c r="L11" s="139"/>
      <c r="M11" s="139"/>
      <c r="N11" s="139"/>
      <c r="O11" s="139"/>
      <c r="P11" s="139"/>
      <c r="Q11" s="139"/>
      <c r="R11" s="139"/>
      <c r="S11" s="139"/>
      <c r="T11" s="139"/>
      <c r="U11" s="139"/>
      <c r="V11" s="139"/>
    </row>
    <row r="12">
      <c r="A12" s="144"/>
      <c r="B12" s="145" t="s">
        <v>216</v>
      </c>
      <c r="C12" s="164">
        <f>C6/C8</f>
        <v>150</v>
      </c>
      <c r="D12" s="144"/>
      <c r="E12" s="139"/>
      <c r="F12" s="139"/>
      <c r="G12" s="139"/>
      <c r="H12" s="139"/>
      <c r="I12" s="139"/>
      <c r="J12" s="139"/>
      <c r="K12" s="139"/>
      <c r="L12" s="139"/>
      <c r="M12" s="139"/>
      <c r="N12" s="139"/>
      <c r="O12" s="139"/>
      <c r="P12" s="139"/>
      <c r="Q12" s="139"/>
      <c r="R12" s="139"/>
      <c r="S12" s="139"/>
      <c r="T12" s="139"/>
      <c r="U12" s="139"/>
      <c r="V12" s="139"/>
    </row>
    <row r="13">
      <c r="A13" s="144"/>
      <c r="B13" s="145" t="s">
        <v>217</v>
      </c>
      <c r="C13" s="165">
        <f>C9*C10</f>
        <v>4500</v>
      </c>
      <c r="D13" s="144"/>
      <c r="E13" s="139"/>
      <c r="F13" s="139"/>
      <c r="G13" s="139"/>
      <c r="H13" s="139"/>
      <c r="I13" s="139"/>
      <c r="J13" s="139"/>
      <c r="K13" s="139"/>
      <c r="L13" s="139"/>
      <c r="M13" s="139"/>
      <c r="N13" s="139"/>
      <c r="O13" s="139"/>
      <c r="P13" s="139"/>
      <c r="Q13" s="139"/>
      <c r="R13" s="139"/>
      <c r="S13" s="139"/>
      <c r="T13" s="139"/>
      <c r="U13" s="139"/>
      <c r="V13" s="139"/>
    </row>
    <row r="14">
      <c r="A14" s="144"/>
      <c r="B14" s="166" t="s">
        <v>218</v>
      </c>
      <c r="C14" s="167">
        <f>C13*C12</f>
        <v>675000</v>
      </c>
      <c r="D14" s="144"/>
      <c r="E14" s="139"/>
      <c r="F14" s="139"/>
      <c r="G14" s="139"/>
      <c r="H14" s="139"/>
      <c r="I14" s="139"/>
      <c r="J14" s="139"/>
      <c r="K14" s="139"/>
      <c r="L14" s="139"/>
      <c r="M14" s="139"/>
      <c r="N14" s="139"/>
      <c r="O14" s="139"/>
      <c r="P14" s="139"/>
      <c r="Q14" s="139"/>
      <c r="R14" s="139"/>
      <c r="S14" s="139"/>
      <c r="T14" s="139"/>
      <c r="U14" s="139"/>
      <c r="V14" s="139"/>
    </row>
    <row r="15">
      <c r="A15" s="144"/>
      <c r="B15" s="168"/>
      <c r="C15" s="8"/>
      <c r="D15" s="144"/>
      <c r="E15" s="139"/>
      <c r="F15" s="139"/>
      <c r="G15" s="139"/>
      <c r="H15" s="139"/>
      <c r="I15" s="139"/>
      <c r="J15" s="139"/>
      <c r="K15" s="139"/>
      <c r="L15" s="139"/>
      <c r="M15" s="139"/>
      <c r="N15" s="139"/>
      <c r="O15" s="139"/>
      <c r="P15" s="139"/>
      <c r="Q15" s="139"/>
      <c r="R15" s="139"/>
      <c r="S15" s="139"/>
      <c r="T15" s="139"/>
      <c r="U15" s="139"/>
      <c r="V15" s="139"/>
    </row>
    <row r="16">
      <c r="A16" s="139"/>
      <c r="B16" s="145" t="s">
        <v>219</v>
      </c>
      <c r="C16" s="165">
        <f>C12*C9</f>
        <v>45000</v>
      </c>
      <c r="D16" s="139"/>
      <c r="E16" s="139"/>
      <c r="F16" s="139"/>
      <c r="G16" s="139"/>
      <c r="H16" s="139"/>
      <c r="I16" s="139"/>
      <c r="J16" s="139"/>
      <c r="K16" s="139"/>
      <c r="L16" s="139"/>
      <c r="M16" s="139"/>
      <c r="N16" s="139"/>
      <c r="O16" s="139"/>
      <c r="P16" s="139"/>
      <c r="Q16" s="139"/>
      <c r="R16" s="139"/>
      <c r="S16" s="139"/>
      <c r="T16" s="139"/>
      <c r="U16" s="139"/>
      <c r="V16" s="139"/>
    </row>
    <row r="17">
      <c r="A17" s="144"/>
      <c r="B17" s="145" t="s">
        <v>220</v>
      </c>
      <c r="C17" s="165">
        <f>C16*12</f>
        <v>540000</v>
      </c>
      <c r="D17" s="144"/>
      <c r="E17" s="139"/>
      <c r="F17" s="139"/>
      <c r="G17" s="139"/>
      <c r="H17" s="139"/>
      <c r="I17" s="139"/>
      <c r="J17" s="139"/>
      <c r="K17" s="139"/>
      <c r="L17" s="139"/>
      <c r="M17" s="139"/>
      <c r="N17" s="139"/>
      <c r="O17" s="139"/>
      <c r="P17" s="139"/>
      <c r="Q17" s="139"/>
      <c r="R17" s="139"/>
      <c r="S17" s="139"/>
      <c r="T17" s="139"/>
      <c r="U17" s="139"/>
      <c r="V17" s="139"/>
    </row>
    <row r="18">
      <c r="A18" s="144"/>
      <c r="B18" s="145" t="s">
        <v>221</v>
      </c>
      <c r="C18" s="169">
        <v>5.0</v>
      </c>
      <c r="D18" s="144"/>
      <c r="E18" s="139"/>
      <c r="F18" s="139"/>
      <c r="G18" s="139"/>
      <c r="H18" s="139"/>
      <c r="I18" s="139"/>
      <c r="J18" s="139"/>
      <c r="K18" s="139"/>
      <c r="L18" s="139"/>
      <c r="M18" s="139"/>
      <c r="N18" s="139"/>
      <c r="O18" s="139"/>
      <c r="P18" s="139"/>
      <c r="Q18" s="139"/>
      <c r="R18" s="139"/>
      <c r="S18" s="139"/>
      <c r="T18" s="139"/>
      <c r="U18" s="139"/>
      <c r="V18" s="139"/>
    </row>
    <row r="19">
      <c r="A19" s="144"/>
      <c r="B19" s="166" t="s">
        <v>222</v>
      </c>
      <c r="C19" s="167">
        <f>C17*C18</f>
        <v>2700000</v>
      </c>
      <c r="D19" s="144"/>
      <c r="E19" s="139"/>
      <c r="F19" s="139"/>
      <c r="G19" s="139"/>
      <c r="H19" s="139"/>
      <c r="I19" s="139"/>
      <c r="J19" s="139"/>
      <c r="K19" s="139"/>
      <c r="L19" s="139"/>
      <c r="M19" s="139"/>
      <c r="N19" s="139"/>
      <c r="O19" s="139"/>
      <c r="P19" s="139"/>
      <c r="Q19" s="139"/>
      <c r="R19" s="139"/>
      <c r="S19" s="139"/>
      <c r="T19" s="139"/>
      <c r="U19" s="139"/>
      <c r="V19" s="139"/>
    </row>
    <row r="20">
      <c r="A20" s="144"/>
      <c r="B20" s="168"/>
      <c r="C20" s="8"/>
      <c r="D20" s="144"/>
      <c r="E20" s="139"/>
      <c r="F20" s="139"/>
      <c r="G20" s="139"/>
      <c r="H20" s="139"/>
      <c r="I20" s="139"/>
      <c r="J20" s="139"/>
      <c r="K20" s="139"/>
      <c r="L20" s="139"/>
      <c r="M20" s="139"/>
      <c r="N20" s="139"/>
      <c r="O20" s="139"/>
      <c r="P20" s="139"/>
      <c r="Q20" s="139"/>
      <c r="R20" s="139"/>
      <c r="S20" s="139"/>
      <c r="T20" s="139"/>
      <c r="U20" s="139"/>
      <c r="V20" s="139"/>
    </row>
    <row r="21">
      <c r="A21" s="144"/>
      <c r="B21" s="166" t="str">
        <f>"Total Repayment on "&amp;text(C4,"$0,0")&amp;" Capital Draw"</f>
        <v>Total Repayment on $300,000 Capital Draw</v>
      </c>
      <c r="C21" s="170">
        <f>Results!E19</f>
        <v>450000</v>
      </c>
      <c r="D21" s="144"/>
      <c r="E21" s="139"/>
      <c r="F21" s="139"/>
      <c r="G21" s="139"/>
      <c r="H21" s="139"/>
      <c r="I21" s="139"/>
      <c r="J21" s="139"/>
      <c r="K21" s="139"/>
      <c r="L21" s="139"/>
      <c r="M21" s="139"/>
      <c r="N21" s="139"/>
      <c r="O21" s="139"/>
      <c r="P21" s="139"/>
      <c r="Q21" s="139"/>
      <c r="R21" s="139"/>
      <c r="S21" s="139"/>
      <c r="T21" s="139"/>
      <c r="U21" s="139"/>
      <c r="V21" s="139"/>
    </row>
    <row r="22">
      <c r="A22" s="144"/>
      <c r="B22" s="166" t="s">
        <v>223</v>
      </c>
      <c r="C22" s="171">
        <f>C21/C4</f>
        <v>1.5</v>
      </c>
      <c r="D22" s="144"/>
      <c r="E22" s="139"/>
      <c r="F22" s="139"/>
      <c r="G22" s="139"/>
      <c r="H22" s="139"/>
      <c r="I22" s="139"/>
      <c r="J22" s="139"/>
      <c r="K22" s="139"/>
      <c r="L22" s="139"/>
      <c r="M22" s="139"/>
      <c r="N22" s="139"/>
      <c r="O22" s="139"/>
      <c r="P22" s="139"/>
      <c r="Q22" s="139"/>
      <c r="R22" s="139"/>
      <c r="S22" s="139"/>
      <c r="T22" s="139"/>
      <c r="U22" s="139"/>
      <c r="V22" s="139"/>
    </row>
    <row r="23">
      <c r="A23" s="144"/>
      <c r="B23" s="168"/>
      <c r="C23" s="8"/>
      <c r="D23" s="144"/>
      <c r="E23" s="139"/>
      <c r="F23" s="139"/>
      <c r="G23" s="139"/>
      <c r="H23" s="139"/>
      <c r="I23" s="139"/>
      <c r="J23" s="139"/>
      <c r="K23" s="139"/>
      <c r="L23" s="139"/>
      <c r="M23" s="139"/>
      <c r="N23" s="139"/>
      <c r="O23" s="139"/>
      <c r="P23" s="139"/>
      <c r="Q23" s="139"/>
      <c r="R23" s="139"/>
      <c r="S23" s="139"/>
      <c r="T23" s="139"/>
      <c r="U23" s="139"/>
      <c r="V23" s="139"/>
    </row>
    <row r="24">
      <c r="A24" s="172"/>
      <c r="B24" s="166" t="s">
        <v>224</v>
      </c>
      <c r="C24" s="171">
        <f>C14/C6</f>
        <v>3</v>
      </c>
      <c r="D24" s="144"/>
      <c r="E24" s="139"/>
      <c r="F24" s="139"/>
      <c r="G24" s="139"/>
      <c r="H24" s="139"/>
      <c r="I24" s="139"/>
      <c r="J24" s="139"/>
      <c r="K24" s="139"/>
      <c r="L24" s="139"/>
      <c r="M24" s="139"/>
      <c r="N24" s="139"/>
      <c r="O24" s="139"/>
      <c r="P24" s="139"/>
      <c r="Q24" s="139"/>
      <c r="R24" s="139"/>
      <c r="S24" s="139"/>
      <c r="T24" s="139"/>
      <c r="U24" s="139"/>
      <c r="V24" s="139"/>
    </row>
    <row r="25">
      <c r="A25" s="173"/>
      <c r="B25" s="166" t="s">
        <v>225</v>
      </c>
      <c r="C25" s="171">
        <f>C14/C4</f>
        <v>2.25</v>
      </c>
      <c r="D25" s="144"/>
      <c r="E25" s="139"/>
      <c r="F25" s="139"/>
      <c r="G25" s="139"/>
      <c r="H25" s="139"/>
      <c r="I25" s="139"/>
      <c r="J25" s="139"/>
      <c r="K25" s="139"/>
      <c r="L25" s="139"/>
      <c r="M25" s="139"/>
      <c r="N25" s="139"/>
      <c r="O25" s="139"/>
      <c r="P25" s="139"/>
      <c r="Q25" s="139"/>
      <c r="R25" s="139"/>
      <c r="S25" s="139"/>
      <c r="T25" s="139"/>
      <c r="U25" s="139"/>
      <c r="V25" s="139"/>
    </row>
    <row r="26">
      <c r="A26" s="173"/>
      <c r="B26" s="166" t="s">
        <v>226</v>
      </c>
      <c r="C26" s="171">
        <f>C14/C21</f>
        <v>1.5</v>
      </c>
      <c r="D26" s="144"/>
      <c r="E26" s="139"/>
      <c r="F26" s="139"/>
      <c r="G26" s="139"/>
      <c r="H26" s="139"/>
      <c r="I26" s="139"/>
      <c r="J26" s="139"/>
      <c r="K26" s="139"/>
      <c r="L26" s="139"/>
      <c r="M26" s="139"/>
      <c r="N26" s="139"/>
      <c r="O26" s="139"/>
      <c r="P26" s="139"/>
      <c r="Q26" s="139"/>
      <c r="R26" s="139"/>
      <c r="S26" s="139"/>
      <c r="T26" s="139"/>
      <c r="U26" s="139"/>
      <c r="V26" s="139"/>
    </row>
    <row r="27">
      <c r="A27" s="173"/>
      <c r="B27" s="166" t="s">
        <v>227</v>
      </c>
      <c r="C27" s="167">
        <f>C14-Results!E19</f>
        <v>225000</v>
      </c>
      <c r="D27" s="144"/>
      <c r="E27" s="139"/>
      <c r="F27" s="139"/>
      <c r="G27" s="139"/>
      <c r="H27" s="139"/>
      <c r="I27" s="139"/>
      <c r="J27" s="139"/>
      <c r="K27" s="139"/>
      <c r="L27" s="139"/>
      <c r="M27" s="139"/>
      <c r="N27" s="139"/>
      <c r="O27" s="139"/>
      <c r="P27" s="139"/>
      <c r="Q27" s="139"/>
      <c r="R27" s="139"/>
      <c r="S27" s="139"/>
      <c r="T27" s="139"/>
      <c r="U27" s="139"/>
      <c r="V27" s="139"/>
    </row>
    <row r="28" hidden="1">
      <c r="A28" s="173"/>
      <c r="B28" s="166" t="s">
        <v>228</v>
      </c>
      <c r="C28" s="174">
        <f>C27/$C$6</f>
        <v>1</v>
      </c>
      <c r="D28" s="144"/>
      <c r="E28" s="139"/>
      <c r="F28" s="139"/>
      <c r="G28" s="139"/>
      <c r="H28" s="139"/>
      <c r="I28" s="139"/>
      <c r="J28" s="139"/>
      <c r="K28" s="139"/>
      <c r="L28" s="139"/>
      <c r="M28" s="139"/>
      <c r="N28" s="139"/>
      <c r="O28" s="139"/>
      <c r="P28" s="139"/>
      <c r="Q28" s="139"/>
      <c r="R28" s="139"/>
      <c r="S28" s="139"/>
      <c r="T28" s="139"/>
      <c r="U28" s="139"/>
      <c r="V28" s="139"/>
    </row>
    <row r="29" hidden="1">
      <c r="A29" s="173"/>
      <c r="B29" s="166" t="s">
        <v>229</v>
      </c>
      <c r="C29" s="174">
        <f>C27/$C$4</f>
        <v>0.75</v>
      </c>
      <c r="D29" s="144"/>
      <c r="E29" s="139"/>
      <c r="F29" s="139"/>
      <c r="G29" s="139"/>
      <c r="H29" s="139"/>
      <c r="I29" s="139"/>
      <c r="J29" s="139"/>
      <c r="K29" s="139"/>
      <c r="L29" s="139"/>
      <c r="M29" s="139"/>
      <c r="N29" s="139"/>
      <c r="O29" s="139"/>
      <c r="P29" s="139"/>
      <c r="Q29" s="139"/>
      <c r="R29" s="139"/>
      <c r="S29" s="139"/>
      <c r="T29" s="139"/>
      <c r="U29" s="139"/>
      <c r="V29" s="139"/>
    </row>
    <row r="30" hidden="1">
      <c r="A30" s="173"/>
      <c r="B30" s="166" t="s">
        <v>230</v>
      </c>
      <c r="C30" s="174">
        <f>C27/Results!E19</f>
        <v>0.5</v>
      </c>
      <c r="D30" s="144"/>
      <c r="E30" s="139"/>
      <c r="F30" s="139"/>
      <c r="G30" s="139"/>
      <c r="H30" s="139"/>
      <c r="I30" s="139"/>
      <c r="J30" s="139"/>
      <c r="K30" s="139"/>
      <c r="L30" s="139"/>
      <c r="M30" s="139"/>
      <c r="N30" s="139"/>
      <c r="O30" s="139"/>
      <c r="P30" s="139"/>
      <c r="Q30" s="139"/>
      <c r="R30" s="139"/>
      <c r="S30" s="139"/>
      <c r="T30" s="139"/>
      <c r="U30" s="139"/>
      <c r="V30" s="139"/>
    </row>
    <row r="31">
      <c r="A31" s="173"/>
      <c r="B31" s="168"/>
      <c r="C31" s="8"/>
      <c r="D31" s="144"/>
      <c r="E31" s="139"/>
      <c r="F31" s="139"/>
      <c r="G31" s="139"/>
      <c r="H31" s="139"/>
      <c r="I31" s="139"/>
      <c r="J31" s="139"/>
      <c r="K31" s="139"/>
      <c r="L31" s="139"/>
      <c r="M31" s="139"/>
      <c r="N31" s="139"/>
      <c r="O31" s="139"/>
      <c r="P31" s="139"/>
      <c r="Q31" s="139"/>
      <c r="R31" s="139"/>
      <c r="S31" s="139"/>
      <c r="T31" s="139"/>
      <c r="U31" s="139"/>
      <c r="V31" s="139"/>
    </row>
    <row r="32">
      <c r="A32" s="173"/>
      <c r="B32" s="166" t="s">
        <v>231</v>
      </c>
      <c r="C32" s="171">
        <f>C19/C6</f>
        <v>12</v>
      </c>
      <c r="D32" s="144"/>
      <c r="E32" s="139"/>
      <c r="F32" s="139"/>
      <c r="G32" s="139"/>
      <c r="H32" s="139"/>
      <c r="I32" s="139"/>
      <c r="J32" s="139"/>
      <c r="K32" s="139"/>
      <c r="L32" s="139"/>
      <c r="M32" s="139"/>
      <c r="N32" s="139"/>
      <c r="O32" s="139"/>
      <c r="P32" s="139"/>
      <c r="Q32" s="139"/>
      <c r="R32" s="139"/>
      <c r="S32" s="139"/>
      <c r="T32" s="139"/>
      <c r="U32" s="139"/>
      <c r="V32" s="139"/>
    </row>
    <row r="33">
      <c r="A33" s="173"/>
      <c r="B33" s="166" t="s">
        <v>232</v>
      </c>
      <c r="C33" s="171">
        <f>C19/C4</f>
        <v>9</v>
      </c>
      <c r="D33" s="139"/>
      <c r="E33" s="139"/>
      <c r="F33" s="139"/>
      <c r="G33" s="139"/>
      <c r="H33" s="139"/>
      <c r="I33" s="139"/>
      <c r="J33" s="139"/>
      <c r="K33" s="139"/>
      <c r="L33" s="139"/>
      <c r="M33" s="139"/>
      <c r="N33" s="139"/>
      <c r="O33" s="139"/>
      <c r="P33" s="139"/>
      <c r="Q33" s="139"/>
      <c r="R33" s="139"/>
      <c r="S33" s="139"/>
      <c r="T33" s="139"/>
      <c r="U33" s="139"/>
      <c r="V33" s="139"/>
    </row>
    <row r="34">
      <c r="A34" s="173"/>
      <c r="B34" s="166" t="s">
        <v>233</v>
      </c>
      <c r="C34" s="171">
        <f>C19/Results!E19</f>
        <v>6</v>
      </c>
      <c r="D34" s="139"/>
      <c r="E34" s="139"/>
      <c r="F34" s="139"/>
      <c r="G34" s="139"/>
      <c r="H34" s="139"/>
      <c r="I34" s="139"/>
      <c r="J34" s="139"/>
      <c r="K34" s="139"/>
      <c r="L34" s="139"/>
      <c r="M34" s="139"/>
      <c r="N34" s="139"/>
      <c r="O34" s="139"/>
      <c r="P34" s="139"/>
      <c r="Q34" s="139"/>
      <c r="R34" s="139"/>
      <c r="S34" s="139"/>
      <c r="T34" s="139"/>
      <c r="U34" s="139"/>
      <c r="V34" s="139"/>
    </row>
    <row r="35">
      <c r="A35" s="173"/>
      <c r="B35" s="175" t="s">
        <v>234</v>
      </c>
      <c r="C35" s="176">
        <f>C19-Results!E19</f>
        <v>2250000</v>
      </c>
      <c r="D35" s="139"/>
      <c r="E35" s="139"/>
      <c r="F35" s="139"/>
      <c r="G35" s="139"/>
      <c r="H35" s="139"/>
      <c r="I35" s="139"/>
      <c r="J35" s="139"/>
      <c r="K35" s="139"/>
      <c r="L35" s="139"/>
      <c r="M35" s="139"/>
      <c r="N35" s="139"/>
      <c r="O35" s="139"/>
      <c r="P35" s="139"/>
      <c r="Q35" s="139"/>
      <c r="R35" s="139"/>
      <c r="S35" s="139"/>
      <c r="T35" s="139"/>
      <c r="U35" s="139"/>
      <c r="V35" s="139"/>
    </row>
    <row r="36" hidden="1">
      <c r="A36" s="173"/>
      <c r="B36" s="166" t="s">
        <v>235</v>
      </c>
      <c r="C36" s="171">
        <f>C35/$C$6</f>
        <v>10</v>
      </c>
      <c r="D36" s="139"/>
      <c r="E36" s="139"/>
      <c r="F36" s="139"/>
      <c r="G36" s="139"/>
      <c r="H36" s="139"/>
      <c r="I36" s="139"/>
      <c r="J36" s="139"/>
      <c r="K36" s="139"/>
      <c r="L36" s="139"/>
      <c r="M36" s="139"/>
      <c r="N36" s="139"/>
      <c r="O36" s="139"/>
      <c r="P36" s="139"/>
      <c r="Q36" s="139"/>
      <c r="R36" s="139"/>
      <c r="S36" s="139"/>
      <c r="T36" s="139"/>
      <c r="U36" s="139"/>
      <c r="V36" s="139"/>
    </row>
    <row r="37" hidden="1">
      <c r="A37" s="173"/>
      <c r="B37" s="166" t="s">
        <v>236</v>
      </c>
      <c r="C37" s="171">
        <f>C35/$C$4</f>
        <v>7.5</v>
      </c>
      <c r="D37" s="139"/>
      <c r="E37" s="139"/>
      <c r="F37" s="139"/>
      <c r="G37" s="139"/>
      <c r="H37" s="139"/>
      <c r="I37" s="139"/>
      <c r="J37" s="139"/>
      <c r="K37" s="139"/>
      <c r="L37" s="139"/>
      <c r="M37" s="139"/>
      <c r="N37" s="139"/>
      <c r="O37" s="139"/>
      <c r="P37" s="139"/>
      <c r="Q37" s="139"/>
      <c r="R37" s="139"/>
      <c r="S37" s="139"/>
      <c r="T37" s="139"/>
      <c r="U37" s="139"/>
      <c r="V37" s="139"/>
    </row>
    <row r="38" hidden="1">
      <c r="A38" s="173"/>
      <c r="B38" s="175" t="s">
        <v>237</v>
      </c>
      <c r="C38" s="177">
        <f>C35/Results!E19</f>
        <v>5</v>
      </c>
      <c r="D38" s="139"/>
      <c r="E38" s="139"/>
      <c r="F38" s="139"/>
      <c r="G38" s="139"/>
      <c r="H38" s="139"/>
      <c r="I38" s="139"/>
      <c r="J38" s="139"/>
      <c r="K38" s="139"/>
      <c r="L38" s="139"/>
      <c r="M38" s="139"/>
      <c r="N38" s="139"/>
      <c r="O38" s="139"/>
      <c r="P38" s="139"/>
      <c r="Q38" s="139"/>
      <c r="R38" s="139"/>
      <c r="S38" s="139"/>
      <c r="T38" s="139"/>
      <c r="U38" s="139"/>
      <c r="V38" s="139"/>
    </row>
    <row r="39">
      <c r="A39" s="139"/>
      <c r="B39" s="139"/>
      <c r="C39" s="139"/>
      <c r="D39" s="139"/>
      <c r="E39" s="139"/>
      <c r="F39" s="139"/>
      <c r="G39" s="139"/>
      <c r="H39" s="139"/>
      <c r="I39" s="139"/>
      <c r="J39" s="139"/>
      <c r="K39" s="139"/>
      <c r="L39" s="139"/>
      <c r="M39" s="139"/>
      <c r="N39" s="139"/>
      <c r="O39" s="139"/>
      <c r="P39" s="139"/>
      <c r="Q39" s="139"/>
      <c r="R39" s="139"/>
      <c r="S39" s="139"/>
      <c r="T39" s="139"/>
      <c r="U39" s="139"/>
      <c r="V39" s="139"/>
    </row>
    <row r="40">
      <c r="A40" s="139"/>
      <c r="B40" s="139"/>
      <c r="C40" s="139"/>
      <c r="D40" s="139"/>
      <c r="E40" s="139"/>
      <c r="F40" s="139"/>
      <c r="G40" s="139"/>
      <c r="H40" s="139"/>
      <c r="I40" s="139"/>
      <c r="J40" s="139"/>
      <c r="K40" s="139"/>
      <c r="L40" s="139"/>
      <c r="M40" s="139"/>
      <c r="N40" s="139"/>
      <c r="O40" s="139"/>
      <c r="P40" s="139"/>
      <c r="Q40" s="139"/>
      <c r="R40" s="139"/>
      <c r="S40" s="139"/>
      <c r="T40" s="139"/>
      <c r="U40" s="139"/>
      <c r="V40" s="139"/>
    </row>
    <row r="41">
      <c r="A41" s="139"/>
      <c r="B41" s="139"/>
      <c r="C41" s="178"/>
      <c r="D41" s="139"/>
      <c r="E41" s="139"/>
      <c r="F41" s="139"/>
      <c r="G41" s="139"/>
      <c r="H41" s="139"/>
      <c r="I41" s="139"/>
      <c r="J41" s="139"/>
      <c r="K41" s="139"/>
      <c r="L41" s="139"/>
      <c r="M41" s="139"/>
      <c r="N41" s="139"/>
      <c r="O41" s="139"/>
      <c r="P41" s="139"/>
      <c r="Q41" s="139"/>
      <c r="R41" s="139"/>
      <c r="S41" s="139"/>
      <c r="T41" s="139"/>
      <c r="U41" s="139"/>
      <c r="V41" s="139"/>
    </row>
    <row r="42">
      <c r="A42" s="139"/>
      <c r="B42" s="139"/>
      <c r="C42" s="139"/>
      <c r="D42" s="139"/>
      <c r="E42" s="139"/>
      <c r="F42" s="139"/>
      <c r="G42" s="139"/>
      <c r="H42" s="139"/>
      <c r="I42" s="139"/>
      <c r="J42" s="139"/>
      <c r="K42" s="139"/>
      <c r="L42" s="139"/>
      <c r="M42" s="139"/>
      <c r="N42" s="139"/>
      <c r="O42" s="139"/>
      <c r="P42" s="139"/>
      <c r="Q42" s="139"/>
      <c r="R42" s="139"/>
      <c r="S42" s="139"/>
      <c r="T42" s="139"/>
      <c r="U42" s="139"/>
      <c r="V42" s="139"/>
    </row>
    <row r="43">
      <c r="A43" s="139"/>
      <c r="B43" s="139"/>
      <c r="C43" s="139"/>
      <c r="D43" s="139"/>
      <c r="E43" s="139"/>
      <c r="F43" s="139"/>
      <c r="G43" s="139"/>
      <c r="H43" s="139"/>
      <c r="I43" s="139"/>
      <c r="J43" s="139"/>
      <c r="K43" s="139"/>
      <c r="L43" s="139"/>
      <c r="M43" s="139"/>
      <c r="N43" s="139"/>
      <c r="O43" s="139"/>
      <c r="P43" s="139"/>
      <c r="Q43" s="139"/>
      <c r="R43" s="139"/>
      <c r="S43" s="139"/>
      <c r="T43" s="139"/>
      <c r="U43" s="139"/>
      <c r="V43" s="139"/>
    </row>
    <row r="44">
      <c r="A44" s="139"/>
      <c r="B44" s="139"/>
      <c r="C44" s="139"/>
      <c r="D44" s="139"/>
      <c r="E44" s="139"/>
      <c r="F44" s="139"/>
      <c r="G44" s="139"/>
      <c r="H44" s="139"/>
      <c r="I44" s="139"/>
      <c r="J44" s="139"/>
      <c r="K44" s="139"/>
      <c r="L44" s="139"/>
      <c r="M44" s="139"/>
      <c r="N44" s="139"/>
      <c r="O44" s="139"/>
      <c r="P44" s="139"/>
      <c r="Q44" s="139"/>
      <c r="R44" s="139"/>
      <c r="S44" s="139"/>
      <c r="T44" s="139"/>
      <c r="U44" s="139"/>
      <c r="V44" s="139"/>
    </row>
    <row r="45">
      <c r="A45" s="139"/>
      <c r="B45" s="139"/>
      <c r="C45" s="139"/>
      <c r="D45" s="139"/>
      <c r="E45" s="139"/>
      <c r="F45" s="139"/>
      <c r="G45" s="139"/>
      <c r="H45" s="139"/>
      <c r="I45" s="139"/>
      <c r="J45" s="139"/>
      <c r="K45" s="139"/>
      <c r="L45" s="139"/>
      <c r="M45" s="139"/>
      <c r="N45" s="139"/>
      <c r="O45" s="139"/>
      <c r="P45" s="139"/>
      <c r="Q45" s="139"/>
      <c r="R45" s="139"/>
      <c r="S45" s="139"/>
      <c r="T45" s="139"/>
      <c r="U45" s="139"/>
      <c r="V45" s="139"/>
    </row>
    <row r="46">
      <c r="A46" s="139"/>
      <c r="B46" s="139"/>
      <c r="C46" s="139"/>
      <c r="D46" s="139"/>
      <c r="E46" s="139"/>
      <c r="F46" s="139"/>
      <c r="G46" s="139"/>
      <c r="H46" s="139"/>
      <c r="I46" s="139"/>
      <c r="J46" s="139"/>
      <c r="K46" s="139"/>
      <c r="L46" s="139"/>
      <c r="M46" s="139"/>
      <c r="N46" s="139"/>
      <c r="O46" s="139"/>
      <c r="P46" s="139"/>
      <c r="Q46" s="139"/>
      <c r="R46" s="139"/>
      <c r="S46" s="139"/>
      <c r="T46" s="139"/>
      <c r="U46" s="139"/>
      <c r="V46" s="139"/>
    </row>
    <row r="47">
      <c r="A47" s="139"/>
      <c r="B47" s="139"/>
      <c r="C47" s="139"/>
      <c r="D47" s="139"/>
      <c r="E47" s="139"/>
      <c r="F47" s="139"/>
      <c r="G47" s="139"/>
      <c r="H47" s="139"/>
      <c r="I47" s="139"/>
      <c r="J47" s="139"/>
      <c r="K47" s="139"/>
      <c r="L47" s="139"/>
      <c r="M47" s="139"/>
      <c r="N47" s="139"/>
      <c r="O47" s="139"/>
      <c r="P47" s="139"/>
      <c r="Q47" s="139"/>
      <c r="R47" s="139"/>
      <c r="S47" s="139"/>
      <c r="T47" s="139"/>
      <c r="U47" s="139"/>
      <c r="V47" s="139"/>
    </row>
    <row r="48">
      <c r="A48" s="139"/>
      <c r="B48" s="139"/>
      <c r="C48" s="139"/>
      <c r="D48" s="139"/>
      <c r="E48" s="139"/>
      <c r="F48" s="139"/>
      <c r="G48" s="139"/>
      <c r="H48" s="139"/>
      <c r="I48" s="139"/>
      <c r="J48" s="139"/>
      <c r="K48" s="139"/>
      <c r="L48" s="139"/>
      <c r="M48" s="139"/>
      <c r="N48" s="139"/>
      <c r="O48" s="139"/>
      <c r="P48" s="139"/>
      <c r="Q48" s="139"/>
      <c r="R48" s="139"/>
      <c r="S48" s="139"/>
      <c r="T48" s="139"/>
      <c r="U48" s="139"/>
      <c r="V48" s="139"/>
    </row>
    <row r="49">
      <c r="A49" s="139"/>
      <c r="B49" s="139"/>
      <c r="C49" s="139"/>
      <c r="D49" s="139"/>
      <c r="E49" s="139"/>
      <c r="F49" s="139"/>
      <c r="G49" s="139"/>
      <c r="H49" s="139"/>
      <c r="I49" s="139"/>
      <c r="J49" s="139"/>
      <c r="K49" s="139"/>
      <c r="L49" s="139"/>
      <c r="M49" s="139"/>
      <c r="N49" s="139"/>
      <c r="O49" s="139"/>
      <c r="P49" s="139"/>
      <c r="Q49" s="139"/>
      <c r="R49" s="139"/>
      <c r="S49" s="139"/>
      <c r="T49" s="139"/>
      <c r="U49" s="139"/>
      <c r="V49" s="139"/>
    </row>
    <row r="50">
      <c r="A50" s="139"/>
      <c r="B50" s="139"/>
      <c r="C50" s="139"/>
      <c r="D50" s="139"/>
      <c r="E50" s="139"/>
      <c r="F50" s="139"/>
      <c r="G50" s="139"/>
      <c r="H50" s="139"/>
      <c r="I50" s="139"/>
      <c r="J50" s="139"/>
      <c r="K50" s="139"/>
      <c r="L50" s="139"/>
      <c r="M50" s="139"/>
      <c r="N50" s="139"/>
      <c r="O50" s="139"/>
      <c r="P50" s="139"/>
      <c r="Q50" s="139"/>
      <c r="R50" s="139"/>
      <c r="S50" s="139"/>
      <c r="T50" s="139"/>
      <c r="U50" s="139"/>
      <c r="V50" s="139"/>
    </row>
    <row r="51">
      <c r="A51" s="139"/>
      <c r="B51" s="139"/>
      <c r="C51" s="139"/>
      <c r="D51" s="139"/>
      <c r="E51" s="139"/>
      <c r="F51" s="139"/>
      <c r="G51" s="139"/>
      <c r="H51" s="139"/>
      <c r="I51" s="139"/>
      <c r="J51" s="139"/>
      <c r="K51" s="139"/>
      <c r="L51" s="139"/>
      <c r="M51" s="139"/>
      <c r="N51" s="139"/>
      <c r="O51" s="139"/>
      <c r="P51" s="139"/>
      <c r="Q51" s="139"/>
      <c r="R51" s="139"/>
      <c r="S51" s="139"/>
      <c r="T51" s="139"/>
      <c r="U51" s="139"/>
      <c r="V51" s="139"/>
    </row>
    <row r="52">
      <c r="A52" s="139"/>
      <c r="B52" s="139"/>
      <c r="C52" s="139"/>
      <c r="D52" s="139"/>
      <c r="E52" s="139"/>
      <c r="F52" s="139"/>
      <c r="G52" s="139"/>
      <c r="H52" s="139"/>
      <c r="I52" s="139"/>
      <c r="J52" s="139"/>
      <c r="K52" s="139"/>
      <c r="L52" s="139"/>
      <c r="M52" s="139"/>
      <c r="N52" s="139"/>
      <c r="O52" s="139"/>
      <c r="P52" s="139"/>
      <c r="Q52" s="139"/>
      <c r="R52" s="139"/>
      <c r="S52" s="139"/>
      <c r="T52" s="139"/>
      <c r="U52" s="139"/>
      <c r="V52" s="139"/>
    </row>
    <row r="53">
      <c r="A53" s="139"/>
      <c r="B53" s="139"/>
      <c r="C53" s="139"/>
      <c r="D53" s="139"/>
      <c r="E53" s="139"/>
      <c r="F53" s="139"/>
      <c r="G53" s="139"/>
      <c r="H53" s="139"/>
      <c r="I53" s="139"/>
      <c r="J53" s="139"/>
      <c r="K53" s="139"/>
      <c r="L53" s="139"/>
      <c r="M53" s="139"/>
      <c r="N53" s="139"/>
      <c r="O53" s="139"/>
      <c r="P53" s="139"/>
      <c r="Q53" s="139"/>
      <c r="R53" s="139"/>
      <c r="S53" s="139"/>
      <c r="T53" s="139"/>
      <c r="U53" s="139"/>
      <c r="V53" s="139"/>
    </row>
    <row r="54">
      <c r="A54" s="139"/>
      <c r="B54" s="139"/>
      <c r="C54" s="139"/>
      <c r="D54" s="139"/>
      <c r="E54" s="139"/>
      <c r="F54" s="139"/>
      <c r="G54" s="139"/>
      <c r="H54" s="139"/>
      <c r="I54" s="139"/>
      <c r="J54" s="139"/>
      <c r="K54" s="139"/>
      <c r="L54" s="139"/>
      <c r="M54" s="139"/>
      <c r="N54" s="139"/>
      <c r="O54" s="139"/>
      <c r="P54" s="139"/>
      <c r="Q54" s="139"/>
      <c r="R54" s="139"/>
      <c r="S54" s="139"/>
      <c r="T54" s="139"/>
      <c r="U54" s="139"/>
      <c r="V54" s="139"/>
    </row>
    <row r="55">
      <c r="A55" s="139"/>
      <c r="B55" s="139"/>
      <c r="C55" s="139"/>
      <c r="D55" s="139"/>
      <c r="E55" s="139"/>
      <c r="F55" s="139"/>
      <c r="G55" s="139"/>
      <c r="H55" s="139"/>
      <c r="I55" s="139"/>
      <c r="J55" s="139"/>
      <c r="K55" s="139"/>
      <c r="L55" s="139"/>
      <c r="M55" s="139"/>
      <c r="N55" s="139"/>
      <c r="O55" s="139"/>
      <c r="P55" s="139"/>
      <c r="Q55" s="139"/>
      <c r="R55" s="139"/>
      <c r="S55" s="139"/>
      <c r="T55" s="139"/>
      <c r="U55" s="139"/>
      <c r="V55" s="139"/>
    </row>
    <row r="56">
      <c r="A56" s="139"/>
      <c r="B56" s="139"/>
      <c r="C56" s="139"/>
      <c r="D56" s="139"/>
      <c r="E56" s="139"/>
      <c r="F56" s="139"/>
      <c r="G56" s="139"/>
      <c r="H56" s="139"/>
      <c r="I56" s="139"/>
      <c r="J56" s="139"/>
      <c r="K56" s="139"/>
      <c r="L56" s="139"/>
      <c r="M56" s="139"/>
      <c r="N56" s="139"/>
      <c r="O56" s="139"/>
      <c r="P56" s="139"/>
      <c r="Q56" s="139"/>
      <c r="R56" s="139"/>
      <c r="S56" s="139"/>
      <c r="T56" s="139"/>
      <c r="U56" s="139"/>
      <c r="V56" s="139"/>
    </row>
    <row r="57">
      <c r="A57" s="139"/>
      <c r="B57" s="139"/>
      <c r="C57" s="139"/>
      <c r="D57" s="139"/>
      <c r="E57" s="139"/>
      <c r="F57" s="139"/>
      <c r="G57" s="139"/>
      <c r="H57" s="139"/>
      <c r="I57" s="139"/>
      <c r="J57" s="139"/>
      <c r="K57" s="139"/>
      <c r="L57" s="139"/>
      <c r="M57" s="139"/>
      <c r="N57" s="139"/>
      <c r="O57" s="139"/>
      <c r="P57" s="139"/>
      <c r="Q57" s="139"/>
      <c r="R57" s="139"/>
      <c r="S57" s="139"/>
      <c r="T57" s="139"/>
      <c r="U57" s="139"/>
      <c r="V57" s="139"/>
    </row>
    <row r="58">
      <c r="A58" s="139"/>
      <c r="B58" s="139"/>
      <c r="C58" s="139"/>
      <c r="D58" s="139"/>
      <c r="E58" s="139"/>
      <c r="F58" s="139"/>
      <c r="G58" s="139"/>
      <c r="H58" s="139"/>
      <c r="I58" s="139"/>
      <c r="J58" s="139"/>
      <c r="K58" s="139"/>
      <c r="L58" s="139"/>
      <c r="M58" s="139"/>
      <c r="N58" s="139"/>
      <c r="O58" s="139"/>
      <c r="P58" s="139"/>
      <c r="Q58" s="139"/>
      <c r="R58" s="139"/>
      <c r="S58" s="139"/>
      <c r="T58" s="139"/>
      <c r="U58" s="139"/>
      <c r="V58" s="139"/>
    </row>
    <row r="59">
      <c r="A59" s="139"/>
      <c r="B59" s="139"/>
      <c r="C59" s="139"/>
      <c r="D59" s="139"/>
      <c r="E59" s="139"/>
      <c r="F59" s="139"/>
      <c r="G59" s="139"/>
      <c r="H59" s="139"/>
      <c r="I59" s="139"/>
      <c r="J59" s="139"/>
      <c r="K59" s="139"/>
      <c r="L59" s="139"/>
      <c r="M59" s="139"/>
      <c r="N59" s="139"/>
      <c r="O59" s="139"/>
      <c r="P59" s="139"/>
      <c r="Q59" s="139"/>
      <c r="R59" s="139"/>
      <c r="S59" s="139"/>
      <c r="T59" s="139"/>
      <c r="U59" s="139"/>
      <c r="V59" s="139"/>
    </row>
    <row r="60">
      <c r="A60" s="139"/>
      <c r="B60" s="139"/>
      <c r="C60" s="139"/>
      <c r="D60" s="139"/>
      <c r="E60" s="139"/>
      <c r="F60" s="139"/>
      <c r="G60" s="139"/>
      <c r="H60" s="139"/>
      <c r="I60" s="139"/>
      <c r="J60" s="139"/>
      <c r="K60" s="139"/>
      <c r="L60" s="139"/>
      <c r="M60" s="139"/>
      <c r="N60" s="139"/>
      <c r="O60" s="139"/>
      <c r="P60" s="139"/>
      <c r="Q60" s="139"/>
      <c r="R60" s="139"/>
      <c r="S60" s="139"/>
      <c r="T60" s="139"/>
      <c r="U60" s="139"/>
      <c r="V60" s="139"/>
    </row>
    <row r="61">
      <c r="A61" s="139"/>
      <c r="B61" s="139"/>
      <c r="C61" s="139"/>
      <c r="D61" s="139"/>
      <c r="E61" s="139"/>
      <c r="F61" s="139"/>
      <c r="G61" s="139"/>
      <c r="H61" s="139"/>
      <c r="I61" s="139"/>
      <c r="J61" s="139"/>
      <c r="K61" s="139"/>
      <c r="L61" s="139"/>
      <c r="M61" s="139"/>
      <c r="N61" s="139"/>
      <c r="O61" s="139"/>
      <c r="P61" s="139"/>
      <c r="Q61" s="139"/>
      <c r="R61" s="139"/>
      <c r="S61" s="139"/>
      <c r="T61" s="139"/>
      <c r="U61" s="139"/>
      <c r="V61" s="139"/>
    </row>
    <row r="62">
      <c r="A62" s="139"/>
      <c r="B62" s="139"/>
      <c r="C62" s="139"/>
      <c r="D62" s="139"/>
      <c r="E62" s="139"/>
      <c r="F62" s="139"/>
      <c r="G62" s="139"/>
      <c r="H62" s="139"/>
      <c r="I62" s="139"/>
      <c r="J62" s="139"/>
      <c r="K62" s="139"/>
      <c r="L62" s="139"/>
      <c r="M62" s="139"/>
      <c r="N62" s="139"/>
      <c r="O62" s="139"/>
      <c r="P62" s="139"/>
      <c r="Q62" s="139"/>
      <c r="R62" s="139"/>
      <c r="S62" s="139"/>
      <c r="T62" s="139"/>
      <c r="U62" s="139"/>
      <c r="V62" s="139"/>
    </row>
    <row r="63">
      <c r="A63" s="139"/>
      <c r="B63" s="139"/>
      <c r="C63" s="139"/>
      <c r="D63" s="139"/>
      <c r="E63" s="139"/>
      <c r="F63" s="139"/>
      <c r="G63" s="139"/>
      <c r="H63" s="139"/>
      <c r="I63" s="139"/>
      <c r="J63" s="139"/>
      <c r="K63" s="139"/>
      <c r="L63" s="139"/>
      <c r="M63" s="139"/>
      <c r="N63" s="139"/>
      <c r="O63" s="139"/>
      <c r="P63" s="139"/>
      <c r="Q63" s="139"/>
      <c r="R63" s="139"/>
      <c r="S63" s="139"/>
      <c r="T63" s="139"/>
      <c r="U63" s="139"/>
      <c r="V63" s="139"/>
    </row>
    <row r="64">
      <c r="A64" s="139"/>
      <c r="B64" s="139"/>
      <c r="C64" s="139"/>
      <c r="D64" s="139"/>
      <c r="E64" s="139"/>
      <c r="F64" s="139"/>
      <c r="G64" s="139"/>
      <c r="H64" s="139"/>
      <c r="I64" s="139"/>
      <c r="J64" s="139"/>
      <c r="K64" s="139"/>
      <c r="L64" s="139"/>
      <c r="M64" s="139"/>
      <c r="N64" s="139"/>
      <c r="O64" s="139"/>
      <c r="P64" s="139"/>
      <c r="Q64" s="139"/>
      <c r="R64" s="139"/>
      <c r="S64" s="139"/>
      <c r="T64" s="139"/>
      <c r="U64" s="139"/>
      <c r="V64" s="139"/>
    </row>
    <row r="65">
      <c r="A65" s="139"/>
      <c r="B65" s="139"/>
      <c r="C65" s="139"/>
      <c r="D65" s="139"/>
      <c r="E65" s="139"/>
      <c r="F65" s="139"/>
      <c r="G65" s="139"/>
      <c r="H65" s="139"/>
      <c r="I65" s="139"/>
      <c r="J65" s="139"/>
      <c r="K65" s="139"/>
      <c r="L65" s="139"/>
      <c r="M65" s="139"/>
      <c r="N65" s="139"/>
      <c r="O65" s="139"/>
      <c r="P65" s="139"/>
      <c r="Q65" s="139"/>
      <c r="R65" s="139"/>
      <c r="S65" s="139"/>
      <c r="T65" s="139"/>
      <c r="U65" s="139"/>
      <c r="V65" s="139"/>
    </row>
    <row r="66">
      <c r="A66" s="139"/>
      <c r="B66" s="139"/>
      <c r="C66" s="139"/>
      <c r="D66" s="139"/>
      <c r="E66" s="139"/>
      <c r="F66" s="139"/>
      <c r="G66" s="139"/>
      <c r="H66" s="139"/>
      <c r="I66" s="139"/>
      <c r="J66" s="139"/>
      <c r="K66" s="139"/>
      <c r="L66" s="139"/>
      <c r="M66" s="139"/>
      <c r="N66" s="139"/>
      <c r="O66" s="139"/>
      <c r="P66" s="139"/>
      <c r="Q66" s="139"/>
      <c r="R66" s="139"/>
      <c r="S66" s="139"/>
      <c r="T66" s="139"/>
      <c r="U66" s="139"/>
      <c r="V66" s="139"/>
    </row>
    <row r="67">
      <c r="A67" s="139"/>
      <c r="B67" s="139"/>
      <c r="C67" s="139"/>
      <c r="D67" s="139"/>
      <c r="E67" s="139"/>
      <c r="F67" s="139"/>
      <c r="G67" s="139"/>
      <c r="H67" s="139"/>
      <c r="I67" s="139"/>
      <c r="J67" s="139"/>
      <c r="K67" s="139"/>
      <c r="L67" s="139"/>
      <c r="M67" s="139"/>
      <c r="N67" s="139"/>
      <c r="O67" s="139"/>
      <c r="P67" s="139"/>
      <c r="Q67" s="139"/>
      <c r="R67" s="139"/>
      <c r="S67" s="139"/>
      <c r="T67" s="139"/>
      <c r="U67" s="139"/>
      <c r="V67" s="139"/>
    </row>
    <row r="68">
      <c r="A68" s="139"/>
      <c r="B68" s="139"/>
      <c r="C68" s="139"/>
      <c r="D68" s="139"/>
      <c r="E68" s="139"/>
      <c r="F68" s="139"/>
      <c r="G68" s="139"/>
      <c r="H68" s="139"/>
      <c r="I68" s="139"/>
      <c r="J68" s="139"/>
      <c r="K68" s="139"/>
      <c r="L68" s="139"/>
      <c r="M68" s="139"/>
      <c r="N68" s="139"/>
      <c r="O68" s="139"/>
      <c r="P68" s="139"/>
      <c r="Q68" s="139"/>
      <c r="R68" s="139"/>
      <c r="S68" s="139"/>
      <c r="T68" s="139"/>
      <c r="U68" s="139"/>
      <c r="V68" s="139"/>
    </row>
    <row r="69">
      <c r="A69" s="139"/>
      <c r="B69" s="139"/>
      <c r="C69" s="139"/>
      <c r="D69" s="139"/>
      <c r="E69" s="139"/>
      <c r="F69" s="139"/>
      <c r="G69" s="139"/>
      <c r="H69" s="139"/>
      <c r="I69" s="139"/>
      <c r="J69" s="139"/>
      <c r="K69" s="139"/>
      <c r="L69" s="139"/>
      <c r="M69" s="139"/>
      <c r="N69" s="139"/>
      <c r="O69" s="139"/>
      <c r="P69" s="139"/>
      <c r="Q69" s="139"/>
      <c r="R69" s="139"/>
      <c r="S69" s="139"/>
      <c r="T69" s="139"/>
      <c r="U69" s="139"/>
      <c r="V69" s="139"/>
    </row>
    <row r="70">
      <c r="A70" s="139"/>
      <c r="B70" s="139"/>
      <c r="C70" s="139"/>
      <c r="D70" s="139"/>
      <c r="E70" s="139"/>
      <c r="F70" s="139"/>
      <c r="G70" s="139"/>
      <c r="H70" s="139"/>
      <c r="I70" s="139"/>
      <c r="J70" s="139"/>
      <c r="K70" s="139"/>
      <c r="L70" s="139"/>
      <c r="M70" s="139"/>
      <c r="N70" s="139"/>
      <c r="O70" s="139"/>
      <c r="P70" s="139"/>
      <c r="Q70" s="139"/>
      <c r="R70" s="139"/>
      <c r="S70" s="139"/>
      <c r="T70" s="139"/>
      <c r="U70" s="139"/>
      <c r="V70" s="139"/>
    </row>
    <row r="71">
      <c r="A71" s="139"/>
      <c r="B71" s="139"/>
      <c r="C71" s="139"/>
      <c r="D71" s="139"/>
      <c r="E71" s="139"/>
      <c r="F71" s="139"/>
      <c r="G71" s="139"/>
      <c r="H71" s="139"/>
      <c r="I71" s="139"/>
      <c r="J71" s="139"/>
      <c r="K71" s="139"/>
      <c r="L71" s="139"/>
      <c r="M71" s="139"/>
      <c r="N71" s="139"/>
      <c r="O71" s="139"/>
      <c r="P71" s="139"/>
      <c r="Q71" s="139"/>
      <c r="R71" s="139"/>
      <c r="S71" s="139"/>
      <c r="T71" s="139"/>
      <c r="U71" s="139"/>
      <c r="V71" s="139"/>
    </row>
    <row r="72">
      <c r="A72" s="139"/>
      <c r="B72" s="139"/>
      <c r="C72" s="139"/>
      <c r="D72" s="139"/>
      <c r="E72" s="139"/>
      <c r="F72" s="139"/>
      <c r="G72" s="139"/>
      <c r="H72" s="139"/>
      <c r="I72" s="139"/>
      <c r="J72" s="139"/>
      <c r="K72" s="139"/>
      <c r="L72" s="139"/>
      <c r="M72" s="139"/>
      <c r="N72" s="139"/>
      <c r="O72" s="139"/>
      <c r="P72" s="139"/>
      <c r="Q72" s="139"/>
      <c r="R72" s="139"/>
      <c r="S72" s="139"/>
      <c r="T72" s="139"/>
      <c r="U72" s="139"/>
      <c r="V72" s="139"/>
    </row>
    <row r="73">
      <c r="A73" s="139"/>
      <c r="B73" s="139"/>
      <c r="C73" s="139"/>
      <c r="D73" s="139"/>
      <c r="E73" s="139"/>
      <c r="F73" s="139"/>
      <c r="G73" s="139"/>
      <c r="H73" s="139"/>
      <c r="I73" s="139"/>
      <c r="J73" s="139"/>
      <c r="K73" s="139"/>
      <c r="L73" s="139"/>
      <c r="M73" s="139"/>
      <c r="N73" s="139"/>
      <c r="O73" s="139"/>
      <c r="P73" s="139"/>
      <c r="Q73" s="139"/>
      <c r="R73" s="139"/>
      <c r="S73" s="139"/>
      <c r="T73" s="139"/>
      <c r="U73" s="139"/>
      <c r="V73" s="139"/>
    </row>
    <row r="74">
      <c r="A74" s="139"/>
      <c r="B74" s="139"/>
      <c r="C74" s="139"/>
      <c r="D74" s="139"/>
      <c r="E74" s="139"/>
      <c r="F74" s="139"/>
      <c r="G74" s="139"/>
      <c r="H74" s="139"/>
      <c r="I74" s="139"/>
      <c r="J74" s="139"/>
      <c r="K74" s="139"/>
      <c r="L74" s="139"/>
      <c r="M74" s="139"/>
      <c r="N74" s="139"/>
      <c r="O74" s="139"/>
      <c r="P74" s="139"/>
      <c r="Q74" s="139"/>
      <c r="R74" s="139"/>
      <c r="S74" s="139"/>
      <c r="T74" s="139"/>
      <c r="U74" s="139"/>
      <c r="V74" s="139"/>
    </row>
    <row r="75">
      <c r="A75" s="139"/>
      <c r="B75" s="139"/>
      <c r="C75" s="139"/>
      <c r="D75" s="139"/>
      <c r="E75" s="139"/>
      <c r="F75" s="139"/>
      <c r="G75" s="139"/>
      <c r="H75" s="139"/>
      <c r="I75" s="139"/>
      <c r="J75" s="139"/>
      <c r="K75" s="139"/>
      <c r="L75" s="139"/>
      <c r="M75" s="139"/>
      <c r="N75" s="139"/>
      <c r="O75" s="139"/>
      <c r="P75" s="139"/>
      <c r="Q75" s="139"/>
      <c r="R75" s="139"/>
      <c r="S75" s="139"/>
      <c r="T75" s="139"/>
      <c r="U75" s="139"/>
      <c r="V75" s="139"/>
    </row>
    <row r="76">
      <c r="A76" s="139"/>
      <c r="B76" s="139"/>
      <c r="C76" s="139"/>
      <c r="D76" s="139"/>
      <c r="E76" s="139"/>
      <c r="F76" s="139"/>
      <c r="G76" s="139"/>
      <c r="H76" s="139"/>
      <c r="I76" s="139"/>
      <c r="J76" s="139"/>
      <c r="K76" s="139"/>
      <c r="L76" s="139"/>
      <c r="M76" s="139"/>
      <c r="N76" s="139"/>
      <c r="O76" s="139"/>
      <c r="P76" s="139"/>
      <c r="Q76" s="139"/>
      <c r="R76" s="139"/>
      <c r="S76" s="139"/>
      <c r="T76" s="139"/>
      <c r="U76" s="139"/>
      <c r="V76" s="139"/>
    </row>
    <row r="77">
      <c r="A77" s="139"/>
      <c r="B77" s="139"/>
      <c r="C77" s="139"/>
      <c r="D77" s="139"/>
      <c r="E77" s="139"/>
      <c r="F77" s="139"/>
      <c r="G77" s="139"/>
      <c r="H77" s="139"/>
      <c r="I77" s="139"/>
      <c r="J77" s="139"/>
      <c r="K77" s="139"/>
      <c r="L77" s="139"/>
      <c r="M77" s="139"/>
      <c r="N77" s="139"/>
      <c r="O77" s="139"/>
      <c r="P77" s="139"/>
      <c r="Q77" s="139"/>
      <c r="R77" s="139"/>
      <c r="S77" s="139"/>
      <c r="T77" s="139"/>
      <c r="U77" s="139"/>
      <c r="V77" s="139"/>
    </row>
    <row r="78">
      <c r="A78" s="139"/>
      <c r="B78" s="139"/>
      <c r="C78" s="139"/>
      <c r="D78" s="139"/>
      <c r="E78" s="139"/>
      <c r="F78" s="139"/>
      <c r="G78" s="139"/>
      <c r="H78" s="139"/>
      <c r="I78" s="139"/>
      <c r="J78" s="139"/>
      <c r="K78" s="139"/>
      <c r="L78" s="139"/>
      <c r="M78" s="139"/>
      <c r="N78" s="139"/>
      <c r="O78" s="139"/>
      <c r="P78" s="139"/>
      <c r="Q78" s="139"/>
      <c r="R78" s="139"/>
      <c r="S78" s="139"/>
      <c r="T78" s="139"/>
      <c r="U78" s="139"/>
      <c r="V78" s="139"/>
    </row>
    <row r="79">
      <c r="A79" s="139"/>
      <c r="B79" s="139"/>
      <c r="C79" s="139"/>
      <c r="D79" s="139"/>
      <c r="E79" s="139"/>
      <c r="F79" s="139"/>
      <c r="G79" s="139"/>
      <c r="H79" s="139"/>
      <c r="I79" s="139"/>
      <c r="J79" s="139"/>
      <c r="K79" s="139"/>
      <c r="L79" s="139"/>
      <c r="M79" s="139"/>
      <c r="N79" s="139"/>
      <c r="O79" s="139"/>
      <c r="P79" s="139"/>
      <c r="Q79" s="139"/>
      <c r="R79" s="139"/>
      <c r="S79" s="139"/>
      <c r="T79" s="139"/>
      <c r="U79" s="139"/>
      <c r="V79" s="139"/>
    </row>
    <row r="80">
      <c r="A80" s="139"/>
      <c r="B80" s="139"/>
      <c r="C80" s="139"/>
      <c r="D80" s="139"/>
      <c r="E80" s="139"/>
      <c r="F80" s="139"/>
      <c r="G80" s="139"/>
      <c r="H80" s="139"/>
      <c r="I80" s="139"/>
      <c r="J80" s="139"/>
      <c r="K80" s="139"/>
      <c r="L80" s="139"/>
      <c r="M80" s="139"/>
      <c r="N80" s="139"/>
      <c r="O80" s="139"/>
      <c r="P80" s="139"/>
      <c r="Q80" s="139"/>
      <c r="R80" s="139"/>
      <c r="S80" s="139"/>
      <c r="T80" s="139"/>
      <c r="U80" s="139"/>
      <c r="V80" s="139"/>
    </row>
    <row r="81">
      <c r="A81" s="139"/>
      <c r="B81" s="139"/>
      <c r="C81" s="139"/>
      <c r="D81" s="139"/>
      <c r="E81" s="139"/>
      <c r="F81" s="139"/>
      <c r="G81" s="139"/>
      <c r="H81" s="139"/>
      <c r="I81" s="139"/>
      <c r="J81" s="139"/>
      <c r="K81" s="139"/>
      <c r="L81" s="139"/>
      <c r="M81" s="139"/>
      <c r="N81" s="139"/>
      <c r="O81" s="139"/>
      <c r="P81" s="139"/>
      <c r="Q81" s="139"/>
      <c r="R81" s="139"/>
      <c r="S81" s="139"/>
      <c r="T81" s="139"/>
      <c r="U81" s="139"/>
      <c r="V81" s="139"/>
    </row>
    <row r="82">
      <c r="A82" s="139"/>
      <c r="B82" s="139"/>
      <c r="C82" s="139"/>
      <c r="D82" s="139"/>
      <c r="E82" s="139"/>
      <c r="F82" s="139"/>
      <c r="G82" s="139"/>
      <c r="H82" s="139"/>
      <c r="I82" s="139"/>
      <c r="J82" s="139"/>
      <c r="K82" s="139"/>
      <c r="L82" s="139"/>
      <c r="M82" s="139"/>
      <c r="N82" s="139"/>
      <c r="O82" s="139"/>
      <c r="P82" s="139"/>
      <c r="Q82" s="139"/>
      <c r="R82" s="139"/>
      <c r="S82" s="139"/>
      <c r="T82" s="139"/>
      <c r="U82" s="139"/>
      <c r="V82" s="139"/>
    </row>
    <row r="83">
      <c r="A83" s="139"/>
      <c r="B83" s="139"/>
      <c r="C83" s="139"/>
      <c r="D83" s="139"/>
      <c r="E83" s="139"/>
      <c r="F83" s="139"/>
      <c r="G83" s="139"/>
      <c r="H83" s="139"/>
      <c r="I83" s="139"/>
      <c r="J83" s="139"/>
      <c r="K83" s="139"/>
      <c r="L83" s="139"/>
      <c r="M83" s="139"/>
      <c r="N83" s="139"/>
      <c r="O83" s="139"/>
      <c r="P83" s="139"/>
      <c r="Q83" s="139"/>
      <c r="R83" s="139"/>
      <c r="S83" s="139"/>
      <c r="T83" s="139"/>
      <c r="U83" s="139"/>
      <c r="V83" s="139"/>
    </row>
    <row r="84">
      <c r="A84" s="139"/>
      <c r="B84" s="139"/>
      <c r="C84" s="139"/>
      <c r="D84" s="139"/>
      <c r="E84" s="139"/>
      <c r="F84" s="139"/>
      <c r="G84" s="139"/>
      <c r="H84" s="139"/>
      <c r="I84" s="139"/>
      <c r="J84" s="139"/>
      <c r="K84" s="139"/>
      <c r="L84" s="139"/>
      <c r="M84" s="139"/>
      <c r="N84" s="139"/>
      <c r="O84" s="139"/>
      <c r="P84" s="139"/>
      <c r="Q84" s="139"/>
      <c r="R84" s="139"/>
      <c r="S84" s="139"/>
      <c r="T84" s="139"/>
      <c r="U84" s="139"/>
      <c r="V84" s="139"/>
    </row>
    <row r="85">
      <c r="A85" s="139"/>
      <c r="B85" s="139"/>
      <c r="C85" s="139"/>
      <c r="D85" s="139"/>
      <c r="E85" s="139"/>
      <c r="F85" s="139"/>
      <c r="G85" s="139"/>
      <c r="H85" s="139"/>
      <c r="I85" s="139"/>
      <c r="J85" s="139"/>
      <c r="K85" s="139"/>
      <c r="L85" s="139"/>
      <c r="M85" s="139"/>
      <c r="N85" s="139"/>
      <c r="O85" s="139"/>
      <c r="P85" s="139"/>
      <c r="Q85" s="139"/>
      <c r="R85" s="139"/>
      <c r="S85" s="139"/>
      <c r="T85" s="139"/>
      <c r="U85" s="139"/>
      <c r="V85" s="139"/>
    </row>
    <row r="86">
      <c r="A86" s="139"/>
      <c r="B86" s="139"/>
      <c r="C86" s="139"/>
      <c r="D86" s="139"/>
      <c r="E86" s="139"/>
      <c r="F86" s="139"/>
      <c r="G86" s="139"/>
      <c r="H86" s="139"/>
      <c r="I86" s="139"/>
      <c r="J86" s="139"/>
      <c r="K86" s="139"/>
      <c r="L86" s="139"/>
      <c r="M86" s="139"/>
      <c r="N86" s="139"/>
      <c r="O86" s="139"/>
      <c r="P86" s="139"/>
      <c r="Q86" s="139"/>
      <c r="R86" s="139"/>
      <c r="S86" s="139"/>
      <c r="T86" s="139"/>
      <c r="U86" s="139"/>
      <c r="V86" s="139"/>
    </row>
    <row r="87">
      <c r="A87" s="139"/>
      <c r="B87" s="139"/>
      <c r="C87" s="139"/>
      <c r="D87" s="139"/>
      <c r="E87" s="139"/>
      <c r="F87" s="139"/>
      <c r="G87" s="139"/>
      <c r="H87" s="139"/>
      <c r="I87" s="139"/>
      <c r="J87" s="139"/>
      <c r="K87" s="139"/>
      <c r="L87" s="139"/>
      <c r="M87" s="139"/>
      <c r="N87" s="139"/>
      <c r="O87" s="139"/>
      <c r="P87" s="139"/>
      <c r="Q87" s="139"/>
      <c r="R87" s="139"/>
      <c r="S87" s="139"/>
      <c r="T87" s="139"/>
      <c r="U87" s="139"/>
      <c r="V87" s="139"/>
    </row>
    <row r="88">
      <c r="A88" s="139"/>
      <c r="B88" s="139"/>
      <c r="C88" s="139"/>
      <c r="D88" s="139"/>
      <c r="E88" s="139"/>
      <c r="F88" s="139"/>
      <c r="G88" s="139"/>
      <c r="H88" s="139"/>
      <c r="I88" s="139"/>
      <c r="J88" s="139"/>
      <c r="K88" s="139"/>
      <c r="L88" s="139"/>
      <c r="M88" s="139"/>
      <c r="N88" s="139"/>
      <c r="O88" s="139"/>
      <c r="P88" s="139"/>
      <c r="Q88" s="139"/>
      <c r="R88" s="139"/>
      <c r="S88" s="139"/>
      <c r="T88" s="139"/>
      <c r="U88" s="139"/>
      <c r="V88" s="139"/>
    </row>
    <row r="89">
      <c r="A89" s="139"/>
      <c r="B89" s="139"/>
      <c r="C89" s="139"/>
      <c r="D89" s="139"/>
      <c r="E89" s="139"/>
      <c r="F89" s="139"/>
      <c r="G89" s="139"/>
      <c r="H89" s="139"/>
      <c r="I89" s="139"/>
      <c r="J89" s="139"/>
      <c r="K89" s="139"/>
      <c r="L89" s="139"/>
      <c r="M89" s="139"/>
      <c r="N89" s="139"/>
      <c r="O89" s="139"/>
      <c r="P89" s="139"/>
      <c r="Q89" s="139"/>
      <c r="R89" s="139"/>
      <c r="S89" s="139"/>
      <c r="T89" s="139"/>
      <c r="U89" s="139"/>
      <c r="V89" s="139"/>
    </row>
    <row r="90">
      <c r="A90" s="139"/>
      <c r="B90" s="139"/>
      <c r="C90" s="139"/>
      <c r="D90" s="139"/>
      <c r="E90" s="139"/>
      <c r="F90" s="139"/>
      <c r="G90" s="139"/>
      <c r="H90" s="139"/>
      <c r="I90" s="139"/>
      <c r="J90" s="139"/>
      <c r="K90" s="139"/>
      <c r="L90" s="139"/>
      <c r="M90" s="139"/>
      <c r="N90" s="139"/>
      <c r="O90" s="139"/>
      <c r="P90" s="139"/>
      <c r="Q90" s="139"/>
      <c r="R90" s="139"/>
      <c r="S90" s="139"/>
      <c r="T90" s="139"/>
      <c r="U90" s="139"/>
      <c r="V90" s="139"/>
    </row>
    <row r="91">
      <c r="A91" s="139"/>
      <c r="B91" s="139"/>
      <c r="C91" s="139"/>
      <c r="D91" s="139"/>
      <c r="E91" s="139"/>
      <c r="F91" s="139"/>
      <c r="G91" s="139"/>
      <c r="H91" s="139"/>
      <c r="I91" s="139"/>
      <c r="J91" s="139"/>
      <c r="K91" s="139"/>
      <c r="L91" s="139"/>
      <c r="M91" s="139"/>
      <c r="N91" s="139"/>
      <c r="O91" s="139"/>
      <c r="P91" s="139"/>
      <c r="Q91" s="139"/>
      <c r="R91" s="139"/>
      <c r="S91" s="139"/>
      <c r="T91" s="139"/>
      <c r="U91" s="139"/>
      <c r="V91" s="139"/>
    </row>
    <row r="92">
      <c r="A92" s="139"/>
      <c r="B92" s="139"/>
      <c r="C92" s="139"/>
      <c r="D92" s="139"/>
      <c r="E92" s="139"/>
      <c r="F92" s="139"/>
      <c r="G92" s="139"/>
      <c r="H92" s="139"/>
      <c r="I92" s="139"/>
      <c r="J92" s="139"/>
      <c r="K92" s="139"/>
      <c r="L92" s="139"/>
      <c r="M92" s="139"/>
      <c r="N92" s="139"/>
      <c r="O92" s="139"/>
      <c r="P92" s="139"/>
      <c r="Q92" s="139"/>
      <c r="R92" s="139"/>
      <c r="S92" s="139"/>
      <c r="T92" s="139"/>
      <c r="U92" s="139"/>
      <c r="V92" s="139"/>
    </row>
    <row r="93">
      <c r="A93" s="139"/>
      <c r="B93" s="139"/>
      <c r="C93" s="139"/>
      <c r="D93" s="139"/>
      <c r="E93" s="139"/>
      <c r="F93" s="139"/>
      <c r="G93" s="139"/>
      <c r="H93" s="139"/>
      <c r="I93" s="139"/>
      <c r="J93" s="139"/>
      <c r="K93" s="139"/>
      <c r="L93" s="139"/>
      <c r="M93" s="139"/>
      <c r="N93" s="139"/>
      <c r="O93" s="139"/>
      <c r="P93" s="139"/>
      <c r="Q93" s="139"/>
      <c r="R93" s="139"/>
      <c r="S93" s="139"/>
      <c r="T93" s="139"/>
      <c r="U93" s="139"/>
      <c r="V93" s="139"/>
    </row>
    <row r="94">
      <c r="A94" s="139"/>
      <c r="B94" s="139"/>
      <c r="C94" s="139"/>
      <c r="D94" s="139"/>
      <c r="E94" s="139"/>
      <c r="F94" s="139"/>
      <c r="G94" s="139"/>
      <c r="H94" s="139"/>
      <c r="I94" s="139"/>
      <c r="J94" s="139"/>
      <c r="K94" s="139"/>
      <c r="L94" s="139"/>
      <c r="M94" s="139"/>
      <c r="N94" s="139"/>
      <c r="O94" s="139"/>
      <c r="P94" s="139"/>
      <c r="Q94" s="139"/>
      <c r="R94" s="139"/>
      <c r="S94" s="139"/>
      <c r="T94" s="139"/>
      <c r="U94" s="139"/>
      <c r="V94" s="139"/>
    </row>
    <row r="95">
      <c r="A95" s="139"/>
      <c r="B95" s="139"/>
      <c r="C95" s="139"/>
      <c r="D95" s="139"/>
      <c r="E95" s="139"/>
      <c r="F95" s="139"/>
      <c r="G95" s="139"/>
      <c r="H95" s="139"/>
      <c r="I95" s="139"/>
      <c r="J95" s="139"/>
      <c r="K95" s="139"/>
      <c r="L95" s="139"/>
      <c r="M95" s="139"/>
      <c r="N95" s="139"/>
      <c r="O95" s="139"/>
      <c r="P95" s="139"/>
      <c r="Q95" s="139"/>
      <c r="R95" s="139"/>
      <c r="S95" s="139"/>
      <c r="T95" s="139"/>
      <c r="U95" s="139"/>
      <c r="V95" s="139"/>
    </row>
    <row r="96">
      <c r="A96" s="139"/>
      <c r="B96" s="139"/>
      <c r="C96" s="139"/>
      <c r="D96" s="139"/>
      <c r="E96" s="139"/>
      <c r="F96" s="139"/>
      <c r="G96" s="139"/>
      <c r="H96" s="139"/>
      <c r="I96" s="139"/>
      <c r="J96" s="139"/>
      <c r="K96" s="139"/>
      <c r="L96" s="139"/>
      <c r="M96" s="139"/>
      <c r="N96" s="139"/>
      <c r="O96" s="139"/>
      <c r="P96" s="139"/>
      <c r="Q96" s="139"/>
      <c r="R96" s="139"/>
      <c r="S96" s="139"/>
      <c r="T96" s="139"/>
      <c r="U96" s="139"/>
      <c r="V96" s="139"/>
    </row>
    <row r="97">
      <c r="A97" s="139"/>
      <c r="B97" s="139"/>
      <c r="C97" s="139"/>
      <c r="D97" s="139"/>
      <c r="E97" s="139"/>
      <c r="F97" s="139"/>
      <c r="G97" s="139"/>
      <c r="H97" s="139"/>
      <c r="I97" s="139"/>
      <c r="J97" s="139"/>
      <c r="K97" s="139"/>
      <c r="L97" s="139"/>
      <c r="M97" s="139"/>
      <c r="N97" s="139"/>
      <c r="O97" s="139"/>
      <c r="P97" s="139"/>
      <c r="Q97" s="139"/>
      <c r="R97" s="139"/>
      <c r="S97" s="139"/>
      <c r="T97" s="139"/>
      <c r="U97" s="139"/>
      <c r="V97" s="139"/>
    </row>
    <row r="98">
      <c r="A98" s="139"/>
      <c r="B98" s="139"/>
      <c r="C98" s="139"/>
      <c r="D98" s="139"/>
      <c r="E98" s="139"/>
      <c r="F98" s="139"/>
      <c r="G98" s="139"/>
      <c r="H98" s="139"/>
      <c r="I98" s="139"/>
      <c r="J98" s="139"/>
      <c r="K98" s="139"/>
      <c r="L98" s="139"/>
      <c r="M98" s="139"/>
      <c r="N98" s="139"/>
      <c r="O98" s="139"/>
      <c r="P98" s="139"/>
      <c r="Q98" s="139"/>
      <c r="R98" s="139"/>
      <c r="S98" s="139"/>
      <c r="T98" s="139"/>
      <c r="U98" s="139"/>
      <c r="V98" s="139"/>
    </row>
    <row r="99">
      <c r="A99" s="139"/>
      <c r="B99" s="139"/>
      <c r="C99" s="139"/>
      <c r="D99" s="139"/>
      <c r="E99" s="139"/>
      <c r="F99" s="139"/>
      <c r="G99" s="139"/>
      <c r="H99" s="139"/>
      <c r="I99" s="139"/>
      <c r="J99" s="139"/>
      <c r="K99" s="139"/>
      <c r="L99" s="139"/>
      <c r="M99" s="139"/>
      <c r="N99" s="139"/>
      <c r="O99" s="139"/>
      <c r="P99" s="139"/>
      <c r="Q99" s="139"/>
      <c r="R99" s="139"/>
      <c r="S99" s="139"/>
      <c r="T99" s="139"/>
      <c r="U99" s="139"/>
      <c r="V99" s="139"/>
    </row>
    <row r="100">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row>
    <row r="101">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row>
    <row r="102">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row>
    <row r="103">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row>
    <row r="104">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row>
    <row r="105">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row>
    <row r="106">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row>
    <row r="107">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row>
    <row r="108">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row>
    <row r="109">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row>
    <row r="110">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row>
    <row r="111">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row>
    <row r="112">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row>
    <row r="113">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row>
    <row r="114">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row>
    <row r="115">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row>
    <row r="116">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row>
    <row r="117">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row>
    <row r="118">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row>
    <row r="119">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row>
    <row r="120">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row>
    <row r="12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row>
    <row r="122">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row>
    <row r="123">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row>
    <row r="124">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row>
    <row r="125">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row>
    <row r="126">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row>
    <row r="127">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row>
    <row r="128">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row>
    <row r="129">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row>
    <row r="130">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row>
    <row r="13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row>
    <row r="132">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row>
    <row r="133">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row>
    <row r="134">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row>
    <row r="135">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row>
    <row r="136">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row>
    <row r="137">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row>
    <row r="138">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row>
    <row r="139">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row>
    <row r="140">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row>
    <row r="14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row>
    <row r="142">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row>
    <row r="143">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row>
    <row r="144">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row>
    <row r="145">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row>
    <row r="146">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row>
    <row r="147">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row>
    <row r="148">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row>
    <row r="149">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row>
    <row r="150">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row>
    <row r="15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row>
    <row r="152">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row>
    <row r="153">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row>
    <row r="154">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row>
    <row r="155">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row>
    <row r="156">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row>
    <row r="157">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row>
    <row r="158">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row>
    <row r="159">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row>
    <row r="160">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row>
    <row r="16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row>
    <row r="162">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row>
    <row r="163">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row>
    <row r="164">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row>
    <row r="165">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row>
    <row r="166">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row>
    <row r="167">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row>
    <row r="168">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row>
    <row r="169">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row>
    <row r="170">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row>
    <row r="17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row>
    <row r="172">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row>
    <row r="173">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row>
    <row r="174">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row>
    <row r="175">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row>
    <row r="176">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row>
    <row r="177">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row>
    <row r="178">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row>
    <row r="179">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row>
    <row r="180">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row>
    <row r="18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row>
    <row r="182">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row>
    <row r="183">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row>
    <row r="184">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row>
    <row r="185">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row>
    <row r="186">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row>
    <row r="187">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row>
    <row r="188">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row>
    <row r="189">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row>
    <row r="190">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row>
    <row r="19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row>
    <row r="192">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row>
    <row r="193">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row>
    <row r="194">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row>
    <row r="195">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row>
    <row r="196">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row>
    <row r="197">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row>
    <row r="198">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row>
    <row r="199">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row>
    <row r="200">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row>
    <row r="20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row>
    <row r="202">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row>
    <row r="203">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row>
    <row r="204">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row>
    <row r="205">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row>
    <row r="206">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row>
    <row r="207">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row>
    <row r="208">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row>
    <row r="209">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row>
    <row r="210">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row>
    <row r="21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row>
    <row r="212">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row>
    <row r="213">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row>
    <row r="214">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row>
    <row r="215">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row>
    <row r="216">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row>
    <row r="217">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row>
    <row r="218">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row>
    <row r="219">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row>
    <row r="220">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row>
    <row r="22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row>
    <row r="222">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row>
    <row r="223">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row>
    <row r="224">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row>
    <row r="225">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row>
    <row r="226">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row>
    <row r="227">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row>
    <row r="228">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row>
    <row r="229">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row>
    <row r="230">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row>
    <row r="23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row>
    <row r="232">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row>
    <row r="233">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row>
    <row r="234">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row>
    <row r="235">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row>
    <row r="236">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row>
    <row r="237">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row>
    <row r="238">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row>
    <row r="239">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row>
    <row r="240">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row>
    <row r="24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row>
    <row r="242">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row>
    <row r="243">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row>
    <row r="244">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row>
    <row r="245">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row>
    <row r="246">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row>
    <row r="247">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row>
    <row r="248">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row>
    <row r="249">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row>
    <row r="250">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row>
    <row r="25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row>
    <row r="252">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row>
    <row r="253">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row>
    <row r="254">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row>
    <row r="255">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row>
    <row r="256">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row>
    <row r="257">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row>
    <row r="258">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row>
    <row r="259">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row>
    <row r="260">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row>
    <row r="26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row>
    <row r="262">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row>
    <row r="263">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row>
    <row r="264">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row>
    <row r="265">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row>
    <row r="266">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row>
    <row r="267">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row>
    <row r="268">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row>
    <row r="269">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row>
    <row r="270">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row>
    <row r="27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row>
    <row r="272">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row>
    <row r="273">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row>
    <row r="274">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row>
    <row r="275">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row>
    <row r="276">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row>
    <row r="277">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row>
    <row r="278">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row>
    <row r="279">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row>
    <row r="280">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row>
    <row r="28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row>
    <row r="282">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row>
    <row r="283">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row>
    <row r="284">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row>
    <row r="285">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row>
    <row r="286">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row>
    <row r="287">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row>
    <row r="288">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row>
    <row r="289">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row>
    <row r="290">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row>
    <row r="29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row>
    <row r="292">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row>
    <row r="293">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row>
    <row r="294">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row>
    <row r="295">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row>
    <row r="296">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row>
    <row r="297">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row>
    <row r="298">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row>
    <row r="299">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row>
    <row r="300">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row>
    <row r="30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row>
    <row r="302">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row>
    <row r="303">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row>
    <row r="304">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row>
    <row r="305">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row>
    <row r="306">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row>
    <row r="307">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row>
    <row r="308">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row>
    <row r="309">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row>
    <row r="310">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row>
    <row r="31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row>
    <row r="312">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row>
    <row r="313">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row>
    <row r="314">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row>
    <row r="315">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row>
    <row r="316">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row>
    <row r="317">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row>
    <row r="318">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row>
    <row r="319">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row>
    <row r="320">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row>
    <row r="32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row>
    <row r="322">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row>
    <row r="323">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row>
    <row r="324">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row>
    <row r="325">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row>
    <row r="326">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row>
    <row r="327">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row>
    <row r="328">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row>
    <row r="329">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row>
    <row r="330">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row>
    <row r="33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row>
    <row r="332">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row>
    <row r="333">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row>
    <row r="334">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row>
    <row r="335">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row>
    <row r="336">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row>
    <row r="337">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row>
    <row r="338">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row>
    <row r="339">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row>
    <row r="340">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row>
    <row r="34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row>
    <row r="342">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row>
    <row r="343">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row>
    <row r="344">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row>
    <row r="345">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row>
    <row r="346">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row>
    <row r="347">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row>
    <row r="348">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row>
    <row r="349">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row>
    <row r="350">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row>
    <row r="35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row>
    <row r="352">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row>
    <row r="353">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row>
    <row r="354">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row>
    <row r="355">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row>
    <row r="356">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row>
    <row r="357">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row>
    <row r="358">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row>
    <row r="359">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row>
    <row r="360">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row>
    <row r="36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row>
    <row r="362">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row>
    <row r="363">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row>
    <row r="364">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row>
    <row r="365">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row>
    <row r="366">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row>
    <row r="367">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row>
    <row r="368">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row>
    <row r="369">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row>
    <row r="370">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row>
    <row r="37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row>
    <row r="372">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row>
    <row r="373">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row>
    <row r="374">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row>
    <row r="375">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row>
    <row r="376">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row>
    <row r="377">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row>
    <row r="378">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row>
    <row r="379">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row>
    <row r="380">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row>
    <row r="38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row>
    <row r="382">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row>
    <row r="383">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row>
    <row r="384">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row>
    <row r="385">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row>
    <row r="386">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row>
    <row r="387">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row>
    <row r="388">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row>
    <row r="389">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row>
    <row r="390">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row>
    <row r="39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row>
    <row r="392">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row>
    <row r="393">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row>
    <row r="394">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row>
    <row r="395">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row>
    <row r="396">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row>
    <row r="397">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row>
    <row r="398">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row>
    <row r="399">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row>
    <row r="400">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row>
    <row r="40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row>
    <row r="402">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row>
    <row r="403">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row>
    <row r="404">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row>
    <row r="405">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row>
    <row r="406">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row>
    <row r="407">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row>
    <row r="408">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row>
    <row r="409">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row>
    <row r="410">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row>
    <row r="41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row>
    <row r="412">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row>
    <row r="413">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row>
    <row r="414">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row>
    <row r="415">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row>
    <row r="416">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row>
    <row r="417">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row>
    <row r="418">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row>
    <row r="419">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row>
    <row r="420">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row>
    <row r="42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row>
    <row r="422">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row>
    <row r="423">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row>
    <row r="424">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row>
    <row r="425">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row>
    <row r="426">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row>
    <row r="427">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row>
    <row r="428">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row>
    <row r="429">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row>
    <row r="430">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row>
    <row r="43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row>
    <row r="432">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row>
    <row r="433">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row>
    <row r="434">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row>
    <row r="435">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row>
    <row r="436">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row>
    <row r="437">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row>
    <row r="438">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row>
    <row r="439">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row>
    <row r="440">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row>
    <row r="44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row>
    <row r="442">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row>
    <row r="443">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row>
    <row r="444">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row>
    <row r="445">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row>
    <row r="446">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row>
    <row r="447">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row>
    <row r="448">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row>
    <row r="449">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row>
    <row r="450">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row>
    <row r="45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row>
    <row r="452">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row>
    <row r="453">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row>
    <row r="454">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row>
    <row r="455">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row>
    <row r="456">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row>
    <row r="457">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row>
    <row r="458">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row>
    <row r="459">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row>
    <row r="460">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row>
    <row r="46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row>
    <row r="462">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row>
    <row r="463">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row>
    <row r="464">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row>
    <row r="465">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row>
    <row r="466">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row>
    <row r="467">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row>
    <row r="468">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row>
    <row r="469">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row>
    <row r="470">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row>
    <row r="47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row>
    <row r="472">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row>
    <row r="473">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row>
    <row r="474">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row>
    <row r="475">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row>
    <row r="476">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row>
    <row r="477">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row>
    <row r="478">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row>
    <row r="479">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row>
    <row r="480">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row>
    <row r="48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row>
    <row r="482">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row>
    <row r="483">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row>
    <row r="484">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row>
    <row r="485">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row>
    <row r="486">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row>
    <row r="487">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row>
    <row r="488">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row>
    <row r="489">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row>
    <row r="490">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row>
    <row r="49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row>
    <row r="492">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row>
    <row r="493">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row>
    <row r="494">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row>
    <row r="495">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row>
    <row r="496">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row>
    <row r="497">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row>
    <row r="498">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row>
    <row r="499">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row>
    <row r="500">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row>
    <row r="50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row>
    <row r="502">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row>
    <row r="503">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row>
    <row r="504">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row>
    <row r="505">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row>
    <row r="506">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row>
    <row r="507">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row>
    <row r="508">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row>
    <row r="509">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row>
    <row r="510">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row>
    <row r="51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row>
    <row r="512">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row>
    <row r="513">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row>
    <row r="514">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row>
    <row r="515">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row>
    <row r="516">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row>
    <row r="517">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row>
    <row r="518">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row>
    <row r="519">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row>
    <row r="520">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row>
    <row r="52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row>
    <row r="522">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row>
    <row r="523">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row>
    <row r="524">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row>
    <row r="525">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row>
    <row r="526">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row>
    <row r="527">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row>
    <row r="528">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row>
    <row r="529">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row>
    <row r="530">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row>
    <row r="53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row>
    <row r="532">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row>
    <row r="533">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row>
    <row r="534">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row>
    <row r="535">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row>
    <row r="536">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row>
    <row r="537">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row>
    <row r="538">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row>
    <row r="539">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row>
    <row r="540">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row>
    <row r="54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row>
    <row r="542">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row>
    <row r="543">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row>
    <row r="544">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row>
    <row r="545">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row>
    <row r="546">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row>
    <row r="547">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row>
    <row r="548">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row>
    <row r="549">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row>
    <row r="550">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row>
    <row r="55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row>
    <row r="552">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row>
    <row r="553">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row>
    <row r="554">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row>
    <row r="555">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row>
    <row r="556">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row>
    <row r="557">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row>
    <row r="558">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row>
    <row r="559">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row>
    <row r="560">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row>
    <row r="56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row>
    <row r="562">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row>
    <row r="563">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row>
    <row r="564">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row>
    <row r="565">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row>
    <row r="566">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row>
    <row r="567">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row>
    <row r="568">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row>
    <row r="569">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row>
    <row r="570">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row>
    <row r="57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row>
    <row r="572">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row>
    <row r="573">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row>
    <row r="574">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row>
    <row r="575">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row>
    <row r="576">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row>
    <row r="577">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row>
    <row r="578">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row>
    <row r="579">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row>
    <row r="580">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row>
    <row r="58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row>
    <row r="582">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row>
    <row r="583">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row>
    <row r="584">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row>
    <row r="585">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row>
    <row r="586">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row>
    <row r="587">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row>
    <row r="588">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row>
    <row r="589">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row>
    <row r="590">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row>
    <row r="59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row>
    <row r="592">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row>
    <row r="593">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row>
    <row r="594">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row>
    <row r="595">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row>
    <row r="596">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row>
    <row r="597">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row>
    <row r="598">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row>
    <row r="599">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row>
    <row r="600">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row>
    <row r="60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row>
    <row r="602">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row>
    <row r="603">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row>
    <row r="604">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row>
    <row r="605">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row>
    <row r="606">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row>
    <row r="607">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row>
    <row r="608">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row>
    <row r="609">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row>
    <row r="610">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row>
    <row r="61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row>
    <row r="612">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row>
    <row r="613">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row>
    <row r="614">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row>
    <row r="615">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row>
    <row r="616">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row>
    <row r="617">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row>
    <row r="618">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row>
    <row r="619">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row>
    <row r="620">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row>
    <row r="62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row>
    <row r="622">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row>
    <row r="623">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row>
    <row r="624">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row>
    <row r="625">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row>
    <row r="626">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row>
    <row r="627">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row>
    <row r="628">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row>
    <row r="629">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row>
    <row r="630">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row>
    <row r="63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row>
    <row r="632">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row>
    <row r="633">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row>
    <row r="634">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row>
    <row r="635">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row>
    <row r="636">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row>
    <row r="637">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row>
    <row r="638">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row>
    <row r="639">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row>
    <row r="640">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row>
    <row r="64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row>
    <row r="642">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row>
    <row r="643">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row>
    <row r="644">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row>
    <row r="645">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row>
    <row r="646">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row>
    <row r="647">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row>
    <row r="648">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row>
    <row r="649">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row>
    <row r="650">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row>
    <row r="65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row>
    <row r="652">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row>
    <row r="653">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row>
    <row r="654">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row>
    <row r="655">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row>
    <row r="656">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row>
    <row r="657">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row>
    <row r="658">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row>
    <row r="659">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row>
    <row r="660">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row>
    <row r="66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row>
    <row r="662">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row>
    <row r="663">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row>
    <row r="664">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row>
    <row r="665">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row>
    <row r="666">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row>
    <row r="667">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row>
    <row r="668">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row>
    <row r="669">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row>
    <row r="670">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row>
    <row r="67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row>
    <row r="672">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row>
    <row r="673">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row>
    <row r="674">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row>
    <row r="675">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row>
    <row r="676">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row>
    <row r="677">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row>
    <row r="678">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row>
    <row r="679">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row>
    <row r="680">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row>
    <row r="68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row>
    <row r="682">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row>
    <row r="683">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row>
    <row r="684">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row>
    <row r="685">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row>
    <row r="686">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row>
    <row r="687">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row>
    <row r="688">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row>
    <row r="689">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row>
    <row r="690">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row>
    <row r="69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row>
    <row r="692">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row>
    <row r="693">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row>
    <row r="694">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row>
    <row r="695">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row>
    <row r="696">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row>
    <row r="697">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row>
    <row r="698">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row>
    <row r="699">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row>
    <row r="700">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row>
    <row r="70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row>
    <row r="702">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row>
    <row r="703">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row>
    <row r="704">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row>
    <row r="705">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row>
    <row r="706">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row>
    <row r="707">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row>
    <row r="708">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row>
    <row r="709">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row>
    <row r="710">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row>
    <row r="71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row>
    <row r="712">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row>
    <row r="713">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row>
    <row r="714">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row>
    <row r="715">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row>
    <row r="716">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row>
    <row r="717">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row>
    <row r="718">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row>
    <row r="719">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row>
    <row r="720">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row>
    <row r="72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row>
    <row r="722">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row>
    <row r="723">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row>
    <row r="724">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row>
    <row r="725">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row>
    <row r="726">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row>
    <row r="727">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row>
    <row r="728">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row>
    <row r="729">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row>
    <row r="730">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row>
    <row r="73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row>
    <row r="732">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row>
    <row r="733">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row>
    <row r="734">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row>
    <row r="735">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row>
    <row r="736">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row>
    <row r="737">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row>
    <row r="738">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row>
    <row r="739">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row>
    <row r="740">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row>
    <row r="74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row>
    <row r="742">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row>
    <row r="743">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row>
    <row r="744">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row>
    <row r="745">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row>
    <row r="746">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row>
    <row r="747">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row>
    <row r="748">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row>
    <row r="749">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row>
    <row r="750">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row>
    <row r="75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row>
    <row r="752">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row>
    <row r="753">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row>
    <row r="754">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row>
    <row r="755">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row>
    <row r="756">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row>
    <row r="757">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row>
    <row r="758">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row>
    <row r="759">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row>
    <row r="760">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row>
    <row r="76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row>
    <row r="762">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row>
    <row r="763">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row>
    <row r="764">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row>
    <row r="765">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row>
    <row r="766">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row>
    <row r="767">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row>
    <row r="768">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row>
    <row r="769">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row>
    <row r="770">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row>
    <row r="77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row>
    <row r="772">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row>
    <row r="773">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row>
    <row r="774">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row>
    <row r="775">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row>
    <row r="776">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row>
    <row r="777">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row>
    <row r="778">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row>
    <row r="779">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row>
    <row r="780">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row>
    <row r="78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row>
    <row r="782">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row>
    <row r="783">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row>
    <row r="784">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row>
    <row r="785">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row>
    <row r="786">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row>
    <row r="787">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row>
    <row r="788">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row>
    <row r="789">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row>
    <row r="790">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row>
    <row r="79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row>
    <row r="792">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row>
    <row r="793">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row>
    <row r="794">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row>
    <row r="795">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row>
    <row r="796">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row>
    <row r="797">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row>
    <row r="798">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row>
    <row r="799">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row>
    <row r="800">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row>
    <row r="80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row>
    <row r="802">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row>
    <row r="803">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row>
    <row r="804">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row>
    <row r="805">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row>
    <row r="806">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row>
    <row r="807">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row>
    <row r="808">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row>
    <row r="809">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row>
    <row r="810">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row>
    <row r="81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row>
    <row r="812">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row>
    <row r="813">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row>
    <row r="814">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row>
    <row r="815">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row>
    <row r="816">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row>
    <row r="817">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row>
    <row r="818">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row>
    <row r="819">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row>
    <row r="820">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row>
    <row r="82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row>
    <row r="822">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row>
    <row r="823">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row>
    <row r="824">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row>
    <row r="825">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row>
    <row r="826">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row>
    <row r="827">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row>
    <row r="828">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row>
    <row r="829">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row>
    <row r="830">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row>
    <row r="83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row>
    <row r="832">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row>
    <row r="833">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row>
    <row r="834">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row>
    <row r="835">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row>
    <row r="836">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row>
    <row r="837">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row>
    <row r="838">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row>
    <row r="839">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row>
    <row r="840">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row>
    <row r="84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row>
    <row r="842">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row>
    <row r="843">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row>
    <row r="844">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row>
    <row r="845">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row>
    <row r="846">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row>
    <row r="847">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row>
    <row r="848">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row>
    <row r="849">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row>
    <row r="850">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row>
    <row r="85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row>
    <row r="852">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row>
    <row r="853">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row>
    <row r="854">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row>
    <row r="855">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row>
    <row r="856">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row>
    <row r="857">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row>
    <row r="858">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row>
    <row r="859">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row>
    <row r="860">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row>
    <row r="86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row>
    <row r="862">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row>
    <row r="863">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row>
    <row r="864">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row>
    <row r="865">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row>
    <row r="866">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row>
    <row r="867">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row>
    <row r="868">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row>
    <row r="869">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row>
    <row r="870">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row>
    <row r="87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row>
    <row r="872">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row>
    <row r="873">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row>
    <row r="874">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row>
    <row r="875">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row>
    <row r="876">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row>
    <row r="877">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row>
    <row r="878">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row>
    <row r="879">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row>
    <row r="880">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row>
    <row r="88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row>
    <row r="882">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row>
    <row r="883">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row>
    <row r="884">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row>
    <row r="885">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row>
    <row r="886">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row>
    <row r="887">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row>
    <row r="888">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row>
    <row r="889">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row>
    <row r="890">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row>
    <row r="89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row>
    <row r="892">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row>
    <row r="893">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row>
    <row r="894">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row>
    <row r="895">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row>
    <row r="896">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row>
    <row r="897">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row>
    <row r="898">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row>
    <row r="899">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row>
    <row r="900">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row>
    <row r="90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row>
    <row r="902">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row>
    <row r="903">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row>
    <row r="904">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row>
    <row r="905">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row>
    <row r="906">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row>
    <row r="907">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row>
    <row r="908">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row>
    <row r="909">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row>
    <row r="910">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row>
    <row r="91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row>
    <row r="912">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row>
    <row r="913">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row>
    <row r="914">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row>
    <row r="915">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row>
    <row r="916">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row>
    <row r="917">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row>
    <row r="918">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row>
    <row r="919">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row>
    <row r="920">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row>
    <row r="92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row>
    <row r="922">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row>
    <row r="923">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row>
    <row r="924">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row>
    <row r="925">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row>
    <row r="926">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row>
    <row r="927">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row>
    <row r="928">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row>
    <row r="929">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row>
    <row r="930">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row>
    <row r="93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row>
    <row r="932">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row>
    <row r="933">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row>
    <row r="934">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row>
    <row r="935">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row>
    <row r="936">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row>
    <row r="937">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row>
    <row r="938">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row>
    <row r="939">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row>
    <row r="940">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row>
    <row r="94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row>
    <row r="942">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row>
    <row r="943">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row>
    <row r="944">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row>
    <row r="945">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row>
    <row r="946">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row>
    <row r="947">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row>
    <row r="948">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row>
    <row r="949">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row>
    <row r="950">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row>
    <row r="95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row>
    <row r="952">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row>
    <row r="953">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row>
    <row r="954">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row>
    <row r="955">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row>
    <row r="956">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row>
    <row r="957">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row>
    <row r="958">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row>
    <row r="959">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row>
    <row r="960">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row>
    <row r="961">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row>
    <row r="962">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row>
    <row r="963">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row>
    <row r="964">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row>
    <row r="965">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row>
    <row r="966">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row>
    <row r="967">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row>
    <row r="968">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row>
    <row r="969">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row>
    <row r="970">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row>
    <row r="971">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row>
    <row r="972">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row>
    <row r="973">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row>
    <row r="974">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row>
    <row r="975">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row>
    <row r="976">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row>
    <row r="977">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row>
    <row r="978">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row>
    <row r="979">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row>
    <row r="980">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row>
    <row r="981">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row>
    <row r="982">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row>
    <row r="983">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row>
    <row r="984">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row>
    <row r="985">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row>
    <row r="986">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row>
    <row r="987">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row>
    <row r="988">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row>
    <row r="989">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row>
    <row r="990">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row>
    <row r="991">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row>
    <row r="992">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row>
    <row r="993">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row>
    <row r="994">
      <c r="A994" s="139"/>
      <c r="B994" s="139"/>
      <c r="C994" s="139"/>
      <c r="D994" s="139"/>
      <c r="E994" s="139"/>
      <c r="F994" s="139"/>
      <c r="G994" s="139"/>
      <c r="H994" s="139"/>
      <c r="I994" s="139"/>
      <c r="J994" s="139"/>
      <c r="K994" s="139"/>
      <c r="L994" s="139"/>
      <c r="M994" s="139"/>
      <c r="N994" s="139"/>
      <c r="O994" s="139"/>
      <c r="P994" s="139"/>
      <c r="Q994" s="139"/>
      <c r="R994" s="139"/>
      <c r="S994" s="139"/>
      <c r="T994" s="139"/>
      <c r="U994" s="139"/>
      <c r="V994" s="139"/>
    </row>
    <row r="995">
      <c r="A995" s="139"/>
      <c r="B995" s="139"/>
      <c r="C995" s="139"/>
      <c r="D995" s="139"/>
      <c r="E995" s="139"/>
      <c r="F995" s="139"/>
      <c r="G995" s="139"/>
      <c r="H995" s="139"/>
      <c r="I995" s="139"/>
      <c r="J995" s="139"/>
      <c r="K995" s="139"/>
      <c r="L995" s="139"/>
      <c r="M995" s="139"/>
      <c r="N995" s="139"/>
      <c r="O995" s="139"/>
      <c r="P995" s="139"/>
      <c r="Q995" s="139"/>
      <c r="R995" s="139"/>
      <c r="S995" s="139"/>
      <c r="T995" s="139"/>
      <c r="U995" s="139"/>
      <c r="V995" s="139"/>
    </row>
    <row r="996">
      <c r="A996" s="139"/>
      <c r="B996" s="139"/>
      <c r="C996" s="139"/>
      <c r="D996" s="139"/>
      <c r="E996" s="139"/>
      <c r="F996" s="139"/>
      <c r="G996" s="139"/>
      <c r="H996" s="139"/>
      <c r="I996" s="139"/>
      <c r="J996" s="139"/>
      <c r="K996" s="139"/>
      <c r="L996" s="139"/>
      <c r="M996" s="139"/>
      <c r="N996" s="139"/>
      <c r="O996" s="139"/>
      <c r="P996" s="139"/>
      <c r="Q996" s="139"/>
      <c r="R996" s="139"/>
      <c r="S996" s="139"/>
      <c r="T996" s="139"/>
      <c r="U996" s="139"/>
      <c r="V996" s="139"/>
    </row>
    <row r="997">
      <c r="A997" s="139"/>
      <c r="B997" s="139"/>
      <c r="C997" s="139"/>
      <c r="D997" s="139"/>
      <c r="E997" s="139"/>
      <c r="F997" s="139"/>
      <c r="G997" s="139"/>
      <c r="H997" s="139"/>
      <c r="I997" s="139"/>
      <c r="J997" s="139"/>
      <c r="K997" s="139"/>
      <c r="L997" s="139"/>
      <c r="M997" s="139"/>
      <c r="N997" s="139"/>
      <c r="O997" s="139"/>
      <c r="P997" s="139"/>
      <c r="Q997" s="139"/>
      <c r="R997" s="139"/>
      <c r="S997" s="139"/>
      <c r="T997" s="139"/>
      <c r="U997" s="139"/>
      <c r="V997" s="139"/>
    </row>
    <row r="998">
      <c r="A998" s="139"/>
      <c r="B998" s="139"/>
      <c r="C998" s="139"/>
      <c r="D998" s="139"/>
      <c r="E998" s="139"/>
      <c r="F998" s="139"/>
      <c r="G998" s="139"/>
      <c r="H998" s="139"/>
      <c r="I998" s="139"/>
      <c r="J998" s="139"/>
      <c r="K998" s="139"/>
      <c r="L998" s="139"/>
      <c r="M998" s="139"/>
      <c r="N998" s="139"/>
      <c r="O998" s="139"/>
      <c r="P998" s="139"/>
      <c r="Q998" s="139"/>
      <c r="R998" s="139"/>
      <c r="S998" s="139"/>
      <c r="T998" s="139"/>
      <c r="U998" s="139"/>
      <c r="V998" s="139"/>
    </row>
    <row r="999">
      <c r="A999" s="139"/>
      <c r="B999" s="139"/>
      <c r="C999" s="139"/>
      <c r="D999" s="139"/>
      <c r="E999" s="139"/>
      <c r="F999" s="139"/>
      <c r="G999" s="139"/>
      <c r="H999" s="139"/>
      <c r="I999" s="139"/>
      <c r="J999" s="139"/>
      <c r="K999" s="139"/>
      <c r="L999" s="139"/>
      <c r="M999" s="139"/>
      <c r="N999" s="139"/>
      <c r="O999" s="139"/>
      <c r="P999" s="139"/>
      <c r="Q999" s="139"/>
      <c r="R999" s="139"/>
      <c r="S999" s="139"/>
      <c r="T999" s="139"/>
      <c r="U999" s="139"/>
      <c r="V999" s="139"/>
    </row>
    <row r="1000">
      <c r="A1000" s="139"/>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row>
    <row r="1001">
      <c r="A1001" s="139"/>
      <c r="B1001" s="139"/>
      <c r="C1001" s="139"/>
      <c r="D1001" s="139"/>
      <c r="E1001" s="139"/>
      <c r="F1001" s="139"/>
      <c r="G1001" s="139"/>
      <c r="H1001" s="139"/>
      <c r="I1001" s="139"/>
      <c r="J1001" s="139"/>
      <c r="K1001" s="139"/>
      <c r="L1001" s="139"/>
      <c r="M1001" s="139"/>
      <c r="N1001" s="139"/>
      <c r="O1001" s="139"/>
      <c r="P1001" s="139"/>
      <c r="Q1001" s="139"/>
      <c r="R1001" s="139"/>
      <c r="S1001" s="139"/>
      <c r="T1001" s="139"/>
      <c r="U1001" s="139"/>
      <c r="V1001" s="139"/>
    </row>
    <row r="1002">
      <c r="A1002" s="139"/>
      <c r="B1002" s="139"/>
      <c r="C1002" s="139"/>
      <c r="D1002" s="139"/>
      <c r="E1002" s="139"/>
      <c r="F1002" s="139"/>
      <c r="G1002" s="139"/>
      <c r="H1002" s="139"/>
      <c r="I1002" s="139"/>
      <c r="J1002" s="139"/>
      <c r="K1002" s="139"/>
      <c r="L1002" s="139"/>
      <c r="M1002" s="139"/>
      <c r="N1002" s="139"/>
      <c r="O1002" s="139"/>
      <c r="P1002" s="139"/>
      <c r="Q1002" s="139"/>
      <c r="R1002" s="139"/>
      <c r="S1002" s="139"/>
      <c r="T1002" s="139"/>
      <c r="U1002" s="139"/>
      <c r="V1002" s="139"/>
    </row>
    <row r="1003">
      <c r="A1003" s="139"/>
      <c r="B1003" s="139"/>
      <c r="C1003" s="139"/>
      <c r="D1003" s="139"/>
      <c r="E1003" s="139"/>
      <c r="F1003" s="139"/>
      <c r="G1003" s="139"/>
      <c r="H1003" s="139"/>
      <c r="I1003" s="139"/>
      <c r="J1003" s="139"/>
      <c r="K1003" s="139"/>
      <c r="L1003" s="139"/>
      <c r="M1003" s="139"/>
      <c r="N1003" s="139"/>
      <c r="O1003" s="139"/>
      <c r="P1003" s="139"/>
      <c r="Q1003" s="139"/>
      <c r="R1003" s="139"/>
      <c r="S1003" s="139"/>
      <c r="T1003" s="139"/>
      <c r="U1003" s="139"/>
      <c r="V1003" s="139"/>
    </row>
    <row r="1004">
      <c r="A1004" s="139"/>
      <c r="B1004" s="139"/>
      <c r="C1004" s="139"/>
      <c r="D1004" s="139"/>
      <c r="E1004" s="139"/>
      <c r="F1004" s="139"/>
      <c r="G1004" s="139"/>
      <c r="H1004" s="139"/>
      <c r="I1004" s="139"/>
      <c r="J1004" s="139"/>
      <c r="K1004" s="139"/>
      <c r="L1004" s="139"/>
      <c r="M1004" s="139"/>
      <c r="N1004" s="139"/>
      <c r="O1004" s="139"/>
      <c r="P1004" s="139"/>
      <c r="Q1004" s="139"/>
      <c r="R1004" s="139"/>
      <c r="S1004" s="139"/>
      <c r="T1004" s="139"/>
      <c r="U1004" s="139"/>
      <c r="V1004" s="139"/>
    </row>
    <row r="1005">
      <c r="A1005" s="139"/>
      <c r="B1005" s="139"/>
      <c r="C1005" s="139"/>
      <c r="D1005" s="139"/>
      <c r="E1005" s="139"/>
      <c r="F1005" s="139"/>
      <c r="G1005" s="139"/>
      <c r="H1005" s="139"/>
      <c r="I1005" s="139"/>
      <c r="J1005" s="139"/>
      <c r="K1005" s="139"/>
      <c r="L1005" s="139"/>
      <c r="M1005" s="139"/>
      <c r="N1005" s="139"/>
      <c r="O1005" s="139"/>
      <c r="P1005" s="139"/>
      <c r="Q1005" s="139"/>
      <c r="R1005" s="139"/>
      <c r="S1005" s="139"/>
      <c r="T1005" s="139"/>
      <c r="U1005" s="139"/>
      <c r="V1005" s="139"/>
    </row>
    <row r="1006">
      <c r="A1006" s="139"/>
      <c r="B1006" s="139"/>
      <c r="C1006" s="139"/>
      <c r="D1006" s="139"/>
      <c r="E1006" s="139"/>
      <c r="F1006" s="139"/>
      <c r="G1006" s="139"/>
      <c r="H1006" s="139"/>
      <c r="I1006" s="139"/>
      <c r="J1006" s="139"/>
      <c r="K1006" s="139"/>
      <c r="L1006" s="139"/>
      <c r="M1006" s="139"/>
      <c r="N1006" s="139"/>
      <c r="O1006" s="139"/>
      <c r="P1006" s="139"/>
      <c r="Q1006" s="139"/>
      <c r="R1006" s="139"/>
      <c r="S1006" s="139"/>
      <c r="T1006" s="139"/>
      <c r="U1006" s="139"/>
      <c r="V1006" s="139"/>
    </row>
    <row r="1007">
      <c r="A1007" s="139"/>
      <c r="B1007" s="139"/>
      <c r="C1007" s="139"/>
      <c r="D1007" s="139"/>
      <c r="E1007" s="139"/>
      <c r="F1007" s="139"/>
      <c r="G1007" s="139"/>
      <c r="H1007" s="139"/>
      <c r="I1007" s="139"/>
      <c r="J1007" s="139"/>
      <c r="K1007" s="139"/>
      <c r="L1007" s="139"/>
      <c r="M1007" s="139"/>
      <c r="N1007" s="139"/>
      <c r="O1007" s="139"/>
      <c r="P1007" s="139"/>
      <c r="Q1007" s="139"/>
      <c r="R1007" s="139"/>
      <c r="S1007" s="139"/>
      <c r="T1007" s="139"/>
      <c r="U1007" s="139"/>
      <c r="V1007" s="139"/>
    </row>
    <row r="1008">
      <c r="A1008" s="139"/>
      <c r="B1008" s="139"/>
      <c r="C1008" s="139"/>
      <c r="D1008" s="139"/>
      <c r="E1008" s="139"/>
      <c r="F1008" s="139"/>
      <c r="G1008" s="139"/>
      <c r="H1008" s="139"/>
      <c r="I1008" s="139"/>
      <c r="J1008" s="139"/>
      <c r="K1008" s="139"/>
      <c r="L1008" s="139"/>
      <c r="M1008" s="139"/>
      <c r="N1008" s="139"/>
      <c r="O1008" s="139"/>
      <c r="P1008" s="139"/>
      <c r="Q1008" s="139"/>
      <c r="R1008" s="139"/>
      <c r="S1008" s="139"/>
      <c r="T1008" s="139"/>
      <c r="U1008" s="139"/>
      <c r="V1008" s="139"/>
    </row>
    <row r="1009">
      <c r="A1009" s="139"/>
      <c r="B1009" s="139"/>
      <c r="C1009" s="139"/>
      <c r="D1009" s="139"/>
      <c r="E1009" s="139"/>
      <c r="F1009" s="139"/>
      <c r="G1009" s="139"/>
      <c r="H1009" s="139"/>
      <c r="I1009" s="139"/>
      <c r="J1009" s="139"/>
      <c r="K1009" s="139"/>
      <c r="L1009" s="139"/>
      <c r="M1009" s="139"/>
      <c r="N1009" s="139"/>
      <c r="O1009" s="139"/>
      <c r="P1009" s="139"/>
      <c r="Q1009" s="139"/>
      <c r="R1009" s="139"/>
      <c r="S1009" s="139"/>
      <c r="T1009" s="139"/>
      <c r="U1009" s="139"/>
      <c r="V1009" s="139"/>
    </row>
    <row r="1010">
      <c r="A1010" s="139"/>
      <c r="B1010" s="139"/>
      <c r="C1010" s="139"/>
      <c r="D1010" s="139"/>
      <c r="E1010" s="139"/>
      <c r="F1010" s="139"/>
      <c r="G1010" s="139"/>
      <c r="H1010" s="139"/>
      <c r="I1010" s="139"/>
      <c r="J1010" s="139"/>
      <c r="K1010" s="139"/>
      <c r="L1010" s="139"/>
      <c r="M1010" s="139"/>
      <c r="N1010" s="139"/>
      <c r="O1010" s="139"/>
      <c r="P1010" s="139"/>
      <c r="Q1010" s="139"/>
      <c r="R1010" s="139"/>
      <c r="S1010" s="139"/>
      <c r="T1010" s="139"/>
      <c r="U1010" s="139"/>
      <c r="V1010" s="139"/>
    </row>
    <row r="1011">
      <c r="A1011" s="139"/>
      <c r="B1011" s="139"/>
      <c r="C1011" s="139"/>
      <c r="D1011" s="139"/>
      <c r="E1011" s="139"/>
      <c r="F1011" s="139"/>
      <c r="G1011" s="139"/>
      <c r="H1011" s="139"/>
      <c r="I1011" s="139"/>
      <c r="J1011" s="139"/>
      <c r="K1011" s="139"/>
      <c r="L1011" s="139"/>
      <c r="M1011" s="139"/>
      <c r="N1011" s="139"/>
      <c r="O1011" s="139"/>
      <c r="P1011" s="139"/>
      <c r="Q1011" s="139"/>
      <c r="R1011" s="139"/>
      <c r="S1011" s="139"/>
      <c r="T1011" s="139"/>
      <c r="U1011" s="139"/>
      <c r="V1011" s="139"/>
    </row>
    <row r="1012">
      <c r="A1012" s="139"/>
      <c r="B1012" s="139"/>
      <c r="C1012" s="139"/>
      <c r="D1012" s="139"/>
      <c r="E1012" s="139"/>
      <c r="F1012" s="139"/>
      <c r="G1012" s="139"/>
      <c r="H1012" s="139"/>
      <c r="I1012" s="139"/>
      <c r="J1012" s="139"/>
      <c r="K1012" s="139"/>
      <c r="L1012" s="139"/>
      <c r="M1012" s="139"/>
      <c r="N1012" s="139"/>
      <c r="O1012" s="139"/>
      <c r="P1012" s="139"/>
      <c r="Q1012" s="139"/>
      <c r="R1012" s="139"/>
      <c r="S1012" s="139"/>
      <c r="T1012" s="139"/>
      <c r="U1012" s="139"/>
      <c r="V1012" s="139"/>
    </row>
    <row r="1013">
      <c r="A1013" s="139"/>
      <c r="B1013" s="139"/>
      <c r="C1013" s="139"/>
      <c r="D1013" s="139"/>
      <c r="E1013" s="139"/>
      <c r="F1013" s="139"/>
      <c r="G1013" s="139"/>
      <c r="H1013" s="139"/>
      <c r="I1013" s="139"/>
      <c r="J1013" s="139"/>
      <c r="K1013" s="139"/>
      <c r="L1013" s="139"/>
      <c r="M1013" s="139"/>
      <c r="N1013" s="139"/>
      <c r="O1013" s="139"/>
      <c r="P1013" s="139"/>
      <c r="Q1013" s="139"/>
      <c r="R1013" s="139"/>
      <c r="S1013" s="139"/>
      <c r="T1013" s="139"/>
      <c r="U1013" s="139"/>
      <c r="V1013" s="139"/>
    </row>
    <row r="1014">
      <c r="A1014" s="139"/>
      <c r="B1014" s="139"/>
      <c r="C1014" s="139"/>
      <c r="D1014" s="139"/>
      <c r="E1014" s="139"/>
      <c r="F1014" s="139"/>
      <c r="G1014" s="139"/>
      <c r="H1014" s="139"/>
      <c r="I1014" s="139"/>
      <c r="J1014" s="139"/>
      <c r="K1014" s="139"/>
      <c r="L1014" s="139"/>
      <c r="M1014" s="139"/>
      <c r="N1014" s="139"/>
      <c r="O1014" s="139"/>
      <c r="P1014" s="139"/>
      <c r="Q1014" s="139"/>
      <c r="R1014" s="139"/>
      <c r="S1014" s="139"/>
      <c r="T1014" s="139"/>
      <c r="U1014" s="139"/>
      <c r="V1014" s="139"/>
    </row>
    <row r="1015">
      <c r="A1015" s="139"/>
      <c r="B1015" s="139"/>
      <c r="C1015" s="139"/>
      <c r="D1015" s="139"/>
      <c r="E1015" s="139"/>
      <c r="F1015" s="139"/>
      <c r="G1015" s="139"/>
      <c r="H1015" s="139"/>
      <c r="I1015" s="139"/>
      <c r="J1015" s="139"/>
      <c r="K1015" s="139"/>
      <c r="L1015" s="139"/>
      <c r="M1015" s="139"/>
      <c r="N1015" s="139"/>
      <c r="O1015" s="139"/>
      <c r="P1015" s="139"/>
      <c r="Q1015" s="139"/>
      <c r="R1015" s="139"/>
      <c r="S1015" s="139"/>
      <c r="T1015" s="139"/>
      <c r="U1015" s="139"/>
      <c r="V1015" s="139"/>
    </row>
  </sheetData>
  <mergeCells count="5">
    <mergeCell ref="B3:C3"/>
    <mergeCell ref="E3:F3"/>
    <mergeCell ref="K3:N3"/>
    <mergeCell ref="O3:Q3"/>
    <mergeCell ref="G3:J3"/>
  </mergeCells>
  <drawing r:id="rId1"/>
</worksheet>
</file>