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7680" tabRatio="648" activeTab="7"/>
  </bookViews>
  <sheets>
    <sheet name="Sheet1" sheetId="1" r:id="rId1"/>
    <sheet name="Sheet2" sheetId="2" r:id="rId2"/>
    <sheet name="1st run" sheetId="3" r:id="rId3"/>
    <sheet name="2nd run" sheetId="4" r:id="rId4"/>
    <sheet name="3rd run" sheetId="5" r:id="rId5"/>
    <sheet name="Template" sheetId="6" r:id="rId6"/>
    <sheet name="4th run" sheetId="7" r:id="rId7"/>
    <sheet name="5th run" sheetId="8" r:id="rId8"/>
  </sheets>
  <definedNames>
    <definedName name="inchtometers">'4th run'!$H$2</definedName>
  </definedNames>
  <calcPr calcId="145621"/>
</workbook>
</file>

<file path=xl/calcChain.xml><?xml version="1.0" encoding="utf-8"?>
<calcChain xmlns="http://schemas.openxmlformats.org/spreadsheetml/2006/main">
  <c r="D59" i="8" l="1"/>
  <c r="D60" i="8" s="1"/>
  <c r="D61" i="8" s="1"/>
  <c r="C59" i="8"/>
  <c r="C60" i="8" s="1"/>
  <c r="M51" i="8"/>
  <c r="M52" i="8"/>
  <c r="M50" i="8"/>
  <c r="M49" i="8"/>
  <c r="D49" i="8"/>
  <c r="D50" i="8" s="1"/>
  <c r="C49" i="8"/>
  <c r="G49" i="8" s="1"/>
  <c r="M40" i="8"/>
  <c r="M41" i="8"/>
  <c r="M42" i="8"/>
  <c r="M43" i="8"/>
  <c r="D40" i="8"/>
  <c r="D41" i="8" s="1"/>
  <c r="D42" i="8" s="1"/>
  <c r="C40" i="8"/>
  <c r="C41" i="8" s="1"/>
  <c r="I34" i="8"/>
  <c r="I23" i="8"/>
  <c r="I12" i="8"/>
  <c r="D30" i="8"/>
  <c r="F30" i="8" s="1"/>
  <c r="C30" i="8"/>
  <c r="C31" i="8" s="1"/>
  <c r="D19" i="8"/>
  <c r="D20" i="8" s="1"/>
  <c r="D21" i="8" s="1"/>
  <c r="C19" i="8"/>
  <c r="C20" i="8" s="1"/>
  <c r="D9" i="8"/>
  <c r="D10" i="8" s="1"/>
  <c r="F10" i="8" s="1"/>
  <c r="D8" i="8"/>
  <c r="F8" i="8" s="1"/>
  <c r="C8" i="8"/>
  <c r="C9" i="8" s="1"/>
  <c r="D19" i="7"/>
  <c r="K19" i="7" s="1"/>
  <c r="D20" i="7"/>
  <c r="K20" i="7" s="1"/>
  <c r="D21" i="7"/>
  <c r="K21" i="7" s="1"/>
  <c r="D22" i="7"/>
  <c r="K22" i="7" s="1"/>
  <c r="E29" i="7"/>
  <c r="E30" i="7"/>
  <c r="E28" i="7"/>
  <c r="E20" i="7"/>
  <c r="E21" i="7"/>
  <c r="E19" i="7"/>
  <c r="C28" i="7"/>
  <c r="C29" i="7" s="1"/>
  <c r="C30" i="7" s="1"/>
  <c r="C31" i="7" s="1"/>
  <c r="B28" i="7"/>
  <c r="F28" i="7" s="1"/>
  <c r="C19" i="7"/>
  <c r="C20" i="7" s="1"/>
  <c r="C21" i="7" s="1"/>
  <c r="C22" i="7" s="1"/>
  <c r="B19" i="7"/>
  <c r="B20" i="7" s="1"/>
  <c r="C10" i="7"/>
  <c r="C11" i="7" s="1"/>
  <c r="C12" i="7" s="1"/>
  <c r="C13" i="7" s="1"/>
  <c r="B10" i="7"/>
  <c r="B11" i="7" s="1"/>
  <c r="F59" i="8" l="1"/>
  <c r="C61" i="8"/>
  <c r="G60" i="8"/>
  <c r="D62" i="8"/>
  <c r="F62" i="8" s="1"/>
  <c r="F61" i="8"/>
  <c r="G59" i="8"/>
  <c r="F60" i="8"/>
  <c r="F49" i="8"/>
  <c r="I49" i="8" s="1"/>
  <c r="D51" i="8"/>
  <c r="F50" i="8"/>
  <c r="C50" i="8"/>
  <c r="F40" i="8"/>
  <c r="D43" i="8"/>
  <c r="F43" i="8" s="1"/>
  <c r="F42" i="8"/>
  <c r="G41" i="8"/>
  <c r="C42" i="8"/>
  <c r="G40" i="8"/>
  <c r="F41" i="8"/>
  <c r="D31" i="8"/>
  <c r="D32" i="8" s="1"/>
  <c r="D33" i="8" s="1"/>
  <c r="F33" i="8" s="1"/>
  <c r="G31" i="8"/>
  <c r="C32" i="8"/>
  <c r="F32" i="8"/>
  <c r="G30" i="8"/>
  <c r="I30" i="8" s="1"/>
  <c r="F31" i="8"/>
  <c r="F19" i="8"/>
  <c r="C21" i="8"/>
  <c r="G20" i="8"/>
  <c r="D22" i="8"/>
  <c r="F22" i="8" s="1"/>
  <c r="F21" i="8"/>
  <c r="G19" i="8"/>
  <c r="F20" i="8"/>
  <c r="F9" i="8"/>
  <c r="D11" i="8"/>
  <c r="F11" i="8" s="1"/>
  <c r="C10" i="8"/>
  <c r="G9" i="8"/>
  <c r="G8" i="8"/>
  <c r="I8" i="8" s="1"/>
  <c r="H28" i="7"/>
  <c r="D28" i="7"/>
  <c r="B29" i="7"/>
  <c r="B21" i="7"/>
  <c r="F20" i="7"/>
  <c r="F19" i="7"/>
  <c r="B12" i="7"/>
  <c r="F11" i="7"/>
  <c r="F10" i="7"/>
  <c r="E45" i="5"/>
  <c r="D46" i="5"/>
  <c r="B37" i="5"/>
  <c r="B38" i="5"/>
  <c r="B39" i="5"/>
  <c r="B40" i="5"/>
  <c r="B36" i="5"/>
  <c r="I59" i="8" l="1"/>
  <c r="I60" i="8"/>
  <c r="C62" i="8"/>
  <c r="G62" i="8" s="1"/>
  <c r="I62" i="8" s="1"/>
  <c r="G61" i="8"/>
  <c r="I61" i="8" s="1"/>
  <c r="I63" i="8" s="1"/>
  <c r="G50" i="8"/>
  <c r="I50" i="8" s="1"/>
  <c r="C51" i="8"/>
  <c r="D52" i="8"/>
  <c r="F52" i="8" s="1"/>
  <c r="F51" i="8"/>
  <c r="I41" i="8"/>
  <c r="I40" i="8"/>
  <c r="C43" i="8"/>
  <c r="G43" i="8" s="1"/>
  <c r="I43" i="8" s="1"/>
  <c r="G42" i="8"/>
  <c r="I42" i="8" s="1"/>
  <c r="I44" i="8" s="1"/>
  <c r="C33" i="8"/>
  <c r="G33" i="8" s="1"/>
  <c r="I33" i="8" s="1"/>
  <c r="G32" i="8"/>
  <c r="I32" i="8" s="1"/>
  <c r="I31" i="8"/>
  <c r="I19" i="8"/>
  <c r="I20" i="8"/>
  <c r="C22" i="8"/>
  <c r="G22" i="8" s="1"/>
  <c r="I22" i="8" s="1"/>
  <c r="G21" i="8"/>
  <c r="I21" i="8" s="1"/>
  <c r="C11" i="8"/>
  <c r="G11" i="8" s="1"/>
  <c r="I11" i="8" s="1"/>
  <c r="G10" i="8"/>
  <c r="I10" i="8" s="1"/>
  <c r="I9" i="8"/>
  <c r="B30" i="7"/>
  <c r="F29" i="7"/>
  <c r="H19" i="7"/>
  <c r="B22" i="7"/>
  <c r="F22" i="7" s="1"/>
  <c r="E22" i="7" s="1"/>
  <c r="F21" i="7"/>
  <c r="H20" i="7"/>
  <c r="E11" i="7"/>
  <c r="D11" i="7" s="1"/>
  <c r="K11" i="7" s="1"/>
  <c r="E10" i="7"/>
  <c r="D10" i="7" s="1"/>
  <c r="K10" i="7" s="1"/>
  <c r="B13" i="7"/>
  <c r="F13" i="7" s="1"/>
  <c r="F12" i="7"/>
  <c r="E74" i="5"/>
  <c r="E73" i="5"/>
  <c r="E72" i="5"/>
  <c r="E71" i="5"/>
  <c r="E70" i="5"/>
  <c r="E66" i="5"/>
  <c r="E65" i="5"/>
  <c r="E64" i="5"/>
  <c r="E63" i="5"/>
  <c r="E62" i="5"/>
  <c r="E58" i="5"/>
  <c r="E57" i="5"/>
  <c r="E56" i="5"/>
  <c r="E55" i="5"/>
  <c r="E54" i="5"/>
  <c r="E39" i="5"/>
  <c r="E36" i="5"/>
  <c r="E22" i="5"/>
  <c r="E23" i="5"/>
  <c r="E21" i="5"/>
  <c r="E27" i="5"/>
  <c r="E29" i="5"/>
  <c r="E30" i="5"/>
  <c r="E31" i="5"/>
  <c r="E28" i="5"/>
  <c r="F28" i="5"/>
  <c r="F29" i="5"/>
  <c r="F30" i="5"/>
  <c r="F31" i="5"/>
  <c r="F27" i="5"/>
  <c r="A37" i="5"/>
  <c r="A38" i="5"/>
  <c r="A39" i="5"/>
  <c r="A40" i="5"/>
  <c r="A36" i="5"/>
  <c r="G51" i="8" l="1"/>
  <c r="I51" i="8" s="1"/>
  <c r="C52" i="8"/>
  <c r="G52" i="8" s="1"/>
  <c r="I52" i="8" s="1"/>
  <c r="I53" i="8"/>
  <c r="H29" i="7"/>
  <c r="D29" i="7"/>
  <c r="B31" i="7"/>
  <c r="F31" i="7" s="1"/>
  <c r="E31" i="7" s="1"/>
  <c r="F30" i="7"/>
  <c r="H22" i="7"/>
  <c r="E12" i="7"/>
  <c r="D12" i="7" s="1"/>
  <c r="K12" i="7" s="1"/>
  <c r="E13" i="7"/>
  <c r="D13" i="7" s="1"/>
  <c r="K13" i="7" s="1"/>
  <c r="H10" i="7"/>
  <c r="H11" i="7"/>
  <c r="C71" i="5"/>
  <c r="C72" i="5" s="1"/>
  <c r="C73" i="5" s="1"/>
  <c r="B71" i="5"/>
  <c r="B72" i="5" s="1"/>
  <c r="F70" i="5"/>
  <c r="H70" i="5" s="1"/>
  <c r="F66" i="5"/>
  <c r="H66" i="5"/>
  <c r="C66" i="5"/>
  <c r="B66" i="5"/>
  <c r="C63" i="5"/>
  <c r="C64" i="5" s="1"/>
  <c r="C65" i="5" s="1"/>
  <c r="B63" i="5"/>
  <c r="B64" i="5" s="1"/>
  <c r="F62" i="5"/>
  <c r="H62" i="5" s="1"/>
  <c r="C55" i="5"/>
  <c r="C56" i="5" s="1"/>
  <c r="C57" i="5" s="1"/>
  <c r="C58" i="5" s="1"/>
  <c r="B55" i="5"/>
  <c r="B56" i="5" s="1"/>
  <c r="F54" i="5"/>
  <c r="H54" i="5" s="1"/>
  <c r="C28" i="5"/>
  <c r="C29" i="5" s="1"/>
  <c r="C30" i="5" s="1"/>
  <c r="B28" i="5"/>
  <c r="B29" i="5" s="1"/>
  <c r="H27" i="5"/>
  <c r="C22" i="5"/>
  <c r="C23" i="5" s="1"/>
  <c r="B22" i="5"/>
  <c r="B23" i="5" s="1"/>
  <c r="F21" i="5"/>
  <c r="H21" i="5" s="1"/>
  <c r="D15" i="5"/>
  <c r="D14" i="5"/>
  <c r="D13" i="5"/>
  <c r="C13" i="5"/>
  <c r="C14" i="5" s="1"/>
  <c r="C15" i="5" s="1"/>
  <c r="B13" i="5"/>
  <c r="B14" i="5" s="1"/>
  <c r="F12" i="5"/>
  <c r="H12" i="5" s="1"/>
  <c r="E12" i="5"/>
  <c r="D7" i="5"/>
  <c r="D8" i="5"/>
  <c r="D6" i="5"/>
  <c r="D5" i="5"/>
  <c r="C5" i="5"/>
  <c r="B6" i="5"/>
  <c r="F6" i="5" s="1"/>
  <c r="B5" i="5"/>
  <c r="F5" i="5" s="1"/>
  <c r="E4" i="5"/>
  <c r="F4" i="5"/>
  <c r="H4" i="5" s="1"/>
  <c r="H30" i="7" l="1"/>
  <c r="D30" i="7"/>
  <c r="D31" i="7"/>
  <c r="H21" i="7"/>
  <c r="H23" i="7" s="1"/>
  <c r="H13" i="7"/>
  <c r="H12" i="7"/>
  <c r="H14" i="7" s="1"/>
  <c r="B73" i="5"/>
  <c r="F72" i="5"/>
  <c r="C74" i="5"/>
  <c r="F71" i="5"/>
  <c r="B57" i="5"/>
  <c r="F56" i="5"/>
  <c r="H56" i="5" s="1"/>
  <c r="B65" i="5"/>
  <c r="F65" i="5" s="1"/>
  <c r="F64" i="5"/>
  <c r="F55" i="5"/>
  <c r="H55" i="5" s="1"/>
  <c r="F63" i="5"/>
  <c r="H63" i="5" s="1"/>
  <c r="B30" i="5"/>
  <c r="C31" i="5"/>
  <c r="F23" i="5"/>
  <c r="F22" i="5"/>
  <c r="E13" i="5"/>
  <c r="B15" i="5"/>
  <c r="F14" i="5"/>
  <c r="E15" i="5"/>
  <c r="E14" i="5"/>
  <c r="F13" i="5"/>
  <c r="B7" i="5"/>
  <c r="E5" i="5"/>
  <c r="H5" i="5" s="1"/>
  <c r="C6" i="5"/>
  <c r="C7" i="5" s="1"/>
  <c r="C8" i="5" s="1"/>
  <c r="E8" i="5" s="1"/>
  <c r="F28" i="4"/>
  <c r="G28" i="4" s="1"/>
  <c r="F27" i="4"/>
  <c r="F26" i="4"/>
  <c r="F25" i="4"/>
  <c r="G27" i="4"/>
  <c r="G26" i="4"/>
  <c r="G25" i="4"/>
  <c r="D25" i="4"/>
  <c r="D26" i="4" s="1"/>
  <c r="H24" i="4"/>
  <c r="J24" i="4" s="1"/>
  <c r="G24" i="4"/>
  <c r="F20" i="4"/>
  <c r="G20" i="4" s="1"/>
  <c r="D20" i="4"/>
  <c r="D19" i="4"/>
  <c r="F19" i="4"/>
  <c r="F18" i="4"/>
  <c r="D18" i="4"/>
  <c r="F17" i="4"/>
  <c r="G17" i="4" s="1"/>
  <c r="D17" i="4"/>
  <c r="H17" i="4" s="1"/>
  <c r="G19" i="4"/>
  <c r="G18" i="4"/>
  <c r="J16" i="4"/>
  <c r="H16" i="4"/>
  <c r="G16" i="4"/>
  <c r="H9" i="4"/>
  <c r="J9" i="4" s="1"/>
  <c r="D9" i="4"/>
  <c r="G9" i="4"/>
  <c r="F9" i="4"/>
  <c r="G8" i="4"/>
  <c r="J8" i="4" s="1"/>
  <c r="H8" i="4"/>
  <c r="D8" i="4"/>
  <c r="F8" i="4"/>
  <c r="F7" i="4"/>
  <c r="D7" i="4"/>
  <c r="H7" i="4" s="1"/>
  <c r="F6" i="4"/>
  <c r="G6" i="4" s="1"/>
  <c r="D6" i="4"/>
  <c r="G7" i="4"/>
  <c r="J5" i="4"/>
  <c r="H5" i="4"/>
  <c r="G5" i="4"/>
  <c r="H31" i="7" l="1"/>
  <c r="H32" i="7" s="1"/>
  <c r="H71" i="5"/>
  <c r="H72" i="5"/>
  <c r="B74" i="5"/>
  <c r="F74" i="5" s="1"/>
  <c r="H74" i="5" s="1"/>
  <c r="F73" i="5"/>
  <c r="H73" i="5" s="1"/>
  <c r="H75" i="5" s="1"/>
  <c r="D40" i="5" s="1"/>
  <c r="E40" i="5" s="1"/>
  <c r="H64" i="5"/>
  <c r="B58" i="5"/>
  <c r="F58" i="5" s="1"/>
  <c r="H58" i="5" s="1"/>
  <c r="F57" i="5"/>
  <c r="H57" i="5" s="1"/>
  <c r="H65" i="5"/>
  <c r="H67" i="5" s="1"/>
  <c r="D38" i="5" s="1"/>
  <c r="E38" i="5" s="1"/>
  <c r="E6" i="5"/>
  <c r="H6" i="5" s="1"/>
  <c r="E7" i="5"/>
  <c r="H13" i="5"/>
  <c r="H28" i="5"/>
  <c r="H29" i="5"/>
  <c r="B31" i="5"/>
  <c r="H31" i="5" s="1"/>
  <c r="H30" i="5"/>
  <c r="H23" i="5"/>
  <c r="H22" i="5"/>
  <c r="H14" i="5"/>
  <c r="F15" i="5"/>
  <c r="H15" i="5" s="1"/>
  <c r="B8" i="5"/>
  <c r="F8" i="5" s="1"/>
  <c r="H8" i="5" s="1"/>
  <c r="F7" i="5"/>
  <c r="D27" i="4"/>
  <c r="H26" i="4"/>
  <c r="J26" i="4" s="1"/>
  <c r="H25" i="4"/>
  <c r="J25" i="4" s="1"/>
  <c r="H20" i="4"/>
  <c r="J20" i="4" s="1"/>
  <c r="H19" i="4"/>
  <c r="J19" i="4" s="1"/>
  <c r="J17" i="4"/>
  <c r="H18" i="4"/>
  <c r="J18" i="4" s="1"/>
  <c r="J7" i="4"/>
  <c r="H6" i="4"/>
  <c r="J6" i="4" s="1"/>
  <c r="F25" i="3"/>
  <c r="F24" i="3"/>
  <c r="F23" i="3"/>
  <c r="C23" i="3"/>
  <c r="C24" i="3" s="1"/>
  <c r="I22" i="3"/>
  <c r="G22" i="3"/>
  <c r="F22" i="3"/>
  <c r="C6" i="3"/>
  <c r="G6" i="3" s="1"/>
  <c r="F5" i="3"/>
  <c r="F6" i="3"/>
  <c r="C5" i="3"/>
  <c r="F4" i="3"/>
  <c r="G5" i="3"/>
  <c r="I5" i="3" s="1"/>
  <c r="G4" i="3"/>
  <c r="I4" i="3" s="1"/>
  <c r="G5" i="2"/>
  <c r="G6" i="2"/>
  <c r="G7" i="2"/>
  <c r="G8" i="2"/>
  <c r="G9" i="2"/>
  <c r="G10" i="2"/>
  <c r="G4" i="2"/>
  <c r="I4" i="2" s="1"/>
  <c r="I5" i="2"/>
  <c r="I6" i="2"/>
  <c r="I7" i="2"/>
  <c r="I8" i="2"/>
  <c r="I9" i="2"/>
  <c r="I10" i="2"/>
  <c r="H32" i="5" l="1"/>
  <c r="D36" i="5" s="1"/>
  <c r="H59" i="5"/>
  <c r="D37" i="5" s="1"/>
  <c r="E37" i="5" s="1"/>
  <c r="H24" i="5"/>
  <c r="D39" i="5" s="1"/>
  <c r="H16" i="5"/>
  <c r="H7" i="5"/>
  <c r="H9" i="5" s="1"/>
  <c r="D28" i="4"/>
  <c r="H28" i="4" s="1"/>
  <c r="J28" i="4" s="1"/>
  <c r="H27" i="4"/>
  <c r="J27" i="4" s="1"/>
  <c r="C25" i="3"/>
  <c r="G25" i="3" s="1"/>
  <c r="I25" i="3" s="1"/>
  <c r="G24" i="3"/>
  <c r="I24" i="3" s="1"/>
  <c r="G23" i="3"/>
  <c r="I23" i="3" s="1"/>
  <c r="I6" i="3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<sst xmlns="http://schemas.openxmlformats.org/spreadsheetml/2006/main" count="234" uniqueCount="34">
  <si>
    <t>Mass</t>
  </si>
  <si>
    <t>StopDrop</t>
  </si>
  <si>
    <t>StartClimb</t>
  </si>
  <si>
    <t>3 significant digits</t>
  </si>
  <si>
    <t>Weight</t>
  </si>
  <si>
    <t>Equilibrium</t>
  </si>
  <si>
    <t>Length+Weight</t>
  </si>
  <si>
    <t>Displacement</t>
  </si>
  <si>
    <t>Force</t>
  </si>
  <si>
    <t>Voltage</t>
  </si>
  <si>
    <t>Spring constant</t>
  </si>
  <si>
    <t xml:space="preserve">       </t>
  </si>
  <si>
    <t>Stiffness:60</t>
  </si>
  <si>
    <t>Stiffness:20</t>
  </si>
  <si>
    <t>Length withWeight</t>
  </si>
  <si>
    <t>Stiffness:45</t>
  </si>
  <si>
    <t>Stiffness:70</t>
  </si>
  <si>
    <t>Stiffness</t>
  </si>
  <si>
    <t>1/10 ratio</t>
  </si>
  <si>
    <t>avg</t>
  </si>
  <si>
    <t>PULLEY BREAKS, Re-Did Pulley</t>
  </si>
  <si>
    <t>Re-done</t>
  </si>
  <si>
    <t>Inches to meters</t>
  </si>
  <si>
    <t>Real Spring Constant</t>
  </si>
  <si>
    <t>K</t>
  </si>
  <si>
    <t>StiffnessNew</t>
  </si>
  <si>
    <t>Stiffness if 64</t>
  </si>
  <si>
    <t>k</t>
  </si>
  <si>
    <t>damping</t>
  </si>
  <si>
    <t>Addl Unit</t>
  </si>
  <si>
    <t>Inch To Meters</t>
  </si>
  <si>
    <t xml:space="preserve">  </t>
  </si>
  <si>
    <t>Volts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</si>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</sst>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4" borderId="0" xfId="0" applyFill="1"/>
    <xf numFmtId="0" fontId="3" fillId="0" borderId="0" xfId="0" applyFont="1"/>
    <xf numFmtId="0" fontId="3" fillId="0" borderId="0" xfId="0" applyFont="1" applyFill="1"/>
    <xf numFmtId="0" fontId="0" fillId="0" borderId="7" xfId="0" applyBorder="1"/>
    <xf numFmtId="0" fontId="1" fillId="2" borderId="0" xfId="0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1" fillId="0" borderId="8" xfId="0" applyFont="1" applyBorder="1"/>
    <xf numFmtId="0" fontId="0" fillId="0" borderId="0" xfId="0" applyFill="1" applyBorder="1"/>
    <xf numFmtId="0" fontId="0" fillId="0" borderId="8" xfId="0" applyBorder="1"/>
    <xf numFmtId="0" fontId="0" fillId="0" borderId="0" xfId="0" applyBorder="1"/>
    <xf numFmtId="0" fontId="0" fillId="0" borderId="6" xfId="0" applyBorder="1"/>
    <xf numFmtId="0" fontId="3" fillId="0" borderId="0" xfId="0" applyFont="1" applyFill="1" applyBorder="1"/>
    <xf numFmtId="0" fontId="3" fillId="0" borderId="9" xfId="0" applyFont="1" applyFill="1" applyBorder="1"/>
    <xf numFmtId="0" fontId="1" fillId="2" borderId="9" xfId="0" applyFont="1" applyFill="1" applyBorder="1"/>
    <xf numFmtId="0" fontId="1" fillId="2" borderId="0" xfId="0" applyFont="1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StopDrop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-0.19639999999999999</c:v>
                </c:pt>
                <c:pt idx="1">
                  <c:v>-0.51700000000000002</c:v>
                </c:pt>
                <c:pt idx="2">
                  <c:v>-0.81799999999999995</c:v>
                </c:pt>
                <c:pt idx="3">
                  <c:v>-1.1100000000000001</c:v>
                </c:pt>
                <c:pt idx="4">
                  <c:v>-1.4379999999999999</c:v>
                </c:pt>
                <c:pt idx="5">
                  <c:v>-1.738</c:v>
                </c:pt>
                <c:pt idx="6">
                  <c:v>-2.04</c:v>
                </c:pt>
                <c:pt idx="7">
                  <c:v>-2.3199999999999998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StartClimb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5.002121609798775E-2"/>
                  <c:y val="9.9129848352289301E-2"/>
                </c:manualLayout>
              </c:layout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-0.255</c:v>
                </c:pt>
                <c:pt idx="1">
                  <c:v>-0.57299999999999995</c:v>
                </c:pt>
                <c:pt idx="2">
                  <c:v>-0.86699999999999999</c:v>
                </c:pt>
                <c:pt idx="3">
                  <c:v>-1.161</c:v>
                </c:pt>
                <c:pt idx="4">
                  <c:v>-1.526</c:v>
                </c:pt>
                <c:pt idx="5">
                  <c:v>-1.79</c:v>
                </c:pt>
                <c:pt idx="6">
                  <c:v>-2.08</c:v>
                </c:pt>
                <c:pt idx="7">
                  <c:v>-2.4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2768"/>
        <c:axId val="93953344"/>
      </c:scatterChart>
      <c:valAx>
        <c:axId val="9395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53344"/>
        <c:crosses val="autoZero"/>
        <c:crossBetween val="midCat"/>
      </c:valAx>
      <c:valAx>
        <c:axId val="9395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52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power"/>
            <c:dispRSqr val="1"/>
            <c:dispEq val="1"/>
            <c:trendlineLbl>
              <c:layout>
                <c:manualLayout>
                  <c:x val="5.9083333333333335E-2"/>
                  <c:y val="-0.35533785862974027"/>
                </c:manualLayout>
              </c:layout>
              <c:numFmt formatCode="General" sourceLinked="0"/>
            </c:trendlineLbl>
          </c:trendline>
          <c:xVal>
            <c:numRef>
              <c:f>'3rd run'!$C$36:$C$40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7</c:v>
                </c:pt>
              </c:numCache>
            </c:numRef>
          </c:xVal>
          <c:yVal>
            <c:numRef>
              <c:f>'3rd run'!$D$36:$D$40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7856"/>
        <c:axId val="125618432"/>
      </c:scatterChart>
      <c:valAx>
        <c:axId val="1256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618432"/>
        <c:crosses val="autoZero"/>
        <c:crossBetween val="midCat"/>
      </c:valAx>
      <c:valAx>
        <c:axId val="12561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61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3261679790026246"/>
                  <c:y val="-1.7965879265091862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1"/>
            <c:trendlineLbl>
              <c:layout>
                <c:manualLayout>
                  <c:x val="-9.5036526684164485E-2"/>
                  <c:y val="2.1372849227179937E-3"/>
                </c:manualLayout>
              </c:layout>
              <c:numFmt formatCode="General" sourceLinked="0"/>
            </c:trendlineLbl>
          </c:trendline>
          <c:xVal>
            <c:numRef>
              <c:f>'3rd run'!$A$36:$A$40</c:f>
              <c:numCache>
                <c:formatCode>General</c:formatCode>
                <c:ptCount val="5"/>
                <c:pt idx="0">
                  <c:v>19.2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44.8</c:v>
                </c:pt>
              </c:numCache>
            </c:numRef>
          </c:xVal>
          <c:yVal>
            <c:numRef>
              <c:f>'3rd run'!$E$36:$E$40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20160"/>
        <c:axId val="125620736"/>
      </c:scatterChart>
      <c:valAx>
        <c:axId val="1256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620736"/>
        <c:crosses val="autoZero"/>
        <c:crossBetween val="midCat"/>
      </c:valAx>
      <c:valAx>
        <c:axId val="1256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620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33337</xdr:rowOff>
    </xdr:from>
    <xdr:to>
      <xdr:col>13</xdr:col>
      <xdr:colOff>400050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27</xdr:row>
      <xdr:rowOff>185737</xdr:rowOff>
    </xdr:from>
    <xdr:to>
      <xdr:col>20</xdr:col>
      <xdr:colOff>457200</xdr:colOff>
      <xdr:row>42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31</xdr:row>
      <xdr:rowOff>109537</xdr:rowOff>
    </xdr:from>
    <xdr:to>
      <xdr:col>17</xdr:col>
      <xdr:colOff>438150</xdr:colOff>
      <xdr:row>45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B20" sqref="B20"/>
    </sheetView>
  </sheetViews>
  <sheetFormatPr defaultRowHeight="15" x14ac:dyDescent="0.25"/>
  <cols>
    <col min="4" max="4" width="10.28515625" bestFit="1" customWidth="1"/>
    <col min="9" max="10" width="9.140625" customWidth="1"/>
  </cols>
  <sheetData>
    <row r="1" spans="2:4" x14ac:dyDescent="0.25">
      <c r="B1" t="s">
        <v>3</v>
      </c>
    </row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3.9550000000000001</v>
      </c>
      <c r="C4">
        <v>-0.19639999999999999</v>
      </c>
      <c r="D4">
        <v>-0.255</v>
      </c>
    </row>
    <row r="5" spans="2:4" x14ac:dyDescent="0.25">
      <c r="B5">
        <f>B4+4.54</f>
        <v>8.495000000000001</v>
      </c>
      <c r="C5">
        <v>-0.51700000000000002</v>
      </c>
      <c r="D5">
        <v>-0.57299999999999995</v>
      </c>
    </row>
    <row r="6" spans="2:4" x14ac:dyDescent="0.25">
      <c r="B6">
        <f>B5+4.575</f>
        <v>13.07</v>
      </c>
      <c r="C6">
        <v>-0.81799999999999995</v>
      </c>
      <c r="D6">
        <v>-0.86699999999999999</v>
      </c>
    </row>
    <row r="7" spans="2:4" x14ac:dyDescent="0.25">
      <c r="B7">
        <f>B6+4.54</f>
        <v>17.61</v>
      </c>
      <c r="C7">
        <v>-1.1100000000000001</v>
      </c>
      <c r="D7">
        <v>-1.161</v>
      </c>
    </row>
    <row r="8" spans="2:4" x14ac:dyDescent="0.25">
      <c r="B8">
        <f>B7+4.58</f>
        <v>22.189999999999998</v>
      </c>
      <c r="C8">
        <v>-1.4379999999999999</v>
      </c>
      <c r="D8">
        <v>-1.526</v>
      </c>
    </row>
    <row r="9" spans="2:4" x14ac:dyDescent="0.25">
      <c r="B9">
        <f>B8+4.635</f>
        <v>26.824999999999996</v>
      </c>
      <c r="C9">
        <v>-1.738</v>
      </c>
      <c r="D9">
        <v>-1.79</v>
      </c>
    </row>
    <row r="10" spans="2:4" x14ac:dyDescent="0.25">
      <c r="B10">
        <f>B9+4.565</f>
        <v>31.389999999999997</v>
      </c>
      <c r="C10">
        <v>-2.04</v>
      </c>
      <c r="D10">
        <v>-2.08</v>
      </c>
    </row>
    <row r="11" spans="2:4" x14ac:dyDescent="0.25">
      <c r="B11">
        <f>B10+4.575</f>
        <v>35.964999999999996</v>
      </c>
      <c r="C11">
        <v>-2.3199999999999998</v>
      </c>
      <c r="D11">
        <v>-2.4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G9" sqref="G9"/>
    </sheetView>
  </sheetViews>
  <sheetFormatPr defaultRowHeight="15" x14ac:dyDescent="0.25"/>
  <cols>
    <col min="3" max="3" width="12.5703125" customWidth="1"/>
    <col min="4" max="4" width="12.85546875" customWidth="1"/>
    <col min="5" max="5" width="21.140625" customWidth="1"/>
    <col min="6" max="6" width="18.28515625" customWidth="1"/>
    <col min="9" max="9" width="18.28515625" customWidth="1"/>
  </cols>
  <sheetData>
    <row r="1" spans="2:9" x14ac:dyDescent="0.25">
      <c r="B1">
        <v>0.5</v>
      </c>
    </row>
    <row r="3" spans="2:9" x14ac:dyDescent="0.25"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G4">
        <f>C4*9.8</f>
        <v>0</v>
      </c>
      <c r="I4" t="e">
        <f>G4/F4</f>
        <v>#DIV/0!</v>
      </c>
    </row>
    <row r="5" spans="2:9" x14ac:dyDescent="0.25">
      <c r="G5">
        <f t="shared" ref="G5:G10" si="0">C5*9.8</f>
        <v>0</v>
      </c>
      <c r="I5" t="e">
        <f t="shared" ref="I5:I10" si="1">G5/F5</f>
        <v>#DIV/0!</v>
      </c>
    </row>
    <row r="6" spans="2:9" x14ac:dyDescent="0.25">
      <c r="G6">
        <f t="shared" si="0"/>
        <v>0</v>
      </c>
      <c r="I6" t="e">
        <f t="shared" si="1"/>
        <v>#DIV/0!</v>
      </c>
    </row>
    <row r="7" spans="2:9" x14ac:dyDescent="0.25">
      <c r="G7">
        <f t="shared" si="0"/>
        <v>0</v>
      </c>
      <c r="I7" t="e">
        <f t="shared" si="1"/>
        <v>#DIV/0!</v>
      </c>
    </row>
    <row r="8" spans="2:9" x14ac:dyDescent="0.25">
      <c r="G8">
        <f t="shared" si="0"/>
        <v>0</v>
      </c>
      <c r="I8" t="e">
        <f t="shared" si="1"/>
        <v>#DIV/0!</v>
      </c>
    </row>
    <row r="9" spans="2:9" x14ac:dyDescent="0.25">
      <c r="G9">
        <f t="shared" si="0"/>
        <v>0</v>
      </c>
      <c r="I9" t="e">
        <f t="shared" si="1"/>
        <v>#DIV/0!</v>
      </c>
    </row>
    <row r="10" spans="2:9" x14ac:dyDescent="0.25">
      <c r="G10">
        <f t="shared" si="0"/>
        <v>0</v>
      </c>
      <c r="I1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B2" sqref="B2:I6"/>
    </sheetView>
  </sheetViews>
  <sheetFormatPr defaultRowHeight="15" x14ac:dyDescent="0.25"/>
  <cols>
    <col min="4" max="4" width="11.85546875" customWidth="1"/>
    <col min="5" max="5" width="26.7109375" customWidth="1"/>
    <col min="6" max="6" width="18.7109375" customWidth="1"/>
    <col min="7" max="7" width="12.28515625" customWidth="1"/>
  </cols>
  <sheetData>
    <row r="1" spans="2:9" x14ac:dyDescent="0.25">
      <c r="B1">
        <v>1.1000000000000001</v>
      </c>
    </row>
    <row r="2" spans="2:9" x14ac:dyDescent="0.25">
      <c r="B2" t="s">
        <v>12</v>
      </c>
    </row>
    <row r="3" spans="2:9" x14ac:dyDescent="0.25">
      <c r="C3" t="s">
        <v>4</v>
      </c>
      <c r="D3" t="s">
        <v>5</v>
      </c>
      <c r="E3" t="s">
        <v>14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C4">
        <v>3.9550000000000001</v>
      </c>
      <c r="D4">
        <v>8</v>
      </c>
      <c r="E4">
        <v>12.5</v>
      </c>
      <c r="F4">
        <f>E4-D4</f>
        <v>4.5</v>
      </c>
      <c r="G4">
        <f>C4*9.8</f>
        <v>38.759</v>
      </c>
      <c r="H4">
        <v>-0.2</v>
      </c>
      <c r="I4">
        <f>G4/E4</f>
        <v>3.1007199999999999</v>
      </c>
    </row>
    <row r="5" spans="2:9" x14ac:dyDescent="0.25">
      <c r="C5">
        <f>C4+4.54</f>
        <v>8.495000000000001</v>
      </c>
      <c r="D5">
        <v>8</v>
      </c>
      <c r="E5">
        <v>19.75</v>
      </c>
      <c r="F5">
        <f t="shared" ref="F5:F6" si="0">E5-D5</f>
        <v>11.75</v>
      </c>
      <c r="G5">
        <f t="shared" ref="G5:G6" si="1">C5*9.8</f>
        <v>83.251000000000019</v>
      </c>
      <c r="H5">
        <v>-0.51900000000000002</v>
      </c>
      <c r="I5">
        <f t="shared" ref="I5:I6" si="2">G5/F5</f>
        <v>7.0851914893617041</v>
      </c>
    </row>
    <row r="6" spans="2:9" x14ac:dyDescent="0.25">
      <c r="C6">
        <f>C5+4.58</f>
        <v>13.075000000000001</v>
      </c>
      <c r="D6">
        <v>8</v>
      </c>
      <c r="E6">
        <v>21.75</v>
      </c>
      <c r="F6">
        <f t="shared" si="0"/>
        <v>13.75</v>
      </c>
      <c r="G6">
        <f t="shared" si="1"/>
        <v>128.13500000000002</v>
      </c>
      <c r="I6">
        <f t="shared" si="2"/>
        <v>9.3189090909090915</v>
      </c>
    </row>
    <row r="19" spans="2:11" x14ac:dyDescent="0.25">
      <c r="K19" t="s">
        <v>11</v>
      </c>
    </row>
    <row r="20" spans="2:11" x14ac:dyDescent="0.25">
      <c r="B20" t="s">
        <v>13</v>
      </c>
    </row>
    <row r="21" spans="2:11" x14ac:dyDescent="0.25">
      <c r="C21" t="s">
        <v>4</v>
      </c>
      <c r="D21" t="s">
        <v>5</v>
      </c>
      <c r="E21" t="s">
        <v>14</v>
      </c>
      <c r="F21" t="s">
        <v>7</v>
      </c>
      <c r="G21" t="s">
        <v>8</v>
      </c>
      <c r="H21" t="s">
        <v>9</v>
      </c>
      <c r="I21" t="s">
        <v>10</v>
      </c>
    </row>
    <row r="22" spans="2:11" x14ac:dyDescent="0.25">
      <c r="C22">
        <v>3.9550000000000001</v>
      </c>
      <c r="D22">
        <v>4</v>
      </c>
      <c r="E22">
        <v>5.75</v>
      </c>
      <c r="F22">
        <f>E22-D22</f>
        <v>1.75</v>
      </c>
      <c r="G22">
        <f>C22*9.8</f>
        <v>38.759</v>
      </c>
      <c r="I22">
        <f>G22/E22</f>
        <v>6.7406956521739128</v>
      </c>
    </row>
    <row r="23" spans="2:11" x14ac:dyDescent="0.25">
      <c r="C23">
        <f>C22+4.54</f>
        <v>8.495000000000001</v>
      </c>
      <c r="D23">
        <v>4</v>
      </c>
      <c r="E23">
        <v>8.25</v>
      </c>
      <c r="F23">
        <f t="shared" ref="F23:F25" si="3">E23-D23</f>
        <v>4.25</v>
      </c>
      <c r="G23">
        <f t="shared" ref="G23:G25" si="4">C23*9.8</f>
        <v>83.251000000000019</v>
      </c>
      <c r="I23">
        <f>G23/F23</f>
        <v>19.5884705882353</v>
      </c>
    </row>
    <row r="24" spans="2:11" x14ac:dyDescent="0.25">
      <c r="C24">
        <f>C23+4.58</f>
        <v>13.075000000000001</v>
      </c>
      <c r="D24">
        <v>4</v>
      </c>
      <c r="E24">
        <v>9.5</v>
      </c>
      <c r="F24">
        <f t="shared" si="3"/>
        <v>5.5</v>
      </c>
      <c r="G24">
        <f t="shared" si="4"/>
        <v>128.13500000000002</v>
      </c>
      <c r="I24">
        <f>G24/F24</f>
        <v>23.29727272727273</v>
      </c>
    </row>
    <row r="25" spans="2:11" x14ac:dyDescent="0.25">
      <c r="C25">
        <f>C24+4.548</f>
        <v>17.623000000000001</v>
      </c>
      <c r="F25">
        <f t="shared" si="3"/>
        <v>0</v>
      </c>
      <c r="G25">
        <f t="shared" si="4"/>
        <v>172.70540000000003</v>
      </c>
      <c r="I25" t="e">
        <f>G25/F25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8"/>
  <sheetViews>
    <sheetView topLeftCell="A13" workbookViewId="0">
      <selection activeCell="D15" sqref="D15:J20"/>
    </sheetView>
  </sheetViews>
  <sheetFormatPr defaultRowHeight="15" x14ac:dyDescent="0.25"/>
  <cols>
    <col min="5" max="5" width="11.28515625" bestFit="1" customWidth="1"/>
    <col min="6" max="6" width="11.140625" customWidth="1"/>
    <col min="7" max="7" width="13.28515625" bestFit="1" customWidth="1"/>
  </cols>
  <sheetData>
    <row r="3" spans="3:10" x14ac:dyDescent="0.25">
      <c r="C3" t="s">
        <v>15</v>
      </c>
    </row>
    <row r="4" spans="3:10" x14ac:dyDescent="0.25">
      <c r="D4" t="s">
        <v>4</v>
      </c>
      <c r="E4" t="s">
        <v>5</v>
      </c>
      <c r="F4" t="s">
        <v>14</v>
      </c>
      <c r="G4" t="s">
        <v>7</v>
      </c>
      <c r="H4" t="s">
        <v>8</v>
      </c>
      <c r="I4" t="s">
        <v>9</v>
      </c>
      <c r="J4" t="s">
        <v>10</v>
      </c>
    </row>
    <row r="5" spans="3:10" x14ac:dyDescent="0.25">
      <c r="D5">
        <v>3.9550000000000001</v>
      </c>
      <c r="E5">
        <v>17.399999999999999</v>
      </c>
      <c r="F5">
        <v>18.45</v>
      </c>
      <c r="G5">
        <f>F5-E5</f>
        <v>1.0500000000000007</v>
      </c>
      <c r="H5">
        <f>D5*9.8</f>
        <v>38.759</v>
      </c>
      <c r="J5">
        <f>H5/F5</f>
        <v>2.1007588075880759</v>
      </c>
    </row>
    <row r="6" spans="3:10" x14ac:dyDescent="0.25">
      <c r="D6">
        <f>D5+4.548</f>
        <v>8.5030000000000001</v>
      </c>
      <c r="E6">
        <v>17.399999999999999</v>
      </c>
      <c r="F6">
        <f>21.6+0.75</f>
        <v>22.35</v>
      </c>
      <c r="G6">
        <f t="shared" ref="G6:G7" si="0">F6-E6</f>
        <v>4.9500000000000028</v>
      </c>
      <c r="H6">
        <f t="shared" ref="H6:H7" si="1">D6*9.8</f>
        <v>83.329400000000007</v>
      </c>
      <c r="J6">
        <f t="shared" ref="J6:J7" si="2">H6/G6</f>
        <v>16.834222222222213</v>
      </c>
    </row>
    <row r="7" spans="3:10" x14ac:dyDescent="0.25">
      <c r="D7">
        <f>D6+4.54</f>
        <v>13.042999999999999</v>
      </c>
      <c r="E7">
        <v>17.399999999999999</v>
      </c>
      <c r="F7">
        <f>23+1.75</f>
        <v>24.75</v>
      </c>
      <c r="G7">
        <f t="shared" si="0"/>
        <v>7.3500000000000014</v>
      </c>
      <c r="H7">
        <f t="shared" si="1"/>
        <v>127.8214</v>
      </c>
      <c r="J7">
        <f t="shared" si="2"/>
        <v>17.390666666666664</v>
      </c>
    </row>
    <row r="8" spans="3:10" x14ac:dyDescent="0.25">
      <c r="D8">
        <f>D7+4.575</f>
        <v>17.617999999999999</v>
      </c>
      <c r="E8">
        <v>17.399999999999999</v>
      </c>
      <c r="F8">
        <f>24.7+2.75</f>
        <v>27.45</v>
      </c>
      <c r="G8">
        <f t="shared" ref="G8:G9" si="3">F8-E8</f>
        <v>10.050000000000001</v>
      </c>
      <c r="H8">
        <f t="shared" ref="H8" si="4">D8*9.8</f>
        <v>172.65639999999999</v>
      </c>
      <c r="J8">
        <f t="shared" ref="J8" si="5">H8/G8</f>
        <v>17.179741293532338</v>
      </c>
    </row>
    <row r="9" spans="3:10" x14ac:dyDescent="0.25">
      <c r="D9">
        <f>D8+4.635</f>
        <v>22.253</v>
      </c>
      <c r="E9">
        <v>17.399999999999999</v>
      </c>
      <c r="F9">
        <f>26.3+3.75</f>
        <v>30.05</v>
      </c>
      <c r="G9">
        <f t="shared" si="3"/>
        <v>12.650000000000002</v>
      </c>
      <c r="H9">
        <f t="shared" ref="H9" si="6">D9*9.8</f>
        <v>218.07940000000002</v>
      </c>
      <c r="J9">
        <f t="shared" ref="J9" si="7">H9/G9</f>
        <v>17.239478260869564</v>
      </c>
    </row>
    <row r="14" spans="3:10" x14ac:dyDescent="0.25">
      <c r="C14" t="s">
        <v>12</v>
      </c>
    </row>
    <row r="15" spans="3:10" x14ac:dyDescent="0.25">
      <c r="D15" t="s">
        <v>4</v>
      </c>
      <c r="E15" t="s">
        <v>5</v>
      </c>
      <c r="F15" t="s">
        <v>14</v>
      </c>
      <c r="G15" t="s">
        <v>7</v>
      </c>
      <c r="H15" t="s">
        <v>8</v>
      </c>
      <c r="I15" t="s">
        <v>9</v>
      </c>
      <c r="J15" t="s">
        <v>10</v>
      </c>
    </row>
    <row r="16" spans="3:10" x14ac:dyDescent="0.25">
      <c r="D16">
        <v>3.9550000000000001</v>
      </c>
      <c r="E16">
        <v>17.399999999999999</v>
      </c>
      <c r="F16">
        <v>26</v>
      </c>
      <c r="G16">
        <f>F16-E16</f>
        <v>8.6000000000000014</v>
      </c>
      <c r="H16">
        <f>D16*9.8</f>
        <v>38.759</v>
      </c>
      <c r="J16">
        <f>H16/F16</f>
        <v>1.4907307692307692</v>
      </c>
    </row>
    <row r="17" spans="3:10" x14ac:dyDescent="0.25">
      <c r="D17">
        <f>D16+4.54</f>
        <v>8.495000000000001</v>
      </c>
      <c r="E17">
        <v>17.399999999999999</v>
      </c>
      <c r="F17">
        <f>23.6+0.75</f>
        <v>24.35</v>
      </c>
      <c r="G17">
        <f t="shared" ref="G17:G20" si="8">F17-E17</f>
        <v>6.9500000000000028</v>
      </c>
      <c r="H17">
        <f t="shared" ref="H17:H20" si="9">D17*9.8</f>
        <v>83.251000000000019</v>
      </c>
      <c r="J17">
        <f t="shared" ref="J17:J20" si="10">H17/G17</f>
        <v>11.978561151079134</v>
      </c>
    </row>
    <row r="18" spans="3:10" x14ac:dyDescent="0.25">
      <c r="D18">
        <f>D17+4.575</f>
        <v>13.07</v>
      </c>
      <c r="E18">
        <v>17.399999999999999</v>
      </c>
      <c r="F18">
        <f>25.2+1.75</f>
        <v>26.95</v>
      </c>
      <c r="G18">
        <f t="shared" si="8"/>
        <v>9.5500000000000007</v>
      </c>
      <c r="H18">
        <f t="shared" si="9"/>
        <v>128.08600000000001</v>
      </c>
      <c r="J18">
        <f t="shared" si="10"/>
        <v>13.412146596858639</v>
      </c>
    </row>
    <row r="19" spans="3:10" x14ac:dyDescent="0.25">
      <c r="D19">
        <f>D18+4.635</f>
        <v>17.704999999999998</v>
      </c>
      <c r="E19">
        <v>17.399999999999999</v>
      </c>
      <c r="F19">
        <f>27.5+2.75</f>
        <v>30.25</v>
      </c>
      <c r="G19">
        <f t="shared" si="8"/>
        <v>12.850000000000001</v>
      </c>
      <c r="H19">
        <f t="shared" si="9"/>
        <v>173.50899999999999</v>
      </c>
      <c r="J19">
        <f t="shared" si="10"/>
        <v>13.502645914396885</v>
      </c>
    </row>
    <row r="20" spans="3:10" x14ac:dyDescent="0.25">
      <c r="D20">
        <f>D19+4.548</f>
        <v>22.253</v>
      </c>
      <c r="E20">
        <v>17.399999999999999</v>
      </c>
      <c r="F20">
        <f>30+3.75</f>
        <v>33.75</v>
      </c>
      <c r="G20">
        <f t="shared" si="8"/>
        <v>16.350000000000001</v>
      </c>
      <c r="H20">
        <f t="shared" si="9"/>
        <v>218.07940000000002</v>
      </c>
      <c r="J20">
        <f t="shared" si="10"/>
        <v>13.338189602446484</v>
      </c>
    </row>
    <row r="22" spans="3:10" x14ac:dyDescent="0.25">
      <c r="C22" t="s">
        <v>16</v>
      </c>
    </row>
    <row r="23" spans="3:10" x14ac:dyDescent="0.25">
      <c r="D23" t="s">
        <v>4</v>
      </c>
      <c r="E23" t="s">
        <v>5</v>
      </c>
      <c r="F23" t="s">
        <v>14</v>
      </c>
      <c r="G23" t="s">
        <v>7</v>
      </c>
      <c r="H23" t="s">
        <v>8</v>
      </c>
      <c r="I23" t="s">
        <v>9</v>
      </c>
      <c r="J23" t="s">
        <v>10</v>
      </c>
    </row>
    <row r="24" spans="3:10" x14ac:dyDescent="0.25">
      <c r="D24">
        <v>3.9550000000000001</v>
      </c>
      <c r="E24">
        <v>10.6</v>
      </c>
      <c r="F24">
        <v>14.6</v>
      </c>
      <c r="G24">
        <f>F24-E24</f>
        <v>4</v>
      </c>
      <c r="H24">
        <f>D24*9.8</f>
        <v>38.759</v>
      </c>
      <c r="J24">
        <f>H24/F24</f>
        <v>2.6547260273972602</v>
      </c>
    </row>
    <row r="25" spans="3:10" x14ac:dyDescent="0.25">
      <c r="D25">
        <f>D24+4.54</f>
        <v>8.495000000000001</v>
      </c>
      <c r="E25">
        <v>10.6</v>
      </c>
      <c r="F25">
        <f>17+0.75</f>
        <v>17.75</v>
      </c>
      <c r="G25">
        <f t="shared" ref="G25:G28" si="11">F25-E25</f>
        <v>7.15</v>
      </c>
      <c r="H25">
        <f t="shared" ref="H25:H28" si="12">D25*9.8</f>
        <v>83.251000000000019</v>
      </c>
      <c r="J25">
        <f t="shared" ref="J25:J28" si="13">H25/G25</f>
        <v>11.643496503496506</v>
      </c>
    </row>
    <row r="26" spans="3:10" x14ac:dyDescent="0.25">
      <c r="D26">
        <f>D25+4.575</f>
        <v>13.07</v>
      </c>
      <c r="E26">
        <v>10.6</v>
      </c>
      <c r="F26">
        <f>20.3+1.75</f>
        <v>22.05</v>
      </c>
      <c r="G26">
        <f t="shared" si="11"/>
        <v>11.450000000000001</v>
      </c>
      <c r="H26">
        <f t="shared" si="12"/>
        <v>128.08600000000001</v>
      </c>
      <c r="J26">
        <f t="shared" si="13"/>
        <v>11.186550218340612</v>
      </c>
    </row>
    <row r="27" spans="3:10" x14ac:dyDescent="0.25">
      <c r="D27">
        <f>D26+4.635</f>
        <v>17.704999999999998</v>
      </c>
      <c r="E27">
        <v>10.6</v>
      </c>
      <c r="F27">
        <f>24+2.75</f>
        <v>26.75</v>
      </c>
      <c r="G27">
        <f t="shared" si="11"/>
        <v>16.149999999999999</v>
      </c>
      <c r="H27">
        <f t="shared" si="12"/>
        <v>173.50899999999999</v>
      </c>
      <c r="J27">
        <f t="shared" si="13"/>
        <v>10.74359133126935</v>
      </c>
    </row>
    <row r="28" spans="3:10" x14ac:dyDescent="0.25">
      <c r="D28">
        <f>D27+4.548</f>
        <v>22.253</v>
      </c>
      <c r="E28">
        <v>10.6</v>
      </c>
      <c r="F28">
        <f>26.5+3.75</f>
        <v>30.25</v>
      </c>
      <c r="G28">
        <f t="shared" si="11"/>
        <v>19.649999999999999</v>
      </c>
      <c r="H28">
        <f t="shared" si="12"/>
        <v>218.07940000000002</v>
      </c>
      <c r="J28">
        <f t="shared" si="13"/>
        <v>11.098188295165397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A49" workbookViewId="0">
      <selection activeCell="A61" sqref="A61:J67"/>
    </sheetView>
  </sheetViews>
  <sheetFormatPr defaultRowHeight="15" x14ac:dyDescent="0.25"/>
  <cols>
    <col min="4" max="4" width="16.42578125" customWidth="1"/>
    <col min="5" max="5" width="13.28515625" bestFit="1" customWidth="1"/>
  </cols>
  <sheetData>
    <row r="1" spans="1:10" x14ac:dyDescent="0.25">
      <c r="A1" t="s">
        <v>17</v>
      </c>
    </row>
    <row r="3" spans="1:10" x14ac:dyDescent="0.25">
      <c r="A3" s="2">
        <v>5</v>
      </c>
      <c r="B3" t="s">
        <v>4</v>
      </c>
      <c r="C3" t="s">
        <v>5</v>
      </c>
      <c r="D3" t="s">
        <v>14</v>
      </c>
      <c r="E3" s="1" t="s">
        <v>7</v>
      </c>
      <c r="F3" s="1" t="s">
        <v>8</v>
      </c>
      <c r="G3" t="s">
        <v>9</v>
      </c>
      <c r="H3" s="1" t="s">
        <v>10</v>
      </c>
      <c r="J3" s="1" t="s">
        <v>18</v>
      </c>
    </row>
    <row r="4" spans="1:10" x14ac:dyDescent="0.25">
      <c r="C4" s="2">
        <v>8.9499999999999993</v>
      </c>
      <c r="E4" s="1">
        <f>D4-C4</f>
        <v>-8.9499999999999993</v>
      </c>
      <c r="F4" s="1">
        <f>B4*9.8</f>
        <v>0</v>
      </c>
      <c r="H4" s="1" t="e">
        <f>F4/D4</f>
        <v>#DIV/0!</v>
      </c>
      <c r="J4" s="2">
        <v>-76</v>
      </c>
    </row>
    <row r="5" spans="1:10" x14ac:dyDescent="0.25">
      <c r="A5">
        <v>4.54</v>
      </c>
      <c r="B5">
        <f>A5</f>
        <v>4.54</v>
      </c>
      <c r="C5">
        <f>C4</f>
        <v>8.9499999999999993</v>
      </c>
      <c r="D5" s="2">
        <f>11.55+0.75</f>
        <v>12.3</v>
      </c>
      <c r="E5" s="1">
        <f t="shared" ref="E5:E8" si="0">D5-C5</f>
        <v>3.3500000000000014</v>
      </c>
      <c r="F5" s="1">
        <f>B5*9.8</f>
        <v>44.492000000000004</v>
      </c>
      <c r="H5" s="1">
        <f t="shared" ref="H5:H8" si="1">F5/E5</f>
        <v>13.281194029850742</v>
      </c>
      <c r="J5" s="2"/>
    </row>
    <row r="6" spans="1:10" x14ac:dyDescent="0.25">
      <c r="A6">
        <v>4.5750000000000002</v>
      </c>
      <c r="B6">
        <f>B5+A6</f>
        <v>9.1150000000000002</v>
      </c>
      <c r="C6">
        <f t="shared" ref="C6:C8" si="2">C5</f>
        <v>8.9499999999999993</v>
      </c>
      <c r="D6" s="2">
        <f>13.56+1.75</f>
        <v>15.31</v>
      </c>
      <c r="E6" s="1">
        <f t="shared" si="0"/>
        <v>6.3600000000000012</v>
      </c>
      <c r="F6" s="1">
        <f t="shared" ref="F6:F8" si="3">B6*9.8</f>
        <v>89.327000000000012</v>
      </c>
      <c r="H6" s="1">
        <f t="shared" si="1"/>
        <v>14.045125786163521</v>
      </c>
      <c r="J6" s="2">
        <v>-252</v>
      </c>
    </row>
    <row r="7" spans="1:10" x14ac:dyDescent="0.25">
      <c r="A7">
        <v>4.6349999999999998</v>
      </c>
      <c r="B7">
        <f t="shared" ref="B7:B8" si="4">B6+A7</f>
        <v>13.75</v>
      </c>
      <c r="C7">
        <f t="shared" si="2"/>
        <v>8.9499999999999993</v>
      </c>
      <c r="D7" s="2">
        <f>15.1+2.75</f>
        <v>17.850000000000001</v>
      </c>
      <c r="E7" s="1">
        <f t="shared" si="0"/>
        <v>8.9000000000000021</v>
      </c>
      <c r="F7" s="1">
        <f t="shared" si="3"/>
        <v>134.75</v>
      </c>
      <c r="H7" s="1">
        <f t="shared" si="1"/>
        <v>15.140449438202243</v>
      </c>
      <c r="J7" s="2"/>
    </row>
    <row r="8" spans="1:10" x14ac:dyDescent="0.25">
      <c r="A8">
        <v>4.548</v>
      </c>
      <c r="B8">
        <f t="shared" si="4"/>
        <v>18.298000000000002</v>
      </c>
      <c r="C8">
        <f t="shared" si="2"/>
        <v>8.9499999999999993</v>
      </c>
      <c r="D8" s="2">
        <f>17.58+3.7</f>
        <v>21.279999999999998</v>
      </c>
      <c r="E8" s="1">
        <f t="shared" si="0"/>
        <v>12.329999999999998</v>
      </c>
      <c r="F8" s="1">
        <f t="shared" si="3"/>
        <v>179.32040000000003</v>
      </c>
      <c r="H8" s="1">
        <f t="shared" si="1"/>
        <v>14.543422546634231</v>
      </c>
      <c r="J8" s="2">
        <v>-421</v>
      </c>
    </row>
    <row r="9" spans="1:10" x14ac:dyDescent="0.25">
      <c r="G9" t="s">
        <v>19</v>
      </c>
      <c r="H9" s="1">
        <f>AVERAGE(H5:H8)</f>
        <v>14.252547950212684</v>
      </c>
    </row>
    <row r="11" spans="1:10" x14ac:dyDescent="0.25">
      <c r="A11" s="2">
        <v>10</v>
      </c>
      <c r="B11" t="s">
        <v>4</v>
      </c>
      <c r="C11" t="s">
        <v>5</v>
      </c>
      <c r="D11" t="s">
        <v>14</v>
      </c>
      <c r="E11" s="1" t="s">
        <v>7</v>
      </c>
      <c r="F11" s="1" t="s">
        <v>8</v>
      </c>
      <c r="G11" t="s">
        <v>9</v>
      </c>
      <c r="H11" s="1" t="s">
        <v>10</v>
      </c>
      <c r="J11" s="1" t="s">
        <v>18</v>
      </c>
    </row>
    <row r="12" spans="1:10" x14ac:dyDescent="0.25">
      <c r="C12" s="2">
        <v>11.95</v>
      </c>
      <c r="E12" s="1">
        <f>D12-C12</f>
        <v>-11.95</v>
      </c>
      <c r="F12" s="1">
        <f>B12*9.8</f>
        <v>0</v>
      </c>
      <c r="H12" s="1" t="e">
        <f>F12/D12</f>
        <v>#DIV/0!</v>
      </c>
      <c r="J12" s="2">
        <v>-155</v>
      </c>
    </row>
    <row r="13" spans="1:10" x14ac:dyDescent="0.25">
      <c r="A13">
        <v>4.54</v>
      </c>
      <c r="B13">
        <f>A13</f>
        <v>4.54</v>
      </c>
      <c r="C13">
        <f>C12</f>
        <v>11.95</v>
      </c>
      <c r="D13" s="2">
        <f>17+0.75</f>
        <v>17.75</v>
      </c>
      <c r="E13" s="1">
        <f t="shared" ref="E13:E15" si="5">D13-C13</f>
        <v>5.8000000000000007</v>
      </c>
      <c r="F13" s="1">
        <f>B13*9.8</f>
        <v>44.492000000000004</v>
      </c>
      <c r="H13" s="1">
        <f t="shared" ref="H13:H15" si="6">F13/E13</f>
        <v>7.6710344827586203</v>
      </c>
      <c r="J13" s="2"/>
    </row>
    <row r="14" spans="1:10" x14ac:dyDescent="0.25">
      <c r="A14">
        <v>4.5750000000000002</v>
      </c>
      <c r="B14">
        <f>B13+A14</f>
        <v>9.1150000000000002</v>
      </c>
      <c r="C14">
        <f t="shared" ref="C14:C15" si="7">C13</f>
        <v>11.95</v>
      </c>
      <c r="D14" s="2">
        <f>21.9+1.75</f>
        <v>23.65</v>
      </c>
      <c r="E14" s="1">
        <f t="shared" si="5"/>
        <v>11.7</v>
      </c>
      <c r="F14" s="1">
        <f t="shared" ref="F14:F15" si="8">B14*9.8</f>
        <v>89.327000000000012</v>
      </c>
      <c r="H14" s="1">
        <f t="shared" si="6"/>
        <v>7.6347863247863259</v>
      </c>
      <c r="J14" s="2"/>
    </row>
    <row r="15" spans="1:10" x14ac:dyDescent="0.25">
      <c r="A15">
        <v>4.6349999999999998</v>
      </c>
      <c r="B15">
        <f t="shared" ref="B15" si="9">B14+A15</f>
        <v>13.75</v>
      </c>
      <c r="C15">
        <f t="shared" si="7"/>
        <v>11.95</v>
      </c>
      <c r="D15" s="2">
        <f>27.49+2.75</f>
        <v>30.24</v>
      </c>
      <c r="E15" s="1">
        <f t="shared" si="5"/>
        <v>18.29</v>
      </c>
      <c r="F15" s="1">
        <f t="shared" si="8"/>
        <v>134.75</v>
      </c>
      <c r="H15" s="1">
        <f t="shared" si="6"/>
        <v>7.367413887370148</v>
      </c>
      <c r="J15" s="2"/>
    </row>
    <row r="16" spans="1:10" x14ac:dyDescent="0.25">
      <c r="G16" t="s">
        <v>19</v>
      </c>
      <c r="H16" s="1">
        <f>AVERAGE(H13:H15)</f>
        <v>7.5577448983050317</v>
      </c>
    </row>
    <row r="17" spans="1:10" x14ac:dyDescent="0.25">
      <c r="H17" s="1"/>
    </row>
    <row r="18" spans="1:10" s="3" customFormat="1" x14ac:dyDescent="0.25">
      <c r="A18" s="3" t="s">
        <v>20</v>
      </c>
    </row>
    <row r="20" spans="1:10" x14ac:dyDescent="0.25">
      <c r="A20" s="2">
        <v>15</v>
      </c>
      <c r="B20" t="s">
        <v>4</v>
      </c>
      <c r="C20" t="s">
        <v>5</v>
      </c>
      <c r="D20" t="s">
        <v>14</v>
      </c>
      <c r="E20" s="1" t="s">
        <v>7</v>
      </c>
      <c r="F20" s="1" t="s">
        <v>8</v>
      </c>
      <c r="G20" t="s">
        <v>9</v>
      </c>
      <c r="H20" s="1" t="s">
        <v>10</v>
      </c>
      <c r="J20" s="1" t="s">
        <v>18</v>
      </c>
    </row>
    <row r="21" spans="1:10" x14ac:dyDescent="0.25">
      <c r="C21" s="2">
        <v>16.05</v>
      </c>
      <c r="E21" s="1">
        <f>(D21-C21)*$E$43</f>
        <v>-0.40766999999999998</v>
      </c>
      <c r="F21" s="1">
        <f>B21*9.8</f>
        <v>0</v>
      </c>
      <c r="H21" s="1" t="e">
        <f>F21/D21</f>
        <v>#DIV/0!</v>
      </c>
      <c r="J21" s="2">
        <v>272</v>
      </c>
    </row>
    <row r="22" spans="1:10" x14ac:dyDescent="0.25">
      <c r="A22">
        <v>4.54</v>
      </c>
      <c r="B22">
        <f>A22</f>
        <v>4.54</v>
      </c>
      <c r="C22">
        <f>C21</f>
        <v>16.05</v>
      </c>
      <c r="D22" s="2">
        <v>24.95</v>
      </c>
      <c r="E22" s="1">
        <f t="shared" ref="E22:E23" si="10">(D22-C22)*$E$43</f>
        <v>0.22605999999999996</v>
      </c>
      <c r="F22" s="1">
        <f>B22*9.8</f>
        <v>44.492000000000004</v>
      </c>
      <c r="H22" s="1">
        <f t="shared" ref="H22:H23" si="11">F22/E22</f>
        <v>196.81500486596485</v>
      </c>
      <c r="J22" s="2">
        <v>520</v>
      </c>
    </row>
    <row r="23" spans="1:10" x14ac:dyDescent="0.25">
      <c r="A23">
        <v>4.5750000000000002</v>
      </c>
      <c r="B23">
        <f>B22+A23</f>
        <v>9.1150000000000002</v>
      </c>
      <c r="C23">
        <f t="shared" ref="C23" si="12">C22</f>
        <v>16.05</v>
      </c>
      <c r="D23" s="2">
        <v>35.200000000000003</v>
      </c>
      <c r="E23" s="1">
        <f t="shared" si="10"/>
        <v>0.48641000000000001</v>
      </c>
      <c r="F23" s="1">
        <f t="shared" ref="F23" si="13">B23*9.8</f>
        <v>89.327000000000012</v>
      </c>
      <c r="H23" s="1">
        <f t="shared" si="11"/>
        <v>183.64548426224792</v>
      </c>
      <c r="J23" s="2"/>
    </row>
    <row r="24" spans="1:10" x14ac:dyDescent="0.25">
      <c r="G24" t="s">
        <v>19</v>
      </c>
      <c r="H24" s="1">
        <f>AVERAGE(H22:H23)</f>
        <v>190.23024456410639</v>
      </c>
    </row>
    <row r="26" spans="1:10" x14ac:dyDescent="0.25">
      <c r="A26" s="2">
        <v>3</v>
      </c>
      <c r="B26" t="s">
        <v>4</v>
      </c>
      <c r="C26" t="s">
        <v>5</v>
      </c>
      <c r="D26" t="s">
        <v>14</v>
      </c>
      <c r="E26" s="1" t="s">
        <v>7</v>
      </c>
      <c r="F26" s="1" t="s">
        <v>8</v>
      </c>
      <c r="G26" t="s">
        <v>9</v>
      </c>
      <c r="H26" s="1" t="s">
        <v>10</v>
      </c>
      <c r="J26" s="1" t="s">
        <v>18</v>
      </c>
    </row>
    <row r="27" spans="1:10" x14ac:dyDescent="0.25">
      <c r="C27" s="2">
        <v>8.9</v>
      </c>
      <c r="E27" s="1">
        <f>(D27-C27)*$E$43</f>
        <v>-0.22606000000000001</v>
      </c>
      <c r="F27" s="1">
        <f>B27*9.8</f>
        <v>0</v>
      </c>
      <c r="H27" s="1" t="e">
        <f>F27/D27</f>
        <v>#DIV/0!</v>
      </c>
      <c r="J27" s="2">
        <v>54</v>
      </c>
    </row>
    <row r="28" spans="1:10" x14ac:dyDescent="0.25">
      <c r="A28">
        <v>4.54</v>
      </c>
      <c r="B28">
        <f>A28</f>
        <v>4.54</v>
      </c>
      <c r="C28">
        <f>C27</f>
        <v>8.9</v>
      </c>
      <c r="D28" s="2">
        <v>10.5</v>
      </c>
      <c r="E28" s="1">
        <f>(D28-C28)*$E$43</f>
        <v>4.0639999999999989E-2</v>
      </c>
      <c r="F28" s="1">
        <f>B28*9.8</f>
        <v>44.492000000000004</v>
      </c>
      <c r="H28" s="1">
        <f t="shared" ref="H28:H31" si="14">F28/E28</f>
        <v>1094.7834645669295</v>
      </c>
      <c r="J28" s="2">
        <v>105</v>
      </c>
    </row>
    <row r="29" spans="1:10" x14ac:dyDescent="0.25">
      <c r="A29">
        <v>4.5750000000000002</v>
      </c>
      <c r="B29">
        <f>B28+A29</f>
        <v>9.1150000000000002</v>
      </c>
      <c r="C29">
        <f t="shared" ref="C29:C31" si="15">C28</f>
        <v>8.9</v>
      </c>
      <c r="D29" s="2">
        <v>12.4</v>
      </c>
      <c r="E29" s="1">
        <f t="shared" ref="E29:E31" si="16">(D29-C29)*$E$43</f>
        <v>8.8899999999999993E-2</v>
      </c>
      <c r="F29" s="1">
        <f t="shared" ref="F29:F31" si="17">B29*9.8</f>
        <v>89.327000000000012</v>
      </c>
      <c r="H29" s="1">
        <f t="shared" si="14"/>
        <v>1004.8031496062995</v>
      </c>
      <c r="J29" s="2">
        <v>156</v>
      </c>
    </row>
    <row r="30" spans="1:10" x14ac:dyDescent="0.25">
      <c r="A30">
        <v>4.6349999999999998</v>
      </c>
      <c r="B30">
        <f t="shared" ref="B30:B31" si="18">B29+A30</f>
        <v>13.75</v>
      </c>
      <c r="C30">
        <f t="shared" si="15"/>
        <v>8.9</v>
      </c>
      <c r="D30" s="2">
        <v>14.5</v>
      </c>
      <c r="E30" s="1">
        <f t="shared" si="16"/>
        <v>0.14223999999999998</v>
      </c>
      <c r="F30" s="1">
        <f t="shared" si="17"/>
        <v>134.75</v>
      </c>
      <c r="H30" s="1">
        <f t="shared" si="14"/>
        <v>947.34251968503952</v>
      </c>
      <c r="J30" s="2">
        <v>210</v>
      </c>
    </row>
    <row r="31" spans="1:10" x14ac:dyDescent="0.25">
      <c r="A31">
        <v>4.548</v>
      </c>
      <c r="B31">
        <f t="shared" si="18"/>
        <v>18.298000000000002</v>
      </c>
      <c r="C31">
        <f t="shared" si="15"/>
        <v>8.9</v>
      </c>
      <c r="D31" s="2">
        <v>16.46</v>
      </c>
      <c r="E31" s="1">
        <f t="shared" si="16"/>
        <v>0.192024</v>
      </c>
      <c r="F31" s="1">
        <f t="shared" si="17"/>
        <v>179.32040000000003</v>
      </c>
      <c r="H31" s="1">
        <f t="shared" si="14"/>
        <v>933.84368620589112</v>
      </c>
      <c r="J31" s="2">
        <v>268</v>
      </c>
    </row>
    <row r="32" spans="1:10" x14ac:dyDescent="0.25">
      <c r="G32" t="s">
        <v>19</v>
      </c>
      <c r="H32" s="1">
        <f>AVERAGE(H28:H31)</f>
        <v>995.19320501603988</v>
      </c>
    </row>
    <row r="35" spans="1:5" x14ac:dyDescent="0.25">
      <c r="A35" t="s">
        <v>26</v>
      </c>
      <c r="B35" t="s">
        <v>25</v>
      </c>
      <c r="C35" t="s">
        <v>17</v>
      </c>
      <c r="E35" t="s">
        <v>23</v>
      </c>
    </row>
    <row r="36" spans="1:5" x14ac:dyDescent="0.25">
      <c r="A36">
        <f>B36*64/10</f>
        <v>19.2</v>
      </c>
      <c r="B36">
        <f>C36</f>
        <v>3</v>
      </c>
      <c r="C36">
        <v>3</v>
      </c>
      <c r="D36">
        <f>H32</f>
        <v>995.19320501603988</v>
      </c>
      <c r="E36">
        <f>D36</f>
        <v>995.19320501603988</v>
      </c>
    </row>
    <row r="37" spans="1:5" x14ac:dyDescent="0.25">
      <c r="A37">
        <f t="shared" ref="A37:A40" si="19">B37*64/10</f>
        <v>32</v>
      </c>
      <c r="B37">
        <f t="shared" ref="B37:B40" si="20">C37</f>
        <v>5</v>
      </c>
      <c r="C37">
        <v>5</v>
      </c>
      <c r="D37">
        <f>H59</f>
        <v>581.67436902369241</v>
      </c>
      <c r="E37">
        <f t="shared" ref="E37:E40" si="21">D37</f>
        <v>581.67436902369241</v>
      </c>
    </row>
    <row r="38" spans="1:5" x14ac:dyDescent="0.25">
      <c r="A38">
        <f t="shared" si="19"/>
        <v>64</v>
      </c>
      <c r="B38">
        <f t="shared" si="20"/>
        <v>10</v>
      </c>
      <c r="C38">
        <v>10</v>
      </c>
      <c r="D38">
        <f>H67</f>
        <v>293.5928760116679</v>
      </c>
      <c r="E38">
        <f t="shared" si="21"/>
        <v>293.5928760116679</v>
      </c>
    </row>
    <row r="39" spans="1:5" x14ac:dyDescent="0.25">
      <c r="A39">
        <f t="shared" si="19"/>
        <v>96</v>
      </c>
      <c r="B39">
        <f t="shared" si="20"/>
        <v>15</v>
      </c>
      <c r="C39">
        <v>15</v>
      </c>
      <c r="D39">
        <f>H24</f>
        <v>190.23024456410639</v>
      </c>
      <c r="E39">
        <f t="shared" si="21"/>
        <v>190.23024456410639</v>
      </c>
    </row>
    <row r="40" spans="1:5" x14ac:dyDescent="0.25">
      <c r="A40">
        <f t="shared" si="19"/>
        <v>44.8</v>
      </c>
      <c r="B40">
        <f t="shared" si="20"/>
        <v>7</v>
      </c>
      <c r="C40">
        <v>7</v>
      </c>
      <c r="D40">
        <f>H75</f>
        <v>384.83058502855283</v>
      </c>
      <c r="E40">
        <f t="shared" si="21"/>
        <v>384.83058502855283</v>
      </c>
    </row>
    <row r="43" spans="1:5" x14ac:dyDescent="0.25">
      <c r="D43" t="s">
        <v>22</v>
      </c>
      <c r="E43" s="4">
        <v>2.5399999999999999E-2</v>
      </c>
    </row>
    <row r="44" spans="1:5" ht="15.75" thickBot="1" x14ac:dyDescent="0.3"/>
    <row r="45" spans="1:5" x14ac:dyDescent="0.25">
      <c r="C45" s="5" t="s">
        <v>17</v>
      </c>
      <c r="D45" s="6">
        <v>25</v>
      </c>
      <c r="E45" s="7">
        <f>(E46-960.65)/-9.2099</f>
        <v>126.02199806729716</v>
      </c>
    </row>
    <row r="46" spans="1:5" ht="15.75" thickBot="1" x14ac:dyDescent="0.3">
      <c r="C46" s="8" t="s">
        <v>24</v>
      </c>
      <c r="D46" s="9">
        <f xml:space="preserve"> -9.2099*D45 + 960.65</f>
        <v>730.40250000000003</v>
      </c>
      <c r="E46" s="10">
        <v>-200</v>
      </c>
    </row>
    <row r="51" spans="1:20" x14ac:dyDescent="0.25">
      <c r="A51" t="s">
        <v>21</v>
      </c>
    </row>
    <row r="53" spans="1:20" x14ac:dyDescent="0.25">
      <c r="A53" s="2">
        <v>5</v>
      </c>
      <c r="B53" t="s">
        <v>4</v>
      </c>
      <c r="C53" t="s">
        <v>5</v>
      </c>
      <c r="D53" t="s">
        <v>14</v>
      </c>
      <c r="E53" s="1" t="s">
        <v>7</v>
      </c>
      <c r="F53" s="1" t="s">
        <v>8</v>
      </c>
      <c r="G53" t="s">
        <v>9</v>
      </c>
      <c r="H53" s="1" t="s">
        <v>10</v>
      </c>
      <c r="J53" s="1" t="s">
        <v>18</v>
      </c>
    </row>
    <row r="54" spans="1:20" x14ac:dyDescent="0.25">
      <c r="C54" s="2">
        <v>1.97</v>
      </c>
      <c r="E54" s="1">
        <f>(D54-C54)*$E$43</f>
        <v>-5.0037999999999999E-2</v>
      </c>
      <c r="F54" s="1">
        <f>B54*9.8</f>
        <v>0</v>
      </c>
      <c r="H54" s="1" t="e">
        <f>F54/D54</f>
        <v>#DIV/0!</v>
      </c>
      <c r="J54" s="2">
        <v>90</v>
      </c>
    </row>
    <row r="55" spans="1:20" x14ac:dyDescent="0.25">
      <c r="A55">
        <v>4.54</v>
      </c>
      <c r="B55">
        <f>A55</f>
        <v>4.54</v>
      </c>
      <c r="C55">
        <f>C54</f>
        <v>1.97</v>
      </c>
      <c r="D55" s="2">
        <v>4.9000000000000004</v>
      </c>
      <c r="E55" s="1">
        <f t="shared" ref="E55:E58" si="22">(D55-C55)*$E$43</f>
        <v>7.4422000000000016E-2</v>
      </c>
      <c r="F55" s="1">
        <f>B55*9.8</f>
        <v>44.492000000000004</v>
      </c>
      <c r="H55" s="1">
        <f t="shared" ref="H55:H58" si="23">F55/E55</f>
        <v>597.83397382494422</v>
      </c>
      <c r="J55" s="2">
        <v>175</v>
      </c>
    </row>
    <row r="56" spans="1:20" x14ac:dyDescent="0.25">
      <c r="A56">
        <v>4.5750000000000002</v>
      </c>
      <c r="B56">
        <f>B55+A56</f>
        <v>9.1150000000000002</v>
      </c>
      <c r="C56">
        <f t="shared" ref="C56:C58" si="24">C55</f>
        <v>1.97</v>
      </c>
      <c r="D56" s="2">
        <v>8</v>
      </c>
      <c r="E56" s="1">
        <f t="shared" si="22"/>
        <v>0.15316199999999999</v>
      </c>
      <c r="F56" s="1">
        <f t="shared" ref="F56:F58" si="25">B56*9.8</f>
        <v>89.327000000000012</v>
      </c>
      <c r="H56" s="1">
        <f t="shared" si="23"/>
        <v>583.21907522753702</v>
      </c>
      <c r="J56" s="2">
        <v>257</v>
      </c>
      <c r="T56" t="s">
        <v>31</v>
      </c>
    </row>
    <row r="57" spans="1:20" x14ac:dyDescent="0.25">
      <c r="A57">
        <v>4.6349999999999998</v>
      </c>
      <c r="B57">
        <f t="shared" ref="B57:B58" si="26">B56+A57</f>
        <v>13.75</v>
      </c>
      <c r="C57">
        <f t="shared" si="24"/>
        <v>1.97</v>
      </c>
      <c r="D57" s="2">
        <v>11.25</v>
      </c>
      <c r="E57" s="1">
        <f t="shared" si="22"/>
        <v>0.23571199999999998</v>
      </c>
      <c r="F57" s="1">
        <f t="shared" si="25"/>
        <v>134.75</v>
      </c>
      <c r="H57" s="1">
        <f t="shared" si="23"/>
        <v>571.67221015476514</v>
      </c>
      <c r="J57" s="2">
        <v>357</v>
      </c>
    </row>
    <row r="58" spans="1:20" x14ac:dyDescent="0.25">
      <c r="A58">
        <v>4.548</v>
      </c>
      <c r="B58">
        <f t="shared" si="26"/>
        <v>18.298000000000002</v>
      </c>
      <c r="C58">
        <f t="shared" si="24"/>
        <v>1.97</v>
      </c>
      <c r="D58" s="2">
        <v>14.27</v>
      </c>
      <c r="E58" s="1">
        <f t="shared" si="22"/>
        <v>0.31241999999999998</v>
      </c>
      <c r="F58" s="1">
        <f t="shared" si="25"/>
        <v>179.32040000000003</v>
      </c>
      <c r="H58" s="1">
        <f t="shared" si="23"/>
        <v>573.97221688752336</v>
      </c>
      <c r="J58" s="2">
        <v>440</v>
      </c>
    </row>
    <row r="59" spans="1:20" x14ac:dyDescent="0.25">
      <c r="G59" t="s">
        <v>19</v>
      </c>
      <c r="H59" s="1">
        <f>AVERAGE(H55:H58)</f>
        <v>581.67436902369241</v>
      </c>
    </row>
    <row r="61" spans="1:20" x14ac:dyDescent="0.25">
      <c r="A61" s="2">
        <v>10</v>
      </c>
      <c r="B61" t="s">
        <v>4</v>
      </c>
      <c r="C61" t="s">
        <v>5</v>
      </c>
      <c r="D61" t="s">
        <v>14</v>
      </c>
      <c r="E61" s="1" t="s">
        <v>7</v>
      </c>
      <c r="F61" s="1" t="s">
        <v>8</v>
      </c>
      <c r="G61" t="s">
        <v>9</v>
      </c>
      <c r="H61" s="1" t="s">
        <v>10</v>
      </c>
      <c r="J61" s="1" t="s">
        <v>18</v>
      </c>
    </row>
    <row r="62" spans="1:20" x14ac:dyDescent="0.25">
      <c r="C62" s="2">
        <v>5.5</v>
      </c>
      <c r="E62" s="1">
        <f t="shared" ref="E62:E66" si="27">(D62-C62)*$E$43</f>
        <v>-0.13969999999999999</v>
      </c>
      <c r="F62" s="1">
        <f>B62*9.8</f>
        <v>0</v>
      </c>
      <c r="H62" s="1" t="e">
        <f>F62/D62</f>
        <v>#DIV/0!</v>
      </c>
      <c r="J62" s="2">
        <v>189</v>
      </c>
    </row>
    <row r="63" spans="1:20" x14ac:dyDescent="0.25">
      <c r="A63">
        <v>4.54</v>
      </c>
      <c r="B63">
        <f>A63</f>
        <v>4.54</v>
      </c>
      <c r="C63">
        <f>C62</f>
        <v>5.5</v>
      </c>
      <c r="D63" s="2">
        <v>11.48</v>
      </c>
      <c r="E63" s="1">
        <f t="shared" si="27"/>
        <v>0.151892</v>
      </c>
      <c r="F63" s="1">
        <f>B63*9.8</f>
        <v>44.492000000000004</v>
      </c>
      <c r="H63" s="1">
        <f t="shared" ref="H63:H65" si="28">F63/E63</f>
        <v>292.91865272693758</v>
      </c>
      <c r="J63" s="2">
        <v>339</v>
      </c>
    </row>
    <row r="64" spans="1:20" x14ac:dyDescent="0.25">
      <c r="A64">
        <v>4.5750000000000002</v>
      </c>
      <c r="B64">
        <f>B63+A64</f>
        <v>9.1150000000000002</v>
      </c>
      <c r="C64">
        <f t="shared" ref="C64:C66" si="29">C63</f>
        <v>5.5</v>
      </c>
      <c r="D64" s="2">
        <v>17.18</v>
      </c>
      <c r="E64" s="1">
        <f t="shared" si="27"/>
        <v>0.29667199999999999</v>
      </c>
      <c r="F64" s="1">
        <f t="shared" ref="F64:F65" si="30">B64*9.8</f>
        <v>89.327000000000012</v>
      </c>
      <c r="H64" s="1">
        <f t="shared" si="28"/>
        <v>301.09683421421641</v>
      </c>
      <c r="J64" s="2">
        <v>529</v>
      </c>
    </row>
    <row r="65" spans="1:11" x14ac:dyDescent="0.25">
      <c r="A65">
        <v>4.6349999999999998</v>
      </c>
      <c r="B65">
        <f t="shared" ref="B65:B66" si="31">B64+A65</f>
        <v>13.75</v>
      </c>
      <c r="C65">
        <f t="shared" si="29"/>
        <v>5.5</v>
      </c>
      <c r="D65" s="2">
        <v>24</v>
      </c>
      <c r="E65" s="1">
        <f t="shared" si="27"/>
        <v>0.46989999999999998</v>
      </c>
      <c r="F65" s="1">
        <f t="shared" si="30"/>
        <v>134.75</v>
      </c>
      <c r="H65" s="1">
        <f t="shared" si="28"/>
        <v>286.76314109384975</v>
      </c>
      <c r="J65" s="2">
        <v>705</v>
      </c>
    </row>
    <row r="66" spans="1:11" x14ac:dyDescent="0.25">
      <c r="A66">
        <v>4.548</v>
      </c>
      <c r="B66">
        <f t="shared" si="31"/>
        <v>18.298000000000002</v>
      </c>
      <c r="C66">
        <f t="shared" si="29"/>
        <v>5.5</v>
      </c>
      <c r="D66" s="2">
        <v>31.2</v>
      </c>
      <c r="E66" s="1">
        <f t="shared" si="27"/>
        <v>0.65277999999999992</v>
      </c>
      <c r="F66" s="1">
        <f t="shared" ref="F66" si="32">B66*9.8</f>
        <v>179.32040000000003</v>
      </c>
      <c r="H66" s="1">
        <f t="shared" ref="H66" si="33">F66/E66</f>
        <v>274.7026563313828</v>
      </c>
      <c r="J66" s="2"/>
    </row>
    <row r="67" spans="1:11" x14ac:dyDescent="0.25">
      <c r="G67" t="s">
        <v>19</v>
      </c>
      <c r="H67" s="1">
        <f>AVERAGE(H63:H65)</f>
        <v>293.5928760116679</v>
      </c>
    </row>
    <row r="69" spans="1:11" x14ac:dyDescent="0.25">
      <c r="A69" s="2">
        <v>7</v>
      </c>
      <c r="B69" t="s">
        <v>4</v>
      </c>
      <c r="C69" t="s">
        <v>5</v>
      </c>
      <c r="D69" t="s">
        <v>14</v>
      </c>
      <c r="E69" s="1" t="s">
        <v>7</v>
      </c>
      <c r="F69" s="1" t="s">
        <v>8</v>
      </c>
      <c r="G69" t="s">
        <v>9</v>
      </c>
      <c r="H69" s="1" t="s">
        <v>10</v>
      </c>
      <c r="J69" s="1" t="s">
        <v>18</v>
      </c>
    </row>
    <row r="70" spans="1:11" x14ac:dyDescent="0.25">
      <c r="C70" s="2">
        <v>4.95</v>
      </c>
      <c r="E70" s="1">
        <f t="shared" ref="E70:E74" si="34">(D70-C70)*$E$43</f>
        <v>-0.12573000000000001</v>
      </c>
      <c r="F70" s="1">
        <f>B70*9.8</f>
        <v>0</v>
      </c>
      <c r="H70" s="1" t="e">
        <f>F70/D70</f>
        <v>#DIV/0!</v>
      </c>
      <c r="J70" s="2">
        <v>124</v>
      </c>
    </row>
    <row r="71" spans="1:11" x14ac:dyDescent="0.25">
      <c r="A71">
        <v>4.54</v>
      </c>
      <c r="B71">
        <f>A71</f>
        <v>4.54</v>
      </c>
      <c r="C71">
        <f>C70</f>
        <v>4.95</v>
      </c>
      <c r="D71" s="2">
        <v>9.48</v>
      </c>
      <c r="E71" s="1">
        <f t="shared" si="34"/>
        <v>0.115062</v>
      </c>
      <c r="F71" s="1">
        <f>B71*9.8</f>
        <v>44.492000000000004</v>
      </c>
      <c r="H71" s="1">
        <f t="shared" ref="H71:H74" si="35">F71/E71</f>
        <v>386.67848638125537</v>
      </c>
      <c r="J71" s="2">
        <v>246</v>
      </c>
    </row>
    <row r="72" spans="1:11" x14ac:dyDescent="0.25">
      <c r="A72">
        <v>4.5750000000000002</v>
      </c>
      <c r="B72">
        <f>B71+A72</f>
        <v>9.1150000000000002</v>
      </c>
      <c r="C72">
        <f t="shared" ref="C72:C74" si="36">C71</f>
        <v>4.95</v>
      </c>
      <c r="D72" s="2">
        <v>14.4</v>
      </c>
      <c r="E72" s="1">
        <f t="shared" si="34"/>
        <v>0.24002999999999997</v>
      </c>
      <c r="F72" s="1">
        <f t="shared" ref="F72:F74" si="37">B72*9.8</f>
        <v>89.327000000000012</v>
      </c>
      <c r="H72" s="1">
        <f t="shared" si="35"/>
        <v>372.14931466899981</v>
      </c>
      <c r="J72" s="2">
        <v>369</v>
      </c>
      <c r="K72">
        <v>380</v>
      </c>
    </row>
    <row r="73" spans="1:11" x14ac:dyDescent="0.25">
      <c r="A73">
        <v>4.6349999999999998</v>
      </c>
      <c r="B73">
        <f t="shared" ref="B73:B74" si="38">B72+A73</f>
        <v>13.75</v>
      </c>
      <c r="C73">
        <f t="shared" si="36"/>
        <v>4.95</v>
      </c>
      <c r="D73" s="2">
        <v>18.5</v>
      </c>
      <c r="E73" s="1">
        <f t="shared" si="34"/>
        <v>0.34417000000000003</v>
      </c>
      <c r="F73" s="1">
        <f t="shared" si="37"/>
        <v>134.75</v>
      </c>
      <c r="H73" s="1">
        <f t="shared" si="35"/>
        <v>391.52163175175053</v>
      </c>
      <c r="J73" s="2">
        <v>497</v>
      </c>
    </row>
    <row r="74" spans="1:11" x14ac:dyDescent="0.25">
      <c r="A74">
        <v>4.548</v>
      </c>
      <c r="B74">
        <f t="shared" si="38"/>
        <v>18.298000000000002</v>
      </c>
      <c r="C74">
        <f t="shared" si="36"/>
        <v>4.95</v>
      </c>
      <c r="D74" s="2">
        <v>23.1</v>
      </c>
      <c r="E74" s="1">
        <f t="shared" si="34"/>
        <v>0.46101000000000003</v>
      </c>
      <c r="F74" s="1">
        <f t="shared" si="37"/>
        <v>179.32040000000003</v>
      </c>
      <c r="H74" s="1">
        <f t="shared" si="35"/>
        <v>388.97290731220585</v>
      </c>
      <c r="J74" s="2">
        <v>633</v>
      </c>
    </row>
    <row r="75" spans="1:11" x14ac:dyDescent="0.25">
      <c r="G75" t="s">
        <v>19</v>
      </c>
      <c r="H75" s="1">
        <f>AVERAGE(H71:H74)</f>
        <v>384.83058502855283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E38" sqref="E38"/>
    </sheetView>
  </sheetViews>
  <sheetFormatPr defaultRowHeight="15" x14ac:dyDescent="0.25"/>
  <sheetData>
    <row r="2" spans="1:2" x14ac:dyDescent="0.25">
      <c r="A2" t="s">
        <v>27</v>
      </c>
      <c r="B2" t="s">
        <v>28</v>
      </c>
    </row>
    <row r="3" spans="1:2" x14ac:dyDescent="0.25">
      <c r="A3">
        <v>400</v>
      </c>
      <c r="B3">
        <v>20</v>
      </c>
    </row>
    <row r="4" spans="1:2" x14ac:dyDescent="0.25">
      <c r="A4">
        <v>600</v>
      </c>
      <c r="B4">
        <v>20</v>
      </c>
    </row>
    <row r="5" spans="1:2" x14ac:dyDescent="0.25">
      <c r="A5">
        <v>800</v>
      </c>
      <c r="B5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G4" sqref="G4"/>
    </sheetView>
  </sheetViews>
  <sheetFormatPr defaultRowHeight="15" x14ac:dyDescent="0.25"/>
  <sheetData>
    <row r="2" spans="1:13" x14ac:dyDescent="0.25">
      <c r="G2" t="s">
        <v>30</v>
      </c>
      <c r="H2" s="15">
        <v>39.370100000000001</v>
      </c>
    </row>
    <row r="7" spans="1:13" x14ac:dyDescent="0.25">
      <c r="A7" s="12" t="s">
        <v>24</v>
      </c>
      <c r="B7" s="11">
        <v>400</v>
      </c>
      <c r="C7" s="12" t="s">
        <v>17</v>
      </c>
      <c r="D7" s="11"/>
      <c r="E7" s="12"/>
      <c r="F7" s="12"/>
      <c r="G7" s="12"/>
      <c r="H7" s="12"/>
      <c r="I7" s="12"/>
      <c r="J7" s="12"/>
    </row>
    <row r="8" spans="1:13" x14ac:dyDescent="0.25">
      <c r="A8" s="13" t="s">
        <v>29</v>
      </c>
      <c r="B8" s="13" t="s">
        <v>4</v>
      </c>
      <c r="C8" s="13" t="s">
        <v>5</v>
      </c>
      <c r="D8" s="13" t="s">
        <v>14</v>
      </c>
      <c r="E8" s="14" t="s">
        <v>7</v>
      </c>
      <c r="F8" s="14" t="s">
        <v>8</v>
      </c>
      <c r="G8" s="13" t="s">
        <v>9</v>
      </c>
      <c r="H8" s="14" t="s">
        <v>10</v>
      </c>
      <c r="I8" s="14"/>
      <c r="J8" s="14" t="s">
        <v>18</v>
      </c>
    </row>
    <row r="9" spans="1:13" x14ac:dyDescent="0.25">
      <c r="C9" s="2">
        <v>7.9</v>
      </c>
      <c r="E9" s="1"/>
      <c r="F9" s="1"/>
      <c r="H9" s="1"/>
      <c r="J9" s="16"/>
      <c r="L9" t="s">
        <v>17</v>
      </c>
      <c r="M9" t="s">
        <v>32</v>
      </c>
    </row>
    <row r="10" spans="1:13" x14ac:dyDescent="0.25">
      <c r="A10">
        <v>4.54</v>
      </c>
      <c r="B10">
        <f>A10</f>
        <v>4.54</v>
      </c>
      <c r="C10">
        <f>C9</f>
        <v>7.9</v>
      </c>
      <c r="D10" s="2">
        <f>inchtometers*E10</f>
        <v>4.3791362230000006</v>
      </c>
      <c r="E10" s="1">
        <f>F10/$B$7</f>
        <v>0.11123000000000001</v>
      </c>
      <c r="F10" s="1">
        <f>B10*9.8</f>
        <v>44.492000000000004</v>
      </c>
      <c r="H10" s="1">
        <f t="shared" ref="H10:H13" si="0">F10/E10</f>
        <v>400</v>
      </c>
      <c r="J10" s="16"/>
      <c r="K10">
        <f>$C$9+D10</f>
        <v>12.279136223000002</v>
      </c>
      <c r="L10">
        <v>56</v>
      </c>
    </row>
    <row r="11" spans="1:13" x14ac:dyDescent="0.25">
      <c r="A11">
        <v>4.5750000000000002</v>
      </c>
      <c r="B11">
        <f>B10+A11</f>
        <v>9.1150000000000002</v>
      </c>
      <c r="C11">
        <f t="shared" ref="C11:C13" si="1">C10</f>
        <v>7.9</v>
      </c>
      <c r="D11" s="2">
        <f>inchtometers*E11</f>
        <v>8.7920323067500021</v>
      </c>
      <c r="E11" s="1">
        <f t="shared" ref="E11:E13" si="2">F11/$B$7</f>
        <v>0.22331750000000003</v>
      </c>
      <c r="F11" s="1">
        <f t="shared" ref="F11:F13" si="3">B11*9.8</f>
        <v>89.327000000000012</v>
      </c>
      <c r="H11" s="1">
        <f t="shared" si="0"/>
        <v>400</v>
      </c>
      <c r="J11" s="16"/>
      <c r="K11">
        <f t="shared" ref="K11:K13" si="4">$C$9+D11</f>
        <v>16.692032306750001</v>
      </c>
      <c r="L11">
        <v>58</v>
      </c>
      <c r="M11">
        <v>-0.81599999999999995</v>
      </c>
    </row>
    <row r="12" spans="1:13" x14ac:dyDescent="0.25">
      <c r="A12">
        <v>4.6349999999999998</v>
      </c>
      <c r="B12">
        <f t="shared" ref="B12:B13" si="5">B11+A12</f>
        <v>13.75</v>
      </c>
      <c r="C12">
        <f t="shared" si="1"/>
        <v>7.9</v>
      </c>
      <c r="D12" s="2">
        <f>inchtometers*E12</f>
        <v>13.2628024375</v>
      </c>
      <c r="E12" s="1">
        <f t="shared" si="2"/>
        <v>0.33687499999999998</v>
      </c>
      <c r="F12" s="1">
        <f t="shared" si="3"/>
        <v>134.75</v>
      </c>
      <c r="H12" s="1">
        <f t="shared" si="0"/>
        <v>400</v>
      </c>
      <c r="J12" s="16"/>
      <c r="K12">
        <f t="shared" si="4"/>
        <v>21.162802437499998</v>
      </c>
      <c r="L12">
        <v>65</v>
      </c>
    </row>
    <row r="13" spans="1:13" x14ac:dyDescent="0.25">
      <c r="A13">
        <v>4.54</v>
      </c>
      <c r="B13">
        <f t="shared" si="5"/>
        <v>18.29</v>
      </c>
      <c r="C13">
        <f t="shared" si="1"/>
        <v>7.9</v>
      </c>
      <c r="D13" s="2">
        <f>inchtometers*E13</f>
        <v>17.641938660500003</v>
      </c>
      <c r="E13" s="1">
        <f t="shared" si="2"/>
        <v>0.44810500000000003</v>
      </c>
      <c r="F13" s="1">
        <f t="shared" si="3"/>
        <v>179.24200000000002</v>
      </c>
      <c r="H13" s="1">
        <f t="shared" si="0"/>
        <v>400</v>
      </c>
      <c r="J13" s="16"/>
      <c r="K13">
        <f t="shared" si="4"/>
        <v>25.541938660500001</v>
      </c>
      <c r="L13">
        <v>65</v>
      </c>
    </row>
    <row r="14" spans="1:13" x14ac:dyDescent="0.25">
      <c r="G14" t="s">
        <v>19</v>
      </c>
      <c r="H14" s="1">
        <f>AVERAGE(H10:H13)</f>
        <v>400</v>
      </c>
      <c r="J14" s="1"/>
    </row>
    <row r="16" spans="1:13" x14ac:dyDescent="0.25">
      <c r="A16" s="12" t="s">
        <v>24</v>
      </c>
      <c r="B16" s="11">
        <v>600</v>
      </c>
      <c r="C16" s="12" t="s">
        <v>17</v>
      </c>
      <c r="D16" s="11"/>
      <c r="E16" s="12"/>
      <c r="F16" s="12"/>
      <c r="G16" s="12"/>
      <c r="H16" s="12"/>
      <c r="I16" s="12"/>
      <c r="J16" s="12"/>
    </row>
    <row r="17" spans="1:13" x14ac:dyDescent="0.25">
      <c r="A17" s="13" t="s">
        <v>29</v>
      </c>
      <c r="B17" s="13" t="s">
        <v>4</v>
      </c>
      <c r="C17" s="13" t="s">
        <v>5</v>
      </c>
      <c r="D17" s="13" t="s">
        <v>14</v>
      </c>
      <c r="E17" s="14" t="s">
        <v>7</v>
      </c>
      <c r="F17" s="14" t="s">
        <v>8</v>
      </c>
      <c r="G17" s="13" t="s">
        <v>9</v>
      </c>
      <c r="H17" s="14" t="s">
        <v>10</v>
      </c>
      <c r="I17" s="14"/>
      <c r="J17" s="14" t="s">
        <v>18</v>
      </c>
    </row>
    <row r="18" spans="1:13" x14ac:dyDescent="0.25">
      <c r="C18" s="2">
        <v>2.59</v>
      </c>
      <c r="E18" s="1"/>
      <c r="F18" s="1"/>
      <c r="H18" s="1"/>
      <c r="J18" s="16"/>
    </row>
    <row r="19" spans="1:13" x14ac:dyDescent="0.25">
      <c r="A19">
        <v>4.54</v>
      </c>
      <c r="B19">
        <f>A19</f>
        <v>4.54</v>
      </c>
      <c r="C19">
        <f>C18</f>
        <v>2.59</v>
      </c>
      <c r="D19" s="2">
        <f>inchtometers*E19</f>
        <v>2.9194241486666668</v>
      </c>
      <c r="E19" s="1">
        <f>F19/$B$16</f>
        <v>7.4153333333333335E-2</v>
      </c>
      <c r="F19" s="1">
        <f>B19*9.8</f>
        <v>44.492000000000004</v>
      </c>
      <c r="H19" s="1">
        <f t="shared" ref="H19:H22" si="6">F19/E19</f>
        <v>600</v>
      </c>
      <c r="J19" s="16"/>
      <c r="K19">
        <f>$C$18+D19</f>
        <v>5.5094241486666666</v>
      </c>
      <c r="M19">
        <v>5.5</v>
      </c>
    </row>
    <row r="20" spans="1:13" x14ac:dyDescent="0.25">
      <c r="A20">
        <v>4.5750000000000002</v>
      </c>
      <c r="B20">
        <f>B19+A20</f>
        <v>9.1150000000000002</v>
      </c>
      <c r="C20">
        <f t="shared" ref="C20:C22" si="7">C19</f>
        <v>2.59</v>
      </c>
      <c r="D20" s="2">
        <f>inchtometers*E20</f>
        <v>5.8613548711666681</v>
      </c>
      <c r="E20" s="1">
        <f t="shared" ref="E20:E22" si="8">F20/$B$16</f>
        <v>0.14887833333333336</v>
      </c>
      <c r="F20" s="1">
        <f t="shared" ref="F20:F22" si="9">B20*9.8</f>
        <v>89.327000000000012</v>
      </c>
      <c r="H20" s="1">
        <f t="shared" si="6"/>
        <v>600</v>
      </c>
      <c r="J20" s="16"/>
      <c r="K20">
        <f t="shared" ref="K20:K22" si="10">$C$18+D20</f>
        <v>8.4513548711666679</v>
      </c>
    </row>
    <row r="21" spans="1:13" x14ac:dyDescent="0.25">
      <c r="A21">
        <v>4.6349999999999998</v>
      </c>
      <c r="B21">
        <f t="shared" ref="B21:B22" si="11">B20+A21</f>
        <v>13.75</v>
      </c>
      <c r="C21">
        <f t="shared" si="7"/>
        <v>2.59</v>
      </c>
      <c r="D21" s="2">
        <f>inchtometers*E21</f>
        <v>8.8418682916666675</v>
      </c>
      <c r="E21" s="1">
        <f t="shared" si="8"/>
        <v>0.22458333333333333</v>
      </c>
      <c r="F21" s="1">
        <f t="shared" si="9"/>
        <v>134.75</v>
      </c>
      <c r="H21" s="1">
        <f t="shared" si="6"/>
        <v>600</v>
      </c>
      <c r="J21" s="16"/>
      <c r="K21">
        <f t="shared" si="10"/>
        <v>11.431868291666667</v>
      </c>
    </row>
    <row r="22" spans="1:13" x14ac:dyDescent="0.25">
      <c r="A22">
        <v>4.54</v>
      </c>
      <c r="B22">
        <f t="shared" si="11"/>
        <v>18.29</v>
      </c>
      <c r="C22">
        <f t="shared" si="7"/>
        <v>2.59</v>
      </c>
      <c r="D22" s="2">
        <f>inchtometers*E22</f>
        <v>11.761292440333335</v>
      </c>
      <c r="E22" s="1">
        <f t="shared" si="8"/>
        <v>0.29873666666666671</v>
      </c>
      <c r="F22" s="1">
        <f t="shared" si="9"/>
        <v>179.24200000000002</v>
      </c>
      <c r="H22" s="1">
        <f t="shared" si="6"/>
        <v>600</v>
      </c>
      <c r="J22" s="16"/>
      <c r="K22">
        <f t="shared" si="10"/>
        <v>14.351292440333335</v>
      </c>
    </row>
    <row r="23" spans="1:13" x14ac:dyDescent="0.25">
      <c r="G23" t="s">
        <v>19</v>
      </c>
      <c r="H23" s="1">
        <f>AVERAGE(H19:H22)</f>
        <v>600</v>
      </c>
      <c r="J23" s="1"/>
    </row>
    <row r="25" spans="1:13" x14ac:dyDescent="0.25">
      <c r="A25" s="12" t="s">
        <v>24</v>
      </c>
      <c r="B25" s="11">
        <v>800</v>
      </c>
      <c r="C25" s="12" t="s">
        <v>17</v>
      </c>
      <c r="D25" s="11"/>
      <c r="E25" s="12"/>
      <c r="F25" s="12"/>
      <c r="G25" s="12"/>
      <c r="H25" s="12"/>
      <c r="I25" s="12"/>
      <c r="J25" s="12"/>
    </row>
    <row r="26" spans="1:13" x14ac:dyDescent="0.25">
      <c r="A26" s="13" t="s">
        <v>29</v>
      </c>
      <c r="B26" s="13" t="s">
        <v>4</v>
      </c>
      <c r="C26" s="13" t="s">
        <v>5</v>
      </c>
      <c r="D26" s="13" t="s">
        <v>14</v>
      </c>
      <c r="E26" s="14" t="s">
        <v>7</v>
      </c>
      <c r="F26" s="14" t="s">
        <v>8</v>
      </c>
      <c r="G26" s="13" t="s">
        <v>9</v>
      </c>
      <c r="H26" s="14" t="s">
        <v>10</v>
      </c>
      <c r="I26" s="14"/>
      <c r="J26" s="14" t="s">
        <v>18</v>
      </c>
    </row>
    <row r="27" spans="1:13" x14ac:dyDescent="0.25">
      <c r="C27" s="2">
        <v>7.9</v>
      </c>
      <c r="E27" s="1"/>
      <c r="F27" s="1"/>
      <c r="H27" s="1"/>
      <c r="J27" s="16"/>
    </row>
    <row r="28" spans="1:13" x14ac:dyDescent="0.25">
      <c r="A28">
        <v>4.54</v>
      </c>
      <c r="B28">
        <f>A28</f>
        <v>4.54</v>
      </c>
      <c r="C28">
        <f>C27</f>
        <v>7.9</v>
      </c>
      <c r="D28" s="2">
        <f>inchtometers*E28</f>
        <v>2.1895681115000003</v>
      </c>
      <c r="E28" s="1">
        <f>F28/$B$25</f>
        <v>5.5615000000000005E-2</v>
      </c>
      <c r="F28" s="1">
        <f>B28*9.8</f>
        <v>44.492000000000004</v>
      </c>
      <c r="H28" s="1">
        <f t="shared" ref="H28:H31" si="12">F28/E28</f>
        <v>800</v>
      </c>
      <c r="J28" s="16"/>
    </row>
    <row r="29" spans="1:13" x14ac:dyDescent="0.25">
      <c r="A29">
        <v>4.5750000000000002</v>
      </c>
      <c r="B29">
        <f>B28+A29</f>
        <v>9.1150000000000002</v>
      </c>
      <c r="C29">
        <f t="shared" ref="C29:C31" si="13">C28</f>
        <v>7.9</v>
      </c>
      <c r="D29" s="2">
        <f>inchtometers*E29</f>
        <v>4.3960161533750011</v>
      </c>
      <c r="E29" s="1">
        <f t="shared" ref="E29:E31" si="14">F29/$B$25</f>
        <v>0.11165875000000001</v>
      </c>
      <c r="F29" s="1">
        <f t="shared" ref="F29:F31" si="15">B29*9.8</f>
        <v>89.327000000000012</v>
      </c>
      <c r="H29" s="1">
        <f t="shared" si="12"/>
        <v>800</v>
      </c>
      <c r="J29" s="16"/>
    </row>
    <row r="30" spans="1:13" x14ac:dyDescent="0.25">
      <c r="A30">
        <v>4.6349999999999998</v>
      </c>
      <c r="B30">
        <f t="shared" ref="B30:B31" si="16">B29+A30</f>
        <v>13.75</v>
      </c>
      <c r="C30">
        <f t="shared" si="13"/>
        <v>7.9</v>
      </c>
      <c r="D30" s="2">
        <f>inchtometers*E30</f>
        <v>6.6314012187499998</v>
      </c>
      <c r="E30" s="1">
        <f t="shared" si="14"/>
        <v>0.16843749999999999</v>
      </c>
      <c r="F30" s="1">
        <f t="shared" si="15"/>
        <v>134.75</v>
      </c>
      <c r="H30" s="1">
        <f t="shared" si="12"/>
        <v>800</v>
      </c>
      <c r="J30" s="16"/>
    </row>
    <row r="31" spans="1:13" x14ac:dyDescent="0.25">
      <c r="A31">
        <v>4.54</v>
      </c>
      <c r="B31">
        <f t="shared" si="16"/>
        <v>18.29</v>
      </c>
      <c r="C31">
        <f t="shared" si="13"/>
        <v>7.9</v>
      </c>
      <c r="D31" s="2">
        <f>inchtometers*E31</f>
        <v>8.8209693302500014</v>
      </c>
      <c r="E31" s="1">
        <f t="shared" si="14"/>
        <v>0.22405250000000002</v>
      </c>
      <c r="F31" s="1">
        <f t="shared" si="15"/>
        <v>179.24200000000002</v>
      </c>
      <c r="H31" s="1">
        <f t="shared" si="12"/>
        <v>800</v>
      </c>
      <c r="J31" s="16"/>
    </row>
    <row r="32" spans="1:13" x14ac:dyDescent="0.25">
      <c r="G32" t="s">
        <v>19</v>
      </c>
      <c r="H32" s="1">
        <f>AVERAGE(H28:H31)</f>
        <v>800</v>
      </c>
      <c r="J3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3"/>
  <sheetViews>
    <sheetView tabSelected="1" topLeftCell="A52" workbookViewId="0">
      <selection activeCell="G55" sqref="G55"/>
    </sheetView>
  </sheetViews>
  <sheetFormatPr defaultRowHeight="15" x14ac:dyDescent="0.25"/>
  <sheetData>
    <row r="2" spans="2:11" x14ac:dyDescent="0.25">
      <c r="E2" t="s">
        <v>30</v>
      </c>
      <c r="F2" s="15">
        <v>39.370100000000001</v>
      </c>
    </row>
    <row r="4" spans="2:11" ht="15.75" thickBot="1" x14ac:dyDescent="0.3"/>
    <row r="5" spans="2:11" x14ac:dyDescent="0.25">
      <c r="B5" s="17" t="s">
        <v>17</v>
      </c>
      <c r="C5" s="11">
        <v>5</v>
      </c>
      <c r="D5" s="18" t="s">
        <v>24</v>
      </c>
      <c r="E5" s="11"/>
      <c r="F5" s="18"/>
      <c r="G5" s="18"/>
      <c r="H5" s="18"/>
      <c r="I5" s="18"/>
      <c r="J5" s="18"/>
      <c r="K5" s="19"/>
    </row>
    <row r="6" spans="2:11" x14ac:dyDescent="0.25">
      <c r="B6" s="20"/>
      <c r="C6" s="25" t="s">
        <v>4</v>
      </c>
      <c r="D6" s="25" t="s">
        <v>5</v>
      </c>
      <c r="E6" s="25" t="s">
        <v>14</v>
      </c>
      <c r="F6" s="25" t="s">
        <v>7</v>
      </c>
      <c r="G6" s="25" t="s">
        <v>8</v>
      </c>
      <c r="H6" s="25" t="s">
        <v>9</v>
      </c>
      <c r="I6" s="25" t="s">
        <v>10</v>
      </c>
      <c r="J6" s="25"/>
      <c r="K6" s="26" t="s">
        <v>18</v>
      </c>
    </row>
    <row r="7" spans="2:11" x14ac:dyDescent="0.25">
      <c r="B7" s="22"/>
      <c r="C7" s="23"/>
      <c r="D7" s="28">
        <v>2.27</v>
      </c>
      <c r="E7" s="23"/>
      <c r="F7" s="21"/>
      <c r="G7" s="21"/>
      <c r="H7" s="21"/>
      <c r="I7" s="21"/>
      <c r="J7" s="23"/>
      <c r="K7" s="27">
        <v>10</v>
      </c>
    </row>
    <row r="8" spans="2:11" x14ac:dyDescent="0.25">
      <c r="B8" s="22">
        <v>4.54</v>
      </c>
      <c r="C8" s="23">
        <f>B8</f>
        <v>4.54</v>
      </c>
      <c r="D8" s="23">
        <f>D7</f>
        <v>2.27</v>
      </c>
      <c r="E8" s="28">
        <v>2.6259999999999999</v>
      </c>
      <c r="F8" s="21">
        <f>(E8-D8)/$F$2</f>
        <v>9.0423951171066334E-3</v>
      </c>
      <c r="G8" s="21">
        <f>C8*9.8</f>
        <v>44.492000000000004</v>
      </c>
      <c r="H8" s="23"/>
      <c r="I8" s="21">
        <f t="shared" ref="I8:I11" si="0">G8/F8</f>
        <v>4920.3777786516875</v>
      </c>
      <c r="J8" s="23"/>
      <c r="K8" s="27"/>
    </row>
    <row r="9" spans="2:11" x14ac:dyDescent="0.25">
      <c r="B9" s="22">
        <v>4.5750000000000002</v>
      </c>
      <c r="C9" s="23">
        <f>C8+B9</f>
        <v>9.1150000000000002</v>
      </c>
      <c r="D9" s="23">
        <f t="shared" ref="D9:D11" si="1">D8</f>
        <v>2.27</v>
      </c>
      <c r="E9" s="28">
        <v>3</v>
      </c>
      <c r="F9" s="21">
        <f t="shared" ref="F9:F11" si="2">(E9-D9)/$F$2</f>
        <v>1.8541989987325407E-2</v>
      </c>
      <c r="G9" s="21">
        <f t="shared" ref="G9:G11" si="3">C9*9.8</f>
        <v>89.327000000000012</v>
      </c>
      <c r="H9" s="23"/>
      <c r="I9" s="21">
        <f t="shared" si="0"/>
        <v>4817.5519489041098</v>
      </c>
      <c r="J9" s="23"/>
      <c r="K9" s="27"/>
    </row>
    <row r="10" spans="2:11" x14ac:dyDescent="0.25">
      <c r="B10" s="22">
        <v>4.6349999999999998</v>
      </c>
      <c r="C10" s="23">
        <f t="shared" ref="C10:C11" si="4">C9+B10</f>
        <v>13.75</v>
      </c>
      <c r="D10" s="23">
        <f t="shared" si="1"/>
        <v>2.27</v>
      </c>
      <c r="E10" s="28">
        <v>3.3</v>
      </c>
      <c r="F10" s="21">
        <f t="shared" si="2"/>
        <v>2.6161985872527622E-2</v>
      </c>
      <c r="G10" s="21">
        <f t="shared" si="3"/>
        <v>134.75</v>
      </c>
      <c r="H10" s="23"/>
      <c r="I10" s="21">
        <f t="shared" si="0"/>
        <v>5150.6028883495155</v>
      </c>
      <c r="J10" s="23"/>
      <c r="K10" s="27"/>
    </row>
    <row r="11" spans="2:11" x14ac:dyDescent="0.25">
      <c r="B11" s="22">
        <v>4.54</v>
      </c>
      <c r="C11" s="23">
        <f t="shared" si="4"/>
        <v>18.29</v>
      </c>
      <c r="D11" s="23">
        <f t="shared" si="1"/>
        <v>2.27</v>
      </c>
      <c r="E11" s="28">
        <v>3.7290000000000001</v>
      </c>
      <c r="F11" s="21">
        <f t="shared" si="2"/>
        <v>3.7058579988366806E-2</v>
      </c>
      <c r="G11" s="21">
        <f t="shared" si="3"/>
        <v>179.24200000000002</v>
      </c>
      <c r="H11" s="23"/>
      <c r="I11" s="21">
        <f t="shared" si="0"/>
        <v>4836.7206745716248</v>
      </c>
      <c r="J11" s="23"/>
      <c r="K11" s="27"/>
    </row>
    <row r="12" spans="2:11" ht="15.75" thickBot="1" x14ac:dyDescent="0.3">
      <c r="B12" s="8"/>
      <c r="C12" s="9"/>
      <c r="D12" s="9"/>
      <c r="E12" s="9"/>
      <c r="F12" s="9"/>
      <c r="G12" s="9"/>
      <c r="H12" s="9" t="s">
        <v>33</v>
      </c>
      <c r="I12" s="29">
        <f>MEDIAN(I8:I10)</f>
        <v>4920.3777786516875</v>
      </c>
      <c r="J12" s="9"/>
      <c r="K12" s="24"/>
    </row>
    <row r="15" spans="2:11" ht="15.75" thickBot="1" x14ac:dyDescent="0.3"/>
    <row r="16" spans="2:11" x14ac:dyDescent="0.25">
      <c r="B16" s="17" t="s">
        <v>17</v>
      </c>
      <c r="C16" s="11">
        <v>10</v>
      </c>
      <c r="D16" s="18" t="s">
        <v>24</v>
      </c>
      <c r="E16" s="11"/>
      <c r="F16" s="18"/>
      <c r="G16" s="18"/>
      <c r="H16" s="18"/>
      <c r="I16" s="18"/>
      <c r="J16" s="18"/>
      <c r="K16" s="19"/>
    </row>
    <row r="17" spans="2:11" x14ac:dyDescent="0.25">
      <c r="B17" s="20"/>
      <c r="C17" s="25" t="s">
        <v>4</v>
      </c>
      <c r="D17" s="25" t="s">
        <v>5</v>
      </c>
      <c r="E17" s="25" t="s">
        <v>14</v>
      </c>
      <c r="F17" s="25" t="s">
        <v>7</v>
      </c>
      <c r="G17" s="25" t="s">
        <v>8</v>
      </c>
      <c r="H17" s="25" t="s">
        <v>9</v>
      </c>
      <c r="I17" s="25" t="s">
        <v>10</v>
      </c>
      <c r="J17" s="25"/>
      <c r="K17" s="26" t="s">
        <v>18</v>
      </c>
    </row>
    <row r="18" spans="2:11" x14ac:dyDescent="0.25">
      <c r="B18" s="22"/>
      <c r="C18" s="23"/>
      <c r="D18" s="28">
        <v>2.625</v>
      </c>
      <c r="E18" s="23"/>
      <c r="F18" s="21"/>
      <c r="G18" s="21"/>
      <c r="H18" s="21"/>
      <c r="I18" s="21"/>
      <c r="J18" s="23"/>
      <c r="K18" s="27"/>
    </row>
    <row r="19" spans="2:11" x14ac:dyDescent="0.25">
      <c r="B19" s="22">
        <v>4.54</v>
      </c>
      <c r="C19" s="23">
        <f>B19</f>
        <v>4.54</v>
      </c>
      <c r="D19" s="23">
        <f>D18</f>
        <v>2.625</v>
      </c>
      <c r="E19" s="28">
        <v>3.25</v>
      </c>
      <c r="F19" s="21">
        <f>(E19-D19)/$F$2</f>
        <v>1.587499142750463E-2</v>
      </c>
      <c r="G19" s="21">
        <f>C19*9.8</f>
        <v>44.492000000000004</v>
      </c>
      <c r="H19" s="23"/>
      <c r="I19" s="21">
        <f t="shared" ref="I19:I22" si="5">G19/F19</f>
        <v>2802.6471827200003</v>
      </c>
      <c r="J19" s="23"/>
      <c r="K19" s="27"/>
    </row>
    <row r="20" spans="2:11" x14ac:dyDescent="0.25">
      <c r="B20" s="22">
        <v>4.5750000000000002</v>
      </c>
      <c r="C20" s="23">
        <f>C19+B20</f>
        <v>9.1150000000000002</v>
      </c>
      <c r="D20" s="23">
        <f t="shared" ref="D20:D22" si="6">D19</f>
        <v>2.625</v>
      </c>
      <c r="E20" s="28">
        <v>3.7250000000000001</v>
      </c>
      <c r="F20" s="21">
        <f t="shared" ref="F20:F22" si="7">(E20-D20)/$F$2</f>
        <v>2.793998491240815E-2</v>
      </c>
      <c r="G20" s="21">
        <f t="shared" ref="G20:G22" si="8">C20*9.8</f>
        <v>89.327000000000012</v>
      </c>
      <c r="H20" s="23"/>
      <c r="I20" s="21">
        <f t="shared" si="5"/>
        <v>3197.1026569999999</v>
      </c>
      <c r="J20" s="23"/>
      <c r="K20" s="27"/>
    </row>
    <row r="21" spans="2:11" x14ac:dyDescent="0.25">
      <c r="B21" s="22">
        <v>4.6349999999999998</v>
      </c>
      <c r="C21" s="23">
        <f t="shared" ref="C21:C22" si="9">C20+B21</f>
        <v>13.75</v>
      </c>
      <c r="D21" s="23">
        <f t="shared" si="6"/>
        <v>2.625</v>
      </c>
      <c r="E21" s="28">
        <v>4.51</v>
      </c>
      <c r="F21" s="21">
        <f t="shared" si="7"/>
        <v>4.7878974145353956E-2</v>
      </c>
      <c r="G21" s="21">
        <f t="shared" si="8"/>
        <v>134.75</v>
      </c>
      <c r="H21" s="23"/>
      <c r="I21" s="21">
        <f t="shared" si="5"/>
        <v>2814.3877851458888</v>
      </c>
      <c r="J21" s="23"/>
      <c r="K21" s="27"/>
    </row>
    <row r="22" spans="2:11" x14ac:dyDescent="0.25">
      <c r="B22" s="22">
        <v>4.54</v>
      </c>
      <c r="C22" s="23">
        <f t="shared" si="9"/>
        <v>18.29</v>
      </c>
      <c r="D22" s="23">
        <f t="shared" si="6"/>
        <v>2.625</v>
      </c>
      <c r="E22" s="28">
        <v>5.14</v>
      </c>
      <c r="F22" s="21">
        <f t="shared" si="7"/>
        <v>6.3880965504278617E-2</v>
      </c>
      <c r="G22" s="21">
        <f t="shared" si="8"/>
        <v>179.24200000000002</v>
      </c>
      <c r="H22" s="23"/>
      <c r="I22" s="21">
        <f t="shared" si="5"/>
        <v>2805.8749360636189</v>
      </c>
      <c r="J22" s="23"/>
      <c r="K22" s="27"/>
    </row>
    <row r="23" spans="2:11" ht="15.75" thickBot="1" x14ac:dyDescent="0.3">
      <c r="B23" s="8"/>
      <c r="C23" s="9"/>
      <c r="D23" s="9"/>
      <c r="E23" s="9"/>
      <c r="F23" s="9"/>
      <c r="G23" s="9"/>
      <c r="H23" s="9" t="s">
        <v>33</v>
      </c>
      <c r="I23" s="29">
        <f>MEDIAN(I19:I21)</f>
        <v>2814.3877851458888</v>
      </c>
      <c r="J23" s="9"/>
      <c r="K23" s="24"/>
    </row>
    <row r="26" spans="2:11" ht="15.75" thickBot="1" x14ac:dyDescent="0.3"/>
    <row r="27" spans="2:11" x14ac:dyDescent="0.25">
      <c r="B27" s="17" t="s">
        <v>17</v>
      </c>
      <c r="C27" s="11">
        <v>15</v>
      </c>
      <c r="D27" s="18" t="s">
        <v>24</v>
      </c>
      <c r="E27" s="11"/>
      <c r="F27" s="18"/>
      <c r="G27" s="18"/>
      <c r="H27" s="18"/>
      <c r="I27" s="18"/>
      <c r="J27" s="18"/>
      <c r="K27" s="19"/>
    </row>
    <row r="28" spans="2:11" x14ac:dyDescent="0.25">
      <c r="B28" s="20"/>
      <c r="C28" s="25" t="s">
        <v>4</v>
      </c>
      <c r="D28" s="25" t="s">
        <v>5</v>
      </c>
      <c r="E28" s="25" t="s">
        <v>14</v>
      </c>
      <c r="F28" s="25" t="s">
        <v>7</v>
      </c>
      <c r="G28" s="25" t="s">
        <v>8</v>
      </c>
      <c r="H28" s="25" t="s">
        <v>9</v>
      </c>
      <c r="I28" s="25" t="s">
        <v>10</v>
      </c>
      <c r="J28" s="25"/>
      <c r="K28" s="26" t="s">
        <v>18</v>
      </c>
    </row>
    <row r="29" spans="2:11" x14ac:dyDescent="0.25">
      <c r="B29" s="22"/>
      <c r="C29" s="23"/>
      <c r="D29" s="28">
        <v>2.8</v>
      </c>
      <c r="E29" s="23"/>
      <c r="F29" s="21"/>
      <c r="G29" s="21"/>
      <c r="H29" s="21"/>
      <c r="I29" s="21"/>
      <c r="J29" s="23"/>
      <c r="K29" s="27">
        <v>-19</v>
      </c>
    </row>
    <row r="30" spans="2:11" x14ac:dyDescent="0.25">
      <c r="B30" s="22">
        <v>4.54</v>
      </c>
      <c r="C30" s="23">
        <f>B30</f>
        <v>4.54</v>
      </c>
      <c r="D30" s="23">
        <f>D29</f>
        <v>2.8</v>
      </c>
      <c r="E30" s="28">
        <v>3.9750000000000001</v>
      </c>
      <c r="F30" s="21">
        <f>(E30-D30)/$F$2</f>
        <v>2.9844983883708709E-2</v>
      </c>
      <c r="G30" s="21">
        <f>C30*9.8</f>
        <v>44.492000000000004</v>
      </c>
      <c r="H30" s="23"/>
      <c r="I30" s="21">
        <f t="shared" ref="I30:I33" si="10">G30/F30</f>
        <v>1490.7697780425531</v>
      </c>
      <c r="J30" s="23"/>
      <c r="K30" s="27"/>
    </row>
    <row r="31" spans="2:11" x14ac:dyDescent="0.25">
      <c r="B31" s="22">
        <v>4.5750000000000002</v>
      </c>
      <c r="C31" s="23">
        <f>C30+B31</f>
        <v>9.1150000000000002</v>
      </c>
      <c r="D31" s="23">
        <f t="shared" ref="D31:D33" si="11">D30</f>
        <v>2.8</v>
      </c>
      <c r="E31" s="28">
        <v>4.7249999999999996</v>
      </c>
      <c r="F31" s="21">
        <f t="shared" ref="F31:F33" si="12">(E31-D31)/$F$2</f>
        <v>4.8894973596714256E-2</v>
      </c>
      <c r="G31" s="21">
        <f t="shared" ref="G31:G33" si="13">C31*9.8</f>
        <v>89.327000000000012</v>
      </c>
      <c r="H31" s="23"/>
      <c r="I31" s="21">
        <f t="shared" si="10"/>
        <v>1826.9158040000004</v>
      </c>
      <c r="J31" s="23"/>
      <c r="K31" s="27"/>
    </row>
    <row r="32" spans="2:11" x14ac:dyDescent="0.25">
      <c r="B32" s="22">
        <v>4.6349999999999998</v>
      </c>
      <c r="C32" s="23">
        <f t="shared" ref="C32:C33" si="14">C31+B32</f>
        <v>13.75</v>
      </c>
      <c r="D32" s="23">
        <f t="shared" si="11"/>
        <v>2.8</v>
      </c>
      <c r="E32" s="28">
        <v>5.7</v>
      </c>
      <c r="F32" s="21">
        <f t="shared" si="12"/>
        <v>7.3659960223621493E-2</v>
      </c>
      <c r="G32" s="21">
        <f t="shared" si="13"/>
        <v>134.75</v>
      </c>
      <c r="H32" s="23"/>
      <c r="I32" s="21">
        <f t="shared" si="10"/>
        <v>1829.3520603448274</v>
      </c>
      <c r="J32" s="23"/>
      <c r="K32" s="27"/>
    </row>
    <row r="33" spans="2:13" x14ac:dyDescent="0.25">
      <c r="B33" s="22">
        <v>4.54</v>
      </c>
      <c r="C33" s="23">
        <f t="shared" si="14"/>
        <v>18.29</v>
      </c>
      <c r="D33" s="23">
        <f t="shared" si="11"/>
        <v>2.8</v>
      </c>
      <c r="E33" s="28">
        <v>6.7</v>
      </c>
      <c r="F33" s="21">
        <f t="shared" si="12"/>
        <v>9.9059946507628893E-2</v>
      </c>
      <c r="G33" s="21">
        <f t="shared" si="13"/>
        <v>179.24200000000002</v>
      </c>
      <c r="H33" s="23"/>
      <c r="I33" s="21">
        <f t="shared" si="10"/>
        <v>1809.4296062051283</v>
      </c>
      <c r="J33" s="23"/>
      <c r="K33" s="27"/>
    </row>
    <row r="34" spans="2:13" ht="15.75" thickBot="1" x14ac:dyDescent="0.3">
      <c r="B34" s="8"/>
      <c r="C34" s="9"/>
      <c r="D34" s="9"/>
      <c r="E34" s="9"/>
      <c r="F34" s="9"/>
      <c r="G34" s="9"/>
      <c r="H34" s="9" t="s">
        <v>33</v>
      </c>
      <c r="I34" s="29">
        <f>MEDIAN(I30:I32)</f>
        <v>1826.9158040000004</v>
      </c>
      <c r="J34" s="9"/>
      <c r="K34" s="24"/>
    </row>
    <row r="36" spans="2:13" ht="15.75" thickBot="1" x14ac:dyDescent="0.3"/>
    <row r="37" spans="2:13" x14ac:dyDescent="0.25">
      <c r="B37" s="17" t="s">
        <v>17</v>
      </c>
      <c r="C37" s="11">
        <v>20</v>
      </c>
      <c r="D37" s="18" t="s">
        <v>24</v>
      </c>
      <c r="E37" s="11"/>
      <c r="F37" s="18"/>
      <c r="G37" s="18"/>
      <c r="H37" s="18"/>
      <c r="I37" s="18"/>
      <c r="J37" s="18"/>
      <c r="K37" s="19"/>
    </row>
    <row r="38" spans="2:13" x14ac:dyDescent="0.25">
      <c r="B38" s="20"/>
      <c r="C38" s="25" t="s">
        <v>4</v>
      </c>
      <c r="D38" s="25" t="s">
        <v>5</v>
      </c>
      <c r="E38" s="25" t="s">
        <v>14</v>
      </c>
      <c r="F38" s="25" t="s">
        <v>7</v>
      </c>
      <c r="G38" s="25" t="s">
        <v>8</v>
      </c>
      <c r="H38" s="25" t="s">
        <v>9</v>
      </c>
      <c r="I38" s="25" t="s">
        <v>10</v>
      </c>
      <c r="J38" s="25"/>
      <c r="K38" s="26" t="s">
        <v>18</v>
      </c>
    </row>
    <row r="39" spans="2:13" x14ac:dyDescent="0.25">
      <c r="B39" s="22"/>
      <c r="C39" s="23"/>
      <c r="D39" s="28">
        <v>3.125</v>
      </c>
      <c r="E39" s="23"/>
      <c r="F39" s="21"/>
      <c r="G39" s="21"/>
      <c r="H39" s="21"/>
      <c r="I39" s="21"/>
      <c r="J39" s="23"/>
      <c r="K39" s="27">
        <v>-26</v>
      </c>
    </row>
    <row r="40" spans="2:13" x14ac:dyDescent="0.25">
      <c r="B40" s="22">
        <v>4.54</v>
      </c>
      <c r="C40" s="23">
        <f>B40</f>
        <v>4.54</v>
      </c>
      <c r="D40" s="23">
        <f>D39</f>
        <v>3.125</v>
      </c>
      <c r="E40" s="28">
        <v>4.49</v>
      </c>
      <c r="F40" s="21">
        <f>(E40-D40)/$F$2</f>
        <v>3.4670981277670113E-2</v>
      </c>
      <c r="G40" s="21">
        <f>C40*9.8</f>
        <v>44.492000000000004</v>
      </c>
      <c r="H40" s="23"/>
      <c r="I40" s="21">
        <f t="shared" ref="I40:I43" si="15">G40/F40</f>
        <v>1283.263362051282</v>
      </c>
      <c r="J40" s="23"/>
      <c r="K40" s="27">
        <v>-64</v>
      </c>
      <c r="M40">
        <f t="shared" ref="M39:M42" si="16">E40/(K40-$K$39)</f>
        <v>-0.11815789473684211</v>
      </c>
    </row>
    <row r="41" spans="2:13" x14ac:dyDescent="0.25">
      <c r="B41" s="22">
        <v>4.5750000000000002</v>
      </c>
      <c r="C41" s="23">
        <f>C40+B41</f>
        <v>9.1150000000000002</v>
      </c>
      <c r="D41" s="23">
        <f t="shared" ref="D41:D43" si="17">D40</f>
        <v>3.125</v>
      </c>
      <c r="E41" s="28">
        <v>5.625</v>
      </c>
      <c r="F41" s="21">
        <f t="shared" ref="F41:F43" si="18">(E41-D41)/$F$2</f>
        <v>6.3499965710018522E-2</v>
      </c>
      <c r="G41" s="21">
        <f t="shared" ref="G41:G43" si="19">C41*9.8</f>
        <v>89.327000000000012</v>
      </c>
      <c r="H41" s="23"/>
      <c r="I41" s="21">
        <f t="shared" si="15"/>
        <v>1406.7251690800001</v>
      </c>
      <c r="J41" s="23"/>
      <c r="K41" s="27">
        <v>-98</v>
      </c>
      <c r="M41">
        <f t="shared" si="16"/>
        <v>-7.8125E-2</v>
      </c>
    </row>
    <row r="42" spans="2:13" x14ac:dyDescent="0.25">
      <c r="B42" s="22">
        <v>4.6349999999999998</v>
      </c>
      <c r="C42" s="23">
        <f t="shared" ref="C42:C43" si="20">C41+B42</f>
        <v>13.75</v>
      </c>
      <c r="D42" s="23">
        <f t="shared" si="17"/>
        <v>3.125</v>
      </c>
      <c r="E42" s="28">
        <v>6.875</v>
      </c>
      <c r="F42" s="21">
        <f t="shared" si="18"/>
        <v>9.5249948565027776E-2</v>
      </c>
      <c r="G42" s="21">
        <f t="shared" si="19"/>
        <v>134.75</v>
      </c>
      <c r="H42" s="23"/>
      <c r="I42" s="21">
        <f t="shared" si="15"/>
        <v>1414.6989266666667</v>
      </c>
      <c r="J42" s="23"/>
      <c r="K42" s="27">
        <v>-133</v>
      </c>
      <c r="M42">
        <f t="shared" si="16"/>
        <v>-6.4252336448598124E-2</v>
      </c>
    </row>
    <row r="43" spans="2:13" x14ac:dyDescent="0.25">
      <c r="B43" s="22">
        <v>4.54</v>
      </c>
      <c r="C43" s="23">
        <f t="shared" si="20"/>
        <v>18.29</v>
      </c>
      <c r="D43" s="23">
        <f t="shared" si="17"/>
        <v>3.125</v>
      </c>
      <c r="E43" s="28">
        <v>8.1999999999999993</v>
      </c>
      <c r="F43" s="21">
        <f t="shared" si="18"/>
        <v>0.12890493039133757</v>
      </c>
      <c r="G43" s="21">
        <f t="shared" si="19"/>
        <v>179.24200000000002</v>
      </c>
      <c r="H43" s="23"/>
      <c r="I43" s="21">
        <f t="shared" si="15"/>
        <v>1390.4976284137933</v>
      </c>
      <c r="J43" s="23"/>
      <c r="K43" s="27">
        <v>-169</v>
      </c>
      <c r="M43">
        <f>E43/(K43-$K$39)</f>
        <v>-5.7342657342657338E-2</v>
      </c>
    </row>
    <row r="44" spans="2:13" ht="15.75" thickBot="1" x14ac:dyDescent="0.3">
      <c r="B44" s="8"/>
      <c r="C44" s="9"/>
      <c r="D44" s="9"/>
      <c r="E44" s="9"/>
      <c r="F44" s="9"/>
      <c r="G44" s="9"/>
      <c r="H44" s="9" t="s">
        <v>33</v>
      </c>
      <c r="I44" s="29">
        <f>MEDIAN(I40:I42)</f>
        <v>1406.7251690800001</v>
      </c>
      <c r="J44" s="9"/>
      <c r="K44" s="24"/>
    </row>
    <row r="45" spans="2:13" ht="15.75" thickBot="1" x14ac:dyDescent="0.3"/>
    <row r="46" spans="2:13" x14ac:dyDescent="0.25">
      <c r="B46" s="17" t="s">
        <v>17</v>
      </c>
      <c r="C46" s="11">
        <v>25</v>
      </c>
      <c r="D46" s="18" t="s">
        <v>24</v>
      </c>
      <c r="E46" s="11"/>
      <c r="F46" s="18"/>
      <c r="G46" s="18"/>
      <c r="H46" s="18"/>
      <c r="I46" s="18"/>
      <c r="J46" s="18"/>
      <c r="K46" s="19"/>
    </row>
    <row r="47" spans="2:13" x14ac:dyDescent="0.25">
      <c r="B47" s="20"/>
      <c r="C47" s="25" t="s">
        <v>4</v>
      </c>
      <c r="D47" s="25" t="s">
        <v>5</v>
      </c>
      <c r="E47" s="25" t="s">
        <v>14</v>
      </c>
      <c r="F47" s="25" t="s">
        <v>7</v>
      </c>
      <c r="G47" s="25" t="s">
        <v>8</v>
      </c>
      <c r="H47" s="25" t="s">
        <v>9</v>
      </c>
      <c r="I47" s="25" t="s">
        <v>10</v>
      </c>
      <c r="J47" s="25"/>
      <c r="K47" s="26" t="s">
        <v>18</v>
      </c>
    </row>
    <row r="48" spans="2:13" x14ac:dyDescent="0.25">
      <c r="B48" s="22"/>
      <c r="C48" s="23"/>
      <c r="D48" s="28">
        <v>3.6</v>
      </c>
      <c r="E48" s="23"/>
      <c r="F48" s="21"/>
      <c r="G48" s="21"/>
      <c r="H48" s="21"/>
      <c r="I48" s="21"/>
      <c r="J48" s="23"/>
      <c r="K48" s="27">
        <v>37</v>
      </c>
    </row>
    <row r="49" spans="2:13" x14ac:dyDescent="0.25">
      <c r="B49" s="22">
        <v>4.54</v>
      </c>
      <c r="C49" s="23">
        <f>B49</f>
        <v>4.54</v>
      </c>
      <c r="D49" s="23">
        <f>D48</f>
        <v>3.6</v>
      </c>
      <c r="E49" s="28">
        <v>5.2</v>
      </c>
      <c r="F49" s="21">
        <f>(E49-D49)/$F$2</f>
        <v>4.063997805441185E-2</v>
      </c>
      <c r="G49" s="21">
        <f>C49*9.8</f>
        <v>44.492000000000004</v>
      </c>
      <c r="H49" s="23"/>
      <c r="I49" s="21">
        <f t="shared" ref="I49:I52" si="21">G49/F49</f>
        <v>1094.7840557500001</v>
      </c>
      <c r="J49" s="23"/>
      <c r="K49" s="27">
        <v>87</v>
      </c>
      <c r="M49">
        <f>E49/(K49-$K$48)</f>
        <v>0.10400000000000001</v>
      </c>
    </row>
    <row r="50" spans="2:13" x14ac:dyDescent="0.25">
      <c r="B50" s="22">
        <v>4.5750000000000002</v>
      </c>
      <c r="C50" s="23">
        <f>C49+B50</f>
        <v>9.1150000000000002</v>
      </c>
      <c r="D50" s="23">
        <f t="shared" ref="D50:D52" si="22">D49</f>
        <v>3.6</v>
      </c>
      <c r="E50" s="28">
        <v>6.63</v>
      </c>
      <c r="F50" s="21">
        <f t="shared" ref="F50:F52" si="23">(E50-D50)/$F$2</f>
        <v>7.6961958440542433E-2</v>
      </c>
      <c r="G50" s="21">
        <f t="shared" ref="G50:G52" si="24">C50*9.8</f>
        <v>89.327000000000012</v>
      </c>
      <c r="H50" s="23"/>
      <c r="I50" s="21">
        <f t="shared" si="21"/>
        <v>1160.6643309240926</v>
      </c>
      <c r="J50" s="23"/>
      <c r="K50" s="27">
        <v>124</v>
      </c>
      <c r="M50">
        <f>E50/(K50-$K$48)</f>
        <v>7.6206896551724135E-2</v>
      </c>
    </row>
    <row r="51" spans="2:13" x14ac:dyDescent="0.25">
      <c r="B51" s="22">
        <v>4.6349999999999998</v>
      </c>
      <c r="C51" s="23">
        <f t="shared" ref="C51:C52" si="25">C50+B51</f>
        <v>13.75</v>
      </c>
      <c r="D51" s="23">
        <f t="shared" si="22"/>
        <v>3.6</v>
      </c>
      <c r="E51" s="28">
        <v>8.1999999999999993</v>
      </c>
      <c r="F51" s="21">
        <f t="shared" si="23"/>
        <v>0.11683993690643406</v>
      </c>
      <c r="G51" s="21">
        <f t="shared" si="24"/>
        <v>134.75</v>
      </c>
      <c r="H51" s="23"/>
      <c r="I51" s="21">
        <f t="shared" si="21"/>
        <v>1153.287168478261</v>
      </c>
      <c r="J51" s="23"/>
      <c r="K51" s="27"/>
      <c r="M51">
        <f t="shared" ref="M51:M52" si="26">E51/(K51-$K$48)</f>
        <v>-0.22162162162162161</v>
      </c>
    </row>
    <row r="52" spans="2:13" x14ac:dyDescent="0.25">
      <c r="B52" s="22">
        <v>4.54</v>
      </c>
      <c r="C52" s="23">
        <f t="shared" si="25"/>
        <v>18.29</v>
      </c>
      <c r="D52" s="23">
        <f t="shared" si="22"/>
        <v>3.6</v>
      </c>
      <c r="E52" s="28">
        <v>9.7249999999999996</v>
      </c>
      <c r="F52" s="21">
        <f t="shared" si="23"/>
        <v>0.15557491598954537</v>
      </c>
      <c r="G52" s="21">
        <f t="shared" si="24"/>
        <v>179.24200000000002</v>
      </c>
      <c r="H52" s="23"/>
      <c r="I52" s="21">
        <f t="shared" si="21"/>
        <v>1152.1266064000001</v>
      </c>
      <c r="J52" s="23"/>
      <c r="K52" s="27">
        <v>211</v>
      </c>
      <c r="M52">
        <f t="shared" si="26"/>
        <v>5.5890804597701148E-2</v>
      </c>
    </row>
    <row r="53" spans="2:13" ht="15.75" thickBot="1" x14ac:dyDescent="0.3">
      <c r="B53" s="8"/>
      <c r="C53" s="9"/>
      <c r="D53" s="9"/>
      <c r="E53" s="9"/>
      <c r="F53" s="9"/>
      <c r="G53" s="9"/>
      <c r="H53" s="9" t="s">
        <v>33</v>
      </c>
      <c r="I53" s="29">
        <f>MEDIAN(I49:I51)</f>
        <v>1153.287168478261</v>
      </c>
      <c r="J53" s="9"/>
      <c r="K53" s="24"/>
    </row>
    <row r="55" spans="2:13" ht="15.75" thickBot="1" x14ac:dyDescent="0.3"/>
    <row r="56" spans="2:13" x14ac:dyDescent="0.25">
      <c r="B56" s="17" t="s">
        <v>17</v>
      </c>
      <c r="C56" s="11">
        <v>30</v>
      </c>
      <c r="D56" s="18" t="s">
        <v>24</v>
      </c>
      <c r="E56" s="11"/>
      <c r="F56" s="18"/>
      <c r="G56" s="18"/>
      <c r="H56" s="18"/>
      <c r="I56" s="18"/>
      <c r="J56" s="18"/>
      <c r="K56" s="19"/>
    </row>
    <row r="57" spans="2:13" x14ac:dyDescent="0.25">
      <c r="B57" s="20"/>
      <c r="C57" s="25" t="s">
        <v>4</v>
      </c>
      <c r="D57" s="25" t="s">
        <v>5</v>
      </c>
      <c r="E57" s="25" t="s">
        <v>14</v>
      </c>
      <c r="F57" s="25" t="s">
        <v>7</v>
      </c>
      <c r="G57" s="25" t="s">
        <v>8</v>
      </c>
      <c r="H57" s="25" t="s">
        <v>9</v>
      </c>
      <c r="I57" s="25" t="s">
        <v>10</v>
      </c>
      <c r="J57" s="25"/>
      <c r="K57" s="26" t="s">
        <v>18</v>
      </c>
    </row>
    <row r="58" spans="2:13" x14ac:dyDescent="0.25">
      <c r="B58" s="22"/>
      <c r="C58" s="23"/>
      <c r="D58" s="28">
        <v>3.7250000000000001</v>
      </c>
      <c r="E58" s="23"/>
      <c r="F58" s="21"/>
      <c r="G58" s="21"/>
      <c r="H58" s="21"/>
      <c r="I58" s="21"/>
      <c r="J58" s="23"/>
      <c r="K58" s="27">
        <v>42</v>
      </c>
    </row>
    <row r="59" spans="2:13" x14ac:dyDescent="0.25">
      <c r="B59" s="22">
        <v>4.54</v>
      </c>
      <c r="C59" s="23">
        <f>B59</f>
        <v>4.54</v>
      </c>
      <c r="D59" s="23">
        <f>D58</f>
        <v>3.7250000000000001</v>
      </c>
      <c r="E59" s="28">
        <v>5.5250000000000004</v>
      </c>
      <c r="F59" s="21">
        <f>(E59-D59)/$F$2</f>
        <v>4.5719975311213336E-2</v>
      </c>
      <c r="G59" s="21">
        <f>C59*9.8</f>
        <v>44.492000000000004</v>
      </c>
      <c r="H59" s="23"/>
      <c r="I59" s="21">
        <f t="shared" ref="I59:I62" si="27">G59/F59</f>
        <v>973.14138288888887</v>
      </c>
      <c r="J59" s="23"/>
      <c r="K59" s="27">
        <v>93</v>
      </c>
    </row>
    <row r="60" spans="2:13" x14ac:dyDescent="0.25">
      <c r="B60" s="22">
        <v>4.5750000000000002</v>
      </c>
      <c r="C60" s="23">
        <f>C59+B60</f>
        <v>9.1150000000000002</v>
      </c>
      <c r="D60" s="23">
        <f t="shared" ref="D60:D62" si="28">D59</f>
        <v>3.7250000000000001</v>
      </c>
      <c r="E60" s="28">
        <v>7.48</v>
      </c>
      <c r="F60" s="21">
        <f t="shared" ref="F60:F62" si="29">(E60-D60)/$F$2</f>
        <v>9.5376948496447816E-2</v>
      </c>
      <c r="G60" s="21">
        <f t="shared" ref="G60:G62" si="30">C60*9.8</f>
        <v>89.327000000000012</v>
      </c>
      <c r="H60" s="23"/>
      <c r="I60" s="21">
        <f t="shared" si="27"/>
        <v>936.56802202396818</v>
      </c>
      <c r="J60" s="23"/>
      <c r="K60" s="27"/>
    </row>
    <row r="61" spans="2:13" x14ac:dyDescent="0.25">
      <c r="B61" s="22">
        <v>4.6349999999999998</v>
      </c>
      <c r="C61" s="23">
        <f t="shared" ref="C61:C62" si="31">C60+B61</f>
        <v>13.75</v>
      </c>
      <c r="D61" s="23">
        <f t="shared" si="28"/>
        <v>3.7250000000000001</v>
      </c>
      <c r="E61" s="28"/>
      <c r="F61" s="21">
        <f t="shared" si="29"/>
        <v>-9.4614948907927585E-2</v>
      </c>
      <c r="G61" s="21">
        <f t="shared" si="30"/>
        <v>134.75</v>
      </c>
      <c r="H61" s="23"/>
      <c r="I61" s="21">
        <f t="shared" si="27"/>
        <v>-1424.1935503355705</v>
      </c>
      <c r="J61" s="23"/>
      <c r="K61" s="27"/>
    </row>
    <row r="62" spans="2:13" x14ac:dyDescent="0.25">
      <c r="B62" s="22">
        <v>4.54</v>
      </c>
      <c r="C62" s="23">
        <f t="shared" si="31"/>
        <v>18.29</v>
      </c>
      <c r="D62" s="23">
        <f t="shared" si="28"/>
        <v>3.7250000000000001</v>
      </c>
      <c r="E62" s="28"/>
      <c r="F62" s="21">
        <f t="shared" si="29"/>
        <v>-9.4614948907927585E-2</v>
      </c>
      <c r="G62" s="21">
        <f t="shared" si="30"/>
        <v>179.24200000000002</v>
      </c>
      <c r="H62" s="23"/>
      <c r="I62" s="21">
        <f t="shared" si="27"/>
        <v>-1894.4363662281883</v>
      </c>
      <c r="J62" s="23"/>
      <c r="K62" s="27"/>
    </row>
    <row r="63" spans="2:13" ht="15.75" thickBot="1" x14ac:dyDescent="0.3">
      <c r="B63" s="8"/>
      <c r="C63" s="9"/>
      <c r="D63" s="9"/>
      <c r="E63" s="9"/>
      <c r="F63" s="9"/>
      <c r="G63" s="9"/>
      <c r="H63" s="9" t="s">
        <v>33</v>
      </c>
      <c r="I63" s="29">
        <f>MEDIAN(I59:I61)</f>
        <v>936.56802202396818</v>
      </c>
      <c r="J63" s="9"/>
      <c r="K6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Sheet1</vt:lpstr>
      <vt:lpstr>Sheet2</vt:lpstr>
      <vt:lpstr>1st run</vt:lpstr>
      <vt:lpstr>2nd run</vt:lpstr>
      <vt:lpstr>3rd run</vt:lpstr>
      <vt:lpstr>Template</vt:lpstr>
      <vt:lpstr>4th run</vt:lpstr>
      <vt:lpstr>5th run</vt:lpstr>
      <vt:lpstr>inchtometers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MREL-USER</dc:creator>
  <cp:lastModifiedBy>MREL-USER</cp:lastModifiedBy>
  <dcterms:created xsi:type="dcterms:W3CDTF">2013-11-14T21:55:00Z</dcterms:created>
  <dcterms:modified xsi:type="dcterms:W3CDTF">2014-01-10T16:49:38Z</dcterms:modified>
</cp:coreProperties>
</file>