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648" activeTab="9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  <sheet name="resol1 run" sheetId="11" r:id="rId9"/>
    <sheet name="Damping 2" sheetId="10" r:id="rId10"/>
    <sheet name="Damping" sheetId="9" r:id="rId11"/>
  </sheets>
  <definedNames>
    <definedName name="inchtometers">'4th run'!$H$2</definedName>
  </definedNames>
  <calcPr calcId="145621"/>
</workbook>
</file>

<file path=xl/calcChain.xml><?xml version="1.0" encoding="utf-8"?>
<calcChain xmlns="http://schemas.openxmlformats.org/spreadsheetml/2006/main">
  <c r="C5" i="10" l="1"/>
  <c r="C6" i="10"/>
  <c r="C7" i="10"/>
  <c r="C8" i="10"/>
  <c r="C9" i="10"/>
  <c r="C10" i="10"/>
  <c r="C4" i="10"/>
  <c r="D250" i="11"/>
  <c r="D251" i="11"/>
  <c r="D252" i="11"/>
  <c r="D253" i="11"/>
  <c r="D254" i="11"/>
  <c r="D255" i="11"/>
  <c r="D256" i="11"/>
  <c r="D257" i="11"/>
  <c r="D258" i="11"/>
  <c r="D259" i="11"/>
  <c r="D260" i="11"/>
  <c r="B242" i="11"/>
  <c r="B227" i="11"/>
  <c r="D227" i="11" s="1"/>
  <c r="B226" i="11"/>
  <c r="D226" i="11" s="1"/>
  <c r="B225" i="11"/>
  <c r="D225" i="11" s="1"/>
  <c r="B224" i="11"/>
  <c r="D224" i="11"/>
  <c r="B223" i="11"/>
  <c r="D223" i="11" s="1"/>
  <c r="L196" i="11"/>
  <c r="M196" i="11" s="1"/>
  <c r="L195" i="11"/>
  <c r="M195" i="11" s="1"/>
  <c r="L194" i="11"/>
  <c r="L193" i="11"/>
  <c r="C193" i="11"/>
  <c r="C194" i="11" s="1"/>
  <c r="L192" i="11"/>
  <c r="D193" i="11"/>
  <c r="D194" i="11" s="1"/>
  <c r="D195" i="11" s="1"/>
  <c r="E185" i="11"/>
  <c r="E184" i="11"/>
  <c r="D183" i="11"/>
  <c r="L187" i="11"/>
  <c r="L186" i="11"/>
  <c r="L185" i="11"/>
  <c r="L184" i="11"/>
  <c r="D184" i="11"/>
  <c r="D185" i="11" s="1"/>
  <c r="C184" i="11"/>
  <c r="C185" i="11" s="1"/>
  <c r="L183" i="11"/>
  <c r="E176" i="11"/>
  <c r="E175" i="11"/>
  <c r="D174" i="11"/>
  <c r="D175" i="11" s="1"/>
  <c r="D176" i="11" s="1"/>
  <c r="D177" i="11" s="1"/>
  <c r="D178" i="11" s="1"/>
  <c r="L178" i="11"/>
  <c r="L177" i="11"/>
  <c r="L176" i="11"/>
  <c r="L175" i="11"/>
  <c r="C175" i="11"/>
  <c r="C176" i="11" s="1"/>
  <c r="L174" i="11"/>
  <c r="E167" i="11"/>
  <c r="E166" i="11"/>
  <c r="E165" i="11"/>
  <c r="D164" i="11"/>
  <c r="D165" i="11" s="1"/>
  <c r="D166" i="11" s="1"/>
  <c r="D167" i="11" s="1"/>
  <c r="D168" i="11" s="1"/>
  <c r="L168" i="11"/>
  <c r="L167" i="11"/>
  <c r="M167" i="11" s="1"/>
  <c r="L166" i="11"/>
  <c r="L165" i="11"/>
  <c r="M165" i="11" s="1"/>
  <c r="C165" i="11"/>
  <c r="C166" i="11" s="1"/>
  <c r="L164" i="11"/>
  <c r="E158" i="11"/>
  <c r="M156" i="11"/>
  <c r="E157" i="11"/>
  <c r="E156" i="11"/>
  <c r="D155" i="11"/>
  <c r="D156" i="11" s="1"/>
  <c r="D157" i="11" s="1"/>
  <c r="D158" i="11" s="1"/>
  <c r="D159" i="11" s="1"/>
  <c r="L159" i="11"/>
  <c r="M159" i="11" s="1"/>
  <c r="L158" i="11"/>
  <c r="L157" i="11"/>
  <c r="M157" i="11" s="1"/>
  <c r="L156" i="11"/>
  <c r="C156" i="11"/>
  <c r="C157" i="11" s="1"/>
  <c r="L155" i="11"/>
  <c r="M185" i="11" s="1"/>
  <c r="E149" i="11"/>
  <c r="E148" i="11"/>
  <c r="E147" i="11"/>
  <c r="L149" i="11"/>
  <c r="L148" i="11"/>
  <c r="L147" i="11"/>
  <c r="M147" i="11" s="1"/>
  <c r="L146" i="11"/>
  <c r="L145" i="11"/>
  <c r="M146" i="11" s="1"/>
  <c r="D145" i="11"/>
  <c r="E146" i="11"/>
  <c r="N146" i="11" s="1"/>
  <c r="E139" i="11"/>
  <c r="E138" i="11"/>
  <c r="E137" i="11"/>
  <c r="E136" i="11"/>
  <c r="L139" i="11"/>
  <c r="L138" i="11"/>
  <c r="L137" i="11"/>
  <c r="M137" i="11" s="1"/>
  <c r="L136" i="11"/>
  <c r="M136" i="11" s="1"/>
  <c r="L135" i="11"/>
  <c r="D135" i="11"/>
  <c r="E130" i="11"/>
  <c r="E129" i="11"/>
  <c r="E128" i="11"/>
  <c r="E127" i="11"/>
  <c r="D126" i="11"/>
  <c r="L130" i="11"/>
  <c r="L129" i="11"/>
  <c r="L128" i="11"/>
  <c r="L127" i="11"/>
  <c r="L126" i="11"/>
  <c r="E43" i="11"/>
  <c r="N43" i="11" s="1"/>
  <c r="L43" i="11"/>
  <c r="M43" i="11" s="1"/>
  <c r="O43" i="11" s="1"/>
  <c r="L42" i="11"/>
  <c r="E42" i="11"/>
  <c r="L41" i="11"/>
  <c r="E41" i="11"/>
  <c r="N41" i="11" s="1"/>
  <c r="L40" i="11"/>
  <c r="L39" i="11"/>
  <c r="M41" i="11" s="1"/>
  <c r="O41" i="11" s="1"/>
  <c r="E40" i="11"/>
  <c r="D39" i="11"/>
  <c r="L33" i="11"/>
  <c r="L32" i="11"/>
  <c r="L31" i="11"/>
  <c r="L30" i="11"/>
  <c r="L29" i="11"/>
  <c r="W6" i="11"/>
  <c r="W7" i="11"/>
  <c r="W8" i="11"/>
  <c r="W9" i="11"/>
  <c r="W10" i="11"/>
  <c r="V11" i="11"/>
  <c r="W11" i="11"/>
  <c r="X11" i="11" s="1"/>
  <c r="W12" i="11"/>
  <c r="W5" i="11"/>
  <c r="N12" i="11"/>
  <c r="O12" i="11"/>
  <c r="V12" i="11" s="1"/>
  <c r="S12" i="11"/>
  <c r="U12" i="11" s="1"/>
  <c r="S11" i="11"/>
  <c r="U11" i="11" s="1"/>
  <c r="N11" i="11"/>
  <c r="P11" i="11" s="1"/>
  <c r="S10" i="11"/>
  <c r="U10" i="11" s="1"/>
  <c r="N10" i="11"/>
  <c r="P10" i="11" s="1"/>
  <c r="O9" i="11"/>
  <c r="S9" i="11"/>
  <c r="U9" i="11" s="1"/>
  <c r="O8" i="11"/>
  <c r="V8" i="11" s="1"/>
  <c r="O7" i="11"/>
  <c r="V7" i="11" s="1"/>
  <c r="S7" i="11"/>
  <c r="U7" i="11" s="1"/>
  <c r="S8" i="11"/>
  <c r="U8" i="11" s="1"/>
  <c r="N8" i="11"/>
  <c r="P8" i="11" s="1"/>
  <c r="N9" i="11"/>
  <c r="N7" i="11"/>
  <c r="O5" i="11"/>
  <c r="S5" i="11"/>
  <c r="U5" i="11" s="1"/>
  <c r="S6" i="11"/>
  <c r="U6" i="11" s="1"/>
  <c r="N5" i="11"/>
  <c r="N6" i="11"/>
  <c r="P6" i="11" s="1"/>
  <c r="O4" i="11"/>
  <c r="N4" i="11"/>
  <c r="N3" i="11"/>
  <c r="S4" i="11"/>
  <c r="U4" i="11" s="1"/>
  <c r="P33" i="11"/>
  <c r="P32" i="11"/>
  <c r="P31" i="11"/>
  <c r="E33" i="11"/>
  <c r="E32" i="11"/>
  <c r="O33" i="11" s="1"/>
  <c r="R33" i="11" s="1"/>
  <c r="E31" i="11"/>
  <c r="E30" i="11"/>
  <c r="O31" i="11" s="1"/>
  <c r="R31" i="11" s="1"/>
  <c r="D29" i="11"/>
  <c r="P22" i="11"/>
  <c r="E22" i="11"/>
  <c r="E21" i="11"/>
  <c r="O21" i="11" s="1"/>
  <c r="E20" i="11"/>
  <c r="P21" i="11"/>
  <c r="P20" i="11"/>
  <c r="O20" i="11"/>
  <c r="E19" i="11"/>
  <c r="D18" i="11"/>
  <c r="D19" i="11" s="1"/>
  <c r="D20" i="11" s="1"/>
  <c r="D21" i="11" s="1"/>
  <c r="P17" i="11"/>
  <c r="E11" i="11"/>
  <c r="O17" i="11" s="1"/>
  <c r="R17" i="11" s="1"/>
  <c r="P15" i="11"/>
  <c r="P16" i="11"/>
  <c r="E10" i="11"/>
  <c r="E9" i="11"/>
  <c r="O16" i="11" s="1"/>
  <c r="R16" i="11" s="1"/>
  <c r="E8" i="11"/>
  <c r="D7" i="11"/>
  <c r="B229" i="11"/>
  <c r="D229" i="11" s="1"/>
  <c r="B228" i="11"/>
  <c r="D228" i="11" s="1"/>
  <c r="B222" i="11"/>
  <c r="D222" i="11" s="1"/>
  <c r="B221" i="11"/>
  <c r="D221" i="11" s="1"/>
  <c r="B220" i="11"/>
  <c r="D220" i="11" s="1"/>
  <c r="B219" i="11"/>
  <c r="D219" i="11" s="1"/>
  <c r="D146" i="11"/>
  <c r="D147" i="11" s="1"/>
  <c r="C146" i="11"/>
  <c r="D136" i="11"/>
  <c r="C136" i="11"/>
  <c r="G136" i="11" s="1"/>
  <c r="D127" i="11"/>
  <c r="D128" i="11" s="1"/>
  <c r="N128" i="11" s="1"/>
  <c r="C127" i="11"/>
  <c r="D117" i="11"/>
  <c r="C117" i="11"/>
  <c r="G117" i="11" s="1"/>
  <c r="D108" i="11"/>
  <c r="D109" i="11" s="1"/>
  <c r="C108" i="11"/>
  <c r="D98" i="11"/>
  <c r="C98" i="11"/>
  <c r="G98" i="11" s="1"/>
  <c r="D88" i="11"/>
  <c r="D89" i="11" s="1"/>
  <c r="C88" i="11"/>
  <c r="D78" i="11"/>
  <c r="D79" i="11" s="1"/>
  <c r="D80" i="11" s="1"/>
  <c r="C78" i="11"/>
  <c r="C79" i="11" s="1"/>
  <c r="D69" i="11"/>
  <c r="D70" i="11" s="1"/>
  <c r="C69" i="11"/>
  <c r="G69" i="11" s="1"/>
  <c r="D59" i="11"/>
  <c r="D60" i="11" s="1"/>
  <c r="D61" i="11" s="1"/>
  <c r="C59" i="11"/>
  <c r="C60" i="11" s="1"/>
  <c r="O52" i="11"/>
  <c r="O51" i="11"/>
  <c r="O50" i="11"/>
  <c r="O49" i="11"/>
  <c r="D49" i="11"/>
  <c r="D50" i="11" s="1"/>
  <c r="D51" i="11" s="1"/>
  <c r="D52" i="11" s="1"/>
  <c r="F52" i="11" s="1"/>
  <c r="C49" i="11"/>
  <c r="G49" i="11" s="1"/>
  <c r="D40" i="11"/>
  <c r="D41" i="11" s="1"/>
  <c r="D42" i="11" s="1"/>
  <c r="D43" i="11" s="1"/>
  <c r="F43" i="11" s="1"/>
  <c r="C40" i="11"/>
  <c r="G40" i="11" s="1"/>
  <c r="D30" i="11"/>
  <c r="D31" i="11" s="1"/>
  <c r="D32" i="11" s="1"/>
  <c r="C30" i="11"/>
  <c r="C31" i="11" s="1"/>
  <c r="C19" i="11"/>
  <c r="C20" i="11" s="1"/>
  <c r="D8" i="11"/>
  <c r="D9" i="11" s="1"/>
  <c r="D10" i="11" s="1"/>
  <c r="C8" i="11"/>
  <c r="C9" i="11" s="1"/>
  <c r="P4" i="11" l="1"/>
  <c r="V5" i="11"/>
  <c r="X5" i="11" s="1"/>
  <c r="T10" i="11"/>
  <c r="M42" i="11"/>
  <c r="M127" i="11"/>
  <c r="M129" i="11"/>
  <c r="M139" i="11"/>
  <c r="N136" i="11"/>
  <c r="O146" i="11"/>
  <c r="N147" i="11"/>
  <c r="M158" i="11"/>
  <c r="M166" i="11"/>
  <c r="M168" i="11"/>
  <c r="M176" i="11"/>
  <c r="M178" i="11"/>
  <c r="M186" i="11"/>
  <c r="M193" i="11"/>
  <c r="V9" i="11"/>
  <c r="N40" i="11"/>
  <c r="N42" i="11"/>
  <c r="O42" i="11" s="1"/>
  <c r="M40" i="11"/>
  <c r="O40" i="11" s="1"/>
  <c r="M128" i="11"/>
  <c r="M130" i="11"/>
  <c r="M138" i="11"/>
  <c r="M148" i="11"/>
  <c r="M175" i="11"/>
  <c r="M177" i="11"/>
  <c r="M184" i="11"/>
  <c r="M187" i="11"/>
  <c r="M194" i="11"/>
  <c r="F193" i="11"/>
  <c r="F194" i="11"/>
  <c r="N195" i="11"/>
  <c r="O195" i="11" s="1"/>
  <c r="D196" i="11"/>
  <c r="F195" i="11"/>
  <c r="C195" i="11"/>
  <c r="G194" i="11"/>
  <c r="I194" i="11" s="1"/>
  <c r="G193" i="11"/>
  <c r="I193" i="11" s="1"/>
  <c r="N193" i="11"/>
  <c r="O193" i="11" s="1"/>
  <c r="N194" i="11"/>
  <c r="O194" i="11" s="1"/>
  <c r="N184" i="11"/>
  <c r="O184" i="11" s="1"/>
  <c r="C186" i="11"/>
  <c r="G185" i="11"/>
  <c r="D186" i="11"/>
  <c r="F185" i="11"/>
  <c r="N185" i="11"/>
  <c r="O185" i="11" s="1"/>
  <c r="F184" i="11"/>
  <c r="G184" i="11"/>
  <c r="F175" i="11"/>
  <c r="F176" i="11"/>
  <c r="F177" i="11"/>
  <c r="N178" i="11"/>
  <c r="F178" i="11"/>
  <c r="C177" i="11"/>
  <c r="G176" i="11"/>
  <c r="O178" i="11"/>
  <c r="G175" i="11"/>
  <c r="I175" i="11" s="1"/>
  <c r="N175" i="11"/>
  <c r="O175" i="11" s="1"/>
  <c r="N176" i="11"/>
  <c r="O176" i="11" s="1"/>
  <c r="N177" i="11"/>
  <c r="O177" i="11" s="1"/>
  <c r="N168" i="11"/>
  <c r="F168" i="11"/>
  <c r="C167" i="11"/>
  <c r="G166" i="11"/>
  <c r="F165" i="11"/>
  <c r="F166" i="11"/>
  <c r="F167" i="11"/>
  <c r="O168" i="11"/>
  <c r="G165" i="11"/>
  <c r="I165" i="11" s="1"/>
  <c r="N165" i="11"/>
  <c r="O165" i="11" s="1"/>
  <c r="N166" i="11"/>
  <c r="O166" i="11" s="1"/>
  <c r="N167" i="11"/>
  <c r="O167" i="11" s="1"/>
  <c r="F156" i="11"/>
  <c r="F157" i="11"/>
  <c r="F158" i="11"/>
  <c r="F159" i="11"/>
  <c r="C158" i="11"/>
  <c r="G157" i="11"/>
  <c r="I157" i="11" s="1"/>
  <c r="G156" i="11"/>
  <c r="I156" i="11" s="1"/>
  <c r="N156" i="11"/>
  <c r="O156" i="11" s="1"/>
  <c r="N157" i="11"/>
  <c r="O157" i="11" s="1"/>
  <c r="N158" i="11"/>
  <c r="O158" i="11" s="1"/>
  <c r="N159" i="11"/>
  <c r="O159" i="11" s="1"/>
  <c r="M149" i="11"/>
  <c r="O147" i="11"/>
  <c r="O136" i="11"/>
  <c r="N127" i="11"/>
  <c r="O127" i="11"/>
  <c r="O128" i="11"/>
  <c r="X12" i="11"/>
  <c r="X9" i="11"/>
  <c r="X7" i="11"/>
  <c r="X8" i="11"/>
  <c r="C99" i="11"/>
  <c r="C137" i="11"/>
  <c r="O15" i="11"/>
  <c r="R15" i="11" s="1"/>
  <c r="P5" i="11"/>
  <c r="T5" i="11" s="1"/>
  <c r="P12" i="11"/>
  <c r="T12" i="11" s="1"/>
  <c r="V10" i="11"/>
  <c r="X10" i="11" s="1"/>
  <c r="V6" i="11"/>
  <c r="X6" i="11" s="1"/>
  <c r="C118" i="11"/>
  <c r="O22" i="11"/>
  <c r="R22" i="11" s="1"/>
  <c r="O32" i="11"/>
  <c r="R32" i="11" s="1"/>
  <c r="P9" i="11"/>
  <c r="T11" i="11"/>
  <c r="P7" i="11"/>
  <c r="T9" i="11"/>
  <c r="T8" i="11"/>
  <c r="T7" i="11"/>
  <c r="T6" i="11"/>
  <c r="T4" i="11"/>
  <c r="F40" i="11"/>
  <c r="I40" i="11" s="1"/>
  <c r="R20" i="11"/>
  <c r="R21" i="11"/>
  <c r="C41" i="11"/>
  <c r="G41" i="11" s="1"/>
  <c r="C50" i="11"/>
  <c r="G50" i="11" s="1"/>
  <c r="F78" i="11"/>
  <c r="F88" i="11"/>
  <c r="F108" i="11"/>
  <c r="F127" i="11"/>
  <c r="F146" i="11"/>
  <c r="F69" i="11"/>
  <c r="I69" i="11" s="1"/>
  <c r="F59" i="11"/>
  <c r="F49" i="11"/>
  <c r="I49" i="11" s="1"/>
  <c r="F30" i="11"/>
  <c r="F19" i="11"/>
  <c r="F8" i="11"/>
  <c r="G9" i="11"/>
  <c r="C10" i="11"/>
  <c r="G20" i="11"/>
  <c r="C21" i="11"/>
  <c r="C32" i="11"/>
  <c r="G31" i="11"/>
  <c r="D11" i="11"/>
  <c r="F11" i="11" s="1"/>
  <c r="F10" i="11"/>
  <c r="D22" i="11"/>
  <c r="F22" i="11" s="1"/>
  <c r="F21" i="11"/>
  <c r="D33" i="11"/>
  <c r="F33" i="11" s="1"/>
  <c r="F32" i="11"/>
  <c r="G8" i="11"/>
  <c r="F9" i="11"/>
  <c r="G19" i="11"/>
  <c r="I19" i="11" s="1"/>
  <c r="F20" i="11"/>
  <c r="G30" i="11"/>
  <c r="F31" i="11"/>
  <c r="F41" i="11"/>
  <c r="I41" i="11" s="1"/>
  <c r="F42" i="11"/>
  <c r="F50" i="11"/>
  <c r="I50" i="11" s="1"/>
  <c r="F51" i="11"/>
  <c r="C61" i="11"/>
  <c r="G60" i="11"/>
  <c r="C80" i="11"/>
  <c r="G79" i="11"/>
  <c r="C42" i="11"/>
  <c r="C51" i="11"/>
  <c r="D62" i="11"/>
  <c r="F62" i="11" s="1"/>
  <c r="F61" i="11"/>
  <c r="D71" i="11"/>
  <c r="F70" i="11"/>
  <c r="D81" i="11"/>
  <c r="F81" i="11" s="1"/>
  <c r="F80" i="11"/>
  <c r="C70" i="11"/>
  <c r="C89" i="11"/>
  <c r="G88" i="11"/>
  <c r="I88" i="11" s="1"/>
  <c r="D90" i="11"/>
  <c r="F89" i="11"/>
  <c r="D118" i="11"/>
  <c r="F117" i="11"/>
  <c r="I117" i="11" s="1"/>
  <c r="C119" i="11"/>
  <c r="G118" i="11"/>
  <c r="C128" i="11"/>
  <c r="G127" i="11"/>
  <c r="I127" i="11" s="1"/>
  <c r="D129" i="11"/>
  <c r="N129" i="11" s="1"/>
  <c r="O129" i="11" s="1"/>
  <c r="F128" i="11"/>
  <c r="G59" i="11"/>
  <c r="I59" i="11" s="1"/>
  <c r="F60" i="11"/>
  <c r="G78" i="11"/>
  <c r="I78" i="11" s="1"/>
  <c r="F79" i="11"/>
  <c r="D99" i="11"/>
  <c r="F98" i="11"/>
  <c r="I98" i="11" s="1"/>
  <c r="C100" i="11"/>
  <c r="G99" i="11"/>
  <c r="C109" i="11"/>
  <c r="G108" i="11"/>
  <c r="I108" i="11" s="1"/>
  <c r="D110" i="11"/>
  <c r="F109" i="11"/>
  <c r="D137" i="11"/>
  <c r="N137" i="11" s="1"/>
  <c r="O137" i="11" s="1"/>
  <c r="F136" i="11"/>
  <c r="I136" i="11" s="1"/>
  <c r="C138" i="11"/>
  <c r="G137" i="11"/>
  <c r="C147" i="11"/>
  <c r="G146" i="11"/>
  <c r="I146" i="11" s="1"/>
  <c r="D148" i="11"/>
  <c r="N148" i="11" s="1"/>
  <c r="O148" i="11" s="1"/>
  <c r="F147" i="11"/>
  <c r="C27" i="9"/>
  <c r="C29" i="9"/>
  <c r="C28" i="9"/>
  <c r="C23" i="9"/>
  <c r="C26" i="9"/>
  <c r="C25" i="9"/>
  <c r="C24" i="9"/>
  <c r="B189" i="8"/>
  <c r="C177" i="8"/>
  <c r="B177" i="8"/>
  <c r="C176" i="8"/>
  <c r="B176" i="8"/>
  <c r="C175" i="8"/>
  <c r="B175" i="8"/>
  <c r="C147" i="8"/>
  <c r="C148" i="8" s="1"/>
  <c r="G146" i="8"/>
  <c r="D146" i="8"/>
  <c r="D147" i="8" s="1"/>
  <c r="C146" i="8"/>
  <c r="D136" i="8"/>
  <c r="F136" i="8" s="1"/>
  <c r="C136" i="8"/>
  <c r="C137" i="8" s="1"/>
  <c r="D127" i="8"/>
  <c r="D128" i="8" s="1"/>
  <c r="D129" i="8" s="1"/>
  <c r="C127" i="8"/>
  <c r="C128" i="8" s="1"/>
  <c r="C174" i="8"/>
  <c r="B174" i="8"/>
  <c r="C173" i="8"/>
  <c r="B173" i="8"/>
  <c r="C172" i="8"/>
  <c r="B172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71" i="8"/>
  <c r="C170" i="8"/>
  <c r="B170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69" i="8"/>
  <c r="C168" i="8"/>
  <c r="C167" i="8"/>
  <c r="C166" i="8"/>
  <c r="C165" i="8"/>
  <c r="C164" i="8"/>
  <c r="C163" i="8"/>
  <c r="B169" i="8"/>
  <c r="B168" i="8"/>
  <c r="B167" i="8"/>
  <c r="B166" i="8"/>
  <c r="B165" i="8"/>
  <c r="B164" i="8"/>
  <c r="B163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C196" i="11" l="1"/>
  <c r="G196" i="11" s="1"/>
  <c r="G195" i="11"/>
  <c r="I195" i="11" s="1"/>
  <c r="I197" i="11" s="1"/>
  <c r="N196" i="11"/>
  <c r="O196" i="11" s="1"/>
  <c r="F196" i="11"/>
  <c r="I185" i="11"/>
  <c r="I184" i="11"/>
  <c r="D187" i="11"/>
  <c r="F186" i="11"/>
  <c r="N186" i="11"/>
  <c r="O186" i="11" s="1"/>
  <c r="C187" i="11"/>
  <c r="G187" i="11" s="1"/>
  <c r="G186" i="11"/>
  <c r="I176" i="11"/>
  <c r="C178" i="11"/>
  <c r="G178" i="11" s="1"/>
  <c r="G177" i="11"/>
  <c r="I179" i="11" s="1"/>
  <c r="C226" i="11" s="1"/>
  <c r="I166" i="11"/>
  <c r="C168" i="11"/>
  <c r="G168" i="11" s="1"/>
  <c r="G167" i="11"/>
  <c r="I167" i="11" s="1"/>
  <c r="C159" i="11"/>
  <c r="G159" i="11" s="1"/>
  <c r="G158" i="11"/>
  <c r="I158" i="11" s="1"/>
  <c r="J160" i="11" s="1"/>
  <c r="I30" i="11"/>
  <c r="I8" i="11"/>
  <c r="D149" i="11"/>
  <c r="F148" i="11"/>
  <c r="C148" i="11"/>
  <c r="G147" i="11"/>
  <c r="I147" i="11" s="1"/>
  <c r="G138" i="11"/>
  <c r="C139" i="11"/>
  <c r="G139" i="11" s="1"/>
  <c r="D138" i="11"/>
  <c r="N138" i="11" s="1"/>
  <c r="O138" i="11" s="1"/>
  <c r="F137" i="11"/>
  <c r="I137" i="11" s="1"/>
  <c r="D130" i="11"/>
  <c r="F129" i="11"/>
  <c r="G128" i="11"/>
  <c r="I128" i="11" s="1"/>
  <c r="C129" i="11"/>
  <c r="C120" i="11"/>
  <c r="G120" i="11" s="1"/>
  <c r="G119" i="11"/>
  <c r="D119" i="11"/>
  <c r="F118" i="11"/>
  <c r="I118" i="11" s="1"/>
  <c r="G51" i="11"/>
  <c r="I51" i="11" s="1"/>
  <c r="I53" i="11" s="1"/>
  <c r="C52" i="11"/>
  <c r="G52" i="11" s="1"/>
  <c r="I52" i="11" s="1"/>
  <c r="G42" i="11"/>
  <c r="I42" i="11" s="1"/>
  <c r="J44" i="11" s="1"/>
  <c r="C43" i="11"/>
  <c r="G43" i="11" s="1"/>
  <c r="I43" i="11" s="1"/>
  <c r="I79" i="11"/>
  <c r="I60" i="11"/>
  <c r="I31" i="11"/>
  <c r="C22" i="11"/>
  <c r="G22" i="11" s="1"/>
  <c r="I22" i="11" s="1"/>
  <c r="G21" i="11"/>
  <c r="I21" i="11" s="1"/>
  <c r="C11" i="11"/>
  <c r="G11" i="11" s="1"/>
  <c r="I11" i="11" s="1"/>
  <c r="G10" i="11"/>
  <c r="I10" i="11" s="1"/>
  <c r="D111" i="11"/>
  <c r="F111" i="11" s="1"/>
  <c r="F110" i="11"/>
  <c r="C110" i="11"/>
  <c r="G109" i="11"/>
  <c r="I109" i="11" s="1"/>
  <c r="G100" i="11"/>
  <c r="C101" i="11"/>
  <c r="G101" i="11" s="1"/>
  <c r="D100" i="11"/>
  <c r="F99" i="11"/>
  <c r="I99" i="11" s="1"/>
  <c r="D91" i="11"/>
  <c r="F91" i="11" s="1"/>
  <c r="F90" i="11"/>
  <c r="G89" i="11"/>
  <c r="I89" i="11" s="1"/>
  <c r="C90" i="11"/>
  <c r="G70" i="11"/>
  <c r="I70" i="11" s="1"/>
  <c r="C71" i="11"/>
  <c r="D72" i="11"/>
  <c r="F72" i="11" s="1"/>
  <c r="F71" i="11"/>
  <c r="C81" i="11"/>
  <c r="G81" i="11" s="1"/>
  <c r="I81" i="11" s="1"/>
  <c r="G80" i="11"/>
  <c r="I80" i="11" s="1"/>
  <c r="J82" i="11" s="1"/>
  <c r="C62" i="11"/>
  <c r="G62" i="11" s="1"/>
  <c r="I62" i="11" s="1"/>
  <c r="G61" i="11"/>
  <c r="I61" i="11" s="1"/>
  <c r="J63" i="11" s="1"/>
  <c r="C33" i="11"/>
  <c r="G33" i="11" s="1"/>
  <c r="I33" i="11" s="1"/>
  <c r="G32" i="11"/>
  <c r="I32" i="11" s="1"/>
  <c r="I34" i="11" s="1"/>
  <c r="C221" i="11" s="1"/>
  <c r="I20" i="11"/>
  <c r="J23" i="11" s="1"/>
  <c r="I9" i="11"/>
  <c r="I12" i="11" s="1"/>
  <c r="C219" i="11" s="1"/>
  <c r="D148" i="8"/>
  <c r="F147" i="8"/>
  <c r="C149" i="8"/>
  <c r="G149" i="8" s="1"/>
  <c r="G148" i="8"/>
  <c r="F146" i="8"/>
  <c r="I146" i="8" s="1"/>
  <c r="G147" i="8"/>
  <c r="I147" i="8" s="1"/>
  <c r="D137" i="8"/>
  <c r="D138" i="8" s="1"/>
  <c r="D139" i="8" s="1"/>
  <c r="F139" i="8" s="1"/>
  <c r="G137" i="8"/>
  <c r="C138" i="8"/>
  <c r="F138" i="8"/>
  <c r="G136" i="8"/>
  <c r="I136" i="8" s="1"/>
  <c r="F137" i="8"/>
  <c r="F127" i="8"/>
  <c r="C129" i="8"/>
  <c r="G128" i="8"/>
  <c r="D130" i="8"/>
  <c r="F130" i="8" s="1"/>
  <c r="F129" i="8"/>
  <c r="G127" i="8"/>
  <c r="F128" i="8"/>
  <c r="D119" i="8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F149" i="11" l="1"/>
  <c r="N149" i="11"/>
  <c r="O149" i="11" s="1"/>
  <c r="J197" i="11"/>
  <c r="J188" i="11"/>
  <c r="I188" i="11"/>
  <c r="C227" i="11" s="1"/>
  <c r="N187" i="11"/>
  <c r="O187" i="11" s="1"/>
  <c r="F187" i="11"/>
  <c r="J179" i="11"/>
  <c r="J169" i="11"/>
  <c r="I169" i="11"/>
  <c r="C225" i="11" s="1"/>
  <c r="I160" i="11"/>
  <c r="C224" i="11" s="1"/>
  <c r="F130" i="11"/>
  <c r="N130" i="11"/>
  <c r="O130" i="11" s="1"/>
  <c r="I23" i="11"/>
  <c r="C220" i="11" s="1"/>
  <c r="J12" i="11"/>
  <c r="J34" i="11"/>
  <c r="I63" i="11"/>
  <c r="I82" i="11"/>
  <c r="D120" i="11"/>
  <c r="F120" i="11" s="1"/>
  <c r="F119" i="11"/>
  <c r="I119" i="11" s="1"/>
  <c r="J121" i="11" s="1"/>
  <c r="I44" i="11"/>
  <c r="C222" i="11" s="1"/>
  <c r="J53" i="11"/>
  <c r="G71" i="11"/>
  <c r="I71" i="11" s="1"/>
  <c r="I73" i="11" s="1"/>
  <c r="C72" i="11"/>
  <c r="G72" i="11" s="1"/>
  <c r="I72" i="11" s="1"/>
  <c r="C91" i="11"/>
  <c r="G91" i="11" s="1"/>
  <c r="G90" i="11"/>
  <c r="I90" i="11" s="1"/>
  <c r="I92" i="11" s="1"/>
  <c r="D101" i="11"/>
  <c r="F101" i="11" s="1"/>
  <c r="F100" i="11"/>
  <c r="I100" i="11" s="1"/>
  <c r="J102" i="11" s="1"/>
  <c r="C111" i="11"/>
  <c r="G111" i="11" s="1"/>
  <c r="G110" i="11"/>
  <c r="I110" i="11" s="1"/>
  <c r="I112" i="11" s="1"/>
  <c r="C130" i="11"/>
  <c r="G130" i="11" s="1"/>
  <c r="I130" i="11" s="1"/>
  <c r="G129" i="11"/>
  <c r="I129" i="11" s="1"/>
  <c r="D139" i="11"/>
  <c r="F138" i="11"/>
  <c r="I138" i="11" s="1"/>
  <c r="I140" i="11" s="1"/>
  <c r="C229" i="11" s="1"/>
  <c r="G148" i="11"/>
  <c r="I148" i="11" s="1"/>
  <c r="C149" i="11"/>
  <c r="G149" i="11" s="1"/>
  <c r="D149" i="8"/>
  <c r="F149" i="8" s="1"/>
  <c r="F148" i="8"/>
  <c r="C139" i="8"/>
  <c r="G139" i="8" s="1"/>
  <c r="G138" i="8"/>
  <c r="I138" i="8" s="1"/>
  <c r="I137" i="8"/>
  <c r="J140" i="8" s="1"/>
  <c r="I127" i="8"/>
  <c r="I128" i="8"/>
  <c r="C130" i="8"/>
  <c r="G130" i="8" s="1"/>
  <c r="G129" i="8"/>
  <c r="I129" i="8" s="1"/>
  <c r="C120" i="8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I150" i="11" l="1"/>
  <c r="F139" i="11"/>
  <c r="I139" i="11" s="1"/>
  <c r="N139" i="11"/>
  <c r="O139" i="11" s="1"/>
  <c r="I149" i="11"/>
  <c r="J150" i="11" s="1"/>
  <c r="I131" i="11"/>
  <c r="C228" i="11" s="1"/>
  <c r="J131" i="11"/>
  <c r="J112" i="11"/>
  <c r="I121" i="11"/>
  <c r="J73" i="11"/>
  <c r="J140" i="11"/>
  <c r="I102" i="11"/>
  <c r="J92" i="11"/>
  <c r="J150" i="8"/>
  <c r="I150" i="8"/>
  <c r="I140" i="8"/>
  <c r="I131" i="8"/>
  <c r="J131" i="8"/>
  <c r="I119" i="8"/>
  <c r="I112" i="8"/>
  <c r="J112" i="8"/>
  <c r="I102" i="8"/>
  <c r="J102" i="8"/>
  <c r="I82" i="8"/>
  <c r="J82" i="8"/>
  <c r="J92" i="8"/>
  <c r="I92" i="8"/>
  <c r="C171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C223" i="11" l="1"/>
  <c r="J121" i="8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<sst xmlns="http://schemas.openxmlformats.org/spreadsheetml/2006/main" count="595" uniqueCount="46">
  <si>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</si>
  <si>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</si>
  <si>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</si>
  <si>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</si>
  <si>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</si>
  <si>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</si>
  <si>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</si>
  <si>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</si>
  <si>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</si>
  <si>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</si>
  <si>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</si>
  <si>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</si>
  <si>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</si>
  <si>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</si>
  <si>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</si>
  <si>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</si>
  <si>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</si>
  <si>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</si>
  <si>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</si>
  <si>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</si>
  <si>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</si>
  <si>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</si>
  <si>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</si>
  <si>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</si>
  <si>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</si>
  <si>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</si>
  <si>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</si>
  <si>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</si>
  <si>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</si>
  <si>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</si>
  <si>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</si>
  <si>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</si>
  <si>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</si>
  <si>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</si>
  <si>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</si>
  <si>
    <t>Critical Damping</t>
  </si>
  <si>
    <t>coulomb</t>
  </si>
  <si>
    <t>1/17/13 cd</t>
  </si>
  <si>
    <t>1/21/14 N-D</t>
  </si>
  <si>
    <t>Inches</t>
  </si>
  <si>
    <t>Ticks</t>
  </si>
  <si>
    <t>Ticks/inch</t>
  </si>
  <si>
    <t>1/1 ratio</t>
  </si>
  <si>
    <t>Stiffness 1/1</t>
  </si>
  <si>
    <t>Damping</t>
  </si>
  <si>
    <t>Coulomb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</si>
</sst>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  <xf numFmtId="0" fontId="0" fillId="0" borderId="2" xfId="0" applyBorder="1"/>
    <xf numFmtId="0" fontId="0" fillId="0" borderId="9" xfId="0" applyBorder="1"/>
    <xf numFmtId="0" fontId="4" fillId="2" borderId="0" xfId="0" applyFont="1" applyFill="1"/>
    <xf numFmtId="0" fontId="0" fillId="0" borderId="0" xfId="0" applyFill="1"/>
    <xf numFmtId="0" fontId="1" fillId="0" borderId="0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5536"/>
        <c:axId val="98346112"/>
      </c:scatterChart>
      <c:valAx>
        <c:axId val="98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6112"/>
        <c:crosses val="autoZero"/>
        <c:crossBetween val="midCat"/>
      </c:valAx>
      <c:valAx>
        <c:axId val="983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'resol1 run'!$R$4:$R$12</c:f>
              <c:numCache>
                <c:formatCode>General</c:formatCode>
                <c:ptCount val="9"/>
                <c:pt idx="0">
                  <c:v>480</c:v>
                </c:pt>
                <c:pt idx="1">
                  <c:v>889</c:v>
                </c:pt>
                <c:pt idx="2">
                  <c:v>1285</c:v>
                </c:pt>
                <c:pt idx="3">
                  <c:v>1685</c:v>
                </c:pt>
                <c:pt idx="4">
                  <c:v>2089</c:v>
                </c:pt>
                <c:pt idx="5">
                  <c:v>2483</c:v>
                </c:pt>
                <c:pt idx="6">
                  <c:v>2989</c:v>
                </c:pt>
                <c:pt idx="7">
                  <c:v>3591</c:v>
                </c:pt>
                <c:pt idx="8">
                  <c:v>5590</c:v>
                </c:pt>
              </c:numCache>
            </c:numRef>
          </c:xVal>
          <c:yVal>
            <c:numRef>
              <c:f>'resol1 run'!$O$4:$O$12</c:f>
              <c:numCache>
                <c:formatCode>General</c:formatCode>
                <c:ptCount val="9"/>
                <c:pt idx="0">
                  <c:v>3.5625</c:v>
                </c:pt>
                <c:pt idx="1">
                  <c:v>4.3125</c:v>
                </c:pt>
                <c:pt idx="2">
                  <c:v>5</c:v>
                </c:pt>
                <c:pt idx="3">
                  <c:v>5.6875</c:v>
                </c:pt>
                <c:pt idx="4">
                  <c:v>6.40625</c:v>
                </c:pt>
                <c:pt idx="5">
                  <c:v>7.0625</c:v>
                </c:pt>
                <c:pt idx="6">
                  <c:v>8</c:v>
                </c:pt>
                <c:pt idx="7">
                  <c:v>9</c:v>
                </c:pt>
                <c:pt idx="8">
                  <c:v>12.53125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2832"/>
        <c:axId val="57432256"/>
      </c:scatterChart>
      <c:valAx>
        <c:axId val="574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432256"/>
        <c:crosses val="autoZero"/>
        <c:crossBetween val="midCat"/>
      </c:valAx>
      <c:valAx>
        <c:axId val="574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3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8416"/>
        <c:axId val="98348992"/>
      </c:scatterChart>
      <c:valAx>
        <c:axId val="983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8992"/>
        <c:crosses val="autoZero"/>
        <c:crossBetween val="midCat"/>
      </c:valAx>
      <c:valAx>
        <c:axId val="983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0720"/>
        <c:axId val="98351296"/>
      </c:scatterChart>
      <c:valAx>
        <c:axId val="983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51296"/>
        <c:crosses val="autoZero"/>
        <c:crossBetween val="midCat"/>
      </c:valAx>
      <c:valAx>
        <c:axId val="98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5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run'!$C$162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'5th run'!$B$163:$B$177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xVal>
          <c:y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3344"/>
        <c:axId val="121913920"/>
      </c:scatterChart>
      <c:valAx>
        <c:axId val="1219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3920"/>
        <c:crosses val="autoZero"/>
        <c:crossBetween val="midCat"/>
      </c:valAx>
      <c:valAx>
        <c:axId val="1219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'5th run'!$B$166:$B$177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95</c:v>
                </c:pt>
              </c:numCache>
            </c:numRef>
          </c:xVal>
          <c:yVal>
            <c:numRef>
              <c:f>'5th run'!$C$166:$C$177</c:f>
              <c:numCache>
                <c:formatCode>General</c:formatCode>
                <c:ptCount val="12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  <c:pt idx="8">
                  <c:v>493.42379977464793</c:v>
                </c:pt>
                <c:pt idx="9">
                  <c:v>358.85846150000003</c:v>
                </c:pt>
                <c:pt idx="10">
                  <c:v>316.72364029850746</c:v>
                </c:pt>
                <c:pt idx="11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5648"/>
        <c:axId val="121916224"/>
      </c:scatterChart>
      <c:valAx>
        <c:axId val="1219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6224"/>
        <c:crosses val="autoZero"/>
        <c:crossBetween val="midCat"/>
      </c:valAx>
      <c:valAx>
        <c:axId val="121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run'!$D$162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xVal>
          <c:yVal>
            <c:numRef>
              <c:f>'5th run'!$D$163:$D$177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7952"/>
        <c:axId val="121918528"/>
      </c:scatterChart>
      <c:valAx>
        <c:axId val="1219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8528"/>
        <c:crosses val="autoZero"/>
        <c:crossBetween val="midCat"/>
      </c:valAx>
      <c:valAx>
        <c:axId val="1219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run'!$C$218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'resol1 run'!$B$219:$B$230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xVal>
          <c:y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0096"/>
        <c:axId val="58620672"/>
      </c:scatterChart>
      <c:valAx>
        <c:axId val="5862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20672"/>
        <c:crosses val="autoZero"/>
        <c:crossBetween val="midCat"/>
      </c:valAx>
      <c:valAx>
        <c:axId val="586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2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'resol1 run'!$C$255:$C$260</c:f>
              <c:numCache>
                <c:formatCode>General</c:formatCode>
                <c:ptCount val="6"/>
                <c:pt idx="0">
                  <c:v>741.32694847161576</c:v>
                </c:pt>
                <c:pt idx="1">
                  <c:v>568.37380568888898</c:v>
                </c:pt>
                <c:pt idx="2">
                  <c:v>462.57185613079025</c:v>
                </c:pt>
                <c:pt idx="3">
                  <c:v>360.69876130256415</c:v>
                </c:pt>
                <c:pt idx="4">
                  <c:v>337.33637877333342</c:v>
                </c:pt>
                <c:pt idx="5">
                  <c:v>267.84151708336822</c:v>
                </c:pt>
              </c:numCache>
            </c:numRef>
          </c:xVal>
          <c:yVal>
            <c:numRef>
              <c:f>'resol1 run'!$B$255:$B$260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150</c:v>
                </c:pt>
                <c:pt idx="4">
                  <c:v>175</c:v>
                </c:pt>
                <c:pt idx="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096"/>
        <c:axId val="58836672"/>
      </c:scatterChart>
      <c:valAx>
        <c:axId val="5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36672"/>
        <c:crosses val="autoZero"/>
        <c:crossBetween val="midCat"/>
      </c:valAx>
      <c:valAx>
        <c:axId val="588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3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'resol1 run'!$D$218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'resol1 run'!$C$219:$C$230</c:f>
              <c:numCache>
                <c:formatCode>General</c:formatCode>
                <c:ptCount val="12"/>
                <c:pt idx="0">
                  <c:v>9378.1677938666689</c:v>
                </c:pt>
                <c:pt idx="1">
                  <c:v>5305.1209749999998</c:v>
                </c:pt>
                <c:pt idx="2">
                  <c:v>3772.5304711111112</c:v>
                </c:pt>
                <c:pt idx="3">
                  <c:v>1266.8945611940298</c:v>
                </c:pt>
                <c:pt idx="4">
                  <c:v>568.37380568888898</c:v>
                </c:pt>
                <c:pt idx="5">
                  <c:v>462.57185613079025</c:v>
                </c:pt>
                <c:pt idx="6">
                  <c:v>360.69876130256415</c:v>
                </c:pt>
                <c:pt idx="7">
                  <c:v>337.33637877333342</c:v>
                </c:pt>
                <c:pt idx="8">
                  <c:v>267.84151708336822</c:v>
                </c:pt>
                <c:pt idx="9">
                  <c:v>1257.5101570370371</c:v>
                </c:pt>
                <c:pt idx="10">
                  <c:v>741.32694847161576</c:v>
                </c:pt>
              </c:numCache>
            </c:numRef>
          </c:xVal>
          <c:yVal>
            <c:numRef>
              <c:f>'resol1 run'!$D$219:$D$230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45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30</c:v>
                </c:pt>
                <c:pt idx="10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76"/>
        <c:axId val="58839552"/>
      </c:scatterChart>
      <c:valAx>
        <c:axId val="588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39552"/>
        <c:crosses val="autoZero"/>
        <c:crossBetween val="midCat"/>
      </c:valAx>
      <c:valAx>
        <c:axId val="588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38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156</xdr:row>
      <xdr:rowOff>166687</xdr:rowOff>
    </xdr:from>
    <xdr:to>
      <xdr:col>12</xdr:col>
      <xdr:colOff>466725</xdr:colOff>
      <xdr:row>171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177</xdr:row>
      <xdr:rowOff>176212</xdr:rowOff>
    </xdr:from>
    <xdr:to>
      <xdr:col>13</xdr:col>
      <xdr:colOff>533400</xdr:colOff>
      <xdr:row>192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155</xdr:row>
      <xdr:rowOff>42862</xdr:rowOff>
    </xdr:from>
    <xdr:to>
      <xdr:col>18</xdr:col>
      <xdr:colOff>171450</xdr:colOff>
      <xdr:row>169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217</xdr:row>
      <xdr:rowOff>80962</xdr:rowOff>
    </xdr:from>
    <xdr:to>
      <xdr:col>14</xdr:col>
      <xdr:colOff>495300</xdr:colOff>
      <xdr:row>231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233</xdr:row>
      <xdr:rowOff>176212</xdr:rowOff>
    </xdr:from>
    <xdr:to>
      <xdr:col>15</xdr:col>
      <xdr:colOff>533400</xdr:colOff>
      <xdr:row>248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552450</xdr:colOff>
      <xdr:row>207</xdr:row>
      <xdr:rowOff>147637</xdr:rowOff>
    </xdr:from>
    <xdr:to>
      <xdr:col>18</xdr:col>
      <xdr:colOff>247650</xdr:colOff>
      <xdr:row>222</xdr:row>
      <xdr:rowOff>33337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90487</xdr:colOff>
      <xdr:row>12</xdr:row>
      <xdr:rowOff>66675</xdr:rowOff>
    </xdr:from>
    <xdr:to>
      <xdr:col>26</xdr:col>
      <xdr:colOff>395287</xdr:colOff>
      <xdr:row>26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:E24"/>
  <sheetViews>
    <sheetView tabSelected="1" topLeftCell="A16" workbookViewId="0">
      <selection activeCell="F19" sqref="F19"/>
    </sheetView>
  </sheetViews>
  <sheetFormatPr defaultRowHeight="15" x14ac:dyDescent="0.25"/>
  <cols>
    <col min="3" max="3" width="13" customWidth="1"/>
  </cols>
  <sheetData>
    <row r="4" spans="2:3" x14ac:dyDescent="0.25">
      <c r="B4">
        <v>800</v>
      </c>
      <c r="C4">
        <f>36725*B4^-0.929</f>
        <v>73.78892894358394</v>
      </c>
    </row>
    <row r="5" spans="2:3" x14ac:dyDescent="0.25">
      <c r="B5">
        <v>700</v>
      </c>
      <c r="C5">
        <f t="shared" ref="C5:C10" si="0">36725*B5^-0.929</f>
        <v>83.534470730350066</v>
      </c>
    </row>
    <row r="6" spans="2:3" x14ac:dyDescent="0.25">
      <c r="B6">
        <v>600</v>
      </c>
      <c r="C6">
        <f t="shared" si="0"/>
        <v>96.396062114383</v>
      </c>
    </row>
    <row r="7" spans="2:3" x14ac:dyDescent="0.25">
      <c r="B7">
        <v>500</v>
      </c>
      <c r="C7">
        <f t="shared" si="0"/>
        <v>114.1875278011925</v>
      </c>
    </row>
    <row r="8" spans="2:3" x14ac:dyDescent="0.25">
      <c r="B8">
        <v>400</v>
      </c>
      <c r="C8">
        <f t="shared" si="0"/>
        <v>140.49086049197209</v>
      </c>
    </row>
    <row r="9" spans="2:3" x14ac:dyDescent="0.25">
      <c r="B9">
        <v>300</v>
      </c>
      <c r="C9">
        <f t="shared" si="0"/>
        <v>183.53384319809689</v>
      </c>
    </row>
    <row r="10" spans="2:3" x14ac:dyDescent="0.25">
      <c r="B10">
        <v>200</v>
      </c>
      <c r="C10">
        <f t="shared" si="0"/>
        <v>267.48839106833202</v>
      </c>
    </row>
    <row r="17" spans="2:5" ht="15.75" thickBot="1" x14ac:dyDescent="0.3"/>
    <row r="18" spans="2:5" x14ac:dyDescent="0.25">
      <c r="B18" s="37" t="s">
        <v>24</v>
      </c>
      <c r="C18" s="38" t="s">
        <v>43</v>
      </c>
      <c r="D18" s="38" t="s">
        <v>44</v>
      </c>
      <c r="E18" s="39" t="s">
        <v>45</v>
      </c>
    </row>
    <row r="19" spans="2:5" x14ac:dyDescent="0.25">
      <c r="B19" s="22">
        <v>800</v>
      </c>
      <c r="C19" s="35">
        <v>73.78892894358394</v>
      </c>
      <c r="D19" s="23"/>
      <c r="E19" s="31"/>
    </row>
    <row r="20" spans="2:5" x14ac:dyDescent="0.25">
      <c r="B20" s="22">
        <v>700</v>
      </c>
      <c r="C20" s="35">
        <v>83.534470730350066</v>
      </c>
      <c r="D20" s="23">
        <v>600</v>
      </c>
      <c r="E20" s="31">
        <v>3</v>
      </c>
    </row>
    <row r="21" spans="2:5" x14ac:dyDescent="0.25">
      <c r="B21" s="22">
        <v>600</v>
      </c>
      <c r="C21" s="35">
        <v>96.396062114383</v>
      </c>
      <c r="D21" s="23">
        <v>575</v>
      </c>
      <c r="E21" s="31">
        <v>3</v>
      </c>
    </row>
    <row r="22" spans="2:5" x14ac:dyDescent="0.25">
      <c r="B22" s="22">
        <v>500</v>
      </c>
      <c r="C22" s="35">
        <v>114.1875278011925</v>
      </c>
      <c r="D22" s="23">
        <v>560</v>
      </c>
      <c r="E22" s="31">
        <v>3</v>
      </c>
    </row>
    <row r="23" spans="2:5" x14ac:dyDescent="0.25">
      <c r="B23" s="22">
        <v>400</v>
      </c>
      <c r="C23" s="35">
        <v>140.49086049197209</v>
      </c>
      <c r="D23" s="23">
        <v>530</v>
      </c>
      <c r="E23" s="31">
        <v>3</v>
      </c>
    </row>
    <row r="24" spans="2:5" ht="15.75" thickBot="1" x14ac:dyDescent="0.3">
      <c r="B24" s="8">
        <v>300</v>
      </c>
      <c r="C24" s="36">
        <v>183.53384319809689</v>
      </c>
      <c r="D24" s="9">
        <v>500</v>
      </c>
      <c r="E24" s="2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workbookViewId="0">
      <selection activeCell="C12" sqref="B12:C13"/>
    </sheetView>
  </sheetViews>
  <sheetFormatPr defaultRowHeight="15" x14ac:dyDescent="0.25"/>
  <cols>
    <col min="6" max="6" width="10" customWidth="1"/>
    <col min="9" max="9" width="11.42578125" customWidth="1"/>
    <col min="10" max="10" width="20.5703125" customWidth="1"/>
  </cols>
  <sheetData>
    <row r="4" spans="2:5" x14ac:dyDescent="0.25">
      <c r="B4" t="s">
        <v>17</v>
      </c>
      <c r="C4" t="s">
        <v>24</v>
      </c>
      <c r="E4" t="s">
        <v>35</v>
      </c>
    </row>
    <row r="5" spans="2:5" x14ac:dyDescent="0.25">
      <c r="B5">
        <v>5</v>
      </c>
      <c r="C5">
        <v>4920.3777786516875</v>
      </c>
    </row>
    <row r="6" spans="2:5" x14ac:dyDescent="0.25">
      <c r="B6">
        <v>10</v>
      </c>
      <c r="C6">
        <v>2814.3877851458888</v>
      </c>
    </row>
    <row r="7" spans="2:5" x14ac:dyDescent="0.25">
      <c r="B7">
        <v>15</v>
      </c>
      <c r="C7">
        <v>1826.9158040000004</v>
      </c>
    </row>
    <row r="8" spans="2:5" x14ac:dyDescent="0.25">
      <c r="B8">
        <v>20</v>
      </c>
      <c r="C8">
        <v>1406.7251690800001</v>
      </c>
    </row>
    <row r="9" spans="2:5" x14ac:dyDescent="0.25">
      <c r="B9">
        <v>25</v>
      </c>
      <c r="C9">
        <v>1153.287168478261</v>
      </c>
    </row>
    <row r="10" spans="2:5" x14ac:dyDescent="0.25">
      <c r="B10">
        <v>30</v>
      </c>
      <c r="C10">
        <v>938.95946460176992</v>
      </c>
    </row>
    <row r="11" spans="2:5" x14ac:dyDescent="0.25">
      <c r="B11">
        <v>35</v>
      </c>
      <c r="C11">
        <v>796.20658600000002</v>
      </c>
    </row>
    <row r="12" spans="2:5" x14ac:dyDescent="0.25">
      <c r="B12">
        <v>40</v>
      </c>
      <c r="C12">
        <v>675.81158917197456</v>
      </c>
    </row>
    <row r="13" spans="2:5" x14ac:dyDescent="0.25">
      <c r="B13">
        <v>45</v>
      </c>
      <c r="C13">
        <v>609.08392365097586</v>
      </c>
    </row>
    <row r="14" spans="2:5" x14ac:dyDescent="0.25">
      <c r="B14">
        <v>50</v>
      </c>
      <c r="C14">
        <v>558.43378684210529</v>
      </c>
    </row>
    <row r="15" spans="2:5" x14ac:dyDescent="0.25">
      <c r="B15">
        <v>55</v>
      </c>
      <c r="C15">
        <v>502.40184610000017</v>
      </c>
    </row>
    <row r="16" spans="2:5" x14ac:dyDescent="0.25">
      <c r="B16">
        <v>60</v>
      </c>
      <c r="C16">
        <v>493.42379977464793</v>
      </c>
    </row>
    <row r="17" spans="2:10" x14ac:dyDescent="0.25">
      <c r="B17">
        <v>80</v>
      </c>
      <c r="C17">
        <v>358.85846150000003</v>
      </c>
    </row>
    <row r="18" spans="2:10" x14ac:dyDescent="0.25">
      <c r="B18">
        <v>90</v>
      </c>
      <c r="C18">
        <v>316.72364029850746</v>
      </c>
    </row>
    <row r="19" spans="2:10" x14ac:dyDescent="0.25">
      <c r="B19">
        <v>95</v>
      </c>
      <c r="C19">
        <v>285.10524849015587</v>
      </c>
    </row>
    <row r="21" spans="2:10" ht="15.75" thickBot="1" x14ac:dyDescent="0.3"/>
    <row r="22" spans="2:10" x14ac:dyDescent="0.25">
      <c r="B22" s="5" t="s">
        <v>24</v>
      </c>
      <c r="C22" s="30" t="s">
        <v>17</v>
      </c>
      <c r="D22" s="7" t="s">
        <v>35</v>
      </c>
      <c r="E22" s="21"/>
      <c r="F22" s="21" t="s">
        <v>37</v>
      </c>
      <c r="G22" t="s">
        <v>36</v>
      </c>
      <c r="I22" t="s">
        <v>38</v>
      </c>
      <c r="J22" t="s">
        <v>36</v>
      </c>
    </row>
    <row r="23" spans="2:10" x14ac:dyDescent="0.25">
      <c r="B23" s="22">
        <v>1000</v>
      </c>
      <c r="C23" s="23">
        <f t="shared" ref="C23:C29" si="0" xml:space="preserve"> 33021*B23^(-1.026)</f>
        <v>27.592447265014034</v>
      </c>
      <c r="D23" s="31">
        <v>400</v>
      </c>
    </row>
    <row r="24" spans="2:10" x14ac:dyDescent="0.25">
      <c r="B24" s="22">
        <v>800</v>
      </c>
      <c r="C24" s="23">
        <f t="shared" si="0"/>
        <v>34.691245675136052</v>
      </c>
      <c r="D24" s="31">
        <v>400</v>
      </c>
    </row>
    <row r="25" spans="2:10" x14ac:dyDescent="0.25">
      <c r="B25" s="22">
        <v>700</v>
      </c>
      <c r="C25" s="23">
        <f t="shared" si="0"/>
        <v>39.785024710768376</v>
      </c>
      <c r="D25" s="31">
        <v>400</v>
      </c>
    </row>
    <row r="26" spans="2:10" x14ac:dyDescent="0.25">
      <c r="B26" s="22">
        <v>600</v>
      </c>
      <c r="C26" s="23">
        <f t="shared" si="0"/>
        <v>46.602266413871376</v>
      </c>
      <c r="D26" s="31">
        <v>400</v>
      </c>
      <c r="F26">
        <v>540</v>
      </c>
      <c r="G26">
        <v>3</v>
      </c>
      <c r="I26">
        <v>540</v>
      </c>
      <c r="J26">
        <v>6</v>
      </c>
    </row>
    <row r="27" spans="2:10" x14ac:dyDescent="0.25">
      <c r="B27" s="22">
        <v>500</v>
      </c>
      <c r="C27" s="23">
        <f t="shared" si="0"/>
        <v>56.188442861046184</v>
      </c>
      <c r="D27" s="31">
        <v>400</v>
      </c>
      <c r="F27">
        <v>480</v>
      </c>
      <c r="G27">
        <v>3</v>
      </c>
      <c r="I27">
        <v>470</v>
      </c>
      <c r="J27">
        <v>6</v>
      </c>
    </row>
    <row r="28" spans="2:10" x14ac:dyDescent="0.25">
      <c r="B28" s="22">
        <v>400</v>
      </c>
      <c r="C28" s="23">
        <f t="shared" si="0"/>
        <v>70.644225815643864</v>
      </c>
      <c r="D28" s="31">
        <v>400</v>
      </c>
      <c r="F28">
        <v>440</v>
      </c>
      <c r="G28">
        <v>3</v>
      </c>
      <c r="I28">
        <v>380</v>
      </c>
      <c r="J28">
        <v>6</v>
      </c>
    </row>
    <row r="29" spans="2:10" ht="15.75" thickBot="1" x14ac:dyDescent="0.3">
      <c r="B29" s="8">
        <v>300</v>
      </c>
      <c r="C29" s="9">
        <f t="shared" si="0"/>
        <v>94.899475876183459</v>
      </c>
      <c r="D29" s="24">
        <v>350</v>
      </c>
      <c r="F29">
        <v>415</v>
      </c>
      <c r="G29">
        <v>3</v>
      </c>
      <c r="I29">
        <v>350</v>
      </c>
      <c r="J29">
        <v>6</v>
      </c>
    </row>
  </sheetData>
  <sortState ref="B23:D29">
    <sortCondition descending="1" ref="B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E5" sqref="E5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9"/>
  <sheetViews>
    <sheetView topLeftCell="A145" workbookViewId="0">
      <selection activeCell="C171" sqref="C171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1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ht="15.75" thickBot="1" x14ac:dyDescent="0.3"/>
    <row r="124" spans="2:11" x14ac:dyDescent="0.25">
      <c r="B124" s="17" t="s">
        <v>17</v>
      </c>
      <c r="C124" s="11">
        <v>80</v>
      </c>
      <c r="D124" s="18" t="s">
        <v>24</v>
      </c>
      <c r="E124" s="11"/>
      <c r="F124" s="18"/>
      <c r="G124" s="18"/>
      <c r="H124" s="18"/>
      <c r="I124" s="18"/>
      <c r="J124" s="18"/>
      <c r="K124" s="19"/>
    </row>
    <row r="125" spans="2:11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</row>
    <row r="126" spans="2:11" x14ac:dyDescent="0.25">
      <c r="B126" s="22"/>
      <c r="C126" s="23"/>
      <c r="D126" s="28">
        <v>1.5</v>
      </c>
      <c r="E126" s="23"/>
      <c r="F126" s="21"/>
      <c r="G126" s="21"/>
      <c r="H126" s="21"/>
      <c r="I126" s="21"/>
      <c r="J126" s="23"/>
      <c r="K126" s="27"/>
    </row>
    <row r="127" spans="2:11" x14ac:dyDescent="0.25">
      <c r="B127" s="22">
        <v>4.54</v>
      </c>
      <c r="C127" s="23">
        <f>B127</f>
        <v>4.54</v>
      </c>
      <c r="D127" s="23">
        <f>D126</f>
        <v>1.5</v>
      </c>
      <c r="E127" s="28">
        <v>6.25</v>
      </c>
      <c r="F127" s="21">
        <f>(E127-D127)/$F$2</f>
        <v>0.12064993484903518</v>
      </c>
      <c r="G127" s="21">
        <f>C127*9.8</f>
        <v>44.492000000000004</v>
      </c>
      <c r="H127" s="23"/>
      <c r="I127" s="21">
        <f t="shared" ref="I127:I129" si="67">G127/F127</f>
        <v>368.76936614736849</v>
      </c>
      <c r="J127" s="23"/>
      <c r="K127" s="27"/>
    </row>
    <row r="128" spans="2:11" x14ac:dyDescent="0.25">
      <c r="B128" s="22">
        <v>4.5750000000000002</v>
      </c>
      <c r="C128" s="23">
        <f>C127+B128</f>
        <v>9.1150000000000002</v>
      </c>
      <c r="D128" s="23">
        <f t="shared" ref="D128:D130" si="68">D127</f>
        <v>1.5</v>
      </c>
      <c r="E128" s="28">
        <v>11.3</v>
      </c>
      <c r="F128" s="21">
        <f t="shared" ref="F128:F130" si="69">(E128-D128)/$F$2</f>
        <v>0.24891986558327259</v>
      </c>
      <c r="G128" s="21">
        <f t="shared" ref="G128:G130" si="70">C128*9.8</f>
        <v>89.327000000000012</v>
      </c>
      <c r="H128" s="23"/>
      <c r="I128" s="21">
        <f t="shared" si="67"/>
        <v>358.85846150000003</v>
      </c>
      <c r="J128" s="23"/>
      <c r="K128" s="27"/>
    </row>
    <row r="129" spans="2:11" x14ac:dyDescent="0.25">
      <c r="B129" s="22">
        <v>4.6349999999999998</v>
      </c>
      <c r="C129" s="23">
        <f t="shared" ref="C129:C130" si="71">C128+B129</f>
        <v>13.75</v>
      </c>
      <c r="D129" s="23">
        <f t="shared" si="68"/>
        <v>1.5</v>
      </c>
      <c r="E129" s="28">
        <v>16.375</v>
      </c>
      <c r="F129" s="21">
        <f t="shared" si="69"/>
        <v>0.37782479597461016</v>
      </c>
      <c r="G129" s="21">
        <f t="shared" si="70"/>
        <v>134.75</v>
      </c>
      <c r="H129" s="23"/>
      <c r="I129" s="21">
        <f t="shared" si="67"/>
        <v>356.64678823529414</v>
      </c>
      <c r="J129" s="23"/>
      <c r="K129" s="27"/>
    </row>
    <row r="130" spans="2:11" x14ac:dyDescent="0.25">
      <c r="B130" s="22">
        <v>4.54</v>
      </c>
      <c r="C130" s="23">
        <f t="shared" si="71"/>
        <v>18.29</v>
      </c>
      <c r="D130" s="23">
        <f t="shared" si="68"/>
        <v>1.5</v>
      </c>
      <c r="E130" s="28"/>
      <c r="F130" s="21">
        <f t="shared" si="69"/>
        <v>-3.8099979426011107E-2</v>
      </c>
      <c r="G130" s="21">
        <f t="shared" si="70"/>
        <v>179.24200000000002</v>
      </c>
      <c r="H130" s="23"/>
      <c r="I130" s="21"/>
      <c r="J130" s="23"/>
      <c r="K130" s="27"/>
    </row>
    <row r="131" spans="2:11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358.85846150000003</v>
      </c>
      <c r="J131" s="9">
        <f>MAX(I127:I130)-MIN(I127:I130)</f>
        <v>12.122577912074348</v>
      </c>
      <c r="K131" s="24"/>
    </row>
    <row r="132" spans="2:11" ht="15.75" thickBot="1" x14ac:dyDescent="0.3"/>
    <row r="133" spans="2:11" x14ac:dyDescent="0.25">
      <c r="B133" s="17" t="s">
        <v>17</v>
      </c>
      <c r="C133" s="11">
        <v>90</v>
      </c>
      <c r="D133" s="18" t="s">
        <v>24</v>
      </c>
      <c r="E133" s="11"/>
      <c r="F133" s="18"/>
      <c r="G133" s="18"/>
      <c r="H133" s="18"/>
      <c r="I133" s="18"/>
      <c r="J133" s="18"/>
      <c r="K133" s="19"/>
    </row>
    <row r="134" spans="2:11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</row>
    <row r="135" spans="2:11" x14ac:dyDescent="0.25">
      <c r="B135" s="22"/>
      <c r="C135" s="23"/>
      <c r="D135" s="28">
        <v>2</v>
      </c>
      <c r="E135" s="23"/>
      <c r="F135" s="21"/>
      <c r="G135" s="21"/>
      <c r="H135" s="21"/>
      <c r="I135" s="21"/>
      <c r="J135" s="23"/>
      <c r="K135" s="27"/>
    </row>
    <row r="136" spans="2:11" x14ac:dyDescent="0.25">
      <c r="B136" s="22">
        <v>4.54</v>
      </c>
      <c r="C136" s="23">
        <f>B136</f>
        <v>4.54</v>
      </c>
      <c r="D136" s="23">
        <f>D135</f>
        <v>2</v>
      </c>
      <c r="E136" s="28">
        <v>7.5</v>
      </c>
      <c r="F136" s="21">
        <f>(E136-D136)/$F$2</f>
        <v>0.13969992456204072</v>
      </c>
      <c r="G136" s="21">
        <f>C136*9.8</f>
        <v>44.492000000000004</v>
      </c>
      <c r="H136" s="23"/>
      <c r="I136" s="21">
        <f t="shared" ref="I136:I138" si="72">G136/F136</f>
        <v>318.48263440000005</v>
      </c>
      <c r="J136" s="23"/>
      <c r="K136" s="27"/>
    </row>
    <row r="137" spans="2:11" x14ac:dyDescent="0.25">
      <c r="B137" s="22">
        <v>4.5750000000000002</v>
      </c>
      <c r="C137" s="23">
        <f>C136+B137</f>
        <v>9.1150000000000002</v>
      </c>
      <c r="D137" s="23">
        <f t="shared" ref="D137:D139" si="73">D136</f>
        <v>2</v>
      </c>
      <c r="E137" s="28">
        <v>13.125</v>
      </c>
      <c r="F137" s="21">
        <f t="shared" ref="F137:F139" si="74">(E137-D137)/$F$2</f>
        <v>0.28257484740958239</v>
      </c>
      <c r="G137" s="21">
        <f t="shared" ref="G137:G139" si="75">C137*9.8</f>
        <v>89.327000000000012</v>
      </c>
      <c r="H137" s="23"/>
      <c r="I137" s="21">
        <f t="shared" si="72"/>
        <v>316.11801552359555</v>
      </c>
      <c r="J137" s="23"/>
      <c r="K137" s="27"/>
    </row>
    <row r="138" spans="2:11" x14ac:dyDescent="0.25">
      <c r="B138" s="22">
        <v>4.6349999999999998</v>
      </c>
      <c r="C138" s="23">
        <f t="shared" ref="C138:C139" si="76">C137+B138</f>
        <v>13.75</v>
      </c>
      <c r="D138" s="23">
        <f t="shared" si="73"/>
        <v>2</v>
      </c>
      <c r="E138" s="28">
        <v>18.75</v>
      </c>
      <c r="F138" s="21">
        <f t="shared" si="74"/>
        <v>0.42544977025712405</v>
      </c>
      <c r="G138" s="21">
        <f t="shared" si="75"/>
        <v>134.75</v>
      </c>
      <c r="H138" s="23"/>
      <c r="I138" s="21">
        <f t="shared" si="72"/>
        <v>316.72364029850746</v>
      </c>
      <c r="J138" s="23"/>
      <c r="K138" s="27"/>
    </row>
    <row r="139" spans="2:11" x14ac:dyDescent="0.25">
      <c r="B139" s="22">
        <v>4.54</v>
      </c>
      <c r="C139" s="23">
        <f t="shared" si="76"/>
        <v>18.29</v>
      </c>
      <c r="D139" s="23">
        <f t="shared" si="73"/>
        <v>2</v>
      </c>
      <c r="E139" s="28"/>
      <c r="F139" s="21">
        <f t="shared" si="74"/>
        <v>-5.0799972568014815E-2</v>
      </c>
      <c r="G139" s="21">
        <f t="shared" si="75"/>
        <v>179.24200000000002</v>
      </c>
      <c r="H139" s="23"/>
      <c r="I139" s="21"/>
      <c r="J139" s="23"/>
      <c r="K139" s="27"/>
    </row>
    <row r="140" spans="2:11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316.72364029850746</v>
      </c>
      <c r="J140" s="9">
        <f>MAX(I136:I139)-MIN(I136:I139)</f>
        <v>2.3646188764045064</v>
      </c>
      <c r="K140" s="24"/>
    </row>
    <row r="142" spans="2:11" ht="15.75" thickBot="1" x14ac:dyDescent="0.3"/>
    <row r="143" spans="2:11" x14ac:dyDescent="0.25">
      <c r="B143" s="17" t="s">
        <v>17</v>
      </c>
      <c r="C143" s="11">
        <v>95</v>
      </c>
      <c r="D143" s="18" t="s">
        <v>24</v>
      </c>
      <c r="E143" s="11"/>
      <c r="F143" s="18"/>
      <c r="G143" s="18"/>
      <c r="H143" s="18"/>
      <c r="I143" s="18"/>
      <c r="J143" s="18"/>
      <c r="K143" s="19"/>
    </row>
    <row r="144" spans="2:11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</row>
    <row r="145" spans="2:11" x14ac:dyDescent="0.25">
      <c r="B145" s="22"/>
      <c r="C145" s="23"/>
      <c r="D145" s="28">
        <v>2.625</v>
      </c>
      <c r="E145" s="23"/>
      <c r="F145" s="21"/>
      <c r="G145" s="21"/>
      <c r="H145" s="21"/>
      <c r="I145" s="21"/>
      <c r="J145" s="23"/>
      <c r="K145" s="27"/>
    </row>
    <row r="146" spans="2:11" x14ac:dyDescent="0.25">
      <c r="B146" s="22">
        <v>4.54</v>
      </c>
      <c r="C146" s="23">
        <f>B146</f>
        <v>4.54</v>
      </c>
      <c r="D146" s="23">
        <f>D145</f>
        <v>2.625</v>
      </c>
      <c r="E146" s="28">
        <v>9.25</v>
      </c>
      <c r="F146" s="21">
        <f>(E146-D146)/$F$2</f>
        <v>0.16827490913154908</v>
      </c>
      <c r="G146" s="21">
        <f>C146*9.8</f>
        <v>44.492000000000004</v>
      </c>
      <c r="H146" s="23"/>
      <c r="I146" s="21">
        <f t="shared" ref="I146:I147" si="77">G146/F146</f>
        <v>264.40067761509437</v>
      </c>
      <c r="J146" s="23"/>
      <c r="K146" s="27"/>
    </row>
    <row r="147" spans="2:11" x14ac:dyDescent="0.25">
      <c r="B147" s="22">
        <v>4.5750000000000002</v>
      </c>
      <c r="C147" s="23">
        <f>C146+B147</f>
        <v>9.1150000000000002</v>
      </c>
      <c r="D147" s="23">
        <f t="shared" ref="D147:D149" si="78">D146</f>
        <v>2.625</v>
      </c>
      <c r="E147" s="28">
        <v>14.125</v>
      </c>
      <c r="F147" s="21">
        <f t="shared" ref="F147:F149" si="79">(E147-D147)/$F$2</f>
        <v>0.29209984226608515</v>
      </c>
      <c r="G147" s="21">
        <f t="shared" ref="G147:G149" si="80">C147*9.8</f>
        <v>89.327000000000012</v>
      </c>
      <c r="H147" s="23"/>
      <c r="I147" s="21">
        <f t="shared" si="77"/>
        <v>305.80981936521744</v>
      </c>
      <c r="J147" s="23"/>
      <c r="K147" s="27"/>
    </row>
    <row r="148" spans="2:11" x14ac:dyDescent="0.25">
      <c r="B148" s="22">
        <v>4.6349999999999998</v>
      </c>
      <c r="C148" s="23">
        <f t="shared" ref="C148:C149" si="81">C147+B148</f>
        <v>13.75</v>
      </c>
      <c r="D148" s="23">
        <f t="shared" si="78"/>
        <v>2.625</v>
      </c>
      <c r="E148" s="28"/>
      <c r="F148" s="21">
        <f t="shared" si="79"/>
        <v>-6.6674963995519435E-2</v>
      </c>
      <c r="G148" s="21">
        <f t="shared" si="80"/>
        <v>134.75</v>
      </c>
      <c r="H148" s="23"/>
      <c r="I148" s="21"/>
      <c r="J148" s="23"/>
      <c r="K148" s="27"/>
    </row>
    <row r="149" spans="2:11" x14ac:dyDescent="0.25">
      <c r="B149" s="22">
        <v>4.54</v>
      </c>
      <c r="C149" s="23">
        <f t="shared" si="81"/>
        <v>18.29</v>
      </c>
      <c r="D149" s="23">
        <f t="shared" si="78"/>
        <v>2.625</v>
      </c>
      <c r="E149" s="28"/>
      <c r="F149" s="21">
        <f t="shared" si="79"/>
        <v>-6.6674963995519435E-2</v>
      </c>
      <c r="G149" s="21">
        <f t="shared" si="80"/>
        <v>179.24200000000002</v>
      </c>
      <c r="H149" s="23"/>
      <c r="I149" s="21"/>
      <c r="J149" s="23"/>
      <c r="K149" s="27"/>
    </row>
    <row r="150" spans="2:11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285.10524849015587</v>
      </c>
      <c r="J150" s="9">
        <f>MAX(I146:I149)-MIN(I146:I149)</f>
        <v>41.409141750123069</v>
      </c>
      <c r="K150" s="24"/>
    </row>
    <row r="162" spans="2:4" x14ac:dyDescent="0.25">
      <c r="B162" t="s">
        <v>17</v>
      </c>
      <c r="C162" t="s">
        <v>24</v>
      </c>
      <c r="D162" t="s">
        <v>17</v>
      </c>
    </row>
    <row r="163" spans="2:4" x14ac:dyDescent="0.25">
      <c r="B163">
        <f>C5</f>
        <v>5</v>
      </c>
      <c r="C163">
        <f>I12</f>
        <v>4920.3777786516875</v>
      </c>
      <c r="D163">
        <v>5</v>
      </c>
    </row>
    <row r="164" spans="2:4" x14ac:dyDescent="0.25">
      <c r="B164">
        <f>C16</f>
        <v>10</v>
      </c>
      <c r="C164">
        <f>I23</f>
        <v>2814.3877851458888</v>
      </c>
      <c r="D164">
        <v>10</v>
      </c>
    </row>
    <row r="165" spans="2:4" x14ac:dyDescent="0.25">
      <c r="B165">
        <f>C27</f>
        <v>15</v>
      </c>
      <c r="C165">
        <f>I34</f>
        <v>1826.9158040000004</v>
      </c>
      <c r="D165">
        <v>15</v>
      </c>
    </row>
    <row r="166" spans="2:4" x14ac:dyDescent="0.25">
      <c r="B166">
        <f>C37</f>
        <v>20</v>
      </c>
      <c r="C166">
        <f>I44</f>
        <v>1406.7251690800001</v>
      </c>
      <c r="D166">
        <v>20</v>
      </c>
    </row>
    <row r="167" spans="2:4" x14ac:dyDescent="0.25">
      <c r="B167">
        <f>C46</f>
        <v>25</v>
      </c>
      <c r="C167">
        <f>I53</f>
        <v>1153.287168478261</v>
      </c>
      <c r="D167">
        <v>25</v>
      </c>
    </row>
    <row r="168" spans="2:4" x14ac:dyDescent="0.25">
      <c r="B168">
        <f>C56</f>
        <v>30</v>
      </c>
      <c r="C168">
        <f>I63</f>
        <v>938.95946460176992</v>
      </c>
      <c r="D168">
        <v>30</v>
      </c>
    </row>
    <row r="169" spans="2:4" x14ac:dyDescent="0.25">
      <c r="B169">
        <f>C66</f>
        <v>35</v>
      </c>
      <c r="C169">
        <f>I73</f>
        <v>796.20658600000002</v>
      </c>
      <c r="D169">
        <v>35</v>
      </c>
    </row>
    <row r="170" spans="2:4" x14ac:dyDescent="0.25">
      <c r="B170">
        <f>C75</f>
        <v>40</v>
      </c>
      <c r="C170">
        <f>I82</f>
        <v>675.81158917197456</v>
      </c>
      <c r="D170">
        <v>40</v>
      </c>
    </row>
    <row r="171" spans="2:4" x14ac:dyDescent="0.25">
      <c r="B171">
        <f>C85</f>
        <v>45</v>
      </c>
      <c r="C171">
        <f>I92</f>
        <v>609.08392365097586</v>
      </c>
      <c r="D171">
        <v>45</v>
      </c>
    </row>
    <row r="172" spans="2:4" x14ac:dyDescent="0.25">
      <c r="B172">
        <f>C95</f>
        <v>50</v>
      </c>
      <c r="C172">
        <f>I102</f>
        <v>558.43378684210529</v>
      </c>
      <c r="D172">
        <v>50</v>
      </c>
    </row>
    <row r="173" spans="2:4" x14ac:dyDescent="0.25">
      <c r="B173">
        <f>C105</f>
        <v>55</v>
      </c>
      <c r="C173">
        <f>I112</f>
        <v>502.40184610000017</v>
      </c>
      <c r="D173">
        <v>55</v>
      </c>
    </row>
    <row r="174" spans="2:4" x14ac:dyDescent="0.25">
      <c r="B174">
        <f>C114</f>
        <v>60</v>
      </c>
      <c r="C174">
        <f>I121</f>
        <v>493.42379977464793</v>
      </c>
      <c r="D174">
        <v>60</v>
      </c>
    </row>
    <row r="175" spans="2:4" x14ac:dyDescent="0.25">
      <c r="B175">
        <f>C124</f>
        <v>80</v>
      </c>
      <c r="C175">
        <f>I131</f>
        <v>358.85846150000003</v>
      </c>
      <c r="D175">
        <v>80</v>
      </c>
    </row>
    <row r="176" spans="2:4" x14ac:dyDescent="0.25">
      <c r="B176">
        <f>C133</f>
        <v>90</v>
      </c>
      <c r="C176">
        <f>I140</f>
        <v>316.72364029850746</v>
      </c>
      <c r="D176">
        <v>90</v>
      </c>
    </row>
    <row r="177" spans="1:4" x14ac:dyDescent="0.25">
      <c r="B177">
        <f>C143</f>
        <v>95</v>
      </c>
      <c r="C177">
        <f>I150</f>
        <v>285.10524849015587</v>
      </c>
      <c r="D177">
        <v>95</v>
      </c>
    </row>
    <row r="188" spans="1:4" x14ac:dyDescent="0.25">
      <c r="A188" t="s">
        <v>24</v>
      </c>
      <c r="B188">
        <v>800</v>
      </c>
    </row>
    <row r="189" spans="1:4" x14ac:dyDescent="0.25">
      <c r="A189" t="s">
        <v>17</v>
      </c>
      <c r="B189">
        <f xml:space="preserve"> 33021*B188^(-1.026)</f>
        <v>34.691245675136052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X260"/>
  <sheetViews>
    <sheetView topLeftCell="A228" workbookViewId="0">
      <selection activeCell="D259" sqref="D259"/>
    </sheetView>
  </sheetViews>
  <sheetFormatPr defaultRowHeight="15" x14ac:dyDescent="0.25"/>
  <cols>
    <col min="12" max="13" width="9.140625" style="33"/>
  </cols>
  <sheetData>
    <row r="2" spans="2:24" x14ac:dyDescent="0.25">
      <c r="E2" t="s">
        <v>30</v>
      </c>
      <c r="F2" s="15">
        <v>39.370100000000001</v>
      </c>
      <c r="O2" t="s">
        <v>39</v>
      </c>
      <c r="R2" t="s">
        <v>40</v>
      </c>
    </row>
    <row r="3" spans="2:24" x14ac:dyDescent="0.25">
      <c r="N3" s="32">
        <f>2+12/16</f>
        <v>2.75</v>
      </c>
      <c r="Q3" s="32">
        <v>87</v>
      </c>
      <c r="T3" t="s">
        <v>41</v>
      </c>
    </row>
    <row r="4" spans="2:24" ht="15.75" thickBot="1" x14ac:dyDescent="0.3">
      <c r="N4">
        <f>2+12/16</f>
        <v>2.75</v>
      </c>
      <c r="O4" s="32">
        <f>3+9/16</f>
        <v>3.5625</v>
      </c>
      <c r="P4">
        <f>O4-N4</f>
        <v>0.8125</v>
      </c>
      <c r="Q4">
        <v>87</v>
      </c>
      <c r="R4" s="32">
        <v>480</v>
      </c>
      <c r="S4">
        <f>R4-Q4</f>
        <v>393</v>
      </c>
      <c r="T4">
        <f>S4/P4</f>
        <v>483.69230769230768</v>
      </c>
      <c r="U4">
        <f>0.0018*S4+2.7402</f>
        <v>3.4476000000000004</v>
      </c>
    </row>
    <row r="5" spans="2:24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  <c r="L5" s="21"/>
      <c r="M5" s="21"/>
      <c r="N5">
        <f t="shared" ref="N5:N12" si="0">2+12/16</f>
        <v>2.75</v>
      </c>
      <c r="O5" s="32">
        <f>4+5/16</f>
        <v>4.3125</v>
      </c>
      <c r="P5">
        <f>O5-N5</f>
        <v>1.5625</v>
      </c>
      <c r="Q5">
        <v>87</v>
      </c>
      <c r="R5" s="32">
        <v>889</v>
      </c>
      <c r="S5">
        <f t="shared" ref="S5:S6" si="1">R5-Q5</f>
        <v>802</v>
      </c>
      <c r="T5">
        <f>S5/P5</f>
        <v>513.28</v>
      </c>
      <c r="U5">
        <f t="shared" ref="U5:U12" si="2">0.0018*S5+2.7402</f>
        <v>4.1837999999999997</v>
      </c>
      <c r="V5">
        <f>O5-O4</f>
        <v>0.75</v>
      </c>
      <c r="W5">
        <f>R5-R4</f>
        <v>409</v>
      </c>
      <c r="X5">
        <f>W5/V5</f>
        <v>545.33333333333337</v>
      </c>
    </row>
    <row r="6" spans="2:24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  <c r="L6" s="25"/>
      <c r="M6" s="25"/>
      <c r="N6">
        <f t="shared" si="0"/>
        <v>2.75</v>
      </c>
      <c r="O6" s="32">
        <v>5</v>
      </c>
      <c r="P6">
        <f>O6-N6</f>
        <v>2.25</v>
      </c>
      <c r="Q6">
        <v>87</v>
      </c>
      <c r="R6" s="32">
        <v>1285</v>
      </c>
      <c r="S6">
        <f t="shared" si="1"/>
        <v>1198</v>
      </c>
      <c r="T6">
        <f>S6/P6</f>
        <v>532.44444444444446</v>
      </c>
      <c r="U6">
        <f t="shared" si="2"/>
        <v>4.8966000000000003</v>
      </c>
      <c r="V6">
        <f t="shared" ref="V6:V12" si="3">O6-O5</f>
        <v>0.6875</v>
      </c>
      <c r="W6">
        <f t="shared" ref="W6:W12" si="4">R6-R5</f>
        <v>396</v>
      </c>
      <c r="X6">
        <f t="shared" ref="X6:X12" si="5">W6/V6</f>
        <v>576</v>
      </c>
    </row>
    <row r="7" spans="2:24" x14ac:dyDescent="0.25">
      <c r="B7" s="22"/>
      <c r="C7" s="23"/>
      <c r="D7" s="28">
        <f>3+6/16</f>
        <v>3.375</v>
      </c>
      <c r="E7" s="23"/>
      <c r="F7" s="21"/>
      <c r="G7" s="21"/>
      <c r="H7" s="21"/>
      <c r="I7" s="21"/>
      <c r="J7" s="23"/>
      <c r="K7" s="27">
        <v>94</v>
      </c>
      <c r="L7" s="34"/>
      <c r="M7" s="34"/>
      <c r="N7">
        <f t="shared" si="0"/>
        <v>2.75</v>
      </c>
      <c r="O7">
        <f>5+11/16</f>
        <v>5.6875</v>
      </c>
      <c r="P7">
        <f t="shared" ref="P7:P11" si="6">O7-N7</f>
        <v>2.9375</v>
      </c>
      <c r="Q7">
        <v>87</v>
      </c>
      <c r="R7" s="32">
        <v>1685</v>
      </c>
      <c r="S7">
        <f t="shared" ref="S7:S10" si="7">R7-Q7</f>
        <v>1598</v>
      </c>
      <c r="T7">
        <f t="shared" ref="T7:T10" si="8">S7/P7</f>
        <v>544</v>
      </c>
      <c r="U7">
        <f t="shared" si="2"/>
        <v>5.6166</v>
      </c>
      <c r="V7">
        <f t="shared" si="3"/>
        <v>0.6875</v>
      </c>
      <c r="W7">
        <f t="shared" si="4"/>
        <v>400</v>
      </c>
      <c r="X7">
        <f t="shared" si="5"/>
        <v>581.81818181818187</v>
      </c>
    </row>
    <row r="8" spans="2:24" x14ac:dyDescent="0.25">
      <c r="B8" s="22">
        <v>4.54</v>
      </c>
      <c r="C8" s="23">
        <f>B8</f>
        <v>4.54</v>
      </c>
      <c r="D8" s="23">
        <f>D7</f>
        <v>3.375</v>
      </c>
      <c r="E8" s="28">
        <f>3+9/16</f>
        <v>3.5625</v>
      </c>
      <c r="F8" s="21">
        <f>(E8-D8)/$F$2</f>
        <v>4.7624974282513884E-3</v>
      </c>
      <c r="G8" s="21">
        <f>C8*9.8</f>
        <v>44.492000000000004</v>
      </c>
      <c r="H8" s="23"/>
      <c r="I8" s="21">
        <f t="shared" ref="I8:I11" si="9">G8/F8</f>
        <v>9342.1572757333342</v>
      </c>
      <c r="J8" s="23"/>
      <c r="K8" s="27">
        <v>178</v>
      </c>
      <c r="L8" s="34"/>
      <c r="M8" s="34"/>
      <c r="N8">
        <f t="shared" si="0"/>
        <v>2.75</v>
      </c>
      <c r="O8">
        <f>6+6.5/16</f>
        <v>6.40625</v>
      </c>
      <c r="P8">
        <f t="shared" si="6"/>
        <v>3.65625</v>
      </c>
      <c r="Q8">
        <v>87</v>
      </c>
      <c r="R8" s="32">
        <v>2089</v>
      </c>
      <c r="S8">
        <f t="shared" si="7"/>
        <v>2002</v>
      </c>
      <c r="T8">
        <f t="shared" si="8"/>
        <v>547.55555555555554</v>
      </c>
      <c r="U8">
        <f t="shared" si="2"/>
        <v>6.3437999999999999</v>
      </c>
      <c r="V8">
        <f t="shared" si="3"/>
        <v>0.71875</v>
      </c>
      <c r="W8">
        <f t="shared" si="4"/>
        <v>404</v>
      </c>
      <c r="X8">
        <f t="shared" si="5"/>
        <v>562.08695652173913</v>
      </c>
    </row>
    <row r="9" spans="2:24" x14ac:dyDescent="0.25">
      <c r="B9" s="22">
        <v>4.5750000000000002</v>
      </c>
      <c r="C9" s="23">
        <f>C8+B9</f>
        <v>9.1150000000000002</v>
      </c>
      <c r="D9" s="23">
        <f t="shared" ref="D9:D11" si="10">D8</f>
        <v>3.375</v>
      </c>
      <c r="E9" s="28">
        <f>3+12/16</f>
        <v>3.75</v>
      </c>
      <c r="F9" s="21">
        <f t="shared" ref="F9:F11" si="11">(E9-D9)/$F$2</f>
        <v>9.5249948565027769E-3</v>
      </c>
      <c r="G9" s="21">
        <f t="shared" ref="G9:G11" si="12">C9*9.8</f>
        <v>89.327000000000012</v>
      </c>
      <c r="H9" s="23"/>
      <c r="I9" s="21">
        <f t="shared" si="9"/>
        <v>9378.1677938666689</v>
      </c>
      <c r="J9" s="23"/>
      <c r="K9" s="27">
        <v>265</v>
      </c>
      <c r="L9" s="34"/>
      <c r="M9" s="34"/>
      <c r="N9">
        <f t="shared" si="0"/>
        <v>2.75</v>
      </c>
      <c r="O9">
        <f>7+1/16</f>
        <v>7.0625</v>
      </c>
      <c r="P9">
        <f t="shared" si="6"/>
        <v>4.3125</v>
      </c>
      <c r="Q9">
        <v>87</v>
      </c>
      <c r="R9" s="32">
        <v>2483</v>
      </c>
      <c r="S9">
        <f t="shared" si="7"/>
        <v>2396</v>
      </c>
      <c r="T9">
        <f t="shared" si="8"/>
        <v>555.59420289855075</v>
      </c>
      <c r="U9">
        <f t="shared" si="2"/>
        <v>7.0530000000000008</v>
      </c>
      <c r="V9">
        <f t="shared" si="3"/>
        <v>0.65625</v>
      </c>
      <c r="W9">
        <f t="shared" si="4"/>
        <v>394</v>
      </c>
      <c r="X9">
        <f t="shared" si="5"/>
        <v>600.38095238095241</v>
      </c>
    </row>
    <row r="10" spans="2:24" x14ac:dyDescent="0.25">
      <c r="B10" s="22">
        <v>4.6349999999999998</v>
      </c>
      <c r="C10" s="23">
        <f t="shared" ref="C10:C11" si="13">C9+B10</f>
        <v>13.75</v>
      </c>
      <c r="D10" s="23">
        <f t="shared" si="10"/>
        <v>3.375</v>
      </c>
      <c r="E10" s="28">
        <f>3+15/16</f>
        <v>3.9375</v>
      </c>
      <c r="F10" s="21">
        <f t="shared" si="11"/>
        <v>1.4287492284754165E-2</v>
      </c>
      <c r="G10" s="21">
        <f t="shared" si="12"/>
        <v>134.75</v>
      </c>
      <c r="H10" s="23"/>
      <c r="I10" s="21">
        <f t="shared" si="9"/>
        <v>9431.3261777777789</v>
      </c>
      <c r="J10" s="23"/>
      <c r="K10" s="27">
        <v>350</v>
      </c>
      <c r="L10" s="34"/>
      <c r="M10" s="34"/>
      <c r="N10">
        <f t="shared" si="0"/>
        <v>2.75</v>
      </c>
      <c r="O10">
        <v>8</v>
      </c>
      <c r="P10">
        <f t="shared" si="6"/>
        <v>5.25</v>
      </c>
      <c r="Q10">
        <v>87</v>
      </c>
      <c r="R10" s="32">
        <v>2989</v>
      </c>
      <c r="S10">
        <f t="shared" si="7"/>
        <v>2902</v>
      </c>
      <c r="T10">
        <f t="shared" si="8"/>
        <v>552.76190476190482</v>
      </c>
      <c r="U10">
        <f t="shared" si="2"/>
        <v>7.9638000000000009</v>
      </c>
      <c r="V10">
        <f t="shared" si="3"/>
        <v>0.9375</v>
      </c>
      <c r="W10">
        <f t="shared" si="4"/>
        <v>506</v>
      </c>
      <c r="X10">
        <f t="shared" si="5"/>
        <v>539.73333333333335</v>
      </c>
    </row>
    <row r="11" spans="2:24" x14ac:dyDescent="0.25">
      <c r="B11" s="22">
        <v>4.54</v>
      </c>
      <c r="C11" s="23">
        <f t="shared" si="13"/>
        <v>18.29</v>
      </c>
      <c r="D11" s="23">
        <f t="shared" si="10"/>
        <v>3.375</v>
      </c>
      <c r="E11" s="28">
        <f>4+2.5/16</f>
        <v>4.15625</v>
      </c>
      <c r="F11" s="21">
        <f t="shared" si="11"/>
        <v>1.9843739284380785E-2</v>
      </c>
      <c r="G11" s="21">
        <f t="shared" si="12"/>
        <v>179.24200000000002</v>
      </c>
      <c r="H11" s="23"/>
      <c r="I11" s="21">
        <f t="shared" si="9"/>
        <v>9032.6725941760014</v>
      </c>
      <c r="J11" s="23"/>
      <c r="K11" s="27">
        <v>445</v>
      </c>
      <c r="L11" s="34"/>
      <c r="M11" s="34"/>
      <c r="N11">
        <f t="shared" si="0"/>
        <v>2.75</v>
      </c>
      <c r="O11">
        <v>9</v>
      </c>
      <c r="P11">
        <f t="shared" si="6"/>
        <v>6.25</v>
      </c>
      <c r="Q11">
        <v>87</v>
      </c>
      <c r="R11" s="32">
        <v>3591</v>
      </c>
      <c r="S11">
        <f t="shared" ref="S11" si="14">R11-Q11</f>
        <v>3504</v>
      </c>
      <c r="T11">
        <f t="shared" ref="T11" si="15">S11/P11</f>
        <v>560.64</v>
      </c>
      <c r="U11">
        <f t="shared" si="2"/>
        <v>9.0473999999999997</v>
      </c>
      <c r="V11">
        <f t="shared" si="3"/>
        <v>1</v>
      </c>
      <c r="W11">
        <f t="shared" si="4"/>
        <v>602</v>
      </c>
      <c r="X11">
        <f t="shared" si="5"/>
        <v>602</v>
      </c>
    </row>
    <row r="12" spans="2:24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9378.1677938666689</v>
      </c>
      <c r="J12" s="9">
        <f>MAX(I8:I11)-MIN(I8:I11)</f>
        <v>398.65358360177743</v>
      </c>
      <c r="K12" s="24"/>
      <c r="L12" s="21"/>
      <c r="M12" s="21"/>
      <c r="N12">
        <f t="shared" si="0"/>
        <v>2.75</v>
      </c>
      <c r="O12">
        <f>12+8.5/16</f>
        <v>12.53125</v>
      </c>
      <c r="P12">
        <f t="shared" ref="P12" si="16">O12-N12</f>
        <v>9.78125</v>
      </c>
      <c r="Q12">
        <v>88</v>
      </c>
      <c r="R12" s="32">
        <v>5590</v>
      </c>
      <c r="S12">
        <f t="shared" ref="S12" si="17">R12-Q12</f>
        <v>5502</v>
      </c>
      <c r="T12">
        <f t="shared" ref="T12" si="18">S12/P12</f>
        <v>562.50479233226838</v>
      </c>
      <c r="U12">
        <f t="shared" si="2"/>
        <v>12.643799999999999</v>
      </c>
      <c r="V12">
        <f t="shared" si="3"/>
        <v>3.53125</v>
      </c>
      <c r="W12">
        <f t="shared" si="4"/>
        <v>1999</v>
      </c>
      <c r="X12">
        <f t="shared" si="5"/>
        <v>566.08849557522126</v>
      </c>
    </row>
    <row r="15" spans="2:24" ht="15.75" thickBot="1" x14ac:dyDescent="0.3">
      <c r="O15">
        <f>E9-E8</f>
        <v>0.1875</v>
      </c>
      <c r="P15">
        <f>K9-K8</f>
        <v>87</v>
      </c>
      <c r="R15">
        <f t="shared" ref="R15:R16" si="19">O15/P15</f>
        <v>2.1551724137931034E-3</v>
      </c>
    </row>
    <row r="16" spans="2:24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  <c r="L16" s="21"/>
      <c r="M16" s="21"/>
      <c r="O16">
        <f>E10-E9</f>
        <v>0.1875</v>
      </c>
      <c r="P16">
        <f>K10-K9</f>
        <v>85</v>
      </c>
      <c r="R16">
        <f t="shared" si="19"/>
        <v>2.2058823529411764E-3</v>
      </c>
    </row>
    <row r="17" spans="2:18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  <c r="L17" s="25"/>
      <c r="M17" s="25"/>
      <c r="O17">
        <f>E11-E10</f>
        <v>0.21875</v>
      </c>
      <c r="P17">
        <f>K11-K10</f>
        <v>95</v>
      </c>
      <c r="R17">
        <f>O17/P17</f>
        <v>2.3026315789473682E-3</v>
      </c>
    </row>
    <row r="18" spans="2:18" x14ac:dyDescent="0.25">
      <c r="B18" s="22"/>
      <c r="C18" s="23"/>
      <c r="D18" s="28">
        <f>3+9/16</f>
        <v>3.5625</v>
      </c>
      <c r="E18" s="23"/>
      <c r="F18" s="21"/>
      <c r="G18" s="21"/>
      <c r="H18" s="21"/>
      <c r="I18" s="21"/>
      <c r="J18" s="23"/>
      <c r="K18" s="27">
        <v>174</v>
      </c>
      <c r="L18" s="34"/>
      <c r="M18" s="34"/>
    </row>
    <row r="19" spans="2:18" x14ac:dyDescent="0.25">
      <c r="B19" s="22">
        <v>4.54</v>
      </c>
      <c r="C19" s="23">
        <f>B19</f>
        <v>4.54</v>
      </c>
      <c r="D19" s="23">
        <f>D18</f>
        <v>3.5625</v>
      </c>
      <c r="E19" s="28">
        <f>3+14/16</f>
        <v>3.875</v>
      </c>
      <c r="F19" s="21">
        <f>(E19-D19)/$F$2</f>
        <v>7.9374957137523152E-3</v>
      </c>
      <c r="G19" s="21">
        <f>C19*9.8</f>
        <v>44.492000000000004</v>
      </c>
      <c r="H19" s="23"/>
      <c r="I19" s="21">
        <f t="shared" ref="I19:I22" si="20">G19/F19</f>
        <v>5605.2943654400005</v>
      </c>
      <c r="J19" s="23"/>
      <c r="K19" s="27">
        <v>340</v>
      </c>
      <c r="L19" s="34"/>
      <c r="M19" s="34"/>
    </row>
    <row r="20" spans="2:18" x14ac:dyDescent="0.25">
      <c r="B20" s="22">
        <v>4.5750000000000002</v>
      </c>
      <c r="C20" s="23">
        <f>C19+B20</f>
        <v>9.1150000000000002</v>
      </c>
      <c r="D20" s="23">
        <f t="shared" ref="D20:D22" si="21">D19</f>
        <v>3.5625</v>
      </c>
      <c r="E20" s="28">
        <f>4+4/16</f>
        <v>4.25</v>
      </c>
      <c r="F20" s="21">
        <f t="shared" ref="F20:F22" si="22">(E20-D20)/$F$2</f>
        <v>1.746249057025509E-2</v>
      </c>
      <c r="G20" s="21">
        <f t="shared" ref="G20:G22" si="23">C20*9.8</f>
        <v>89.327000000000012</v>
      </c>
      <c r="H20" s="23"/>
      <c r="I20" s="21">
        <f t="shared" si="20"/>
        <v>5115.3642512000015</v>
      </c>
      <c r="J20" s="23"/>
      <c r="K20" s="27">
        <v>490</v>
      </c>
      <c r="L20" s="34"/>
      <c r="M20" s="34"/>
      <c r="O20">
        <f>E20-E19</f>
        <v>0.375</v>
      </c>
      <c r="P20">
        <f>K20-K19</f>
        <v>150</v>
      </c>
      <c r="R20">
        <f t="shared" ref="R19:R20" si="24">O20/P20</f>
        <v>2.5000000000000001E-3</v>
      </c>
    </row>
    <row r="21" spans="2:18" x14ac:dyDescent="0.25">
      <c r="B21" s="22">
        <v>4.6349999999999998</v>
      </c>
      <c r="C21" s="23">
        <f t="shared" ref="C21:C22" si="25">C20+B21</f>
        <v>13.75</v>
      </c>
      <c r="D21" s="23">
        <f t="shared" si="21"/>
        <v>3.5625</v>
      </c>
      <c r="E21" s="28">
        <f>4+9/16</f>
        <v>4.5625</v>
      </c>
      <c r="F21" s="21">
        <f t="shared" si="22"/>
        <v>2.5399986284007407E-2</v>
      </c>
      <c r="G21" s="21">
        <f t="shared" si="23"/>
        <v>134.75</v>
      </c>
      <c r="H21" s="23"/>
      <c r="I21" s="21">
        <f t="shared" si="20"/>
        <v>5305.1209749999998</v>
      </c>
      <c r="J21" s="23"/>
      <c r="K21" s="27">
        <v>697</v>
      </c>
      <c r="L21" s="34"/>
      <c r="M21" s="34"/>
      <c r="O21">
        <f>E21-E20</f>
        <v>0.3125</v>
      </c>
      <c r="P21">
        <f>K21-K20</f>
        <v>207</v>
      </c>
      <c r="R21">
        <f>O21/P21</f>
        <v>1.5096618357487923E-3</v>
      </c>
    </row>
    <row r="22" spans="2:18" x14ac:dyDescent="0.25">
      <c r="B22" s="22">
        <v>4.54</v>
      </c>
      <c r="C22" s="23">
        <f t="shared" si="25"/>
        <v>18.29</v>
      </c>
      <c r="D22" s="23">
        <f t="shared" si="21"/>
        <v>3.5625</v>
      </c>
      <c r="E22" s="28">
        <f>4+14/16</f>
        <v>4.875</v>
      </c>
      <c r="F22" s="21">
        <f t="shared" si="22"/>
        <v>3.3337481997759717E-2</v>
      </c>
      <c r="G22" s="21">
        <f t="shared" si="23"/>
        <v>179.24200000000002</v>
      </c>
      <c r="H22" s="23"/>
      <c r="I22" s="21">
        <f t="shared" si="20"/>
        <v>5376.5908298666682</v>
      </c>
      <c r="J22" s="23"/>
      <c r="K22" s="27">
        <v>875</v>
      </c>
      <c r="L22" s="34"/>
      <c r="M22" s="34"/>
      <c r="O22">
        <f>E22-E21</f>
        <v>0.3125</v>
      </c>
      <c r="P22">
        <f>K22-K21</f>
        <v>178</v>
      </c>
      <c r="R22">
        <f>O22/P22</f>
        <v>1.7556179775280898E-3</v>
      </c>
    </row>
    <row r="23" spans="2:18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5305.1209749999998</v>
      </c>
      <c r="J23" s="9">
        <f>MAX(I19:I22)-MIN(I19:I22)</f>
        <v>489.93011423999906</v>
      </c>
      <c r="K23" s="24"/>
      <c r="L23" s="21"/>
      <c r="M23" s="21"/>
    </row>
    <row r="26" spans="2:18" ht="15.75" thickBot="1" x14ac:dyDescent="0.3"/>
    <row r="27" spans="2:18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  <c r="L27" s="21"/>
      <c r="M27" s="21"/>
    </row>
    <row r="28" spans="2:18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  <c r="L28" s="25"/>
      <c r="M28" s="25"/>
    </row>
    <row r="29" spans="2:18" x14ac:dyDescent="0.25">
      <c r="B29" s="22"/>
      <c r="C29" s="23"/>
      <c r="D29" s="28">
        <f>3+12/16</f>
        <v>3.75</v>
      </c>
      <c r="E29" s="23"/>
      <c r="F29" s="21"/>
      <c r="G29" s="21"/>
      <c r="H29" s="21"/>
      <c r="I29" s="21"/>
      <c r="J29" s="23"/>
      <c r="K29" s="27">
        <v>284</v>
      </c>
      <c r="L29" s="34">
        <f>0.0018*K29+2.7402</f>
        <v>3.2514000000000003</v>
      </c>
      <c r="M29" s="34"/>
    </row>
    <row r="30" spans="2:18" x14ac:dyDescent="0.25">
      <c r="B30" s="22">
        <v>4.54</v>
      </c>
      <c r="C30" s="23">
        <f>B30</f>
        <v>4.54</v>
      </c>
      <c r="D30" s="23">
        <f>D29</f>
        <v>3.75</v>
      </c>
      <c r="E30" s="28">
        <f>4+2.5/16</f>
        <v>4.15625</v>
      </c>
      <c r="F30" s="21">
        <f>(E30-D30)/$F$2</f>
        <v>1.0318744427878009E-2</v>
      </c>
      <c r="G30" s="21">
        <f>C30*9.8</f>
        <v>44.492000000000004</v>
      </c>
      <c r="H30" s="23"/>
      <c r="I30" s="21">
        <f t="shared" ref="I30:I33" si="26">G30/F30</f>
        <v>4311.7648964923083</v>
      </c>
      <c r="J30" s="23"/>
      <c r="K30" s="27">
        <v>518</v>
      </c>
      <c r="L30" s="34">
        <f t="shared" ref="L30:L33" si="27">0.0018*K30+2.7402</f>
        <v>3.6726000000000001</v>
      </c>
      <c r="M30" s="34"/>
    </row>
    <row r="31" spans="2:18" x14ac:dyDescent="0.25">
      <c r="B31" s="22">
        <v>4.5750000000000002</v>
      </c>
      <c r="C31" s="23">
        <f>C30+B31</f>
        <v>9.1150000000000002</v>
      </c>
      <c r="D31" s="23">
        <f t="shared" ref="D31:D33" si="28">D30</f>
        <v>3.75</v>
      </c>
      <c r="E31" s="28">
        <f>4+12/16</f>
        <v>4.75</v>
      </c>
      <c r="F31" s="21">
        <f t="shared" ref="F31:F33" si="29">(E31-D31)/$F$2</f>
        <v>2.5399986284007407E-2</v>
      </c>
      <c r="G31" s="21">
        <f t="shared" ref="G31:G33" si="30">C31*9.8</f>
        <v>89.327000000000012</v>
      </c>
      <c r="H31" s="23"/>
      <c r="I31" s="21">
        <f t="shared" si="26"/>
        <v>3516.8129227000004</v>
      </c>
      <c r="J31" s="23"/>
      <c r="K31" s="27">
        <v>809</v>
      </c>
      <c r="L31" s="34">
        <f t="shared" si="27"/>
        <v>4.1964000000000006</v>
      </c>
      <c r="M31" s="34"/>
      <c r="O31">
        <f>E31-E30</f>
        <v>0.59375</v>
      </c>
      <c r="P31">
        <f>K31-K30</f>
        <v>291</v>
      </c>
      <c r="R31">
        <f t="shared" ref="R31:R32" si="31">O31/P31</f>
        <v>2.0403780068728524E-3</v>
      </c>
    </row>
    <row r="32" spans="2:18" x14ac:dyDescent="0.25">
      <c r="B32" s="22">
        <v>4.6349999999999998</v>
      </c>
      <c r="C32" s="23">
        <f t="shared" ref="C32:C33" si="32">C31+B32</f>
        <v>13.75</v>
      </c>
      <c r="D32" s="23">
        <f t="shared" si="28"/>
        <v>3.75</v>
      </c>
      <c r="E32" s="28">
        <f>5+2.5/16</f>
        <v>5.15625</v>
      </c>
      <c r="F32" s="21">
        <f t="shared" si="29"/>
        <v>3.5718730711885416E-2</v>
      </c>
      <c r="G32" s="21">
        <f t="shared" si="30"/>
        <v>134.75</v>
      </c>
      <c r="H32" s="23"/>
      <c r="I32" s="21">
        <f t="shared" si="26"/>
        <v>3772.5304711111112</v>
      </c>
      <c r="J32" s="23"/>
      <c r="K32" s="27">
        <v>1034</v>
      </c>
      <c r="L32" s="34">
        <f t="shared" si="27"/>
        <v>4.6013999999999999</v>
      </c>
      <c r="M32" s="34"/>
      <c r="O32">
        <f>E32-E31</f>
        <v>0.40625</v>
      </c>
      <c r="P32">
        <f>K32-K31</f>
        <v>225</v>
      </c>
      <c r="R32">
        <f>O32/P32</f>
        <v>1.8055555555555555E-3</v>
      </c>
    </row>
    <row r="33" spans="2:18" x14ac:dyDescent="0.25">
      <c r="B33" s="22">
        <v>4.54</v>
      </c>
      <c r="C33" s="23">
        <f t="shared" si="32"/>
        <v>18.29</v>
      </c>
      <c r="D33" s="23">
        <f t="shared" si="28"/>
        <v>3.75</v>
      </c>
      <c r="E33" s="28">
        <f>5+11.5/16</f>
        <v>5.71875</v>
      </c>
      <c r="F33" s="21">
        <f t="shared" si="29"/>
        <v>5.0006222996639579E-2</v>
      </c>
      <c r="G33" s="21">
        <f t="shared" si="30"/>
        <v>179.24200000000002</v>
      </c>
      <c r="H33" s="23"/>
      <c r="I33" s="21">
        <f t="shared" si="26"/>
        <v>3584.3938865777782</v>
      </c>
      <c r="J33" s="23"/>
      <c r="K33" s="27">
        <v>1326</v>
      </c>
      <c r="L33" s="34">
        <f t="shared" si="27"/>
        <v>5.1270000000000007</v>
      </c>
      <c r="M33" s="34"/>
      <c r="O33">
        <f>E33-E32</f>
        <v>0.5625</v>
      </c>
      <c r="P33">
        <f>K33-K32</f>
        <v>292</v>
      </c>
      <c r="R33">
        <f>O33/P33</f>
        <v>1.9263698630136985E-3</v>
      </c>
    </row>
    <row r="34" spans="2:18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3772.5304711111112</v>
      </c>
      <c r="J34" s="9">
        <f>MAX(I30:I33)-MIN(I30:I33)</f>
        <v>794.95197379230785</v>
      </c>
      <c r="K34" s="24"/>
      <c r="L34" s="21"/>
      <c r="M34" s="21"/>
    </row>
    <row r="36" spans="2:18" ht="15.75" thickBot="1" x14ac:dyDescent="0.3">
      <c r="B36" s="3"/>
    </row>
    <row r="37" spans="2:18" x14ac:dyDescent="0.25">
      <c r="B37" s="17" t="s">
        <v>17</v>
      </c>
      <c r="C37" s="11">
        <v>45</v>
      </c>
      <c r="D37" s="18" t="s">
        <v>24</v>
      </c>
      <c r="E37" s="11"/>
      <c r="F37" s="18"/>
      <c r="G37" s="18"/>
      <c r="H37" s="18"/>
      <c r="I37" s="18"/>
      <c r="J37" s="18"/>
      <c r="K37" s="19"/>
      <c r="L37" s="21"/>
      <c r="M37" s="21"/>
    </row>
    <row r="38" spans="2:18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42</v>
      </c>
      <c r="L38" s="25"/>
      <c r="M38" s="25"/>
    </row>
    <row r="39" spans="2:18" x14ac:dyDescent="0.25">
      <c r="B39" s="22"/>
      <c r="C39" s="23"/>
      <c r="D39" s="28">
        <f>3+7/16</f>
        <v>3.4375</v>
      </c>
      <c r="E39" s="23"/>
      <c r="F39" s="21"/>
      <c r="G39" s="21"/>
      <c r="H39" s="21"/>
      <c r="I39" s="21"/>
      <c r="J39" s="23"/>
      <c r="K39" s="27">
        <v>854</v>
      </c>
      <c r="L39" s="34">
        <f>0.0018*K39+2.7402</f>
        <v>4.2774000000000001</v>
      </c>
      <c r="M39" s="34"/>
    </row>
    <row r="40" spans="2:18" x14ac:dyDescent="0.25">
      <c r="B40" s="22">
        <v>4.54</v>
      </c>
      <c r="C40" s="23">
        <f>B40</f>
        <v>4.54</v>
      </c>
      <c r="D40" s="23">
        <f>D39</f>
        <v>3.4375</v>
      </c>
      <c r="E40" s="28">
        <f>4+12/16</f>
        <v>4.75</v>
      </c>
      <c r="F40" s="21">
        <f>(E40-D40)/$F$2</f>
        <v>3.3337481997759717E-2</v>
      </c>
      <c r="G40" s="21">
        <f>C40*9.8</f>
        <v>44.492000000000004</v>
      </c>
      <c r="H40" s="23"/>
      <c r="I40" s="21">
        <f t="shared" ref="I40:I43" si="33">G40/F40</f>
        <v>1334.5938965333337</v>
      </c>
      <c r="J40" s="23"/>
      <c r="K40" s="27">
        <v>1581</v>
      </c>
      <c r="L40" s="34">
        <f>0.0018*K40+2.7402</f>
        <v>5.5860000000000003</v>
      </c>
      <c r="M40" s="34">
        <f>L40-$L$39</f>
        <v>1.3086000000000002</v>
      </c>
      <c r="N40">
        <f>E40-D40</f>
        <v>1.3125</v>
      </c>
      <c r="O40">
        <f>M40-N40</f>
        <v>-3.8999999999997925E-3</v>
      </c>
    </row>
    <row r="41" spans="2:18" x14ac:dyDescent="0.25">
      <c r="B41" s="22">
        <v>4.5750000000000002</v>
      </c>
      <c r="C41" s="23">
        <f>C40+B41</f>
        <v>9.1150000000000002</v>
      </c>
      <c r="D41" s="23">
        <f t="shared" ref="D41:D43" si="34">D40</f>
        <v>3.4375</v>
      </c>
      <c r="E41" s="28">
        <f>6+4/16</f>
        <v>6.25</v>
      </c>
      <c r="F41" s="21">
        <f t="shared" ref="F41:F43" si="35">(E41-D41)/$F$2</f>
        <v>7.1437461423770832E-2</v>
      </c>
      <c r="G41" s="21">
        <f t="shared" ref="G41:G43" si="36">C41*9.8</f>
        <v>89.327000000000012</v>
      </c>
      <c r="H41" s="23"/>
      <c r="I41" s="21">
        <f t="shared" si="33"/>
        <v>1250.4223725155557</v>
      </c>
      <c r="J41" s="23"/>
      <c r="K41" s="27">
        <v>2398</v>
      </c>
      <c r="L41" s="34">
        <f>0.0018*K41+2.7402</f>
        <v>7.0565999999999995</v>
      </c>
      <c r="M41" s="34">
        <f t="shared" ref="M41:M43" si="37">L41-$L$39</f>
        <v>2.7791999999999994</v>
      </c>
      <c r="N41">
        <f>E41-D41</f>
        <v>2.8125</v>
      </c>
      <c r="O41">
        <f>M41-N41</f>
        <v>-3.3300000000000551E-2</v>
      </c>
    </row>
    <row r="42" spans="2:18" x14ac:dyDescent="0.25">
      <c r="B42" s="22">
        <v>4.6349999999999998</v>
      </c>
      <c r="C42" s="23">
        <f t="shared" ref="C42:C43" si="38">C41+B42</f>
        <v>13.75</v>
      </c>
      <c r="D42" s="23">
        <f t="shared" si="34"/>
        <v>3.4375</v>
      </c>
      <c r="E42" s="28">
        <f>7+10/16</f>
        <v>7.625</v>
      </c>
      <c r="F42" s="21">
        <f t="shared" si="35"/>
        <v>0.10636244256428101</v>
      </c>
      <c r="G42" s="21">
        <f t="shared" si="36"/>
        <v>134.75</v>
      </c>
      <c r="H42" s="23"/>
      <c r="I42" s="21">
        <f t="shared" si="33"/>
        <v>1266.8945611940298</v>
      </c>
      <c r="J42" s="23"/>
      <c r="K42" s="27">
        <v>3196</v>
      </c>
      <c r="L42" s="34">
        <f>0.0018*K42+2.7402</f>
        <v>8.4930000000000003</v>
      </c>
      <c r="M42" s="34">
        <f t="shared" si="37"/>
        <v>4.2156000000000002</v>
      </c>
      <c r="N42">
        <f>E42-D42</f>
        <v>4.1875</v>
      </c>
      <c r="O42">
        <f>M42-N42</f>
        <v>2.8100000000000236E-2</v>
      </c>
    </row>
    <row r="43" spans="2:18" x14ac:dyDescent="0.25">
      <c r="B43" s="22">
        <v>4.54</v>
      </c>
      <c r="C43" s="23">
        <f t="shared" si="38"/>
        <v>18.29</v>
      </c>
      <c r="D43" s="23">
        <f t="shared" si="34"/>
        <v>3.4375</v>
      </c>
      <c r="E43" s="28">
        <f>9+1.5/16</f>
        <v>9.09375</v>
      </c>
      <c r="F43" s="21">
        <f t="shared" si="35"/>
        <v>0.1436686724189169</v>
      </c>
      <c r="G43" s="21">
        <f t="shared" si="36"/>
        <v>179.24200000000002</v>
      </c>
      <c r="H43" s="23"/>
      <c r="I43" s="21">
        <f t="shared" si="33"/>
        <v>1247.6067119027625</v>
      </c>
      <c r="J43" s="23"/>
      <c r="K43" s="27">
        <v>4004</v>
      </c>
      <c r="L43" s="34">
        <f>0.0018*K43+2.7402</f>
        <v>9.9474</v>
      </c>
      <c r="M43" s="34">
        <f t="shared" si="37"/>
        <v>5.67</v>
      </c>
      <c r="N43">
        <f>E43-D43</f>
        <v>5.65625</v>
      </c>
      <c r="O43">
        <f>M43-N43</f>
        <v>1.3749999999999929E-2</v>
      </c>
    </row>
    <row r="44" spans="2:18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1266.8945611940298</v>
      </c>
      <c r="J44" s="9">
        <f>MAX(I40:I43)-MIN(I40:I43)</f>
        <v>86.987184630571164</v>
      </c>
      <c r="K44" s="24"/>
      <c r="L44" s="21"/>
      <c r="M44" s="21"/>
    </row>
    <row r="45" spans="2:18" ht="15.75" thickBot="1" x14ac:dyDescent="0.3"/>
    <row r="46" spans="2:18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  <c r="L46" s="21"/>
      <c r="M46" s="21"/>
    </row>
    <row r="47" spans="2:18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  <c r="L47" s="25"/>
      <c r="M47" s="25"/>
    </row>
    <row r="48" spans="2:18" x14ac:dyDescent="0.25">
      <c r="B48" s="22"/>
      <c r="C48" s="23"/>
      <c r="D48" s="28"/>
      <c r="E48" s="23"/>
      <c r="F48" s="21"/>
      <c r="G48" s="21"/>
      <c r="H48" s="21"/>
      <c r="I48" s="21"/>
      <c r="J48" s="23"/>
      <c r="K48" s="27"/>
      <c r="L48" s="34"/>
      <c r="M48" s="34"/>
    </row>
    <row r="49" spans="2:15" x14ac:dyDescent="0.25">
      <c r="B49" s="22">
        <v>4.54</v>
      </c>
      <c r="C49" s="23">
        <f>B49</f>
        <v>4.54</v>
      </c>
      <c r="D49" s="23">
        <f>D48</f>
        <v>0</v>
      </c>
      <c r="E49" s="28"/>
      <c r="F49" s="21">
        <f>(E49-D49)/$F$2</f>
        <v>0</v>
      </c>
      <c r="G49" s="21">
        <f>C49*9.8</f>
        <v>44.492000000000004</v>
      </c>
      <c r="H49" s="23"/>
      <c r="I49" s="21" t="e">
        <f t="shared" ref="I49:I52" si="39">G49/F49</f>
        <v>#DIV/0!</v>
      </c>
      <c r="J49" s="23"/>
      <c r="K49" s="27"/>
      <c r="L49" s="34"/>
      <c r="M49" s="34"/>
      <c r="O49" t="e">
        <f>E49/(K49-$K$48)</f>
        <v>#DIV/0!</v>
      </c>
    </row>
    <row r="50" spans="2:15" x14ac:dyDescent="0.25">
      <c r="B50" s="22">
        <v>4.5750000000000002</v>
      </c>
      <c r="C50" s="23">
        <f>C49+B50</f>
        <v>9.1150000000000002</v>
      </c>
      <c r="D50" s="23">
        <f t="shared" ref="D50:D52" si="40">D49</f>
        <v>0</v>
      </c>
      <c r="E50" s="28"/>
      <c r="F50" s="21">
        <f t="shared" ref="F50:F52" si="41">(E50-D50)/$F$2</f>
        <v>0</v>
      </c>
      <c r="G50" s="21">
        <f t="shared" ref="G50:G52" si="42">C50*9.8</f>
        <v>89.327000000000012</v>
      </c>
      <c r="H50" s="23"/>
      <c r="I50" s="21" t="e">
        <f t="shared" si="39"/>
        <v>#DIV/0!</v>
      </c>
      <c r="J50" s="23"/>
      <c r="K50" s="27"/>
      <c r="L50" s="34"/>
      <c r="M50" s="34"/>
      <c r="O50" t="e">
        <f>E50/(K50-$K$48)</f>
        <v>#DIV/0!</v>
      </c>
    </row>
    <row r="51" spans="2:15" x14ac:dyDescent="0.25">
      <c r="B51" s="22">
        <v>4.6349999999999998</v>
      </c>
      <c r="C51" s="23">
        <f t="shared" ref="C51:C52" si="43">C50+B51</f>
        <v>13.75</v>
      </c>
      <c r="D51" s="23">
        <f t="shared" si="40"/>
        <v>0</v>
      </c>
      <c r="E51" s="28"/>
      <c r="F51" s="21">
        <f t="shared" si="41"/>
        <v>0</v>
      </c>
      <c r="G51" s="21">
        <f t="shared" si="42"/>
        <v>134.75</v>
      </c>
      <c r="H51" s="23"/>
      <c r="I51" s="21" t="e">
        <f t="shared" si="39"/>
        <v>#DIV/0!</v>
      </c>
      <c r="J51" s="23"/>
      <c r="K51" s="27"/>
      <c r="L51" s="34"/>
      <c r="M51" s="34"/>
      <c r="O51" t="e">
        <f>E51/(K51-$K$48)</f>
        <v>#DIV/0!</v>
      </c>
    </row>
    <row r="52" spans="2:15" x14ac:dyDescent="0.25">
      <c r="B52" s="22">
        <v>4.54</v>
      </c>
      <c r="C52" s="23">
        <f t="shared" si="43"/>
        <v>18.29</v>
      </c>
      <c r="D52" s="23">
        <f t="shared" si="40"/>
        <v>0</v>
      </c>
      <c r="E52" s="28"/>
      <c r="F52" s="21">
        <f t="shared" si="41"/>
        <v>0</v>
      </c>
      <c r="G52" s="21">
        <f t="shared" si="42"/>
        <v>179.24200000000002</v>
      </c>
      <c r="H52" s="23"/>
      <c r="I52" s="21" t="e">
        <f t="shared" si="39"/>
        <v>#DIV/0!</v>
      </c>
      <c r="J52" s="23"/>
      <c r="K52" s="27"/>
      <c r="L52" s="34"/>
      <c r="M52" s="34"/>
      <c r="O52" t="e">
        <f>E52/(K52-$K$48)</f>
        <v>#DIV/0!</v>
      </c>
    </row>
    <row r="53" spans="2:15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 t="e">
        <f>MEDIAN(I49:I51)</f>
        <v>#DIV/0!</v>
      </c>
      <c r="J53" s="9" t="e">
        <f>MAX(I49:I52)-MIN(I49:I52)</f>
        <v>#DIV/0!</v>
      </c>
      <c r="K53" s="24"/>
      <c r="L53" s="21"/>
      <c r="M53" s="21"/>
    </row>
    <row r="55" spans="2:15" ht="15.75" thickBot="1" x14ac:dyDescent="0.3"/>
    <row r="56" spans="2:15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  <c r="L56" s="21"/>
      <c r="M56" s="21"/>
    </row>
    <row r="57" spans="2:15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  <c r="L57" s="25"/>
      <c r="M57" s="25"/>
    </row>
    <row r="58" spans="2:15" x14ac:dyDescent="0.25">
      <c r="B58" s="22"/>
      <c r="C58" s="23"/>
      <c r="D58" s="28"/>
      <c r="E58" s="23"/>
      <c r="F58" s="21"/>
      <c r="G58" s="21"/>
      <c r="H58" s="21"/>
      <c r="I58" s="21"/>
      <c r="J58" s="23"/>
      <c r="K58" s="27"/>
      <c r="L58" s="34"/>
      <c r="M58" s="34"/>
    </row>
    <row r="59" spans="2:15" x14ac:dyDescent="0.25">
      <c r="B59" s="22">
        <v>4.54</v>
      </c>
      <c r="C59" s="23">
        <f>B59</f>
        <v>4.54</v>
      </c>
      <c r="D59" s="23">
        <f>D58</f>
        <v>0</v>
      </c>
      <c r="E59" s="28"/>
      <c r="F59" s="21">
        <f>(E59-D59)/$F$2</f>
        <v>0</v>
      </c>
      <c r="G59" s="21">
        <f>C59*9.8</f>
        <v>44.492000000000004</v>
      </c>
      <c r="H59" s="23"/>
      <c r="I59" s="21" t="e">
        <f t="shared" ref="I59:I62" si="44">G59/F59</f>
        <v>#DIV/0!</v>
      </c>
      <c r="J59" s="23"/>
      <c r="K59" s="27"/>
      <c r="L59" s="34"/>
      <c r="M59" s="34"/>
    </row>
    <row r="60" spans="2:15" x14ac:dyDescent="0.25">
      <c r="B60" s="22">
        <v>4.5750000000000002</v>
      </c>
      <c r="C60" s="23">
        <f>C59+B60</f>
        <v>9.1150000000000002</v>
      </c>
      <c r="D60" s="23">
        <f t="shared" ref="D60:D62" si="45">D59</f>
        <v>0</v>
      </c>
      <c r="E60" s="28"/>
      <c r="F60" s="21">
        <f t="shared" ref="F60:F62" si="46">(E60-D60)/$F$2</f>
        <v>0</v>
      </c>
      <c r="G60" s="21">
        <f t="shared" ref="G60:G62" si="47">C60*9.8</f>
        <v>89.327000000000012</v>
      </c>
      <c r="H60" s="23"/>
      <c r="I60" s="21" t="e">
        <f t="shared" si="44"/>
        <v>#DIV/0!</v>
      </c>
      <c r="J60" s="23"/>
      <c r="K60" s="27"/>
      <c r="L60" s="34"/>
      <c r="M60" s="34"/>
    </row>
    <row r="61" spans="2:15" x14ac:dyDescent="0.25">
      <c r="B61" s="22">
        <v>4.6349999999999998</v>
      </c>
      <c r="C61" s="23">
        <f t="shared" ref="C61:C62" si="48">C60+B61</f>
        <v>13.75</v>
      </c>
      <c r="D61" s="23">
        <f t="shared" si="45"/>
        <v>0</v>
      </c>
      <c r="E61" s="28"/>
      <c r="F61" s="21">
        <f t="shared" si="46"/>
        <v>0</v>
      </c>
      <c r="G61" s="21">
        <f t="shared" si="47"/>
        <v>134.75</v>
      </c>
      <c r="H61" s="23"/>
      <c r="I61" s="21" t="e">
        <f t="shared" si="44"/>
        <v>#DIV/0!</v>
      </c>
      <c r="J61" s="23"/>
      <c r="K61" s="27"/>
      <c r="L61" s="34"/>
      <c r="M61" s="34"/>
    </row>
    <row r="62" spans="2:15" x14ac:dyDescent="0.25">
      <c r="B62" s="22">
        <v>4.54</v>
      </c>
      <c r="C62" s="23">
        <f t="shared" si="48"/>
        <v>18.29</v>
      </c>
      <c r="D62" s="23">
        <f t="shared" si="45"/>
        <v>0</v>
      </c>
      <c r="E62" s="28"/>
      <c r="F62" s="21">
        <f t="shared" si="46"/>
        <v>0</v>
      </c>
      <c r="G62" s="21">
        <f t="shared" si="47"/>
        <v>179.24200000000002</v>
      </c>
      <c r="H62" s="23"/>
      <c r="I62" s="21" t="e">
        <f t="shared" si="44"/>
        <v>#DIV/0!</v>
      </c>
      <c r="J62" s="23"/>
      <c r="K62" s="27"/>
      <c r="L62" s="34"/>
      <c r="M62" s="34"/>
    </row>
    <row r="63" spans="2:15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 t="e">
        <f>MEDIAN(I59:I61)</f>
        <v>#DIV/0!</v>
      </c>
      <c r="J63" s="9" t="e">
        <f>MAX(I59:I62)-MIN(I59:I62)</f>
        <v>#DIV/0!</v>
      </c>
      <c r="K63" s="24"/>
      <c r="L63" s="21"/>
      <c r="M63" s="21"/>
    </row>
    <row r="65" spans="2:13" ht="15.75" thickBot="1" x14ac:dyDescent="0.3"/>
    <row r="66" spans="2:1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L66" s="21"/>
      <c r="M66" s="21"/>
    </row>
    <row r="67" spans="2:1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L67" s="25"/>
      <c r="M67" s="25"/>
    </row>
    <row r="68" spans="2:13" x14ac:dyDescent="0.25">
      <c r="B68" s="22"/>
      <c r="C68" s="23"/>
      <c r="D68" s="28"/>
      <c r="E68" s="23"/>
      <c r="F68" s="21"/>
      <c r="G68" s="21"/>
      <c r="H68" s="21"/>
      <c r="I68" s="21"/>
      <c r="J68" s="23"/>
      <c r="K68" s="27"/>
      <c r="L68" s="34"/>
      <c r="M68" s="34"/>
    </row>
    <row r="69" spans="2:13" x14ac:dyDescent="0.25">
      <c r="B69" s="22">
        <v>4.54</v>
      </c>
      <c r="C69" s="23">
        <f>B69</f>
        <v>4.54</v>
      </c>
      <c r="D69" s="23">
        <f>D68</f>
        <v>0</v>
      </c>
      <c r="E69" s="28"/>
      <c r="F69" s="21">
        <f>(E69-D69)/$F$2</f>
        <v>0</v>
      </c>
      <c r="G69" s="21">
        <f>C69*9.8</f>
        <v>44.492000000000004</v>
      </c>
      <c r="H69" s="23"/>
      <c r="I69" s="21" t="e">
        <f t="shared" ref="I69:I72" si="49">G69/F69</f>
        <v>#DIV/0!</v>
      </c>
      <c r="J69" s="23"/>
      <c r="K69" s="27"/>
      <c r="L69" s="34"/>
      <c r="M69" s="34"/>
    </row>
    <row r="70" spans="2:13" x14ac:dyDescent="0.25">
      <c r="B70" s="22">
        <v>4.5750000000000002</v>
      </c>
      <c r="C70" s="23">
        <f>C69+B70</f>
        <v>9.1150000000000002</v>
      </c>
      <c r="D70" s="23">
        <f t="shared" ref="D70:D72" si="50">D69</f>
        <v>0</v>
      </c>
      <c r="E70" s="28"/>
      <c r="F70" s="21">
        <f t="shared" ref="F70:F72" si="51">(E70-D70)/$F$2</f>
        <v>0</v>
      </c>
      <c r="G70" s="21">
        <f t="shared" ref="G70:G72" si="52">C70*9.8</f>
        <v>89.327000000000012</v>
      </c>
      <c r="H70" s="23"/>
      <c r="I70" s="21" t="e">
        <f t="shared" si="49"/>
        <v>#DIV/0!</v>
      </c>
      <c r="J70" s="23"/>
      <c r="K70" s="27"/>
      <c r="L70" s="34"/>
      <c r="M70" s="34"/>
    </row>
    <row r="71" spans="2:13" x14ac:dyDescent="0.25">
      <c r="B71" s="22">
        <v>4.6349999999999998</v>
      </c>
      <c r="C71" s="23">
        <f t="shared" ref="C71:C72" si="53">C70+B71</f>
        <v>13.75</v>
      </c>
      <c r="D71" s="23">
        <f t="shared" si="50"/>
        <v>0</v>
      </c>
      <c r="E71" s="28"/>
      <c r="F71" s="21">
        <f t="shared" si="51"/>
        <v>0</v>
      </c>
      <c r="G71" s="21">
        <f t="shared" si="52"/>
        <v>134.75</v>
      </c>
      <c r="H71" s="23"/>
      <c r="I71" s="21" t="e">
        <f t="shared" si="49"/>
        <v>#DIV/0!</v>
      </c>
      <c r="J71" s="23"/>
      <c r="K71" s="27"/>
      <c r="L71" s="34"/>
      <c r="M71" s="34"/>
    </row>
    <row r="72" spans="2:13" x14ac:dyDescent="0.25">
      <c r="B72" s="22">
        <v>4.54</v>
      </c>
      <c r="C72" s="23">
        <f t="shared" si="53"/>
        <v>18.29</v>
      </c>
      <c r="D72" s="23">
        <f t="shared" si="50"/>
        <v>0</v>
      </c>
      <c r="E72" s="28"/>
      <c r="F72" s="21">
        <f t="shared" si="51"/>
        <v>0</v>
      </c>
      <c r="G72" s="21">
        <f t="shared" si="52"/>
        <v>179.24200000000002</v>
      </c>
      <c r="H72" s="23"/>
      <c r="I72" s="21" t="e">
        <f t="shared" si="49"/>
        <v>#DIV/0!</v>
      </c>
      <c r="J72" s="23"/>
      <c r="K72" s="27"/>
      <c r="L72" s="34"/>
      <c r="M72" s="34"/>
    </row>
    <row r="73" spans="2:1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 t="e">
        <f>MEDIAN(I69:I71)</f>
        <v>#DIV/0!</v>
      </c>
      <c r="J73" s="9" t="e">
        <f>MAX(I69:I72)-MIN(I69:I72)</f>
        <v>#DIV/0!</v>
      </c>
      <c r="K73" s="24"/>
      <c r="L73" s="21"/>
      <c r="M73" s="21"/>
    </row>
    <row r="74" spans="2:13" ht="15.75" thickBot="1" x14ac:dyDescent="0.3"/>
    <row r="75" spans="2:1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  <c r="L75" s="21"/>
      <c r="M75" s="21"/>
    </row>
    <row r="76" spans="2:1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  <c r="L76" s="25"/>
      <c r="M76" s="25"/>
    </row>
    <row r="77" spans="2:13" x14ac:dyDescent="0.25">
      <c r="B77" s="22"/>
      <c r="C77" s="23"/>
      <c r="D77" s="28"/>
      <c r="E77" s="23"/>
      <c r="F77" s="21"/>
      <c r="G77" s="21"/>
      <c r="H77" s="21"/>
      <c r="I77" s="21"/>
      <c r="J77" s="23"/>
      <c r="K77" s="27"/>
      <c r="L77" s="34"/>
      <c r="M77" s="34"/>
    </row>
    <row r="78" spans="2:13" x14ac:dyDescent="0.25">
      <c r="B78" s="22">
        <v>4.54</v>
      </c>
      <c r="C78" s="23">
        <f>B78</f>
        <v>4.54</v>
      </c>
      <c r="D78" s="23">
        <f>D77</f>
        <v>0</v>
      </c>
      <c r="E78" s="28"/>
      <c r="F78" s="21">
        <f>(E78-D78)/$F$2</f>
        <v>0</v>
      </c>
      <c r="G78" s="21">
        <f>C78*9.8</f>
        <v>44.492000000000004</v>
      </c>
      <c r="H78" s="23"/>
      <c r="I78" s="21" t="e">
        <f t="shared" ref="I78:I81" si="54">G78/F78</f>
        <v>#DIV/0!</v>
      </c>
      <c r="J78" s="23"/>
      <c r="K78" s="27"/>
      <c r="L78" s="34"/>
      <c r="M78" s="34"/>
    </row>
    <row r="79" spans="2:13" x14ac:dyDescent="0.25">
      <c r="B79" s="22">
        <v>4.5750000000000002</v>
      </c>
      <c r="C79" s="23">
        <f>C78+B79</f>
        <v>9.1150000000000002</v>
      </c>
      <c r="D79" s="23">
        <f t="shared" ref="D79:D81" si="55">D78</f>
        <v>0</v>
      </c>
      <c r="E79" s="28"/>
      <c r="F79" s="21">
        <f t="shared" ref="F79:F81" si="56">(E79-D79)/$F$2</f>
        <v>0</v>
      </c>
      <c r="G79" s="21">
        <f t="shared" ref="G79:G81" si="57">C79*9.8</f>
        <v>89.327000000000012</v>
      </c>
      <c r="H79" s="23"/>
      <c r="I79" s="21" t="e">
        <f t="shared" si="54"/>
        <v>#DIV/0!</v>
      </c>
      <c r="J79" s="23"/>
      <c r="K79" s="27"/>
      <c r="L79" s="34"/>
      <c r="M79" s="34"/>
    </row>
    <row r="80" spans="2:13" x14ac:dyDescent="0.25">
      <c r="B80" s="22">
        <v>4.6349999999999998</v>
      </c>
      <c r="C80" s="23">
        <f t="shared" ref="C80:C81" si="58">C79+B80</f>
        <v>13.75</v>
      </c>
      <c r="D80" s="23">
        <f t="shared" si="55"/>
        <v>0</v>
      </c>
      <c r="E80" s="28"/>
      <c r="F80" s="21">
        <f t="shared" si="56"/>
        <v>0</v>
      </c>
      <c r="G80" s="21">
        <f t="shared" si="57"/>
        <v>134.75</v>
      </c>
      <c r="H80" s="23"/>
      <c r="I80" s="21" t="e">
        <f t="shared" si="54"/>
        <v>#DIV/0!</v>
      </c>
      <c r="J80" s="23"/>
      <c r="K80" s="27"/>
      <c r="L80" s="34"/>
      <c r="M80" s="34"/>
    </row>
    <row r="81" spans="2:13" x14ac:dyDescent="0.25">
      <c r="B81" s="22">
        <v>4.54</v>
      </c>
      <c r="C81" s="23">
        <f t="shared" si="58"/>
        <v>18.29</v>
      </c>
      <c r="D81" s="23">
        <f t="shared" si="55"/>
        <v>0</v>
      </c>
      <c r="E81" s="28"/>
      <c r="F81" s="21">
        <f t="shared" si="56"/>
        <v>0</v>
      </c>
      <c r="G81" s="21">
        <f t="shared" si="57"/>
        <v>179.24200000000002</v>
      </c>
      <c r="H81" s="23"/>
      <c r="I81" s="21" t="e">
        <f t="shared" si="54"/>
        <v>#DIV/0!</v>
      </c>
      <c r="J81" s="23"/>
      <c r="K81" s="27"/>
      <c r="L81" s="34"/>
      <c r="M81" s="34"/>
    </row>
    <row r="82" spans="2:13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 t="e">
        <f>MEDIAN(I78:I80)</f>
        <v>#DIV/0!</v>
      </c>
      <c r="J82" s="9" t="e">
        <f>MAX(I78:I81)-MIN(I78:I81)</f>
        <v>#DIV/0!</v>
      </c>
      <c r="K82" s="24"/>
      <c r="L82" s="21"/>
      <c r="M82" s="21"/>
    </row>
    <row r="84" spans="2:13" ht="15.75" thickBot="1" x14ac:dyDescent="0.3"/>
    <row r="85" spans="2:13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  <c r="L85" s="21"/>
      <c r="M85" s="21"/>
    </row>
    <row r="86" spans="2:13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  <c r="L86" s="25"/>
      <c r="M86" s="25"/>
    </row>
    <row r="87" spans="2:13" x14ac:dyDescent="0.25">
      <c r="B87" s="22"/>
      <c r="C87" s="23"/>
      <c r="D87" s="28"/>
      <c r="E87" s="23"/>
      <c r="F87" s="21"/>
      <c r="G87" s="21"/>
      <c r="H87" s="21"/>
      <c r="I87" s="21"/>
      <c r="J87" s="23"/>
      <c r="K87" s="27">
        <v>-61</v>
      </c>
      <c r="L87" s="34"/>
      <c r="M87" s="34"/>
    </row>
    <row r="88" spans="2:13" x14ac:dyDescent="0.25">
      <c r="B88" s="22">
        <v>4.54</v>
      </c>
      <c r="C88" s="23">
        <f>B88</f>
        <v>4.54</v>
      </c>
      <c r="D88" s="23">
        <f>D87</f>
        <v>0</v>
      </c>
      <c r="E88" s="28"/>
      <c r="F88" s="21">
        <f>(E88-D88)/$F$2</f>
        <v>0</v>
      </c>
      <c r="G88" s="21">
        <f>C88*9.8</f>
        <v>44.492000000000004</v>
      </c>
      <c r="H88" s="23"/>
      <c r="I88" s="21" t="e">
        <f t="shared" ref="I88:I90" si="59">G88/F88</f>
        <v>#DIV/0!</v>
      </c>
      <c r="J88" s="23"/>
      <c r="K88" s="27">
        <v>140</v>
      </c>
      <c r="L88" s="34"/>
      <c r="M88" s="34"/>
    </row>
    <row r="89" spans="2:13" x14ac:dyDescent="0.25">
      <c r="B89" s="22">
        <v>4.5750000000000002</v>
      </c>
      <c r="C89" s="23">
        <f>C88+B89</f>
        <v>9.1150000000000002</v>
      </c>
      <c r="D89" s="23">
        <f t="shared" ref="D89:D91" si="60">D88</f>
        <v>0</v>
      </c>
      <c r="E89" s="28"/>
      <c r="F89" s="21">
        <f t="shared" ref="F89:F91" si="61">(E89-D89)/$F$2</f>
        <v>0</v>
      </c>
      <c r="G89" s="21">
        <f t="shared" ref="G89:G91" si="62">C89*9.8</f>
        <v>89.327000000000012</v>
      </c>
      <c r="H89" s="23"/>
      <c r="I89" s="21" t="e">
        <f t="shared" si="59"/>
        <v>#DIV/0!</v>
      </c>
      <c r="J89" s="23"/>
      <c r="K89" s="27">
        <v>223</v>
      </c>
      <c r="L89" s="34"/>
      <c r="M89" s="34"/>
    </row>
    <row r="90" spans="2:13" x14ac:dyDescent="0.25">
      <c r="B90" s="22">
        <v>4.6349999999999998</v>
      </c>
      <c r="C90" s="23">
        <f t="shared" ref="C90:C91" si="63">C89+B90</f>
        <v>13.75</v>
      </c>
      <c r="D90" s="23">
        <f t="shared" si="60"/>
        <v>0</v>
      </c>
      <c r="E90" s="28"/>
      <c r="F90" s="21">
        <f t="shared" si="61"/>
        <v>0</v>
      </c>
      <c r="G90" s="21">
        <f t="shared" si="62"/>
        <v>134.75</v>
      </c>
      <c r="H90" s="23"/>
      <c r="I90" s="21" t="e">
        <f t="shared" si="59"/>
        <v>#DIV/0!</v>
      </c>
      <c r="J90" s="23"/>
      <c r="K90" s="27">
        <v>304</v>
      </c>
      <c r="L90" s="34"/>
      <c r="M90" s="34"/>
    </row>
    <row r="91" spans="2:13" x14ac:dyDescent="0.25">
      <c r="B91" s="22">
        <v>4.54</v>
      </c>
      <c r="C91" s="23">
        <f t="shared" si="63"/>
        <v>18.29</v>
      </c>
      <c r="D91" s="23">
        <f t="shared" si="60"/>
        <v>0</v>
      </c>
      <c r="E91" s="28"/>
      <c r="F91" s="21">
        <f t="shared" si="61"/>
        <v>0</v>
      </c>
      <c r="G91" s="21">
        <f t="shared" si="62"/>
        <v>179.24200000000002</v>
      </c>
      <c r="H91" s="23"/>
      <c r="I91" s="21"/>
      <c r="J91" s="23"/>
      <c r="K91" s="27">
        <v>373</v>
      </c>
      <c r="L91" s="34"/>
      <c r="M91" s="34"/>
    </row>
    <row r="92" spans="2:13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 t="e">
        <f>MEDIAN(I88:I90)</f>
        <v>#DIV/0!</v>
      </c>
      <c r="J92" s="9" t="e">
        <f>MAX(I88:I91)-MIN(I88:I91)</f>
        <v>#DIV/0!</v>
      </c>
      <c r="K92" s="24"/>
      <c r="L92" s="21"/>
      <c r="M92" s="21"/>
    </row>
    <row r="94" spans="2:13" ht="15.75" thickBot="1" x14ac:dyDescent="0.3"/>
    <row r="95" spans="2:13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  <c r="L95" s="21"/>
      <c r="M95" s="21"/>
    </row>
    <row r="96" spans="2:13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  <c r="L96" s="25"/>
      <c r="M96" s="25"/>
    </row>
    <row r="97" spans="2:13" x14ac:dyDescent="0.25">
      <c r="B97" s="22"/>
      <c r="C97" s="23"/>
      <c r="D97" s="28"/>
      <c r="E97" s="23"/>
      <c r="F97" s="21"/>
      <c r="G97" s="21"/>
      <c r="H97" s="21"/>
      <c r="I97" s="21"/>
      <c r="J97" s="23"/>
      <c r="K97" s="27"/>
      <c r="L97" s="34"/>
      <c r="M97" s="34"/>
    </row>
    <row r="98" spans="2:13" x14ac:dyDescent="0.25">
      <c r="B98" s="22">
        <v>4.54</v>
      </c>
      <c r="C98" s="23">
        <f>B98</f>
        <v>4.54</v>
      </c>
      <c r="D98" s="23">
        <f>D97</f>
        <v>0</v>
      </c>
      <c r="E98" s="28"/>
      <c r="F98" s="21">
        <f>(E98-D98)/$F$2</f>
        <v>0</v>
      </c>
      <c r="G98" s="21">
        <f>C98*9.8</f>
        <v>44.492000000000004</v>
      </c>
      <c r="H98" s="23"/>
      <c r="I98" s="21" t="e">
        <f t="shared" ref="I98:I100" si="64">G98/F98</f>
        <v>#DIV/0!</v>
      </c>
      <c r="J98" s="23"/>
      <c r="K98" s="27"/>
      <c r="L98" s="34"/>
      <c r="M98" s="34"/>
    </row>
    <row r="99" spans="2:13" x14ac:dyDescent="0.25">
      <c r="B99" s="22">
        <v>4.5750000000000002</v>
      </c>
      <c r="C99" s="23">
        <f>C98+B99</f>
        <v>9.1150000000000002</v>
      </c>
      <c r="D99" s="23">
        <f t="shared" ref="D99:D101" si="65">D98</f>
        <v>0</v>
      </c>
      <c r="E99" s="28"/>
      <c r="F99" s="21">
        <f t="shared" ref="F99:F101" si="66">(E99-D99)/$F$2</f>
        <v>0</v>
      </c>
      <c r="G99" s="21">
        <f t="shared" ref="G99:G101" si="67">C99*9.8</f>
        <v>89.327000000000012</v>
      </c>
      <c r="H99" s="23"/>
      <c r="I99" s="21" t="e">
        <f t="shared" si="64"/>
        <v>#DIV/0!</v>
      </c>
      <c r="J99" s="23"/>
      <c r="K99" s="27"/>
      <c r="L99" s="34"/>
      <c r="M99" s="34"/>
    </row>
    <row r="100" spans="2:13" x14ac:dyDescent="0.25">
      <c r="B100" s="22">
        <v>4.6349999999999998</v>
      </c>
      <c r="C100" s="23">
        <f t="shared" ref="C100:C101" si="68">C99+B100</f>
        <v>13.75</v>
      </c>
      <c r="D100" s="23">
        <f t="shared" si="65"/>
        <v>0</v>
      </c>
      <c r="E100" s="28"/>
      <c r="F100" s="21">
        <f t="shared" si="66"/>
        <v>0</v>
      </c>
      <c r="G100" s="21">
        <f t="shared" si="67"/>
        <v>134.75</v>
      </c>
      <c r="H100" s="23"/>
      <c r="I100" s="21" t="e">
        <f t="shared" si="64"/>
        <v>#DIV/0!</v>
      </c>
      <c r="J100" s="23"/>
      <c r="K100" s="27"/>
      <c r="L100" s="34"/>
      <c r="M100" s="34"/>
    </row>
    <row r="101" spans="2:13" x14ac:dyDescent="0.25">
      <c r="B101" s="22">
        <v>4.54</v>
      </c>
      <c r="C101" s="23">
        <f t="shared" si="68"/>
        <v>18.29</v>
      </c>
      <c r="D101" s="23">
        <f t="shared" si="65"/>
        <v>0</v>
      </c>
      <c r="E101" s="28"/>
      <c r="F101" s="21">
        <f t="shared" si="66"/>
        <v>0</v>
      </c>
      <c r="G101" s="21">
        <f t="shared" si="67"/>
        <v>179.24200000000002</v>
      </c>
      <c r="H101" s="23"/>
      <c r="I101" s="21"/>
      <c r="J101" s="23"/>
      <c r="K101" s="27"/>
      <c r="L101" s="34"/>
      <c r="M101" s="34"/>
    </row>
    <row r="102" spans="2:13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 t="e">
        <f>MEDIAN(I98:I100)</f>
        <v>#DIV/0!</v>
      </c>
      <c r="J102" s="9" t="e">
        <f>MAX(I98:I101)-MIN(I98:I101)</f>
        <v>#DIV/0!</v>
      </c>
      <c r="K102" s="24"/>
      <c r="L102" s="21"/>
      <c r="M102" s="21"/>
    </row>
    <row r="104" spans="2:13" ht="15.75" thickBot="1" x14ac:dyDescent="0.3"/>
    <row r="105" spans="2:13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  <c r="L105" s="21"/>
      <c r="M105" s="21"/>
    </row>
    <row r="106" spans="2:13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  <c r="L106" s="25"/>
      <c r="M106" s="25"/>
    </row>
    <row r="107" spans="2:13" x14ac:dyDescent="0.25">
      <c r="B107" s="22"/>
      <c r="C107" s="23"/>
      <c r="D107" s="28"/>
      <c r="E107" s="23"/>
      <c r="F107" s="21"/>
      <c r="G107" s="21"/>
      <c r="H107" s="21"/>
      <c r="I107" s="21"/>
      <c r="J107" s="23"/>
      <c r="K107" s="27"/>
      <c r="L107" s="34"/>
      <c r="M107" s="34"/>
    </row>
    <row r="108" spans="2:13" x14ac:dyDescent="0.25">
      <c r="B108" s="22">
        <v>4.54</v>
      </c>
      <c r="C108" s="23">
        <f>B108</f>
        <v>4.54</v>
      </c>
      <c r="D108" s="23">
        <f>D107</f>
        <v>0</v>
      </c>
      <c r="E108" s="28"/>
      <c r="F108" s="21">
        <f>(E108-D108)/$F$2</f>
        <v>0</v>
      </c>
      <c r="G108" s="21">
        <f>C108*9.8</f>
        <v>44.492000000000004</v>
      </c>
      <c r="H108" s="23"/>
      <c r="I108" s="21" t="e">
        <f t="shared" ref="I108:I110" si="69">G108/F108</f>
        <v>#DIV/0!</v>
      </c>
      <c r="J108" s="23"/>
      <c r="K108" s="27"/>
      <c r="L108" s="34"/>
      <c r="M108" s="34"/>
    </row>
    <row r="109" spans="2:13" x14ac:dyDescent="0.25">
      <c r="B109" s="22">
        <v>4.5750000000000002</v>
      </c>
      <c r="C109" s="23">
        <f>C108+B109</f>
        <v>9.1150000000000002</v>
      </c>
      <c r="D109" s="23">
        <f t="shared" ref="D109:D111" si="70">D108</f>
        <v>0</v>
      </c>
      <c r="E109" s="28"/>
      <c r="F109" s="21">
        <f t="shared" ref="F109:F111" si="71">(E109-D109)/$F$2</f>
        <v>0</v>
      </c>
      <c r="G109" s="21">
        <f t="shared" ref="G109:G111" si="72">C109*9.8</f>
        <v>89.327000000000012</v>
      </c>
      <c r="H109" s="23"/>
      <c r="I109" s="21" t="e">
        <f t="shared" si="69"/>
        <v>#DIV/0!</v>
      </c>
      <c r="J109" s="23"/>
      <c r="K109" s="27"/>
      <c r="L109" s="34"/>
      <c r="M109" s="34"/>
    </row>
    <row r="110" spans="2:13" x14ac:dyDescent="0.25">
      <c r="B110" s="22">
        <v>4.6349999999999998</v>
      </c>
      <c r="C110" s="23">
        <f t="shared" ref="C110:C111" si="73">C109+B110</f>
        <v>13.75</v>
      </c>
      <c r="D110" s="23">
        <f t="shared" si="70"/>
        <v>0</v>
      </c>
      <c r="E110" s="28"/>
      <c r="F110" s="21">
        <f t="shared" si="71"/>
        <v>0</v>
      </c>
      <c r="G110" s="21">
        <f t="shared" si="72"/>
        <v>134.75</v>
      </c>
      <c r="H110" s="23"/>
      <c r="I110" s="21" t="e">
        <f t="shared" si="69"/>
        <v>#DIV/0!</v>
      </c>
      <c r="J110" s="23"/>
      <c r="K110" s="27"/>
      <c r="L110" s="34"/>
      <c r="M110" s="34"/>
    </row>
    <row r="111" spans="2:13" x14ac:dyDescent="0.25">
      <c r="B111" s="22">
        <v>4.54</v>
      </c>
      <c r="C111" s="23">
        <f t="shared" si="73"/>
        <v>18.29</v>
      </c>
      <c r="D111" s="23">
        <f t="shared" si="70"/>
        <v>0</v>
      </c>
      <c r="E111" s="28"/>
      <c r="F111" s="21">
        <f t="shared" si="71"/>
        <v>0</v>
      </c>
      <c r="G111" s="21">
        <f t="shared" si="72"/>
        <v>179.24200000000002</v>
      </c>
      <c r="H111" s="23"/>
      <c r="I111" s="21"/>
      <c r="J111" s="23"/>
      <c r="K111" s="27"/>
      <c r="L111" s="34"/>
      <c r="M111" s="34"/>
    </row>
    <row r="112" spans="2:13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 t="e">
        <f>MEDIAN(I108:I110)</f>
        <v>#DIV/0!</v>
      </c>
      <c r="J112" s="9" t="e">
        <f>MAX(I108:I111)-MIN(I108:I111)</f>
        <v>#DIV/0!</v>
      </c>
      <c r="K112" s="24"/>
      <c r="L112" s="21"/>
      <c r="M112" s="21"/>
    </row>
    <row r="113" spans="2:15" ht="15.75" thickBot="1" x14ac:dyDescent="0.3"/>
    <row r="114" spans="2:15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  <c r="L114" s="21"/>
      <c r="M114" s="21"/>
    </row>
    <row r="115" spans="2:15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  <c r="L115" s="25"/>
      <c r="M115" s="25"/>
    </row>
    <row r="116" spans="2:15" x14ac:dyDescent="0.25">
      <c r="B116" s="22"/>
      <c r="C116" s="23"/>
      <c r="D116" s="28"/>
      <c r="E116" s="23"/>
      <c r="F116" s="21"/>
      <c r="G116" s="21"/>
      <c r="H116" s="21"/>
      <c r="I116" s="21"/>
      <c r="J116" s="23"/>
      <c r="K116" s="27"/>
      <c r="L116" s="34"/>
      <c r="M116" s="34"/>
    </row>
    <row r="117" spans="2:15" x14ac:dyDescent="0.25">
      <c r="B117" s="22">
        <v>4.54</v>
      </c>
      <c r="C117" s="23">
        <f>B117</f>
        <v>4.54</v>
      </c>
      <c r="D117" s="23">
        <f>D116</f>
        <v>0</v>
      </c>
      <c r="E117" s="28"/>
      <c r="F117" s="21">
        <f>(E117-D117)/$F$2</f>
        <v>0</v>
      </c>
      <c r="G117" s="21">
        <f>C117*9.8</f>
        <v>44.492000000000004</v>
      </c>
      <c r="H117" s="23"/>
      <c r="I117" s="21" t="e">
        <f t="shared" ref="I117:I119" si="74">G117/F117</f>
        <v>#DIV/0!</v>
      </c>
      <c r="J117" s="23"/>
      <c r="K117" s="27"/>
      <c r="L117" s="34"/>
      <c r="M117" s="34"/>
    </row>
    <row r="118" spans="2:15" x14ac:dyDescent="0.25">
      <c r="B118" s="22">
        <v>4.5750000000000002</v>
      </c>
      <c r="C118" s="23">
        <f>C117+B118</f>
        <v>9.1150000000000002</v>
      </c>
      <c r="D118" s="23">
        <f t="shared" ref="D118:D120" si="75">D117</f>
        <v>0</v>
      </c>
      <c r="E118" s="28"/>
      <c r="F118" s="21">
        <f t="shared" ref="F118:F120" si="76">(E118-D118)/$F$2</f>
        <v>0</v>
      </c>
      <c r="G118" s="21">
        <f t="shared" ref="G118:G120" si="77">C118*9.8</f>
        <v>89.327000000000012</v>
      </c>
      <c r="H118" s="23"/>
      <c r="I118" s="21" t="e">
        <f t="shared" si="74"/>
        <v>#DIV/0!</v>
      </c>
      <c r="J118" s="23"/>
      <c r="K118" s="27"/>
      <c r="L118" s="34"/>
      <c r="M118" s="34"/>
    </row>
    <row r="119" spans="2:15" x14ac:dyDescent="0.25">
      <c r="B119" s="22">
        <v>4.6349999999999998</v>
      </c>
      <c r="C119" s="23">
        <f t="shared" ref="C119:C120" si="78">C118+B119</f>
        <v>13.75</v>
      </c>
      <c r="D119" s="23">
        <f t="shared" si="75"/>
        <v>0</v>
      </c>
      <c r="E119" s="28"/>
      <c r="F119" s="21">
        <f t="shared" si="76"/>
        <v>0</v>
      </c>
      <c r="G119" s="21">
        <f t="shared" si="77"/>
        <v>134.75</v>
      </c>
      <c r="H119" s="23"/>
      <c r="I119" s="21" t="e">
        <f t="shared" si="74"/>
        <v>#DIV/0!</v>
      </c>
      <c r="J119" s="23"/>
      <c r="K119" s="27"/>
      <c r="L119" s="34"/>
      <c r="M119" s="34"/>
    </row>
    <row r="120" spans="2:15" x14ac:dyDescent="0.25">
      <c r="B120" s="22">
        <v>4.54</v>
      </c>
      <c r="C120" s="23">
        <f t="shared" si="78"/>
        <v>18.29</v>
      </c>
      <c r="D120" s="23">
        <f t="shared" si="75"/>
        <v>0</v>
      </c>
      <c r="E120" s="28"/>
      <c r="F120" s="21">
        <f t="shared" si="76"/>
        <v>0</v>
      </c>
      <c r="G120" s="21">
        <f t="shared" si="77"/>
        <v>179.24200000000002</v>
      </c>
      <c r="H120" s="23"/>
      <c r="I120" s="21"/>
      <c r="J120" s="23"/>
      <c r="K120" s="27"/>
      <c r="L120" s="34"/>
      <c r="M120" s="34"/>
    </row>
    <row r="121" spans="2:15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 t="e">
        <f>MEDIAN(I117:I119)</f>
        <v>#DIV/0!</v>
      </c>
      <c r="J121" s="9" t="e">
        <f>MAX(I117:I120)-MIN(I117:I120)</f>
        <v>#DIV/0!</v>
      </c>
      <c r="K121" s="24"/>
      <c r="L121" s="21"/>
      <c r="M121" s="21"/>
    </row>
    <row r="123" spans="2:15" ht="15.75" thickBot="1" x14ac:dyDescent="0.3"/>
    <row r="124" spans="2:15" x14ac:dyDescent="0.25">
      <c r="B124" s="17" t="s">
        <v>17</v>
      </c>
      <c r="C124" s="11">
        <v>30</v>
      </c>
      <c r="D124" s="18" t="s">
        <v>24</v>
      </c>
      <c r="E124" s="11"/>
      <c r="F124" s="18"/>
      <c r="G124" s="18"/>
      <c r="H124" s="18"/>
      <c r="I124" s="18"/>
      <c r="J124" s="18"/>
      <c r="K124" s="19"/>
      <c r="L124" s="21"/>
      <c r="M124" s="21"/>
    </row>
    <row r="125" spans="2:15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  <c r="L125" s="25"/>
      <c r="M125" s="25"/>
    </row>
    <row r="126" spans="2:15" x14ac:dyDescent="0.25">
      <c r="B126" s="22"/>
      <c r="C126" s="23"/>
      <c r="D126" s="28">
        <f>3+7.5/16</f>
        <v>3.46875</v>
      </c>
      <c r="E126" s="23"/>
      <c r="F126" s="21"/>
      <c r="G126" s="21"/>
      <c r="H126" s="21"/>
      <c r="I126" s="21"/>
      <c r="J126" s="23"/>
      <c r="K126" s="27">
        <v>831</v>
      </c>
      <c r="L126" s="34">
        <f>0.0018*K126+2.7402</f>
        <v>4.2360000000000007</v>
      </c>
      <c r="M126" s="34"/>
    </row>
    <row r="127" spans="2:15" x14ac:dyDescent="0.25">
      <c r="B127" s="22">
        <v>4.54</v>
      </c>
      <c r="C127" s="23">
        <f>B127</f>
        <v>4.54</v>
      </c>
      <c r="D127" s="23">
        <f>D126</f>
        <v>3.46875</v>
      </c>
      <c r="E127" s="28">
        <f>4+12.5/16</f>
        <v>4.78125</v>
      </c>
      <c r="F127" s="21">
        <f>(E127-D127)/$F$2</f>
        <v>3.3337481997759717E-2</v>
      </c>
      <c r="G127" s="21">
        <f>C127*9.8</f>
        <v>44.492000000000004</v>
      </c>
      <c r="H127" s="23"/>
      <c r="I127" s="21">
        <f t="shared" ref="I127:I130" si="79">G127/F127</f>
        <v>1334.5938965333337</v>
      </c>
      <c r="J127" s="23"/>
      <c r="K127" s="27">
        <v>1566</v>
      </c>
      <c r="L127" s="34">
        <f>0.0018*K127+2.7402</f>
        <v>5.5590000000000002</v>
      </c>
      <c r="M127" s="34">
        <f>L127-$L$39</f>
        <v>1.2816000000000001</v>
      </c>
      <c r="N127">
        <f>E127-D127</f>
        <v>1.3125</v>
      </c>
      <c r="O127">
        <f>M127-N127</f>
        <v>-3.0899999999999928E-2</v>
      </c>
    </row>
    <row r="128" spans="2:15" x14ac:dyDescent="0.25">
      <c r="B128" s="22">
        <v>4.5750000000000002</v>
      </c>
      <c r="C128" s="23">
        <f>C127+B128</f>
        <v>9.1150000000000002</v>
      </c>
      <c r="D128" s="23">
        <f t="shared" ref="D128:D130" si="80">D127</f>
        <v>3.46875</v>
      </c>
      <c r="E128" s="28">
        <f>6+5.5/16</f>
        <v>6.34375</v>
      </c>
      <c r="F128" s="21">
        <f t="shared" ref="F128:F130" si="81">(E128-D128)/$F$2</f>
        <v>7.3024960566521288E-2</v>
      </c>
      <c r="G128" s="21">
        <f t="shared" ref="G128:G130" si="82">C128*9.8</f>
        <v>89.327000000000012</v>
      </c>
      <c r="H128" s="23"/>
      <c r="I128" s="21">
        <f t="shared" si="79"/>
        <v>1223.2392774608697</v>
      </c>
      <c r="J128" s="23"/>
      <c r="K128" s="27">
        <v>2430</v>
      </c>
      <c r="L128" s="34">
        <f>0.0018*K128+2.7402</f>
        <v>7.1142000000000003</v>
      </c>
      <c r="M128" s="34">
        <f t="shared" ref="M128:M130" si="83">L128-$L$39</f>
        <v>2.8368000000000002</v>
      </c>
      <c r="N128">
        <f>E128-D128</f>
        <v>2.875</v>
      </c>
      <c r="O128">
        <f>M128-N128</f>
        <v>-3.819999999999979E-2</v>
      </c>
    </row>
    <row r="129" spans="2:15" x14ac:dyDescent="0.25">
      <c r="B129" s="22">
        <v>4.6349999999999998</v>
      </c>
      <c r="C129" s="23">
        <f t="shared" ref="C129:C130" si="84">C128+B129</f>
        <v>13.75</v>
      </c>
      <c r="D129" s="23">
        <f t="shared" si="80"/>
        <v>3.46875</v>
      </c>
      <c r="E129" s="28">
        <f>7+11/16</f>
        <v>7.6875</v>
      </c>
      <c r="F129" s="21">
        <f t="shared" si="81"/>
        <v>0.10715619213565625</v>
      </c>
      <c r="G129" s="21">
        <f t="shared" si="82"/>
        <v>134.75</v>
      </c>
      <c r="H129" s="23"/>
      <c r="I129" s="21">
        <f t="shared" si="79"/>
        <v>1257.5101570370371</v>
      </c>
      <c r="J129" s="23"/>
      <c r="K129" s="27">
        <v>3200</v>
      </c>
      <c r="L129" s="34">
        <f>0.0018*K129+2.7402</f>
        <v>8.5001999999999995</v>
      </c>
      <c r="M129" s="34">
        <f t="shared" si="83"/>
        <v>4.2227999999999994</v>
      </c>
      <c r="N129">
        <f>E129-D129</f>
        <v>4.21875</v>
      </c>
      <c r="O129">
        <f>M129-N129</f>
        <v>4.0499999999994429E-3</v>
      </c>
    </row>
    <row r="130" spans="2:15" x14ac:dyDescent="0.25">
      <c r="B130" s="22">
        <v>4.54</v>
      </c>
      <c r="C130" s="23">
        <f t="shared" si="84"/>
        <v>18.29</v>
      </c>
      <c r="D130" s="23">
        <f t="shared" si="80"/>
        <v>3.46875</v>
      </c>
      <c r="E130" s="28">
        <f>9+2.5/16</f>
        <v>9.15625</v>
      </c>
      <c r="F130" s="21">
        <f t="shared" si="81"/>
        <v>0.14446242199029213</v>
      </c>
      <c r="G130" s="21">
        <f t="shared" si="82"/>
        <v>179.24200000000002</v>
      </c>
      <c r="H130" s="23"/>
      <c r="I130" s="21">
        <f t="shared" si="79"/>
        <v>1240.7517299692308</v>
      </c>
      <c r="J130" s="23"/>
      <c r="K130" s="27"/>
      <c r="L130" s="34">
        <f>0.0018*K130+2.7402</f>
        <v>2.7402000000000002</v>
      </c>
      <c r="M130" s="34">
        <f t="shared" si="83"/>
        <v>-1.5371999999999999</v>
      </c>
      <c r="N130">
        <f>E130-D130</f>
        <v>5.6875</v>
      </c>
      <c r="O130">
        <f>M130-N130</f>
        <v>-7.2247000000000003</v>
      </c>
    </row>
    <row r="131" spans="2:15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1257.5101570370371</v>
      </c>
      <c r="J131" s="9">
        <f>MAX(I127:I130)-MIN(I127:I130)</f>
        <v>111.35461907246395</v>
      </c>
      <c r="K131" s="24"/>
      <c r="L131" s="21"/>
      <c r="M131" s="21"/>
    </row>
    <row r="132" spans="2:15" ht="15.75" thickBot="1" x14ac:dyDescent="0.3"/>
    <row r="133" spans="2:15" x14ac:dyDescent="0.25">
      <c r="B133" s="17" t="s">
        <v>17</v>
      </c>
      <c r="C133" s="11">
        <v>80</v>
      </c>
      <c r="D133" s="18" t="s">
        <v>24</v>
      </c>
      <c r="E133" s="11"/>
      <c r="F133" s="18"/>
      <c r="G133" s="18"/>
      <c r="H133" s="18"/>
      <c r="I133" s="18"/>
      <c r="J133" s="18"/>
      <c r="K133" s="19"/>
      <c r="L133" s="21"/>
      <c r="M133" s="21"/>
    </row>
    <row r="134" spans="2:15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  <c r="L134" s="25"/>
      <c r="M134" s="25"/>
    </row>
    <row r="135" spans="2:15" x14ac:dyDescent="0.25">
      <c r="B135" s="22"/>
      <c r="C135" s="23"/>
      <c r="D135" s="28">
        <f>2+14.5/16</f>
        <v>2.90625</v>
      </c>
      <c r="E135" s="23"/>
      <c r="F135" s="21"/>
      <c r="G135" s="21"/>
      <c r="H135" s="21"/>
      <c r="I135" s="21"/>
      <c r="J135" s="23"/>
      <c r="K135" s="27">
        <v>1591</v>
      </c>
      <c r="L135" s="34">
        <f>0.0018*K135+2.7402</f>
        <v>5.6040000000000001</v>
      </c>
      <c r="M135" s="34"/>
    </row>
    <row r="136" spans="2:15" x14ac:dyDescent="0.25">
      <c r="B136" s="22">
        <v>4.54</v>
      </c>
      <c r="C136" s="23">
        <f>B136</f>
        <v>4.54</v>
      </c>
      <c r="D136" s="23">
        <f>D135</f>
        <v>2.90625</v>
      </c>
      <c r="E136" s="28">
        <f>5+2/16</f>
        <v>5.125</v>
      </c>
      <c r="F136" s="21">
        <f>(E136-D136)/$F$2</f>
        <v>5.6356219567641433E-2</v>
      </c>
      <c r="G136" s="21">
        <f>C136*9.8</f>
        <v>44.492000000000004</v>
      </c>
      <c r="H136" s="23"/>
      <c r="I136" s="21">
        <f t="shared" ref="I136:I139" si="85">G136/F136</f>
        <v>789.47807963943671</v>
      </c>
      <c r="J136" s="23"/>
      <c r="K136" s="27">
        <v>2837</v>
      </c>
      <c r="L136" s="34">
        <f>0.0018*K136+2.7402</f>
        <v>7.8468</v>
      </c>
      <c r="M136" s="34">
        <f>L136-$L$135</f>
        <v>2.2427999999999999</v>
      </c>
      <c r="N136">
        <f>E136-D136</f>
        <v>2.21875</v>
      </c>
      <c r="O136">
        <f>M136-N136</f>
        <v>2.4049999999999905E-2</v>
      </c>
    </row>
    <row r="137" spans="2:15" x14ac:dyDescent="0.25">
      <c r="B137" s="22">
        <v>4.5750000000000002</v>
      </c>
      <c r="C137" s="23">
        <f>C136+B137</f>
        <v>9.1150000000000002</v>
      </c>
      <c r="D137" s="23">
        <f t="shared" ref="D137:D139" si="86">D136</f>
        <v>2.90625</v>
      </c>
      <c r="E137" s="28">
        <f>7+11/16</f>
        <v>7.6875</v>
      </c>
      <c r="F137" s="21">
        <f t="shared" ref="F137:F139" si="87">(E137-D137)/$F$2</f>
        <v>0.12144368442041041</v>
      </c>
      <c r="G137" s="21">
        <f t="shared" ref="G137:G139" si="88">C137*9.8</f>
        <v>89.327000000000012</v>
      </c>
      <c r="H137" s="23"/>
      <c r="I137" s="21">
        <f t="shared" si="85"/>
        <v>735.54257206797399</v>
      </c>
      <c r="J137" s="23"/>
      <c r="K137" s="27">
        <v>4297</v>
      </c>
      <c r="L137" s="34">
        <f>0.0018*K137+2.7402</f>
        <v>10.4748</v>
      </c>
      <c r="M137" s="34">
        <f t="shared" ref="M137:M139" si="89">L137-$L$135</f>
        <v>4.8708</v>
      </c>
      <c r="N137">
        <f>E137-D137</f>
        <v>4.78125</v>
      </c>
      <c r="O137">
        <f>M137-N137</f>
        <v>8.9550000000000018E-2</v>
      </c>
    </row>
    <row r="138" spans="2:15" x14ac:dyDescent="0.25">
      <c r="B138" s="22">
        <v>4.6349999999999998</v>
      </c>
      <c r="C138" s="23">
        <f t="shared" ref="C138:C139" si="90">C137+B138</f>
        <v>13.75</v>
      </c>
      <c r="D138" s="23">
        <f t="shared" si="86"/>
        <v>2.90625</v>
      </c>
      <c r="E138" s="28">
        <f>10+1/16</f>
        <v>10.0625</v>
      </c>
      <c r="F138" s="21">
        <f t="shared" si="87"/>
        <v>0.18176865184492799</v>
      </c>
      <c r="G138" s="21">
        <f t="shared" si="88"/>
        <v>134.75</v>
      </c>
      <c r="H138" s="23"/>
      <c r="I138" s="21">
        <f t="shared" si="85"/>
        <v>741.32694847161576</v>
      </c>
      <c r="J138" s="23"/>
      <c r="K138" s="27">
        <v>5649</v>
      </c>
      <c r="L138" s="34">
        <f>0.0018*K138+2.7402</f>
        <v>12.9084</v>
      </c>
      <c r="M138" s="34">
        <f t="shared" si="89"/>
        <v>7.3044000000000002</v>
      </c>
      <c r="N138">
        <f>E138-D138</f>
        <v>7.15625</v>
      </c>
      <c r="O138">
        <f>M138-N138</f>
        <v>0.14815000000000023</v>
      </c>
    </row>
    <row r="139" spans="2:15" x14ac:dyDescent="0.25">
      <c r="B139" s="22">
        <v>4.54</v>
      </c>
      <c r="C139" s="23">
        <f t="shared" si="90"/>
        <v>18.29</v>
      </c>
      <c r="D139" s="23">
        <f t="shared" si="86"/>
        <v>2.90625</v>
      </c>
      <c r="E139" s="28">
        <f>12+11/16</f>
        <v>12.6875</v>
      </c>
      <c r="F139" s="21">
        <f t="shared" si="87"/>
        <v>0.24844361584044744</v>
      </c>
      <c r="G139" s="21">
        <f t="shared" si="88"/>
        <v>179.24200000000002</v>
      </c>
      <c r="H139" s="23"/>
      <c r="I139" s="21">
        <f t="shared" si="85"/>
        <v>721.45947237827488</v>
      </c>
      <c r="J139" s="23"/>
      <c r="K139" s="27">
        <v>7122</v>
      </c>
      <c r="L139" s="34">
        <f>0.0018*K139+2.7402</f>
        <v>15.559799999999999</v>
      </c>
      <c r="M139" s="34">
        <f t="shared" si="89"/>
        <v>9.9558</v>
      </c>
      <c r="N139">
        <f>E139-D139</f>
        <v>9.78125</v>
      </c>
      <c r="O139">
        <f>M139-N139</f>
        <v>0.17454999999999998</v>
      </c>
    </row>
    <row r="140" spans="2:15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741.32694847161576</v>
      </c>
      <c r="J140" s="9">
        <f>MAX(I136:I139)-MIN(I136:I139)</f>
        <v>68.018607261161833</v>
      </c>
      <c r="K140" s="24"/>
      <c r="L140" s="21"/>
      <c r="M140" s="21"/>
    </row>
    <row r="142" spans="2:15" ht="15.75" thickBot="1" x14ac:dyDescent="0.3"/>
    <row r="143" spans="2:15" x14ac:dyDescent="0.25">
      <c r="B143" s="17" t="s">
        <v>17</v>
      </c>
      <c r="C143" s="11">
        <v>100</v>
      </c>
      <c r="D143" s="18" t="s">
        <v>24</v>
      </c>
      <c r="E143" s="11"/>
      <c r="F143" s="18"/>
      <c r="G143" s="18"/>
      <c r="H143" s="18"/>
      <c r="I143" s="18"/>
      <c r="J143" s="18"/>
      <c r="K143" s="19"/>
      <c r="L143" s="21"/>
      <c r="M143" s="21"/>
    </row>
    <row r="144" spans="2:15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  <c r="L144" s="25"/>
      <c r="M144" s="25"/>
    </row>
    <row r="145" spans="2:15" x14ac:dyDescent="0.25">
      <c r="B145" s="22"/>
      <c r="C145" s="23"/>
      <c r="D145" s="28">
        <f>2+7/16</f>
        <v>2.4375</v>
      </c>
      <c r="E145" s="23"/>
      <c r="F145" s="21"/>
      <c r="G145" s="21"/>
      <c r="H145" s="21"/>
      <c r="I145" s="21"/>
      <c r="J145" s="23"/>
      <c r="K145" s="27">
        <v>1795</v>
      </c>
      <c r="L145" s="34">
        <f>0.0018*K145+2.7402</f>
        <v>5.9711999999999996</v>
      </c>
      <c r="M145" s="34"/>
    </row>
    <row r="146" spans="2:15" x14ac:dyDescent="0.25">
      <c r="B146" s="22">
        <v>4.54</v>
      </c>
      <c r="C146" s="23">
        <f>B146</f>
        <v>4.54</v>
      </c>
      <c r="D146" s="23">
        <f>D145</f>
        <v>2.4375</v>
      </c>
      <c r="E146" s="28">
        <f>5+7/16</f>
        <v>5.4375</v>
      </c>
      <c r="F146" s="21">
        <f>(E146-D146)/$F$2</f>
        <v>7.6199958852022215E-2</v>
      </c>
      <c r="G146" s="21">
        <f>C146*9.8</f>
        <v>44.492000000000004</v>
      </c>
      <c r="H146" s="23"/>
      <c r="I146" s="21">
        <f t="shared" ref="I146:I149" si="91">G146/F146</f>
        <v>583.88482973333339</v>
      </c>
      <c r="J146" s="23"/>
      <c r="K146" s="27">
        <v>3497</v>
      </c>
      <c r="L146" s="34">
        <f>0.0018*K146+2.7402</f>
        <v>9.0348000000000006</v>
      </c>
      <c r="M146" s="34">
        <f>L146-$L$145</f>
        <v>3.063600000000001</v>
      </c>
      <c r="N146">
        <f>E146-D146</f>
        <v>3</v>
      </c>
      <c r="O146">
        <f>M146-N146</f>
        <v>6.3600000000000989E-2</v>
      </c>
    </row>
    <row r="147" spans="2:15" x14ac:dyDescent="0.25">
      <c r="B147" s="22">
        <v>4.5750000000000002</v>
      </c>
      <c r="C147" s="23">
        <f>C146+B147</f>
        <v>9.1150000000000002</v>
      </c>
      <c r="D147" s="23">
        <f t="shared" ref="D147:D149" si="92">D146</f>
        <v>2.4375</v>
      </c>
      <c r="E147" s="28">
        <f>8+10/16</f>
        <v>8.625</v>
      </c>
      <c r="F147" s="21">
        <f t="shared" ref="F147:F149" si="93">(E147-D147)/$F$2</f>
        <v>0.15716241513229581</v>
      </c>
      <c r="G147" s="21">
        <f t="shared" ref="G147:G149" si="94">C147*9.8</f>
        <v>89.327000000000012</v>
      </c>
      <c r="H147" s="23"/>
      <c r="I147" s="21">
        <f t="shared" si="91"/>
        <v>568.37380568888898</v>
      </c>
      <c r="J147" s="23"/>
      <c r="K147" s="27">
        <v>5312</v>
      </c>
      <c r="L147" s="34">
        <f>0.0018*K147+2.7402</f>
        <v>12.3018</v>
      </c>
      <c r="M147" s="34">
        <f t="shared" ref="M147:M149" si="95">L147-$L$145</f>
        <v>6.3306000000000004</v>
      </c>
      <c r="N147">
        <f>E147-D147</f>
        <v>6.1875</v>
      </c>
      <c r="O147">
        <f>M147-N147</f>
        <v>0.14310000000000045</v>
      </c>
    </row>
    <row r="148" spans="2:15" x14ac:dyDescent="0.25">
      <c r="B148" s="22">
        <v>4.6349999999999998</v>
      </c>
      <c r="C148" s="23">
        <f t="shared" ref="C148:C149" si="96">C147+B148</f>
        <v>13.75</v>
      </c>
      <c r="D148" s="23">
        <f t="shared" si="92"/>
        <v>2.4375</v>
      </c>
      <c r="E148" s="28">
        <f>11+14/16</f>
        <v>11.875</v>
      </c>
      <c r="F148" s="21">
        <f t="shared" si="93"/>
        <v>0.23971237055531991</v>
      </c>
      <c r="G148" s="21">
        <f t="shared" si="94"/>
        <v>134.75</v>
      </c>
      <c r="H148" s="23"/>
      <c r="I148" s="21">
        <f t="shared" si="91"/>
        <v>562.13202384105955</v>
      </c>
      <c r="J148" s="23"/>
      <c r="K148" s="27">
        <v>7137</v>
      </c>
      <c r="L148" s="34">
        <f>0.0018*K148+2.7402</f>
        <v>15.5868</v>
      </c>
      <c r="M148" s="34">
        <f t="shared" si="95"/>
        <v>9.6156000000000006</v>
      </c>
      <c r="N148">
        <f>E148-D148</f>
        <v>9.4375</v>
      </c>
      <c r="O148">
        <f>M148-N148</f>
        <v>0.17810000000000059</v>
      </c>
    </row>
    <row r="149" spans="2:15" x14ac:dyDescent="0.25">
      <c r="B149" s="22">
        <v>4.54</v>
      </c>
      <c r="C149" s="23">
        <f t="shared" si="96"/>
        <v>18.29</v>
      </c>
      <c r="D149" s="23">
        <f t="shared" si="92"/>
        <v>2.4375</v>
      </c>
      <c r="E149" s="28">
        <f>15+2/16</f>
        <v>15.125</v>
      </c>
      <c r="F149" s="21">
        <f t="shared" si="93"/>
        <v>0.32226232597834398</v>
      </c>
      <c r="G149" s="21">
        <f t="shared" si="94"/>
        <v>179.24200000000002</v>
      </c>
      <c r="H149" s="23"/>
      <c r="I149" s="21">
        <f t="shared" si="91"/>
        <v>556.19905136551733</v>
      </c>
      <c r="J149" s="23"/>
      <c r="K149" s="27">
        <v>8970</v>
      </c>
      <c r="L149" s="34">
        <f>0.0018*K149+2.7402</f>
        <v>18.886200000000002</v>
      </c>
      <c r="M149" s="34">
        <f t="shared" si="95"/>
        <v>12.915000000000003</v>
      </c>
      <c r="N149">
        <f>E149-D149</f>
        <v>12.6875</v>
      </c>
      <c r="O149">
        <f>M149-N149</f>
        <v>0.2275000000000027</v>
      </c>
    </row>
    <row r="150" spans="2:15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568.37380568888898</v>
      </c>
      <c r="J150" s="9">
        <f>MAX(I146:I149)-MIN(I146:I149)</f>
        <v>27.685778367816056</v>
      </c>
      <c r="K150" s="24"/>
      <c r="L150" s="21"/>
      <c r="M150" s="21"/>
    </row>
    <row r="152" spans="2:15" ht="15.75" thickBot="1" x14ac:dyDescent="0.3"/>
    <row r="153" spans="2:15" x14ac:dyDescent="0.25">
      <c r="B153" s="17" t="s">
        <v>17</v>
      </c>
      <c r="C153" s="11">
        <v>120</v>
      </c>
      <c r="D153" s="18" t="s">
        <v>24</v>
      </c>
      <c r="E153" s="11"/>
      <c r="F153" s="18"/>
      <c r="G153" s="18"/>
      <c r="H153" s="18"/>
      <c r="I153" s="18"/>
      <c r="J153" s="18"/>
      <c r="K153" s="19"/>
      <c r="L153" s="21"/>
      <c r="M153" s="21"/>
    </row>
    <row r="154" spans="2:15" x14ac:dyDescent="0.25">
      <c r="B154" s="20"/>
      <c r="C154" s="25" t="s">
        <v>4</v>
      </c>
      <c r="D154" s="25" t="s">
        <v>5</v>
      </c>
      <c r="E154" s="25" t="s">
        <v>14</v>
      </c>
      <c r="F154" s="25" t="s">
        <v>7</v>
      </c>
      <c r="G154" s="25" t="s">
        <v>8</v>
      </c>
      <c r="H154" s="25" t="s">
        <v>9</v>
      </c>
      <c r="I154" s="25" t="s">
        <v>10</v>
      </c>
      <c r="J154" s="25"/>
      <c r="K154" s="26" t="s">
        <v>18</v>
      </c>
      <c r="L154" s="25"/>
      <c r="M154" s="25"/>
    </row>
    <row r="155" spans="2:15" x14ac:dyDescent="0.25">
      <c r="B155" s="22"/>
      <c r="C155" s="23"/>
      <c r="D155" s="28">
        <f>3+0.5/16</f>
        <v>3.03125</v>
      </c>
      <c r="E155" s="23"/>
      <c r="F155" s="21"/>
      <c r="G155" s="21"/>
      <c r="H155" s="21"/>
      <c r="I155" s="21"/>
      <c r="J155" s="23"/>
      <c r="K155" s="27">
        <v>2131</v>
      </c>
      <c r="L155" s="34">
        <f>0.0018*K155+2.7402</f>
        <v>6.5760000000000005</v>
      </c>
      <c r="M155" s="34"/>
    </row>
    <row r="156" spans="2:15" x14ac:dyDescent="0.25">
      <c r="B156" s="22">
        <v>4.54</v>
      </c>
      <c r="C156" s="23">
        <f>B156</f>
        <v>4.54</v>
      </c>
      <c r="D156" s="23">
        <f>D155</f>
        <v>3.03125</v>
      </c>
      <c r="E156" s="28">
        <f>6+10/16</f>
        <v>6.625</v>
      </c>
      <c r="F156" s="21">
        <f>(E156-D156)/$F$2</f>
        <v>9.1281200708151614E-2</v>
      </c>
      <c r="G156" s="21">
        <f>C156*9.8</f>
        <v>44.492000000000004</v>
      </c>
      <c r="H156" s="23"/>
      <c r="I156" s="21">
        <f t="shared" ref="I156:I158" si="97">G156/F156</f>
        <v>487.41690134260875</v>
      </c>
      <c r="J156" s="23"/>
      <c r="K156" s="27">
        <v>7173</v>
      </c>
      <c r="L156" s="34">
        <f>0.0018*K156+2.7402</f>
        <v>15.6516</v>
      </c>
      <c r="M156" s="34">
        <f>L156-$L$155</f>
        <v>9.0755999999999997</v>
      </c>
      <c r="N156">
        <f>E156-D156</f>
        <v>3.59375</v>
      </c>
      <c r="O156">
        <f>M156-N156</f>
        <v>5.4818499999999997</v>
      </c>
    </row>
    <row r="157" spans="2:15" x14ac:dyDescent="0.25">
      <c r="B157" s="22">
        <v>4.5750000000000002</v>
      </c>
      <c r="C157" s="23">
        <f>C156+B157</f>
        <v>9.1150000000000002</v>
      </c>
      <c r="D157" s="23">
        <f t="shared" ref="D157:D159" si="98">D156</f>
        <v>3.03125</v>
      </c>
      <c r="E157" s="28">
        <f>10+10.5/16</f>
        <v>10.65625</v>
      </c>
      <c r="F157" s="21">
        <f t="shared" ref="F157:F159" si="99">(E157-D157)/$F$2</f>
        <v>0.19367489541555646</v>
      </c>
      <c r="G157" s="21">
        <f t="shared" ref="G157:G159" si="100">C157*9.8</f>
        <v>89.327000000000012</v>
      </c>
      <c r="H157" s="23"/>
      <c r="I157" s="21">
        <f t="shared" si="97"/>
        <v>461.22136691147551</v>
      </c>
      <c r="J157" s="23"/>
      <c r="K157" s="27">
        <v>6460</v>
      </c>
      <c r="L157" s="34">
        <f>0.0018*K157+2.7402</f>
        <v>14.3682</v>
      </c>
      <c r="M157" s="34">
        <f t="shared" ref="M157:M159" si="101">L157-$L$155</f>
        <v>7.7921999999999993</v>
      </c>
      <c r="N157">
        <f>E157-D157</f>
        <v>7.625</v>
      </c>
      <c r="O157">
        <f>M157-N157</f>
        <v>0.16719999999999935</v>
      </c>
    </row>
    <row r="158" spans="2:15" x14ac:dyDescent="0.25">
      <c r="B158" s="22">
        <v>4.6349999999999998</v>
      </c>
      <c r="C158" s="23">
        <f t="shared" ref="C158:C159" si="102">C157+B158</f>
        <v>13.75</v>
      </c>
      <c r="D158" s="23">
        <f t="shared" si="98"/>
        <v>3.03125</v>
      </c>
      <c r="E158" s="28">
        <f>14+8/16</f>
        <v>14.5</v>
      </c>
      <c r="F158" s="21">
        <f t="shared" si="99"/>
        <v>0.29130609269470992</v>
      </c>
      <c r="G158" s="21">
        <f t="shared" si="100"/>
        <v>134.75</v>
      </c>
      <c r="H158" s="23"/>
      <c r="I158" s="21">
        <f t="shared" si="97"/>
        <v>462.57185613079025</v>
      </c>
      <c r="J158" s="23"/>
      <c r="K158" s="27">
        <v>8633</v>
      </c>
      <c r="L158" s="34">
        <f>0.0018*K158+2.7402</f>
        <v>18.279599999999999</v>
      </c>
      <c r="M158" s="34">
        <f t="shared" si="101"/>
        <v>11.703599999999998</v>
      </c>
      <c r="N158">
        <f>E158-D158</f>
        <v>11.46875</v>
      </c>
      <c r="O158">
        <f>M158-N158</f>
        <v>0.234849999999998</v>
      </c>
    </row>
    <row r="159" spans="2:15" x14ac:dyDescent="0.25">
      <c r="B159" s="22">
        <v>4.54</v>
      </c>
      <c r="C159" s="23">
        <f t="shared" si="102"/>
        <v>18.29</v>
      </c>
      <c r="D159" s="23">
        <f t="shared" si="98"/>
        <v>3.03125</v>
      </c>
      <c r="E159" s="28"/>
      <c r="F159" s="21">
        <f t="shared" si="99"/>
        <v>-7.699370842339745E-2</v>
      </c>
      <c r="G159" s="21">
        <f t="shared" si="100"/>
        <v>179.24200000000002</v>
      </c>
      <c r="H159" s="23"/>
      <c r="I159" s="21"/>
      <c r="J159" s="23"/>
      <c r="K159" s="27"/>
      <c r="L159" s="34">
        <f>0.0018*K159+2.7402</f>
        <v>2.7402000000000002</v>
      </c>
      <c r="M159" s="34">
        <f t="shared" si="101"/>
        <v>-3.8358000000000003</v>
      </c>
      <c r="N159">
        <f>E159-D159</f>
        <v>-3.03125</v>
      </c>
      <c r="O159">
        <f>M159-N159</f>
        <v>-0.80455000000000032</v>
      </c>
    </row>
    <row r="160" spans="2:15" ht="15.75" thickBot="1" x14ac:dyDescent="0.3">
      <c r="B160" s="8"/>
      <c r="C160" s="9"/>
      <c r="D160" s="9"/>
      <c r="E160" s="9"/>
      <c r="F160" s="9"/>
      <c r="G160" s="9"/>
      <c r="H160" s="9" t="s">
        <v>33</v>
      </c>
      <c r="I160" s="29">
        <f>MEDIAN(I156:I158)</f>
        <v>462.57185613079025</v>
      </c>
      <c r="J160" s="9">
        <f>MAX(I156:I159)-MIN(I156:I159)</f>
        <v>26.19553443113324</v>
      </c>
      <c r="K160" s="24"/>
      <c r="L160" s="21"/>
      <c r="M160" s="21"/>
    </row>
    <row r="161" spans="2:15" ht="15.75" thickBot="1" x14ac:dyDescent="0.3"/>
    <row r="162" spans="2:15" x14ac:dyDescent="0.25">
      <c r="B162" s="17" t="s">
        <v>17</v>
      </c>
      <c r="C162" s="11">
        <v>150</v>
      </c>
      <c r="D162" s="18" t="s">
        <v>24</v>
      </c>
      <c r="E162" s="11"/>
      <c r="F162" s="18"/>
      <c r="G162" s="18"/>
      <c r="H162" s="18"/>
      <c r="I162" s="18"/>
      <c r="J162" s="18"/>
      <c r="K162" s="19"/>
      <c r="L162" s="21"/>
      <c r="M162" s="21"/>
    </row>
    <row r="163" spans="2:15" x14ac:dyDescent="0.25">
      <c r="B163" s="20"/>
      <c r="C163" s="25" t="s">
        <v>4</v>
      </c>
      <c r="D163" s="25" t="s">
        <v>5</v>
      </c>
      <c r="E163" s="25" t="s">
        <v>14</v>
      </c>
      <c r="F163" s="25" t="s">
        <v>7</v>
      </c>
      <c r="G163" s="25" t="s">
        <v>8</v>
      </c>
      <c r="H163" s="25" t="s">
        <v>9</v>
      </c>
      <c r="I163" s="25" t="s">
        <v>10</v>
      </c>
      <c r="J163" s="25"/>
      <c r="K163" s="26" t="s">
        <v>18</v>
      </c>
      <c r="L163" s="25"/>
      <c r="M163" s="25"/>
    </row>
    <row r="164" spans="2:15" x14ac:dyDescent="0.25">
      <c r="B164" s="22"/>
      <c r="C164" s="23"/>
      <c r="D164" s="28">
        <f>2+1/16</f>
        <v>2.0625</v>
      </c>
      <c r="E164" s="23"/>
      <c r="F164" s="21"/>
      <c r="G164" s="21"/>
      <c r="H164" s="21"/>
      <c r="I164" s="21"/>
      <c r="J164" s="23"/>
      <c r="K164" s="27">
        <v>2574</v>
      </c>
      <c r="L164" s="34">
        <f>0.0018*K164+2.7402</f>
        <v>7.3734000000000002</v>
      </c>
      <c r="M164" s="34"/>
    </row>
    <row r="165" spans="2:15" x14ac:dyDescent="0.25">
      <c r="B165" s="22">
        <v>4.54</v>
      </c>
      <c r="C165" s="23">
        <f>B165</f>
        <v>4.54</v>
      </c>
      <c r="D165" s="23">
        <f>D164</f>
        <v>2.0625</v>
      </c>
      <c r="E165" s="28">
        <f>7+2/16</f>
        <v>7.125</v>
      </c>
      <c r="F165" s="21">
        <f>(E165-D165)/$F$2</f>
        <v>0.12858743056278749</v>
      </c>
      <c r="G165" s="21">
        <f>C165*9.8</f>
        <v>44.492000000000004</v>
      </c>
      <c r="H165" s="23"/>
      <c r="I165" s="21">
        <f t="shared" ref="I165:I168" si="103">G165/F165</f>
        <v>346.00582502716054</v>
      </c>
      <c r="J165" s="23"/>
      <c r="K165" s="27">
        <v>5444</v>
      </c>
      <c r="L165" s="34">
        <f>0.0018*K165+2.7402</f>
        <v>12.539399999999999</v>
      </c>
      <c r="M165" s="34">
        <f>L165-$L$155</f>
        <v>5.9633999999999983</v>
      </c>
      <c r="N165">
        <f>E165-D165</f>
        <v>5.0625</v>
      </c>
      <c r="O165">
        <f>M165-N165</f>
        <v>0.90089999999999826</v>
      </c>
    </row>
    <row r="166" spans="2:15" x14ac:dyDescent="0.25">
      <c r="B166" s="22">
        <v>4.5750000000000002</v>
      </c>
      <c r="C166" s="23">
        <f>C165+B166</f>
        <v>9.1150000000000002</v>
      </c>
      <c r="D166" s="23">
        <f t="shared" ref="D166:D168" si="104">D165</f>
        <v>2.0625</v>
      </c>
      <c r="E166" s="28">
        <f>11+13/16</f>
        <v>11.8125</v>
      </c>
      <c r="F166" s="21">
        <f t="shared" ref="F166:F168" si="105">(E166-D166)/$F$2</f>
        <v>0.24764986626907221</v>
      </c>
      <c r="G166" s="21">
        <f t="shared" ref="G166:G168" si="106">C166*9.8</f>
        <v>89.327000000000012</v>
      </c>
      <c r="H166" s="23"/>
      <c r="I166" s="21">
        <f t="shared" si="103"/>
        <v>360.69876130256415</v>
      </c>
      <c r="J166" s="23"/>
      <c r="K166" s="27">
        <v>7964</v>
      </c>
      <c r="L166" s="34">
        <f>0.0018*K166+2.7402</f>
        <v>17.075400000000002</v>
      </c>
      <c r="M166" s="34">
        <f t="shared" ref="M166:M168" si="107">L166-$L$155</f>
        <v>10.499400000000001</v>
      </c>
      <c r="N166">
        <f>E166-D166</f>
        <v>9.75</v>
      </c>
      <c r="O166">
        <f>M166-N166</f>
        <v>0.7494000000000014</v>
      </c>
    </row>
    <row r="167" spans="2:15" x14ac:dyDescent="0.25">
      <c r="B167" s="22">
        <v>4.6349999999999998</v>
      </c>
      <c r="C167" s="23">
        <f t="shared" ref="C167:C168" si="108">C166+B167</f>
        <v>13.75</v>
      </c>
      <c r="D167" s="23">
        <f t="shared" si="104"/>
        <v>2.0625</v>
      </c>
      <c r="E167" s="28">
        <f>16+8/16</f>
        <v>16.5</v>
      </c>
      <c r="F167" s="21">
        <f t="shared" si="105"/>
        <v>0.36671230197535692</v>
      </c>
      <c r="G167" s="21">
        <f t="shared" si="106"/>
        <v>134.75</v>
      </c>
      <c r="H167" s="23"/>
      <c r="I167" s="21">
        <f t="shared" si="103"/>
        <v>367.45426666666668</v>
      </c>
      <c r="J167" s="23"/>
      <c r="K167" s="27">
        <v>10793</v>
      </c>
      <c r="L167" s="34">
        <f>0.0018*K167+2.7402</f>
        <v>22.1676</v>
      </c>
      <c r="M167" s="34">
        <f t="shared" si="107"/>
        <v>15.5916</v>
      </c>
      <c r="N167">
        <f>E167-D167</f>
        <v>14.4375</v>
      </c>
      <c r="O167">
        <f>M167-N167</f>
        <v>1.1540999999999997</v>
      </c>
    </row>
    <row r="168" spans="2:15" x14ac:dyDescent="0.25">
      <c r="B168" s="22">
        <v>4.54</v>
      </c>
      <c r="C168" s="23">
        <f t="shared" si="108"/>
        <v>18.29</v>
      </c>
      <c r="D168" s="23">
        <f t="shared" si="104"/>
        <v>2.0625</v>
      </c>
      <c r="E168" s="28"/>
      <c r="F168" s="21">
        <f t="shared" si="105"/>
        <v>-5.2387471710765278E-2</v>
      </c>
      <c r="G168" s="21">
        <f t="shared" si="106"/>
        <v>179.24200000000002</v>
      </c>
      <c r="H168" s="23"/>
      <c r="I168" s="21"/>
      <c r="J168" s="23"/>
      <c r="K168" s="27"/>
      <c r="L168" s="34">
        <f>0.0018*K168+2.7402</f>
        <v>2.7402000000000002</v>
      </c>
      <c r="M168" s="34">
        <f t="shared" si="107"/>
        <v>-3.8358000000000003</v>
      </c>
      <c r="N168">
        <f>E168-D168</f>
        <v>-2.0625</v>
      </c>
      <c r="O168">
        <f>M168-N168</f>
        <v>-1.7733000000000003</v>
      </c>
    </row>
    <row r="169" spans="2:15" ht="15.75" thickBot="1" x14ac:dyDescent="0.3">
      <c r="B169" s="8"/>
      <c r="C169" s="9"/>
      <c r="D169" s="9"/>
      <c r="E169" s="9"/>
      <c r="F169" s="9"/>
      <c r="G169" s="9"/>
      <c r="H169" s="9" t="s">
        <v>33</v>
      </c>
      <c r="I169" s="29">
        <f>MEDIAN(I165:I167)</f>
        <v>360.69876130256415</v>
      </c>
      <c r="J169" s="9">
        <f>MAX(I165:I168)-MIN(I165:I168)</f>
        <v>21.448441639506143</v>
      </c>
      <c r="K169" s="24"/>
      <c r="L169" s="21"/>
      <c r="M169" s="21"/>
    </row>
    <row r="171" spans="2:15" ht="15.75" thickBot="1" x14ac:dyDescent="0.3"/>
    <row r="172" spans="2:15" x14ac:dyDescent="0.25">
      <c r="B172" s="17" t="s">
        <v>17</v>
      </c>
      <c r="C172" s="11">
        <v>175</v>
      </c>
      <c r="D172" s="18" t="s">
        <v>24</v>
      </c>
      <c r="E172" s="11"/>
      <c r="F172" s="18"/>
      <c r="G172" s="18"/>
      <c r="H172" s="18"/>
      <c r="I172" s="18"/>
      <c r="J172" s="18"/>
      <c r="K172" s="19"/>
      <c r="L172" s="21"/>
      <c r="M172" s="21"/>
    </row>
    <row r="173" spans="2:15" x14ac:dyDescent="0.25">
      <c r="B173" s="20"/>
      <c r="C173" s="25" t="s">
        <v>4</v>
      </c>
      <c r="D173" s="25" t="s">
        <v>5</v>
      </c>
      <c r="E173" s="25" t="s">
        <v>14</v>
      </c>
      <c r="F173" s="25" t="s">
        <v>7</v>
      </c>
      <c r="G173" s="25" t="s">
        <v>8</v>
      </c>
      <c r="H173" s="25" t="s">
        <v>9</v>
      </c>
      <c r="I173" s="25" t="s">
        <v>10</v>
      </c>
      <c r="J173" s="25"/>
      <c r="K173" s="26" t="s">
        <v>18</v>
      </c>
      <c r="L173" s="25"/>
      <c r="M173" s="25"/>
    </row>
    <row r="174" spans="2:15" x14ac:dyDescent="0.25">
      <c r="B174" s="22"/>
      <c r="C174" s="23"/>
      <c r="D174" s="28">
        <f>3+2/16</f>
        <v>3.125</v>
      </c>
      <c r="E174" s="23"/>
      <c r="F174" s="21"/>
      <c r="G174" s="21"/>
      <c r="H174" s="21"/>
      <c r="I174" s="21"/>
      <c r="J174" s="23"/>
      <c r="K174" s="27">
        <v>3147</v>
      </c>
      <c r="L174" s="34">
        <f>0.0018*K174+2.7402</f>
        <v>8.4047999999999998</v>
      </c>
      <c r="M174" s="34"/>
    </row>
    <row r="175" spans="2:15" x14ac:dyDescent="0.25">
      <c r="B175" s="22">
        <v>4.54</v>
      </c>
      <c r="C175" s="23">
        <f>B175</f>
        <v>4.54</v>
      </c>
      <c r="D175" s="23">
        <f>D174</f>
        <v>3.125</v>
      </c>
      <c r="E175" s="28">
        <f>8+6/16</f>
        <v>8.375</v>
      </c>
      <c r="F175" s="21">
        <f>(E175-D175)/$F$2</f>
        <v>0.13334992799103887</v>
      </c>
      <c r="G175" s="21">
        <f>C175*9.8</f>
        <v>44.492000000000004</v>
      </c>
      <c r="H175" s="23"/>
      <c r="I175" s="21">
        <f t="shared" ref="I175:I176" si="109">G175/F175</f>
        <v>333.64847413333342</v>
      </c>
      <c r="J175" s="23"/>
      <c r="K175" s="27"/>
      <c r="L175" s="34">
        <f>0.0018*K175+2.7402</f>
        <v>2.7402000000000002</v>
      </c>
      <c r="M175" s="34">
        <f>L175-$L$155</f>
        <v>-3.8358000000000003</v>
      </c>
      <c r="N175">
        <f>E175-D175</f>
        <v>5.25</v>
      </c>
      <c r="O175">
        <f>M175-N175</f>
        <v>-9.0858000000000008</v>
      </c>
    </row>
    <row r="176" spans="2:15" x14ac:dyDescent="0.25">
      <c r="B176" s="22">
        <v>4.5750000000000002</v>
      </c>
      <c r="C176" s="23">
        <f>C175+B176</f>
        <v>9.1150000000000002</v>
      </c>
      <c r="D176" s="23">
        <f t="shared" ref="D176:D178" si="110">D175</f>
        <v>3.125</v>
      </c>
      <c r="E176" s="28">
        <f>13+7/16</f>
        <v>13.4375</v>
      </c>
      <c r="F176" s="21">
        <f t="shared" ref="F176:F178" si="111">(E176-D176)/$F$2</f>
        <v>0.26193735855382638</v>
      </c>
      <c r="G176" s="21">
        <f t="shared" ref="G176:G178" si="112">C176*9.8</f>
        <v>89.327000000000012</v>
      </c>
      <c r="H176" s="23"/>
      <c r="I176" s="21">
        <f t="shared" si="109"/>
        <v>341.02428341333336</v>
      </c>
      <c r="J176" s="23"/>
      <c r="K176" s="27"/>
      <c r="L176" s="34">
        <f>0.0018*K176+2.7402</f>
        <v>2.7402000000000002</v>
      </c>
      <c r="M176" s="34">
        <f t="shared" ref="M176:M178" si="113">L176-$L$155</f>
        <v>-3.8358000000000003</v>
      </c>
      <c r="N176">
        <f>E176-D176</f>
        <v>10.3125</v>
      </c>
      <c r="O176">
        <f>M176-N176</f>
        <v>-14.148300000000001</v>
      </c>
    </row>
    <row r="177" spans="2:15" x14ac:dyDescent="0.25">
      <c r="B177" s="22">
        <v>4.6349999999999998</v>
      </c>
      <c r="C177" s="23">
        <f t="shared" ref="C177:C178" si="114">C176+B177</f>
        <v>13.75</v>
      </c>
      <c r="D177" s="23">
        <f t="shared" si="110"/>
        <v>3.125</v>
      </c>
      <c r="E177" s="28"/>
      <c r="F177" s="21">
        <f t="shared" si="111"/>
        <v>-7.9374957137523142E-2</v>
      </c>
      <c r="G177" s="21">
        <f t="shared" si="112"/>
        <v>134.75</v>
      </c>
      <c r="H177" s="23"/>
      <c r="I177" s="21"/>
      <c r="J177" s="23"/>
      <c r="K177" s="27"/>
      <c r="L177" s="34">
        <f>0.0018*K177+2.7402</f>
        <v>2.7402000000000002</v>
      </c>
      <c r="M177" s="34">
        <f t="shared" si="113"/>
        <v>-3.8358000000000003</v>
      </c>
      <c r="N177">
        <f>E177-D177</f>
        <v>-3.125</v>
      </c>
      <c r="O177">
        <f>M177-N177</f>
        <v>-0.71080000000000032</v>
      </c>
    </row>
    <row r="178" spans="2:15" x14ac:dyDescent="0.25">
      <c r="B178" s="22">
        <v>4.54</v>
      </c>
      <c r="C178" s="23">
        <f t="shared" si="114"/>
        <v>18.29</v>
      </c>
      <c r="D178" s="23">
        <f t="shared" si="110"/>
        <v>3.125</v>
      </c>
      <c r="E178" s="28"/>
      <c r="F178" s="21">
        <f t="shared" si="111"/>
        <v>-7.9374957137523142E-2</v>
      </c>
      <c r="G178" s="21">
        <f t="shared" si="112"/>
        <v>179.24200000000002</v>
      </c>
      <c r="H178" s="23"/>
      <c r="I178" s="21"/>
      <c r="J178" s="23"/>
      <c r="K178" s="27"/>
      <c r="L178" s="34">
        <f>0.0018*K178+2.7402</f>
        <v>2.7402000000000002</v>
      </c>
      <c r="M178" s="34">
        <f t="shared" si="113"/>
        <v>-3.8358000000000003</v>
      </c>
      <c r="N178">
        <f>E178-D178</f>
        <v>-3.125</v>
      </c>
      <c r="O178">
        <f>M178-N178</f>
        <v>-0.71080000000000032</v>
      </c>
    </row>
    <row r="179" spans="2:15" ht="15.75" thickBot="1" x14ac:dyDescent="0.3">
      <c r="B179" s="8"/>
      <c r="C179" s="9"/>
      <c r="D179" s="9"/>
      <c r="E179" s="9"/>
      <c r="F179" s="9"/>
      <c r="G179" s="9"/>
      <c r="H179" s="9" t="s">
        <v>33</v>
      </c>
      <c r="I179" s="29">
        <f>MEDIAN(I175:I177)</f>
        <v>337.33637877333342</v>
      </c>
      <c r="J179" s="9">
        <f>MAX(I175:I178)-MIN(I175:I178)</f>
        <v>7.3758092799999417</v>
      </c>
      <c r="K179" s="24"/>
      <c r="L179" s="21"/>
      <c r="M179" s="21"/>
    </row>
    <row r="180" spans="2:15" ht="15.75" thickBot="1" x14ac:dyDescent="0.3"/>
    <row r="181" spans="2:15" x14ac:dyDescent="0.25">
      <c r="B181" s="17" t="s">
        <v>17</v>
      </c>
      <c r="C181" s="11">
        <v>200</v>
      </c>
      <c r="D181" s="18" t="s">
        <v>24</v>
      </c>
      <c r="E181" s="11"/>
      <c r="F181" s="18"/>
      <c r="G181" s="18"/>
      <c r="H181" s="18"/>
      <c r="I181" s="18"/>
      <c r="J181" s="18"/>
      <c r="K181" s="19"/>
      <c r="L181" s="21"/>
      <c r="M181" s="21"/>
    </row>
    <row r="182" spans="2:15" x14ac:dyDescent="0.25">
      <c r="B182" s="20"/>
      <c r="C182" s="25" t="s">
        <v>4</v>
      </c>
      <c r="D182" s="25" t="s">
        <v>5</v>
      </c>
      <c r="E182" s="25" t="s">
        <v>14</v>
      </c>
      <c r="F182" s="25" t="s">
        <v>7</v>
      </c>
      <c r="G182" s="25" t="s">
        <v>8</v>
      </c>
      <c r="H182" s="25" t="s">
        <v>9</v>
      </c>
      <c r="I182" s="25" t="s">
        <v>10</v>
      </c>
      <c r="J182" s="25"/>
      <c r="K182" s="26" t="s">
        <v>18</v>
      </c>
      <c r="L182" s="25"/>
      <c r="M182" s="25"/>
    </row>
    <row r="183" spans="2:15" x14ac:dyDescent="0.25">
      <c r="B183" s="22"/>
      <c r="C183" s="23"/>
      <c r="D183" s="28">
        <f>3+5/16</f>
        <v>3.3125</v>
      </c>
      <c r="E183" s="23"/>
      <c r="F183" s="21"/>
      <c r="G183" s="21"/>
      <c r="H183" s="21"/>
      <c r="I183" s="21"/>
      <c r="J183" s="23"/>
      <c r="K183" s="27">
        <v>3372</v>
      </c>
      <c r="L183" s="34">
        <f>0.0018*K183+2.7402</f>
        <v>8.8097999999999992</v>
      </c>
      <c r="M183" s="34"/>
    </row>
    <row r="184" spans="2:15" x14ac:dyDescent="0.25">
      <c r="B184" s="22">
        <v>4.54</v>
      </c>
      <c r="C184" s="23">
        <f>B184</f>
        <v>4.54</v>
      </c>
      <c r="D184" s="23">
        <f>D183</f>
        <v>3.3125</v>
      </c>
      <c r="E184" s="28">
        <f>10+2/16</f>
        <v>10.125</v>
      </c>
      <c r="F184" s="21">
        <f>(E184-D184)/$F$2</f>
        <v>0.17303740655980046</v>
      </c>
      <c r="G184" s="21">
        <f>C184*9.8</f>
        <v>44.492000000000004</v>
      </c>
      <c r="H184" s="23"/>
      <c r="I184" s="21">
        <f t="shared" ref="I184:I185" si="115">G184/F184</f>
        <v>257.12359474495418</v>
      </c>
      <c r="J184" s="23"/>
      <c r="K184" s="27">
        <v>6803</v>
      </c>
      <c r="L184" s="34">
        <f>0.0018*K184+2.7402</f>
        <v>14.9856</v>
      </c>
      <c r="M184" s="34">
        <f>L184-$L$155</f>
        <v>8.4095999999999993</v>
      </c>
      <c r="N184">
        <f>E184-D184</f>
        <v>6.8125</v>
      </c>
      <c r="O184">
        <f>M184-N184</f>
        <v>1.5970999999999993</v>
      </c>
    </row>
    <row r="185" spans="2:15" x14ac:dyDescent="0.25">
      <c r="B185" s="22">
        <v>4.5750000000000002</v>
      </c>
      <c r="C185" s="23">
        <f>C184+B185</f>
        <v>9.1150000000000002</v>
      </c>
      <c r="D185" s="23">
        <f t="shared" ref="D185:D187" si="116">D184</f>
        <v>3.3125</v>
      </c>
      <c r="E185" s="28">
        <f>15+15/16</f>
        <v>15.9375</v>
      </c>
      <c r="F185" s="21">
        <f t="shared" ref="F185:F187" si="117">(E185-D185)/$F$2</f>
        <v>0.32067482683559351</v>
      </c>
      <c r="G185" s="21">
        <f t="shared" ref="G185:G187" si="118">C185*9.8</f>
        <v>89.327000000000012</v>
      </c>
      <c r="H185" s="23"/>
      <c r="I185" s="21">
        <f t="shared" si="115"/>
        <v>278.5594394217822</v>
      </c>
      <c r="J185" s="23"/>
      <c r="K185" s="27"/>
      <c r="L185" s="34">
        <f>0.0018*K185+2.7402</f>
        <v>2.7402000000000002</v>
      </c>
      <c r="M185" s="34">
        <f t="shared" ref="M185:M187" si="119">L185-$L$155</f>
        <v>-3.8358000000000003</v>
      </c>
      <c r="N185">
        <f>E185-D185</f>
        <v>12.625</v>
      </c>
      <c r="O185">
        <f>M185-N185</f>
        <v>-16.460799999999999</v>
      </c>
    </row>
    <row r="186" spans="2:15" x14ac:dyDescent="0.25">
      <c r="B186" s="22">
        <v>4.6349999999999998</v>
      </c>
      <c r="C186" s="23">
        <f t="shared" ref="C186:C187" si="120">C185+B186</f>
        <v>13.75</v>
      </c>
      <c r="D186" s="23">
        <f t="shared" si="116"/>
        <v>3.3125</v>
      </c>
      <c r="E186" s="28"/>
      <c r="F186" s="21">
        <f t="shared" si="117"/>
        <v>-8.4137454565774539E-2</v>
      </c>
      <c r="G186" s="21">
        <f t="shared" si="118"/>
        <v>134.75</v>
      </c>
      <c r="H186" s="23"/>
      <c r="I186" s="21"/>
      <c r="J186" s="23"/>
      <c r="K186" s="27"/>
      <c r="L186" s="34">
        <f>0.0018*K186+2.7402</f>
        <v>2.7402000000000002</v>
      </c>
      <c r="M186" s="34">
        <f t="shared" si="119"/>
        <v>-3.8358000000000003</v>
      </c>
      <c r="N186">
        <f>E186-D186</f>
        <v>-3.3125</v>
      </c>
      <c r="O186">
        <f>M186-N186</f>
        <v>-0.52330000000000032</v>
      </c>
    </row>
    <row r="187" spans="2:15" x14ac:dyDescent="0.25">
      <c r="B187" s="22">
        <v>4.54</v>
      </c>
      <c r="C187" s="23">
        <f t="shared" si="120"/>
        <v>18.29</v>
      </c>
      <c r="D187" s="23">
        <f t="shared" si="116"/>
        <v>3.3125</v>
      </c>
      <c r="E187" s="28"/>
      <c r="F187" s="21">
        <f t="shared" si="117"/>
        <v>-8.4137454565774539E-2</v>
      </c>
      <c r="G187" s="21">
        <f t="shared" si="118"/>
        <v>179.24200000000002</v>
      </c>
      <c r="H187" s="23"/>
      <c r="I187" s="21"/>
      <c r="J187" s="23"/>
      <c r="K187" s="27"/>
      <c r="L187" s="34">
        <f>0.0018*K187+2.7402</f>
        <v>2.7402000000000002</v>
      </c>
      <c r="M187" s="34">
        <f t="shared" si="119"/>
        <v>-3.8358000000000003</v>
      </c>
      <c r="N187">
        <f>E187-D187</f>
        <v>-3.3125</v>
      </c>
      <c r="O187">
        <f>M187-N187</f>
        <v>-0.52330000000000032</v>
      </c>
    </row>
    <row r="188" spans="2:15" ht="15.75" thickBot="1" x14ac:dyDescent="0.3">
      <c r="B188" s="8"/>
      <c r="C188" s="9"/>
      <c r="D188" s="9"/>
      <c r="E188" s="9"/>
      <c r="F188" s="9"/>
      <c r="G188" s="9"/>
      <c r="H188" s="9" t="s">
        <v>33</v>
      </c>
      <c r="I188" s="29">
        <f>MEDIAN(I184:I186)</f>
        <v>267.84151708336822</v>
      </c>
      <c r="J188" s="9">
        <f>MAX(I184:I187)-MIN(I184:I187)</f>
        <v>21.435844676828026</v>
      </c>
      <c r="K188" s="24"/>
      <c r="L188" s="21"/>
      <c r="M188" s="21"/>
    </row>
    <row r="189" spans="2:15" ht="15.75" thickBot="1" x14ac:dyDescent="0.3"/>
    <row r="190" spans="2:15" x14ac:dyDescent="0.25">
      <c r="B190" s="17" t="s">
        <v>17</v>
      </c>
      <c r="C190" s="11"/>
      <c r="D190" s="18" t="s">
        <v>24</v>
      </c>
      <c r="E190" s="11"/>
      <c r="F190" s="18"/>
      <c r="G190" s="18"/>
      <c r="H190" s="18"/>
      <c r="I190" s="18"/>
      <c r="J190" s="18"/>
      <c r="K190" s="19"/>
      <c r="L190" s="21"/>
      <c r="M190" s="21"/>
    </row>
    <row r="191" spans="2:15" x14ac:dyDescent="0.25">
      <c r="B191" s="20"/>
      <c r="C191" s="25" t="s">
        <v>4</v>
      </c>
      <c r="D191" s="25" t="s">
        <v>5</v>
      </c>
      <c r="E191" s="25" t="s">
        <v>14</v>
      </c>
      <c r="F191" s="25" t="s">
        <v>7</v>
      </c>
      <c r="G191" s="25" t="s">
        <v>8</v>
      </c>
      <c r="H191" s="25" t="s">
        <v>9</v>
      </c>
      <c r="I191" s="25" t="s">
        <v>10</v>
      </c>
      <c r="J191" s="25"/>
      <c r="K191" s="26" t="s">
        <v>18</v>
      </c>
      <c r="L191" s="25"/>
      <c r="M191" s="25"/>
    </row>
    <row r="192" spans="2:15" x14ac:dyDescent="0.25">
      <c r="B192" s="22"/>
      <c r="C192" s="23"/>
      <c r="D192" s="28"/>
      <c r="E192" s="23"/>
      <c r="F192" s="21"/>
      <c r="G192" s="21"/>
      <c r="H192" s="21"/>
      <c r="I192" s="21"/>
      <c r="J192" s="23"/>
      <c r="K192" s="27"/>
      <c r="L192" s="34">
        <f>0.0018*K192+2.7402</f>
        <v>2.7402000000000002</v>
      </c>
      <c r="M192" s="34"/>
    </row>
    <row r="193" spans="2:15" x14ac:dyDescent="0.25">
      <c r="B193" s="22">
        <v>4.54</v>
      </c>
      <c r="C193" s="23">
        <f>B193</f>
        <v>4.54</v>
      </c>
      <c r="D193" s="23">
        <f>D192</f>
        <v>0</v>
      </c>
      <c r="E193" s="28"/>
      <c r="F193" s="21">
        <f>(E193-D193)/$F$2</f>
        <v>0</v>
      </c>
      <c r="G193" s="21">
        <f>C193*9.8</f>
        <v>44.492000000000004</v>
      </c>
      <c r="H193" s="23"/>
      <c r="I193" s="21" t="e">
        <f t="shared" ref="I193:I196" si="121">G193/F193</f>
        <v>#DIV/0!</v>
      </c>
      <c r="J193" s="23"/>
      <c r="K193" s="27"/>
      <c r="L193" s="34">
        <f>0.0018*K193+2.7402</f>
        <v>2.7402000000000002</v>
      </c>
      <c r="M193" s="34">
        <f>L193-$L$155</f>
        <v>-3.8358000000000003</v>
      </c>
      <c r="N193">
        <f>E193-D193</f>
        <v>0</v>
      </c>
      <c r="O193">
        <f>M193-N193</f>
        <v>-3.8358000000000003</v>
      </c>
    </row>
    <row r="194" spans="2:15" x14ac:dyDescent="0.25">
      <c r="B194" s="22">
        <v>4.5750000000000002</v>
      </c>
      <c r="C194" s="23">
        <f>C193+B194</f>
        <v>9.1150000000000002</v>
      </c>
      <c r="D194" s="23">
        <f t="shared" ref="D194:D196" si="122">D193</f>
        <v>0</v>
      </c>
      <c r="E194" s="28"/>
      <c r="F194" s="21">
        <f t="shared" ref="F194:F196" si="123">(E194-D194)/$F$2</f>
        <v>0</v>
      </c>
      <c r="G194" s="21">
        <f t="shared" ref="G194:G196" si="124">C194*9.8</f>
        <v>89.327000000000012</v>
      </c>
      <c r="H194" s="23"/>
      <c r="I194" s="21" t="e">
        <f t="shared" si="121"/>
        <v>#DIV/0!</v>
      </c>
      <c r="J194" s="23"/>
      <c r="K194" s="27"/>
      <c r="L194" s="34">
        <f>0.0018*K194+2.7402</f>
        <v>2.7402000000000002</v>
      </c>
      <c r="M194" s="34">
        <f t="shared" ref="M194:M196" si="125">L194-$L$155</f>
        <v>-3.8358000000000003</v>
      </c>
      <c r="N194">
        <f>E194-D194</f>
        <v>0</v>
      </c>
      <c r="O194">
        <f>M194-N194</f>
        <v>-3.8358000000000003</v>
      </c>
    </row>
    <row r="195" spans="2:15" x14ac:dyDescent="0.25">
      <c r="B195" s="22">
        <v>4.6349999999999998</v>
      </c>
      <c r="C195" s="23">
        <f t="shared" ref="C195:C196" si="126">C194+B195</f>
        <v>13.75</v>
      </c>
      <c r="D195" s="23">
        <f t="shared" si="122"/>
        <v>0</v>
      </c>
      <c r="E195" s="28"/>
      <c r="F195" s="21">
        <f t="shared" si="123"/>
        <v>0</v>
      </c>
      <c r="G195" s="21">
        <f t="shared" si="124"/>
        <v>134.75</v>
      </c>
      <c r="H195" s="23"/>
      <c r="I195" s="21" t="e">
        <f t="shared" si="121"/>
        <v>#DIV/0!</v>
      </c>
      <c r="J195" s="23"/>
      <c r="K195" s="27"/>
      <c r="L195" s="34">
        <f>0.0018*K195+2.7402</f>
        <v>2.7402000000000002</v>
      </c>
      <c r="M195" s="34">
        <f t="shared" si="125"/>
        <v>-3.8358000000000003</v>
      </c>
      <c r="N195">
        <f>E195-D195</f>
        <v>0</v>
      </c>
      <c r="O195">
        <f>M195-N195</f>
        <v>-3.8358000000000003</v>
      </c>
    </row>
    <row r="196" spans="2:15" x14ac:dyDescent="0.25">
      <c r="B196" s="22">
        <v>4.54</v>
      </c>
      <c r="C196" s="23">
        <f t="shared" si="126"/>
        <v>18.29</v>
      </c>
      <c r="D196" s="23">
        <f t="shared" si="122"/>
        <v>0</v>
      </c>
      <c r="E196" s="28"/>
      <c r="F196" s="21">
        <f t="shared" si="123"/>
        <v>0</v>
      </c>
      <c r="G196" s="21">
        <f t="shared" si="124"/>
        <v>179.24200000000002</v>
      </c>
      <c r="H196" s="23"/>
      <c r="I196" s="21"/>
      <c r="J196" s="23"/>
      <c r="K196" s="27"/>
      <c r="L196" s="34">
        <f>0.0018*K196+2.7402</f>
        <v>2.7402000000000002</v>
      </c>
      <c r="M196" s="34">
        <f t="shared" si="125"/>
        <v>-3.8358000000000003</v>
      </c>
      <c r="N196">
        <f>E196-D196</f>
        <v>0</v>
      </c>
      <c r="O196">
        <f>M196-N196</f>
        <v>-3.8358000000000003</v>
      </c>
    </row>
    <row r="197" spans="2:15" ht="15.75" thickBot="1" x14ac:dyDescent="0.3">
      <c r="B197" s="8"/>
      <c r="C197" s="9"/>
      <c r="D197" s="9"/>
      <c r="E197" s="9"/>
      <c r="F197" s="9"/>
      <c r="G197" s="9"/>
      <c r="H197" s="9" t="s">
        <v>33</v>
      </c>
      <c r="I197" s="29" t="e">
        <f>MEDIAN(I193:I195)</f>
        <v>#DIV/0!</v>
      </c>
      <c r="J197" s="9" t="e">
        <f>MAX(I193:I196)-MIN(I193:I196)</f>
        <v>#DIV/0!</v>
      </c>
      <c r="K197" s="24"/>
      <c r="L197" s="21"/>
      <c r="M197" s="21"/>
    </row>
    <row r="218" spans="2:4" x14ac:dyDescent="0.25">
      <c r="B218" t="s">
        <v>17</v>
      </c>
      <c r="C218" t="s">
        <v>24</v>
      </c>
      <c r="D218" t="s">
        <v>17</v>
      </c>
    </row>
    <row r="219" spans="2:4" x14ac:dyDescent="0.25">
      <c r="B219">
        <f>C5</f>
        <v>5</v>
      </c>
      <c r="C219">
        <f>I12</f>
        <v>9378.1677938666689</v>
      </c>
      <c r="D219">
        <f>B219</f>
        <v>5</v>
      </c>
    </row>
    <row r="220" spans="2:4" x14ac:dyDescent="0.25">
      <c r="B220">
        <f>C16</f>
        <v>10</v>
      </c>
      <c r="C220">
        <f>I23</f>
        <v>5305.1209749999998</v>
      </c>
      <c r="D220">
        <f>B220</f>
        <v>10</v>
      </c>
    </row>
    <row r="221" spans="2:4" x14ac:dyDescent="0.25">
      <c r="B221">
        <f>C27</f>
        <v>15</v>
      </c>
      <c r="C221">
        <f>I34</f>
        <v>3772.5304711111112</v>
      </c>
      <c r="D221">
        <f>B221</f>
        <v>15</v>
      </c>
    </row>
    <row r="222" spans="2:4" x14ac:dyDescent="0.25">
      <c r="B222">
        <f>C37</f>
        <v>45</v>
      </c>
      <c r="C222">
        <f>I44</f>
        <v>1266.8945611940298</v>
      </c>
      <c r="D222">
        <f>B222</f>
        <v>45</v>
      </c>
    </row>
    <row r="223" spans="2:4" x14ac:dyDescent="0.25">
      <c r="B223">
        <f>C143</f>
        <v>100</v>
      </c>
      <c r="C223">
        <f>I150</f>
        <v>568.37380568888898</v>
      </c>
      <c r="D223">
        <f>B223</f>
        <v>100</v>
      </c>
    </row>
    <row r="224" spans="2:4" x14ac:dyDescent="0.25">
      <c r="B224">
        <f>C153</f>
        <v>120</v>
      </c>
      <c r="C224">
        <f>I160</f>
        <v>462.57185613079025</v>
      </c>
      <c r="D224">
        <f>B224</f>
        <v>120</v>
      </c>
    </row>
    <row r="225" spans="2:4" x14ac:dyDescent="0.25">
      <c r="B225">
        <f>C162</f>
        <v>150</v>
      </c>
      <c r="C225">
        <f>I169</f>
        <v>360.69876130256415</v>
      </c>
      <c r="D225">
        <f>B225</f>
        <v>150</v>
      </c>
    </row>
    <row r="226" spans="2:4" x14ac:dyDescent="0.25">
      <c r="B226">
        <f>C172</f>
        <v>175</v>
      </c>
      <c r="C226">
        <f>I179</f>
        <v>337.33637877333342</v>
      </c>
      <c r="D226">
        <f>B226</f>
        <v>175</v>
      </c>
    </row>
    <row r="227" spans="2:4" x14ac:dyDescent="0.25">
      <c r="B227">
        <f>C181</f>
        <v>200</v>
      </c>
      <c r="C227">
        <f>I188</f>
        <v>267.84151708336822</v>
      </c>
      <c r="D227">
        <f>B227</f>
        <v>200</v>
      </c>
    </row>
    <row r="228" spans="2:4" x14ac:dyDescent="0.25">
      <c r="B228">
        <f>C124</f>
        <v>30</v>
      </c>
      <c r="C228">
        <f>I131</f>
        <v>1257.5101570370371</v>
      </c>
      <c r="D228">
        <f>B228</f>
        <v>30</v>
      </c>
    </row>
    <row r="229" spans="2:4" x14ac:dyDescent="0.25">
      <c r="B229">
        <f>C133</f>
        <v>80</v>
      </c>
      <c r="C229">
        <f>I140</f>
        <v>741.32694847161576</v>
      </c>
      <c r="D229">
        <f>B229</f>
        <v>80</v>
      </c>
    </row>
    <row r="241" spans="1:4" x14ac:dyDescent="0.25">
      <c r="B241">
        <v>600</v>
      </c>
    </row>
    <row r="242" spans="1:4" x14ac:dyDescent="0.25">
      <c r="B242">
        <f>67885*B241^-1.035</f>
        <v>90.44556543967478</v>
      </c>
    </row>
    <row r="244" spans="1:4" x14ac:dyDescent="0.25">
      <c r="A244" t="s">
        <v>24</v>
      </c>
    </row>
    <row r="245" spans="1:4" x14ac:dyDescent="0.25">
      <c r="A245" t="s">
        <v>17</v>
      </c>
    </row>
    <row r="249" spans="1:4" x14ac:dyDescent="0.25">
      <c r="B249" t="s">
        <v>17</v>
      </c>
      <c r="C249" t="s">
        <v>24</v>
      </c>
    </row>
    <row r="250" spans="1:4" x14ac:dyDescent="0.25">
      <c r="B250">
        <v>5</v>
      </c>
      <c r="C250">
        <v>9378.1677938666689</v>
      </c>
      <c r="D250">
        <f t="shared" ref="D250:D259" si="127">36725*C250^-0.929</f>
        <v>7.4965973234107448</v>
      </c>
    </row>
    <row r="251" spans="1:4" x14ac:dyDescent="0.25">
      <c r="B251">
        <v>10</v>
      </c>
      <c r="C251">
        <v>5305.1209749999998</v>
      </c>
      <c r="D251">
        <f t="shared" si="127"/>
        <v>12.726819315714497</v>
      </c>
    </row>
    <row r="252" spans="1:4" x14ac:dyDescent="0.25">
      <c r="B252">
        <v>15</v>
      </c>
      <c r="C252">
        <v>3772.5304711111112</v>
      </c>
      <c r="D252">
        <f t="shared" si="127"/>
        <v>17.469077593191614</v>
      </c>
    </row>
    <row r="253" spans="1:4" x14ac:dyDescent="0.25">
      <c r="B253">
        <v>30</v>
      </c>
      <c r="C253">
        <v>1257.5101570370371</v>
      </c>
      <c r="D253">
        <f t="shared" si="127"/>
        <v>48.474754635785708</v>
      </c>
    </row>
    <row r="254" spans="1:4" x14ac:dyDescent="0.25">
      <c r="B254">
        <v>45</v>
      </c>
      <c r="C254">
        <v>1266.8945611940298</v>
      </c>
      <c r="D254">
        <f t="shared" si="127"/>
        <v>48.141088557886796</v>
      </c>
    </row>
    <row r="255" spans="1:4" x14ac:dyDescent="0.25">
      <c r="B255">
        <v>80</v>
      </c>
      <c r="C255">
        <v>741.32694847161576</v>
      </c>
      <c r="D255">
        <f t="shared" si="127"/>
        <v>79.199549572113852</v>
      </c>
    </row>
    <row r="256" spans="1:4" x14ac:dyDescent="0.25">
      <c r="B256">
        <v>100</v>
      </c>
      <c r="C256">
        <v>568.37380568888898</v>
      </c>
      <c r="D256">
        <f t="shared" si="127"/>
        <v>101.36937473653082</v>
      </c>
    </row>
    <row r="257" spans="2:4" x14ac:dyDescent="0.25">
      <c r="B257">
        <v>120</v>
      </c>
      <c r="C257">
        <v>462.57185613079025</v>
      </c>
      <c r="D257">
        <f t="shared" si="127"/>
        <v>122.7468405108505</v>
      </c>
    </row>
    <row r="258" spans="2:4" x14ac:dyDescent="0.25">
      <c r="B258">
        <v>150</v>
      </c>
      <c r="C258">
        <v>360.69876130256415</v>
      </c>
      <c r="D258">
        <f t="shared" si="127"/>
        <v>154.65872437312066</v>
      </c>
    </row>
    <row r="259" spans="2:4" x14ac:dyDescent="0.25">
      <c r="B259">
        <v>175</v>
      </c>
      <c r="C259">
        <v>337.33637877333342</v>
      </c>
      <c r="D259">
        <f t="shared" si="127"/>
        <v>164.58532582411621</v>
      </c>
    </row>
    <row r="260" spans="2:4" x14ac:dyDescent="0.25">
      <c r="B260">
        <v>200</v>
      </c>
      <c r="C260">
        <v>267.84151708336822</v>
      </c>
      <c r="D260">
        <f>36725*C260^-0.929</f>
        <v>203.92160416337055</v>
      </c>
    </row>
  </sheetData>
  <sortState ref="B250:D260">
    <sortCondition ref="B2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resol1 run</vt:lpstr>
      <vt:lpstr>Damping 2</vt:lpstr>
      <vt:lpstr>Damping</vt:lpstr>
      <vt:lpstr>inchtometers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2014-01-26T20:05:32Z</dcterms:modified>
</cp:coreProperties>
</file>