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3395" windowHeight="7680" tabRatio="648" firstSheet="1" activeTab="9"/>
  </bookViews>
  <sheets>
    <sheet name="Sheet1" sheetId="1" r:id="rId1"/>
    <sheet name="Sheet2" sheetId="2" r:id="rId2"/>
    <sheet name="1st run" sheetId="3" r:id="rId3"/>
    <sheet name="2nd run" sheetId="4" r:id="rId4"/>
    <sheet name="3rd run" sheetId="5" r:id="rId5"/>
    <sheet name="Template" sheetId="6" r:id="rId6"/>
    <sheet name="4th run" sheetId="7" r:id="rId7"/>
    <sheet name="5th run" sheetId="8" r:id="rId8"/>
    <sheet name="resol1 run" sheetId="11" r:id="rId9"/>
    <sheet name="Damping 2" sheetId="10" r:id="rId10"/>
    <sheet name="Damping" sheetId="9" r:id="rId11"/>
  </sheets>
  <definedNames>
    <definedName name="inchtometers">'4th run'!$H$2</definedName>
  </definedNames>
  <calcPr calcId="145621"/>
</workbook>
</file>

<file path=xl/calcChain.xml><?xml version="1.0" encoding="utf-8"?>
<calcChain xmlns="http://schemas.openxmlformats.org/spreadsheetml/2006/main">
  <c r="C5" i="10" l="1"/>
  <c r="C6" i="10"/>
  <c r="C7" i="10"/>
  <c r="C8" i="10"/>
  <c r="C9" i="10"/>
  <c r="C10" i="10"/>
  <c r="C4" i="10"/>
  <c r="D250" i="11"/>
  <c r="D251" i="11"/>
  <c r="D252" i="11"/>
  <c r="D253" i="11"/>
  <c r="D254" i="11"/>
  <c r="D255" i="11"/>
  <c r="D256" i="11"/>
  <c r="D257" i="11"/>
  <c r="D258" i="11"/>
  <c r="D259" i="11"/>
  <c r="D260" i="11"/>
  <c r="B242" i="11"/>
  <c r="B227" i="11"/>
  <c r="D227" i="11" s="1"/>
  <c r="B226" i="11"/>
  <c r="D226" i="11" s="1"/>
  <c r="B225" i="11"/>
  <c r="D225" i="11" s="1"/>
  <c r="B224" i="11"/>
  <c r="D224" i="11"/>
  <c r="B223" i="11"/>
  <c r="D223" i="11" s="1"/>
  <c r="L196" i="11"/>
  <c r="M196" i="11" s="1"/>
  <c r="L195" i="11"/>
  <c r="M195" i="11" s="1"/>
  <c r="L194" i="11"/>
  <c r="L193" i="11"/>
  <c r="C193" i="11"/>
  <c r="C194" i="11" s="1"/>
  <c r="L192" i="11"/>
  <c r="D193" i="11"/>
  <c r="D194" i="11" s="1"/>
  <c r="D195" i="11" s="1"/>
  <c r="E185" i="11"/>
  <c r="E184" i="11"/>
  <c r="D183" i="11"/>
  <c r="L187" i="11"/>
  <c r="L186" i="11"/>
  <c r="L185" i="11"/>
  <c r="L184" i="11"/>
  <c r="D184" i="11"/>
  <c r="D185" i="11" s="1"/>
  <c r="C184" i="11"/>
  <c r="C185" i="11" s="1"/>
  <c r="L183" i="11"/>
  <c r="E176" i="11"/>
  <c r="E175" i="11"/>
  <c r="D174" i="11"/>
  <c r="D175" i="11" s="1"/>
  <c r="D176" i="11" s="1"/>
  <c r="D177" i="11" s="1"/>
  <c r="D178" i="11" s="1"/>
  <c r="L178" i="11"/>
  <c r="L177" i="11"/>
  <c r="L176" i="11"/>
  <c r="L175" i="11"/>
  <c r="C175" i="11"/>
  <c r="C176" i="11" s="1"/>
  <c r="L174" i="11"/>
  <c r="E167" i="11"/>
  <c r="E166" i="11"/>
  <c r="E165" i="11"/>
  <c r="D164" i="11"/>
  <c r="D165" i="11" s="1"/>
  <c r="D166" i="11" s="1"/>
  <c r="D167" i="11" s="1"/>
  <c r="D168" i="11" s="1"/>
  <c r="L168" i="11"/>
  <c r="L167" i="11"/>
  <c r="M167" i="11" s="1"/>
  <c r="L166" i="11"/>
  <c r="L165" i="11"/>
  <c r="M165" i="11" s="1"/>
  <c r="C165" i="11"/>
  <c r="C166" i="11" s="1"/>
  <c r="L164" i="11"/>
  <c r="E158" i="11"/>
  <c r="M156" i="11"/>
  <c r="E157" i="11"/>
  <c r="E156" i="11"/>
  <c r="D155" i="11"/>
  <c r="D156" i="11" s="1"/>
  <c r="D157" i="11" s="1"/>
  <c r="D158" i="11" s="1"/>
  <c r="D159" i="11" s="1"/>
  <c r="L159" i="11"/>
  <c r="M159" i="11" s="1"/>
  <c r="L158" i="11"/>
  <c r="L157" i="11"/>
  <c r="M157" i="11" s="1"/>
  <c r="L156" i="11"/>
  <c r="C156" i="11"/>
  <c r="C157" i="11" s="1"/>
  <c r="L155" i="11"/>
  <c r="M185" i="11" s="1"/>
  <c r="E149" i="11"/>
  <c r="E148" i="11"/>
  <c r="E147" i="11"/>
  <c r="L149" i="11"/>
  <c r="L148" i="11"/>
  <c r="L147" i="11"/>
  <c r="M147" i="11" s="1"/>
  <c r="L146" i="11"/>
  <c r="L145" i="11"/>
  <c r="M146" i="11" s="1"/>
  <c r="D145" i="11"/>
  <c r="E146" i="11"/>
  <c r="N146" i="11" s="1"/>
  <c r="E139" i="11"/>
  <c r="E138" i="11"/>
  <c r="E137" i="11"/>
  <c r="E136" i="11"/>
  <c r="L139" i="11"/>
  <c r="L138" i="11"/>
  <c r="L137" i="11"/>
  <c r="M137" i="11" s="1"/>
  <c r="L136" i="11"/>
  <c r="M136" i="11" s="1"/>
  <c r="L135" i="11"/>
  <c r="D135" i="11"/>
  <c r="E130" i="11"/>
  <c r="E129" i="11"/>
  <c r="E128" i="11"/>
  <c r="E127" i="11"/>
  <c r="D126" i="11"/>
  <c r="L130" i="11"/>
  <c r="L129" i="11"/>
  <c r="L128" i="11"/>
  <c r="L127" i="11"/>
  <c r="L126" i="11"/>
  <c r="E43" i="11"/>
  <c r="N43" i="11" s="1"/>
  <c r="L43" i="11"/>
  <c r="M43" i="11" s="1"/>
  <c r="O43" i="11" s="1"/>
  <c r="L42" i="11"/>
  <c r="E42" i="11"/>
  <c r="L41" i="11"/>
  <c r="E41" i="11"/>
  <c r="N41" i="11" s="1"/>
  <c r="L40" i="11"/>
  <c r="L39" i="11"/>
  <c r="M41" i="11" s="1"/>
  <c r="O41" i="11" s="1"/>
  <c r="E40" i="11"/>
  <c r="D39" i="11"/>
  <c r="L33" i="11"/>
  <c r="L32" i="11"/>
  <c r="L31" i="11"/>
  <c r="L30" i="11"/>
  <c r="L29" i="11"/>
  <c r="W6" i="11"/>
  <c r="W7" i="11"/>
  <c r="W8" i="11"/>
  <c r="W9" i="11"/>
  <c r="W10" i="11"/>
  <c r="V11" i="11"/>
  <c r="W11" i="11"/>
  <c r="X11" i="11" s="1"/>
  <c r="W12" i="11"/>
  <c r="W5" i="11"/>
  <c r="N12" i="11"/>
  <c r="O12" i="11"/>
  <c r="V12" i="11" s="1"/>
  <c r="S12" i="11"/>
  <c r="U12" i="11" s="1"/>
  <c r="S11" i="11"/>
  <c r="U11" i="11" s="1"/>
  <c r="N11" i="11"/>
  <c r="P11" i="11" s="1"/>
  <c r="S10" i="11"/>
  <c r="U10" i="11" s="1"/>
  <c r="N10" i="11"/>
  <c r="P10" i="11" s="1"/>
  <c r="O9" i="11"/>
  <c r="S9" i="11"/>
  <c r="U9" i="11" s="1"/>
  <c r="O8" i="11"/>
  <c r="V8" i="11" s="1"/>
  <c r="O7" i="11"/>
  <c r="V7" i="11" s="1"/>
  <c r="S7" i="11"/>
  <c r="U7" i="11" s="1"/>
  <c r="S8" i="11"/>
  <c r="U8" i="11" s="1"/>
  <c r="N8" i="11"/>
  <c r="P8" i="11" s="1"/>
  <c r="N9" i="11"/>
  <c r="N7" i="11"/>
  <c r="O5" i="11"/>
  <c r="S5" i="11"/>
  <c r="U5" i="11" s="1"/>
  <c r="S6" i="11"/>
  <c r="U6" i="11" s="1"/>
  <c r="N5" i="11"/>
  <c r="N6" i="11"/>
  <c r="P6" i="11" s="1"/>
  <c r="O4" i="11"/>
  <c r="N4" i="11"/>
  <c r="N3" i="11"/>
  <c r="S4" i="11"/>
  <c r="U4" i="11" s="1"/>
  <c r="P33" i="11"/>
  <c r="P32" i="11"/>
  <c r="P31" i="11"/>
  <c r="E33" i="11"/>
  <c r="E32" i="11"/>
  <c r="O33" i="11" s="1"/>
  <c r="R33" i="11" s="1"/>
  <c r="E31" i="11"/>
  <c r="E30" i="11"/>
  <c r="O31" i="11" s="1"/>
  <c r="R31" i="11" s="1"/>
  <c r="D29" i="11"/>
  <c r="P22" i="11"/>
  <c r="E22" i="11"/>
  <c r="E21" i="11"/>
  <c r="O21" i="11" s="1"/>
  <c r="E20" i="11"/>
  <c r="P21" i="11"/>
  <c r="P20" i="11"/>
  <c r="O20" i="11"/>
  <c r="E19" i="11"/>
  <c r="D18" i="11"/>
  <c r="D19" i="11" s="1"/>
  <c r="D20" i="11" s="1"/>
  <c r="D21" i="11" s="1"/>
  <c r="P17" i="11"/>
  <c r="E11" i="11"/>
  <c r="O17" i="11" s="1"/>
  <c r="R17" i="11" s="1"/>
  <c r="P15" i="11"/>
  <c r="P16" i="11"/>
  <c r="E10" i="11"/>
  <c r="E9" i="11"/>
  <c r="O16" i="11" s="1"/>
  <c r="R16" i="11" s="1"/>
  <c r="E8" i="11"/>
  <c r="D7" i="11"/>
  <c r="B229" i="11"/>
  <c r="D229" i="11" s="1"/>
  <c r="B228" i="11"/>
  <c r="D228" i="11" s="1"/>
  <c r="B222" i="11"/>
  <c r="D222" i="11" s="1"/>
  <c r="B221" i="11"/>
  <c r="D221" i="11" s="1"/>
  <c r="B220" i="11"/>
  <c r="D220" i="11" s="1"/>
  <c r="B219" i="11"/>
  <c r="D219" i="11" s="1"/>
  <c r="D146" i="11"/>
  <c r="D147" i="11" s="1"/>
  <c r="C146" i="11"/>
  <c r="D136" i="11"/>
  <c r="C136" i="11"/>
  <c r="G136" i="11" s="1"/>
  <c r="D127" i="11"/>
  <c r="D128" i="11" s="1"/>
  <c r="N128" i="11" s="1"/>
  <c r="C127" i="11"/>
  <c r="D117" i="11"/>
  <c r="C117" i="11"/>
  <c r="G117" i="11" s="1"/>
  <c r="D108" i="11"/>
  <c r="D109" i="11" s="1"/>
  <c r="C108" i="11"/>
  <c r="D98" i="11"/>
  <c r="C98" i="11"/>
  <c r="G98" i="11" s="1"/>
  <c r="D88" i="11"/>
  <c r="D89" i="11" s="1"/>
  <c r="C88" i="11"/>
  <c r="D78" i="11"/>
  <c r="D79" i="11" s="1"/>
  <c r="D80" i="11" s="1"/>
  <c r="C78" i="11"/>
  <c r="C79" i="11" s="1"/>
  <c r="D69" i="11"/>
  <c r="D70" i="11" s="1"/>
  <c r="C69" i="11"/>
  <c r="G69" i="11" s="1"/>
  <c r="D59" i="11"/>
  <c r="D60" i="11" s="1"/>
  <c r="D61" i="11" s="1"/>
  <c r="C59" i="11"/>
  <c r="C60" i="11" s="1"/>
  <c r="O52" i="11"/>
  <c r="O51" i="11"/>
  <c r="O50" i="11"/>
  <c r="O49" i="11"/>
  <c r="D49" i="11"/>
  <c r="D50" i="11" s="1"/>
  <c r="D51" i="11" s="1"/>
  <c r="D52" i="11" s="1"/>
  <c r="F52" i="11" s="1"/>
  <c r="C49" i="11"/>
  <c r="G49" i="11" s="1"/>
  <c r="D40" i="11"/>
  <c r="D41" i="11" s="1"/>
  <c r="D42" i="11" s="1"/>
  <c r="D43" i="11" s="1"/>
  <c r="F43" i="11" s="1"/>
  <c r="C40" i="11"/>
  <c r="G40" i="11" s="1"/>
  <c r="D30" i="11"/>
  <c r="D31" i="11" s="1"/>
  <c r="D32" i="11" s="1"/>
  <c r="C30" i="11"/>
  <c r="C31" i="11" s="1"/>
  <c r="C19" i="11"/>
  <c r="C20" i="11" s="1"/>
  <c r="D8" i="11"/>
  <c r="D9" i="11" s="1"/>
  <c r="D10" i="11" s="1"/>
  <c r="C8" i="11"/>
  <c r="C9" i="11" s="1"/>
  <c r="P4" i="11" l="1"/>
  <c r="V5" i="11"/>
  <c r="X5" i="11" s="1"/>
  <c r="T10" i="11"/>
  <c r="M42" i="11"/>
  <c r="M127" i="11"/>
  <c r="M129" i="11"/>
  <c r="M139" i="11"/>
  <c r="N136" i="11"/>
  <c r="O146" i="11"/>
  <c r="N147" i="11"/>
  <c r="M158" i="11"/>
  <c r="M166" i="11"/>
  <c r="M168" i="11"/>
  <c r="M176" i="11"/>
  <c r="M178" i="11"/>
  <c r="M186" i="11"/>
  <c r="M193" i="11"/>
  <c r="V9" i="11"/>
  <c r="N40" i="11"/>
  <c r="N42" i="11"/>
  <c r="O42" i="11" s="1"/>
  <c r="M40" i="11"/>
  <c r="O40" i="11" s="1"/>
  <c r="M128" i="11"/>
  <c r="M130" i="11"/>
  <c r="M138" i="11"/>
  <c r="M148" i="11"/>
  <c r="M175" i="11"/>
  <c r="M177" i="11"/>
  <c r="M184" i="11"/>
  <c r="M187" i="11"/>
  <c r="M194" i="11"/>
  <c r="F193" i="11"/>
  <c r="F194" i="11"/>
  <c r="N195" i="11"/>
  <c r="O195" i="11" s="1"/>
  <c r="D196" i="11"/>
  <c r="F195" i="11"/>
  <c r="C195" i="11"/>
  <c r="G194" i="11"/>
  <c r="I194" i="11" s="1"/>
  <c r="G193" i="11"/>
  <c r="I193" i="11" s="1"/>
  <c r="N193" i="11"/>
  <c r="O193" i="11" s="1"/>
  <c r="N194" i="11"/>
  <c r="O194" i="11" s="1"/>
  <c r="N184" i="11"/>
  <c r="O184" i="11" s="1"/>
  <c r="C186" i="11"/>
  <c r="G185" i="11"/>
  <c r="D186" i="11"/>
  <c r="F185" i="11"/>
  <c r="N185" i="11"/>
  <c r="O185" i="11" s="1"/>
  <c r="F184" i="11"/>
  <c r="G184" i="11"/>
  <c r="F175" i="11"/>
  <c r="F176" i="11"/>
  <c r="F177" i="11"/>
  <c r="N178" i="11"/>
  <c r="F178" i="11"/>
  <c r="C177" i="11"/>
  <c r="G176" i="11"/>
  <c r="O178" i="11"/>
  <c r="G175" i="11"/>
  <c r="I175" i="11" s="1"/>
  <c r="N175" i="11"/>
  <c r="O175" i="11" s="1"/>
  <c r="N176" i="11"/>
  <c r="O176" i="11" s="1"/>
  <c r="N177" i="11"/>
  <c r="O177" i="11" s="1"/>
  <c r="N168" i="11"/>
  <c r="F168" i="11"/>
  <c r="C167" i="11"/>
  <c r="G166" i="11"/>
  <c r="F165" i="11"/>
  <c r="F166" i="11"/>
  <c r="F167" i="11"/>
  <c r="O168" i="11"/>
  <c r="G165" i="11"/>
  <c r="I165" i="11" s="1"/>
  <c r="N165" i="11"/>
  <c r="O165" i="11" s="1"/>
  <c r="N166" i="11"/>
  <c r="O166" i="11" s="1"/>
  <c r="N167" i="11"/>
  <c r="O167" i="11" s="1"/>
  <c r="F156" i="11"/>
  <c r="F157" i="11"/>
  <c r="F158" i="11"/>
  <c r="F159" i="11"/>
  <c r="C158" i="11"/>
  <c r="G157" i="11"/>
  <c r="I157" i="11" s="1"/>
  <c r="G156" i="11"/>
  <c r="I156" i="11" s="1"/>
  <c r="N156" i="11"/>
  <c r="O156" i="11" s="1"/>
  <c r="N157" i="11"/>
  <c r="O157" i="11" s="1"/>
  <c r="N158" i="11"/>
  <c r="O158" i="11" s="1"/>
  <c r="N159" i="11"/>
  <c r="O159" i="11" s="1"/>
  <c r="M149" i="11"/>
  <c r="O147" i="11"/>
  <c r="O136" i="11"/>
  <c r="N127" i="11"/>
  <c r="O127" i="11"/>
  <c r="O128" i="11"/>
  <c r="X12" i="11"/>
  <c r="X9" i="11"/>
  <c r="X7" i="11"/>
  <c r="X8" i="11"/>
  <c r="C99" i="11"/>
  <c r="C137" i="11"/>
  <c r="O15" i="11"/>
  <c r="R15" i="11" s="1"/>
  <c r="P5" i="11"/>
  <c r="T5" i="11" s="1"/>
  <c r="P12" i="11"/>
  <c r="T12" i="11" s="1"/>
  <c r="V10" i="11"/>
  <c r="X10" i="11" s="1"/>
  <c r="V6" i="11"/>
  <c r="X6" i="11" s="1"/>
  <c r="C118" i="11"/>
  <c r="O22" i="11"/>
  <c r="R22" i="11" s="1"/>
  <c r="O32" i="11"/>
  <c r="R32" i="11" s="1"/>
  <c r="P9" i="11"/>
  <c r="T11" i="11"/>
  <c r="P7" i="11"/>
  <c r="T9" i="11"/>
  <c r="T8" i="11"/>
  <c r="T7" i="11"/>
  <c r="T6" i="11"/>
  <c r="T4" i="11"/>
  <c r="F40" i="11"/>
  <c r="I40" i="11" s="1"/>
  <c r="R20" i="11"/>
  <c r="R21" i="11"/>
  <c r="C41" i="11"/>
  <c r="G41" i="11" s="1"/>
  <c r="C50" i="11"/>
  <c r="G50" i="11" s="1"/>
  <c r="F78" i="11"/>
  <c r="F88" i="11"/>
  <c r="F108" i="11"/>
  <c r="F127" i="11"/>
  <c r="F146" i="11"/>
  <c r="F69" i="11"/>
  <c r="I69" i="11" s="1"/>
  <c r="F59" i="11"/>
  <c r="F49" i="11"/>
  <c r="I49" i="11" s="1"/>
  <c r="F30" i="11"/>
  <c r="F19" i="11"/>
  <c r="F8" i="11"/>
  <c r="G9" i="11"/>
  <c r="C10" i="11"/>
  <c r="G20" i="11"/>
  <c r="C21" i="11"/>
  <c r="C32" i="11"/>
  <c r="G31" i="11"/>
  <c r="D11" i="11"/>
  <c r="F11" i="11" s="1"/>
  <c r="F10" i="11"/>
  <c r="D22" i="11"/>
  <c r="F22" i="11" s="1"/>
  <c r="F21" i="11"/>
  <c r="D33" i="11"/>
  <c r="F33" i="11" s="1"/>
  <c r="F32" i="11"/>
  <c r="G8" i="11"/>
  <c r="F9" i="11"/>
  <c r="G19" i="11"/>
  <c r="I19" i="11" s="1"/>
  <c r="F20" i="11"/>
  <c r="G30" i="11"/>
  <c r="F31" i="11"/>
  <c r="F41" i="11"/>
  <c r="I41" i="11" s="1"/>
  <c r="F42" i="11"/>
  <c r="F50" i="11"/>
  <c r="I50" i="11" s="1"/>
  <c r="F51" i="11"/>
  <c r="C61" i="11"/>
  <c r="G60" i="11"/>
  <c r="C80" i="11"/>
  <c r="G79" i="11"/>
  <c r="C42" i="11"/>
  <c r="C51" i="11"/>
  <c r="D62" i="11"/>
  <c r="F62" i="11" s="1"/>
  <c r="F61" i="11"/>
  <c r="D71" i="11"/>
  <c r="F70" i="11"/>
  <c r="D81" i="11"/>
  <c r="F81" i="11" s="1"/>
  <c r="F80" i="11"/>
  <c r="C70" i="11"/>
  <c r="C89" i="11"/>
  <c r="G88" i="11"/>
  <c r="I88" i="11" s="1"/>
  <c r="D90" i="11"/>
  <c r="F89" i="11"/>
  <c r="D118" i="11"/>
  <c r="F117" i="11"/>
  <c r="I117" i="11" s="1"/>
  <c r="C119" i="11"/>
  <c r="G118" i="11"/>
  <c r="C128" i="11"/>
  <c r="G127" i="11"/>
  <c r="I127" i="11" s="1"/>
  <c r="D129" i="11"/>
  <c r="N129" i="11" s="1"/>
  <c r="O129" i="11" s="1"/>
  <c r="F128" i="11"/>
  <c r="G59" i="11"/>
  <c r="I59" i="11" s="1"/>
  <c r="F60" i="11"/>
  <c r="G78" i="11"/>
  <c r="I78" i="11" s="1"/>
  <c r="F79" i="11"/>
  <c r="D99" i="11"/>
  <c r="F98" i="11"/>
  <c r="I98" i="11" s="1"/>
  <c r="C100" i="11"/>
  <c r="G99" i="11"/>
  <c r="C109" i="11"/>
  <c r="G108" i="11"/>
  <c r="I108" i="11" s="1"/>
  <c r="D110" i="11"/>
  <c r="F109" i="11"/>
  <c r="D137" i="11"/>
  <c r="N137" i="11" s="1"/>
  <c r="O137" i="11" s="1"/>
  <c r="F136" i="11"/>
  <c r="I136" i="11" s="1"/>
  <c r="C138" i="11"/>
  <c r="G137" i="11"/>
  <c r="C147" i="11"/>
  <c r="G146" i="11"/>
  <c r="I146" i="11" s="1"/>
  <c r="D148" i="11"/>
  <c r="N148" i="11" s="1"/>
  <c r="O148" i="11" s="1"/>
  <c r="F147" i="11"/>
  <c r="C27" i="9"/>
  <c r="C29" i="9"/>
  <c r="C28" i="9"/>
  <c r="C23" i="9"/>
  <c r="C26" i="9"/>
  <c r="C25" i="9"/>
  <c r="C24" i="9"/>
  <c r="B189" i="8"/>
  <c r="C177" i="8"/>
  <c r="B177" i="8"/>
  <c r="C176" i="8"/>
  <c r="B176" i="8"/>
  <c r="C175" i="8"/>
  <c r="B175" i="8"/>
  <c r="C147" i="8"/>
  <c r="C148" i="8" s="1"/>
  <c r="G146" i="8"/>
  <c r="D146" i="8"/>
  <c r="D147" i="8" s="1"/>
  <c r="C146" i="8"/>
  <c r="D136" i="8"/>
  <c r="F136" i="8" s="1"/>
  <c r="C136" i="8"/>
  <c r="C137" i="8" s="1"/>
  <c r="D127" i="8"/>
  <c r="D128" i="8" s="1"/>
  <c r="D129" i="8" s="1"/>
  <c r="C127" i="8"/>
  <c r="C128" i="8" s="1"/>
  <c r="C174" i="8"/>
  <c r="B174" i="8"/>
  <c r="C173" i="8"/>
  <c r="B173" i="8"/>
  <c r="C172" i="8"/>
  <c r="B172" i="8"/>
  <c r="G117" i="8"/>
  <c r="D117" i="8"/>
  <c r="D118" i="8" s="1"/>
  <c r="C117" i="8"/>
  <c r="C118" i="8" s="1"/>
  <c r="C109" i="8"/>
  <c r="C110" i="8" s="1"/>
  <c r="G108" i="8"/>
  <c r="D108" i="8"/>
  <c r="D109" i="8" s="1"/>
  <c r="C108" i="8"/>
  <c r="D98" i="8"/>
  <c r="D99" i="8" s="1"/>
  <c r="D100" i="8" s="1"/>
  <c r="C98" i="8"/>
  <c r="C99" i="8" s="1"/>
  <c r="B171" i="8"/>
  <c r="C170" i="8"/>
  <c r="B170" i="8"/>
  <c r="D78" i="8"/>
  <c r="D79" i="8" s="1"/>
  <c r="C78" i="8"/>
  <c r="C79" i="8" s="1"/>
  <c r="C80" i="8" s="1"/>
  <c r="C89" i="8"/>
  <c r="C90" i="8" s="1"/>
  <c r="G88" i="8"/>
  <c r="D88" i="8"/>
  <c r="D89" i="8" s="1"/>
  <c r="C88" i="8"/>
  <c r="C169" i="8"/>
  <c r="C168" i="8"/>
  <c r="C167" i="8"/>
  <c r="C166" i="8"/>
  <c r="C165" i="8"/>
  <c r="C164" i="8"/>
  <c r="C163" i="8"/>
  <c r="B169" i="8"/>
  <c r="B168" i="8"/>
  <c r="B167" i="8"/>
  <c r="B166" i="8"/>
  <c r="B165" i="8"/>
  <c r="B164" i="8"/>
  <c r="B163" i="8"/>
  <c r="P69" i="8"/>
  <c r="P70" i="8" s="1"/>
  <c r="O69" i="8"/>
  <c r="O70" i="8" s="1"/>
  <c r="O71" i="8" s="1"/>
  <c r="J63" i="8"/>
  <c r="J53" i="8"/>
  <c r="J44" i="8"/>
  <c r="J34" i="8"/>
  <c r="J23" i="8"/>
  <c r="J12" i="8"/>
  <c r="D69" i="8"/>
  <c r="D70" i="8" s="1"/>
  <c r="D71" i="8" s="1"/>
  <c r="C69" i="8"/>
  <c r="C70" i="8" s="1"/>
  <c r="D59" i="8"/>
  <c r="D60" i="8" s="1"/>
  <c r="D61" i="8" s="1"/>
  <c r="C59" i="8"/>
  <c r="C60" i="8" s="1"/>
  <c r="M51" i="8"/>
  <c r="M52" i="8"/>
  <c r="M50" i="8"/>
  <c r="M49" i="8"/>
  <c r="D49" i="8"/>
  <c r="D50" i="8" s="1"/>
  <c r="C49" i="8"/>
  <c r="G49" i="8" s="1"/>
  <c r="M40" i="8"/>
  <c r="M41" i="8"/>
  <c r="M42" i="8"/>
  <c r="M43" i="8"/>
  <c r="D40" i="8"/>
  <c r="D41" i="8" s="1"/>
  <c r="D42" i="8" s="1"/>
  <c r="C40" i="8"/>
  <c r="C41" i="8" s="1"/>
  <c r="D30" i="8"/>
  <c r="F30" i="8" s="1"/>
  <c r="C30" i="8"/>
  <c r="C31" i="8" s="1"/>
  <c r="D19" i="8"/>
  <c r="D20" i="8" s="1"/>
  <c r="D21" i="8" s="1"/>
  <c r="C19" i="8"/>
  <c r="C20" i="8" s="1"/>
  <c r="D8" i="8"/>
  <c r="F8" i="8" s="1"/>
  <c r="C8" i="8"/>
  <c r="C9" i="8" s="1"/>
  <c r="D19" i="7"/>
  <c r="K19" i="7" s="1"/>
  <c r="D20" i="7"/>
  <c r="K20" i="7" s="1"/>
  <c r="D21" i="7"/>
  <c r="K21" i="7" s="1"/>
  <c r="D22" i="7"/>
  <c r="K22" i="7" s="1"/>
  <c r="E29" i="7"/>
  <c r="E30" i="7"/>
  <c r="E28" i="7"/>
  <c r="E20" i="7"/>
  <c r="E21" i="7"/>
  <c r="E19" i="7"/>
  <c r="C28" i="7"/>
  <c r="C29" i="7" s="1"/>
  <c r="C30" i="7" s="1"/>
  <c r="C31" i="7" s="1"/>
  <c r="B28" i="7"/>
  <c r="F28" i="7" s="1"/>
  <c r="C19" i="7"/>
  <c r="C20" i="7" s="1"/>
  <c r="C21" i="7" s="1"/>
  <c r="C22" i="7" s="1"/>
  <c r="B19" i="7"/>
  <c r="B20" i="7" s="1"/>
  <c r="C10" i="7"/>
  <c r="C11" i="7" s="1"/>
  <c r="C12" i="7" s="1"/>
  <c r="C13" i="7" s="1"/>
  <c r="B10" i="7"/>
  <c r="B11" i="7" s="1"/>
  <c r="C196" i="11" l="1"/>
  <c r="G196" i="11" s="1"/>
  <c r="G195" i="11"/>
  <c r="I195" i="11" s="1"/>
  <c r="I197" i="11" s="1"/>
  <c r="N196" i="11"/>
  <c r="O196" i="11" s="1"/>
  <c r="F196" i="11"/>
  <c r="I185" i="11"/>
  <c r="I184" i="11"/>
  <c r="D187" i="11"/>
  <c r="F186" i="11"/>
  <c r="N186" i="11"/>
  <c r="O186" i="11" s="1"/>
  <c r="C187" i="11"/>
  <c r="G187" i="11" s="1"/>
  <c r="G186" i="11"/>
  <c r="I176" i="11"/>
  <c r="C178" i="11"/>
  <c r="G178" i="11" s="1"/>
  <c r="G177" i="11"/>
  <c r="I179" i="11" s="1"/>
  <c r="C226" i="11" s="1"/>
  <c r="I166" i="11"/>
  <c r="C168" i="11"/>
  <c r="G168" i="11" s="1"/>
  <c r="G167" i="11"/>
  <c r="I167" i="11" s="1"/>
  <c r="C159" i="11"/>
  <c r="G159" i="11" s="1"/>
  <c r="G158" i="11"/>
  <c r="I158" i="11" s="1"/>
  <c r="J160" i="11" s="1"/>
  <c r="I30" i="11"/>
  <c r="I8" i="11"/>
  <c r="D149" i="11"/>
  <c r="F148" i="11"/>
  <c r="C148" i="11"/>
  <c r="G147" i="11"/>
  <c r="I147" i="11" s="1"/>
  <c r="G138" i="11"/>
  <c r="C139" i="11"/>
  <c r="G139" i="11" s="1"/>
  <c r="D138" i="11"/>
  <c r="N138" i="11" s="1"/>
  <c r="O138" i="11" s="1"/>
  <c r="F137" i="11"/>
  <c r="I137" i="11" s="1"/>
  <c r="D130" i="11"/>
  <c r="F129" i="11"/>
  <c r="G128" i="11"/>
  <c r="I128" i="11" s="1"/>
  <c r="C129" i="11"/>
  <c r="C120" i="11"/>
  <c r="G120" i="11" s="1"/>
  <c r="G119" i="11"/>
  <c r="D119" i="11"/>
  <c r="F118" i="11"/>
  <c r="I118" i="11" s="1"/>
  <c r="G51" i="11"/>
  <c r="I51" i="11" s="1"/>
  <c r="I53" i="11" s="1"/>
  <c r="C52" i="11"/>
  <c r="G52" i="11" s="1"/>
  <c r="I52" i="11" s="1"/>
  <c r="G42" i="11"/>
  <c r="I42" i="11" s="1"/>
  <c r="J44" i="11" s="1"/>
  <c r="C43" i="11"/>
  <c r="G43" i="11" s="1"/>
  <c r="I43" i="11" s="1"/>
  <c r="I79" i="11"/>
  <c r="I60" i="11"/>
  <c r="I31" i="11"/>
  <c r="C22" i="11"/>
  <c r="G22" i="11" s="1"/>
  <c r="I22" i="11" s="1"/>
  <c r="G21" i="11"/>
  <c r="I21" i="11" s="1"/>
  <c r="C11" i="11"/>
  <c r="G11" i="11" s="1"/>
  <c r="I11" i="11" s="1"/>
  <c r="G10" i="11"/>
  <c r="I10" i="11" s="1"/>
  <c r="D111" i="11"/>
  <c r="F111" i="11" s="1"/>
  <c r="F110" i="11"/>
  <c r="C110" i="11"/>
  <c r="G109" i="11"/>
  <c r="I109" i="11" s="1"/>
  <c r="G100" i="11"/>
  <c r="C101" i="11"/>
  <c r="G101" i="11" s="1"/>
  <c r="D100" i="11"/>
  <c r="F99" i="11"/>
  <c r="I99" i="11" s="1"/>
  <c r="D91" i="11"/>
  <c r="F91" i="11" s="1"/>
  <c r="F90" i="11"/>
  <c r="G89" i="11"/>
  <c r="I89" i="11" s="1"/>
  <c r="C90" i="11"/>
  <c r="G70" i="11"/>
  <c r="I70" i="11" s="1"/>
  <c r="C71" i="11"/>
  <c r="D72" i="11"/>
  <c r="F72" i="11" s="1"/>
  <c r="F71" i="11"/>
  <c r="C81" i="11"/>
  <c r="G81" i="11" s="1"/>
  <c r="I81" i="11" s="1"/>
  <c r="G80" i="11"/>
  <c r="I80" i="11" s="1"/>
  <c r="J82" i="11" s="1"/>
  <c r="C62" i="11"/>
  <c r="G62" i="11" s="1"/>
  <c r="I62" i="11" s="1"/>
  <c r="G61" i="11"/>
  <c r="I61" i="11" s="1"/>
  <c r="J63" i="11" s="1"/>
  <c r="C33" i="11"/>
  <c r="G33" i="11" s="1"/>
  <c r="I33" i="11" s="1"/>
  <c r="G32" i="11"/>
  <c r="I32" i="11" s="1"/>
  <c r="I34" i="11" s="1"/>
  <c r="C221" i="11" s="1"/>
  <c r="I20" i="11"/>
  <c r="J23" i="11" s="1"/>
  <c r="I9" i="11"/>
  <c r="I12" i="11" s="1"/>
  <c r="C219" i="11" s="1"/>
  <c r="D148" i="8"/>
  <c r="F147" i="8"/>
  <c r="C149" i="8"/>
  <c r="G149" i="8" s="1"/>
  <c r="G148" i="8"/>
  <c r="F146" i="8"/>
  <c r="I146" i="8" s="1"/>
  <c r="G147" i="8"/>
  <c r="I147" i="8" s="1"/>
  <c r="D137" i="8"/>
  <c r="D138" i="8" s="1"/>
  <c r="D139" i="8" s="1"/>
  <c r="F139" i="8" s="1"/>
  <c r="G137" i="8"/>
  <c r="C138" i="8"/>
  <c r="F138" i="8"/>
  <c r="G136" i="8"/>
  <c r="I136" i="8" s="1"/>
  <c r="F137" i="8"/>
  <c r="F127" i="8"/>
  <c r="C129" i="8"/>
  <c r="G128" i="8"/>
  <c r="D130" i="8"/>
  <c r="F130" i="8" s="1"/>
  <c r="F129" i="8"/>
  <c r="G127" i="8"/>
  <c r="F128" i="8"/>
  <c r="D119" i="8"/>
  <c r="F118" i="8"/>
  <c r="C119" i="8"/>
  <c r="G118" i="8"/>
  <c r="I118" i="8" s="1"/>
  <c r="F117" i="8"/>
  <c r="I117" i="8" s="1"/>
  <c r="D110" i="8"/>
  <c r="F109" i="8"/>
  <c r="C111" i="8"/>
  <c r="G111" i="8" s="1"/>
  <c r="G110" i="8"/>
  <c r="F108" i="8"/>
  <c r="I108" i="8" s="1"/>
  <c r="G109" i="8"/>
  <c r="F98" i="8"/>
  <c r="D101" i="8"/>
  <c r="F101" i="8" s="1"/>
  <c r="F100" i="8"/>
  <c r="C100" i="8"/>
  <c r="G99" i="8"/>
  <c r="G98" i="8"/>
  <c r="F99" i="8"/>
  <c r="G78" i="8"/>
  <c r="S69" i="8"/>
  <c r="D80" i="8"/>
  <c r="F79" i="8"/>
  <c r="C81" i="8"/>
  <c r="G81" i="8" s="1"/>
  <c r="G80" i="8"/>
  <c r="F78" i="8"/>
  <c r="I78" i="8" s="1"/>
  <c r="G79" i="8"/>
  <c r="I79" i="8" s="1"/>
  <c r="D90" i="8"/>
  <c r="F89" i="8"/>
  <c r="C91" i="8"/>
  <c r="G91" i="8" s="1"/>
  <c r="G90" i="8"/>
  <c r="F88" i="8"/>
  <c r="I88" i="8" s="1"/>
  <c r="G89" i="8"/>
  <c r="I89" i="8" s="1"/>
  <c r="P71" i="8"/>
  <c r="R70" i="8"/>
  <c r="O72" i="8"/>
  <c r="S72" i="8" s="1"/>
  <c r="S71" i="8"/>
  <c r="R69" i="8"/>
  <c r="U69" i="8" s="1"/>
  <c r="S70" i="8"/>
  <c r="F69" i="8"/>
  <c r="C71" i="8"/>
  <c r="G70" i="8"/>
  <c r="D72" i="8"/>
  <c r="F72" i="8" s="1"/>
  <c r="F71" i="8"/>
  <c r="G69" i="8"/>
  <c r="F70" i="8"/>
  <c r="D9" i="8"/>
  <c r="D10" i="8" s="1"/>
  <c r="F10" i="8" s="1"/>
  <c r="F59" i="8"/>
  <c r="C61" i="8"/>
  <c r="G60" i="8"/>
  <c r="D62" i="8"/>
  <c r="F62" i="8" s="1"/>
  <c r="F61" i="8"/>
  <c r="G59" i="8"/>
  <c r="F60" i="8"/>
  <c r="F49" i="8"/>
  <c r="I49" i="8" s="1"/>
  <c r="D51" i="8"/>
  <c r="F50" i="8"/>
  <c r="C50" i="8"/>
  <c r="F40" i="8"/>
  <c r="D43" i="8"/>
  <c r="F43" i="8" s="1"/>
  <c r="F42" i="8"/>
  <c r="G41" i="8"/>
  <c r="C42" i="8"/>
  <c r="G40" i="8"/>
  <c r="F41" i="8"/>
  <c r="D31" i="8"/>
  <c r="D32" i="8" s="1"/>
  <c r="D33" i="8" s="1"/>
  <c r="F33" i="8" s="1"/>
  <c r="G31" i="8"/>
  <c r="C32" i="8"/>
  <c r="F32" i="8"/>
  <c r="G30" i="8"/>
  <c r="I30" i="8" s="1"/>
  <c r="F31" i="8"/>
  <c r="F19" i="8"/>
  <c r="C21" i="8"/>
  <c r="G20" i="8"/>
  <c r="D22" i="8"/>
  <c r="F22" i="8" s="1"/>
  <c r="F21" i="8"/>
  <c r="G19" i="8"/>
  <c r="F20" i="8"/>
  <c r="F9" i="8"/>
  <c r="D11" i="8"/>
  <c r="F11" i="8" s="1"/>
  <c r="C10" i="8"/>
  <c r="G9" i="8"/>
  <c r="G8" i="8"/>
  <c r="I8" i="8" s="1"/>
  <c r="H28" i="7"/>
  <c r="D28" i="7"/>
  <c r="B29" i="7"/>
  <c r="B21" i="7"/>
  <c r="F20" i="7"/>
  <c r="F19" i="7"/>
  <c r="B12" i="7"/>
  <c r="F11" i="7"/>
  <c r="F10" i="7"/>
  <c r="E45" i="5"/>
  <c r="D46" i="5"/>
  <c r="B37" i="5"/>
  <c r="B38" i="5"/>
  <c r="B39" i="5"/>
  <c r="B40" i="5"/>
  <c r="B36" i="5"/>
  <c r="F149" i="11" l="1"/>
  <c r="N149" i="11"/>
  <c r="O149" i="11" s="1"/>
  <c r="J197" i="11"/>
  <c r="J188" i="11"/>
  <c r="I188" i="11"/>
  <c r="C227" i="11" s="1"/>
  <c r="N187" i="11"/>
  <c r="O187" i="11" s="1"/>
  <c r="F187" i="11"/>
  <c r="J179" i="11"/>
  <c r="J169" i="11"/>
  <c r="I169" i="11"/>
  <c r="C225" i="11" s="1"/>
  <c r="I160" i="11"/>
  <c r="C224" i="11" s="1"/>
  <c r="F130" i="11"/>
  <c r="N130" i="11"/>
  <c r="O130" i="11" s="1"/>
  <c r="I23" i="11"/>
  <c r="C220" i="11" s="1"/>
  <c r="J12" i="11"/>
  <c r="J34" i="11"/>
  <c r="I63" i="11"/>
  <c r="I82" i="11"/>
  <c r="D120" i="11"/>
  <c r="F120" i="11" s="1"/>
  <c r="F119" i="11"/>
  <c r="I119" i="11" s="1"/>
  <c r="J121" i="11" s="1"/>
  <c r="I44" i="11"/>
  <c r="C222" i="11" s="1"/>
  <c r="J53" i="11"/>
  <c r="G71" i="11"/>
  <c r="I71" i="11" s="1"/>
  <c r="I73" i="11" s="1"/>
  <c r="C72" i="11"/>
  <c r="G72" i="11" s="1"/>
  <c r="I72" i="11" s="1"/>
  <c r="C91" i="11"/>
  <c r="G91" i="11" s="1"/>
  <c r="G90" i="11"/>
  <c r="I90" i="11" s="1"/>
  <c r="I92" i="11" s="1"/>
  <c r="D101" i="11"/>
  <c r="F101" i="11" s="1"/>
  <c r="F100" i="11"/>
  <c r="I100" i="11" s="1"/>
  <c r="J102" i="11" s="1"/>
  <c r="C111" i="11"/>
  <c r="G111" i="11" s="1"/>
  <c r="G110" i="11"/>
  <c r="I110" i="11" s="1"/>
  <c r="I112" i="11" s="1"/>
  <c r="C130" i="11"/>
  <c r="G130" i="11" s="1"/>
  <c r="I130" i="11" s="1"/>
  <c r="G129" i="11"/>
  <c r="I129" i="11" s="1"/>
  <c r="D139" i="11"/>
  <c r="F138" i="11"/>
  <c r="I138" i="11" s="1"/>
  <c r="I140" i="11" s="1"/>
  <c r="C229" i="11" s="1"/>
  <c r="G148" i="11"/>
  <c r="I148" i="11" s="1"/>
  <c r="C149" i="11"/>
  <c r="G149" i="11" s="1"/>
  <c r="D149" i="8"/>
  <c r="F149" i="8" s="1"/>
  <c r="F148" i="8"/>
  <c r="C139" i="8"/>
  <c r="G139" i="8" s="1"/>
  <c r="G138" i="8"/>
  <c r="I138" i="8" s="1"/>
  <c r="I137" i="8"/>
  <c r="J140" i="8" s="1"/>
  <c r="I127" i="8"/>
  <c r="I128" i="8"/>
  <c r="C130" i="8"/>
  <c r="G130" i="8" s="1"/>
  <c r="G129" i="8"/>
  <c r="I129" i="8" s="1"/>
  <c r="C120" i="8"/>
  <c r="G120" i="8" s="1"/>
  <c r="G119" i="8"/>
  <c r="D120" i="8"/>
  <c r="F120" i="8" s="1"/>
  <c r="F119" i="8"/>
  <c r="I109" i="8"/>
  <c r="D111" i="8"/>
  <c r="F111" i="8" s="1"/>
  <c r="F110" i="8"/>
  <c r="I110" i="8" s="1"/>
  <c r="I98" i="8"/>
  <c r="I99" i="8"/>
  <c r="C101" i="8"/>
  <c r="G101" i="8" s="1"/>
  <c r="G100" i="8"/>
  <c r="I100" i="8" s="1"/>
  <c r="D81" i="8"/>
  <c r="F81" i="8" s="1"/>
  <c r="I81" i="8" s="1"/>
  <c r="F80" i="8"/>
  <c r="I80" i="8" s="1"/>
  <c r="D91" i="8"/>
  <c r="F91" i="8" s="1"/>
  <c r="F90" i="8"/>
  <c r="I90" i="8" s="1"/>
  <c r="U70" i="8"/>
  <c r="P72" i="8"/>
  <c r="R72" i="8" s="1"/>
  <c r="U72" i="8" s="1"/>
  <c r="R71" i="8"/>
  <c r="U71" i="8" s="1"/>
  <c r="I69" i="8"/>
  <c r="I70" i="8"/>
  <c r="C72" i="8"/>
  <c r="G72" i="8" s="1"/>
  <c r="I72" i="8" s="1"/>
  <c r="J73" i="8" s="1"/>
  <c r="G71" i="8"/>
  <c r="I71" i="8" s="1"/>
  <c r="I73" i="8" s="1"/>
  <c r="I59" i="8"/>
  <c r="I60" i="8"/>
  <c r="C62" i="8"/>
  <c r="G62" i="8" s="1"/>
  <c r="I62" i="8" s="1"/>
  <c r="G61" i="8"/>
  <c r="I61" i="8" s="1"/>
  <c r="I63" i="8" s="1"/>
  <c r="G50" i="8"/>
  <c r="I50" i="8" s="1"/>
  <c r="C51" i="8"/>
  <c r="D52" i="8"/>
  <c r="F52" i="8" s="1"/>
  <c r="F51" i="8"/>
  <c r="I41" i="8"/>
  <c r="I40" i="8"/>
  <c r="C43" i="8"/>
  <c r="G43" i="8" s="1"/>
  <c r="I43" i="8" s="1"/>
  <c r="G42" i="8"/>
  <c r="I42" i="8" s="1"/>
  <c r="I44" i="8" s="1"/>
  <c r="C33" i="8"/>
  <c r="G33" i="8" s="1"/>
  <c r="I33" i="8" s="1"/>
  <c r="G32" i="8"/>
  <c r="I32" i="8" s="1"/>
  <c r="I31" i="8"/>
  <c r="I34" i="8" s="1"/>
  <c r="I19" i="8"/>
  <c r="I23" i="8" s="1"/>
  <c r="I20" i="8"/>
  <c r="C22" i="8"/>
  <c r="G22" i="8" s="1"/>
  <c r="I22" i="8" s="1"/>
  <c r="G21" i="8"/>
  <c r="I21" i="8" s="1"/>
  <c r="C11" i="8"/>
  <c r="G11" i="8" s="1"/>
  <c r="I11" i="8" s="1"/>
  <c r="G10" i="8"/>
  <c r="I10" i="8" s="1"/>
  <c r="I9" i="8"/>
  <c r="I12" i="8" s="1"/>
  <c r="B30" i="7"/>
  <c r="F29" i="7"/>
  <c r="H19" i="7"/>
  <c r="B22" i="7"/>
  <c r="F22" i="7" s="1"/>
  <c r="E22" i="7" s="1"/>
  <c r="F21" i="7"/>
  <c r="H20" i="7"/>
  <c r="E11" i="7"/>
  <c r="D11" i="7" s="1"/>
  <c r="K11" i="7" s="1"/>
  <c r="E10" i="7"/>
  <c r="D10" i="7" s="1"/>
  <c r="K10" i="7" s="1"/>
  <c r="B13" i="7"/>
  <c r="F13" i="7" s="1"/>
  <c r="F12" i="7"/>
  <c r="E74" i="5"/>
  <c r="E73" i="5"/>
  <c r="E72" i="5"/>
  <c r="E71" i="5"/>
  <c r="E70" i="5"/>
  <c r="E66" i="5"/>
  <c r="E65" i="5"/>
  <c r="E64" i="5"/>
  <c r="E63" i="5"/>
  <c r="E62" i="5"/>
  <c r="E58" i="5"/>
  <c r="E57" i="5"/>
  <c r="E56" i="5"/>
  <c r="E55" i="5"/>
  <c r="E54" i="5"/>
  <c r="E39" i="5"/>
  <c r="E36" i="5"/>
  <c r="E22" i="5"/>
  <c r="E23" i="5"/>
  <c r="E21" i="5"/>
  <c r="E27" i="5"/>
  <c r="E29" i="5"/>
  <c r="E30" i="5"/>
  <c r="E31" i="5"/>
  <c r="E28" i="5"/>
  <c r="F28" i="5"/>
  <c r="F29" i="5"/>
  <c r="F30" i="5"/>
  <c r="F31" i="5"/>
  <c r="F27" i="5"/>
  <c r="A37" i="5"/>
  <c r="A38" i="5"/>
  <c r="A39" i="5"/>
  <c r="A40" i="5"/>
  <c r="A36" i="5"/>
  <c r="I150" i="11" l="1"/>
  <c r="F139" i="11"/>
  <c r="I139" i="11" s="1"/>
  <c r="N139" i="11"/>
  <c r="O139" i="11" s="1"/>
  <c r="I149" i="11"/>
  <c r="J150" i="11" s="1"/>
  <c r="I131" i="11"/>
  <c r="C228" i="11" s="1"/>
  <c r="J131" i="11"/>
  <c r="J112" i="11"/>
  <c r="I121" i="11"/>
  <c r="J73" i="11"/>
  <c r="J140" i="11"/>
  <c r="I102" i="11"/>
  <c r="J92" i="11"/>
  <c r="J150" i="8"/>
  <c r="I150" i="8"/>
  <c r="I140" i="8"/>
  <c r="I131" i="8"/>
  <c r="J131" i="8"/>
  <c r="I119" i="8"/>
  <c r="I112" i="8"/>
  <c r="J112" i="8"/>
  <c r="I102" i="8"/>
  <c r="J102" i="8"/>
  <c r="I82" i="8"/>
  <c r="J82" i="8"/>
  <c r="J92" i="8"/>
  <c r="I92" i="8"/>
  <c r="C171" i="8" s="1"/>
  <c r="V73" i="8"/>
  <c r="U73" i="8"/>
  <c r="G51" i="8"/>
  <c r="I51" i="8" s="1"/>
  <c r="C52" i="8"/>
  <c r="G52" i="8" s="1"/>
  <c r="I52" i="8" s="1"/>
  <c r="I53" i="8"/>
  <c r="H29" i="7"/>
  <c r="D29" i="7"/>
  <c r="B31" i="7"/>
  <c r="F31" i="7" s="1"/>
  <c r="E31" i="7" s="1"/>
  <c r="F30" i="7"/>
  <c r="H22" i="7"/>
  <c r="E12" i="7"/>
  <c r="D12" i="7" s="1"/>
  <c r="K12" i="7" s="1"/>
  <c r="E13" i="7"/>
  <c r="D13" i="7" s="1"/>
  <c r="K13" i="7" s="1"/>
  <c r="H10" i="7"/>
  <c r="H11" i="7"/>
  <c r="C71" i="5"/>
  <c r="C72" i="5" s="1"/>
  <c r="C73" i="5" s="1"/>
  <c r="B71" i="5"/>
  <c r="B72" i="5" s="1"/>
  <c r="F70" i="5"/>
  <c r="H70" i="5" s="1"/>
  <c r="F66" i="5"/>
  <c r="H66" i="5"/>
  <c r="C66" i="5"/>
  <c r="B66" i="5"/>
  <c r="C63" i="5"/>
  <c r="C64" i="5" s="1"/>
  <c r="C65" i="5" s="1"/>
  <c r="B63" i="5"/>
  <c r="B64" i="5" s="1"/>
  <c r="F62" i="5"/>
  <c r="H62" i="5" s="1"/>
  <c r="C55" i="5"/>
  <c r="C56" i="5" s="1"/>
  <c r="C57" i="5" s="1"/>
  <c r="C58" i="5" s="1"/>
  <c r="B55" i="5"/>
  <c r="B56" i="5" s="1"/>
  <c r="F54" i="5"/>
  <c r="H54" i="5" s="1"/>
  <c r="C28" i="5"/>
  <c r="C29" i="5" s="1"/>
  <c r="C30" i="5" s="1"/>
  <c r="B28" i="5"/>
  <c r="B29" i="5" s="1"/>
  <c r="H27" i="5"/>
  <c r="C22" i="5"/>
  <c r="C23" i="5" s="1"/>
  <c r="B22" i="5"/>
  <c r="B23" i="5" s="1"/>
  <c r="F21" i="5"/>
  <c r="H21" i="5" s="1"/>
  <c r="D15" i="5"/>
  <c r="D14" i="5"/>
  <c r="D13" i="5"/>
  <c r="C13" i="5"/>
  <c r="C14" i="5" s="1"/>
  <c r="C15" i="5" s="1"/>
  <c r="B13" i="5"/>
  <c r="B14" i="5" s="1"/>
  <c r="F12" i="5"/>
  <c r="H12" i="5" s="1"/>
  <c r="E12" i="5"/>
  <c r="D7" i="5"/>
  <c r="D8" i="5"/>
  <c r="D6" i="5"/>
  <c r="D5" i="5"/>
  <c r="C5" i="5"/>
  <c r="B6" i="5"/>
  <c r="F6" i="5" s="1"/>
  <c r="B5" i="5"/>
  <c r="F5" i="5" s="1"/>
  <c r="E4" i="5"/>
  <c r="F4" i="5"/>
  <c r="H4" i="5" s="1"/>
  <c r="C223" i="11" l="1"/>
  <c r="J121" i="8"/>
  <c r="I121" i="8"/>
  <c r="H30" i="7"/>
  <c r="D30" i="7"/>
  <c r="D31" i="7"/>
  <c r="H21" i="7"/>
  <c r="H23" i="7" s="1"/>
  <c r="H13" i="7"/>
  <c r="H12" i="7"/>
  <c r="H14" i="7" s="1"/>
  <c r="B73" i="5"/>
  <c r="F72" i="5"/>
  <c r="C74" i="5"/>
  <c r="F71" i="5"/>
  <c r="B57" i="5"/>
  <c r="F56" i="5"/>
  <c r="H56" i="5" s="1"/>
  <c r="B65" i="5"/>
  <c r="F65" i="5" s="1"/>
  <c r="F64" i="5"/>
  <c r="F55" i="5"/>
  <c r="H55" i="5" s="1"/>
  <c r="F63" i="5"/>
  <c r="H63" i="5" s="1"/>
  <c r="B30" i="5"/>
  <c r="C31" i="5"/>
  <c r="F23" i="5"/>
  <c r="F22" i="5"/>
  <c r="E13" i="5"/>
  <c r="B15" i="5"/>
  <c r="F14" i="5"/>
  <c r="E15" i="5"/>
  <c r="E14" i="5"/>
  <c r="F13" i="5"/>
  <c r="B7" i="5"/>
  <c r="E5" i="5"/>
  <c r="H5" i="5" s="1"/>
  <c r="C6" i="5"/>
  <c r="C7" i="5" s="1"/>
  <c r="C8" i="5" s="1"/>
  <c r="E8" i="5" s="1"/>
  <c r="F28" i="4"/>
  <c r="G28" i="4" s="1"/>
  <c r="F27" i="4"/>
  <c r="F26" i="4"/>
  <c r="F25" i="4"/>
  <c r="G27" i="4"/>
  <c r="G26" i="4"/>
  <c r="G25" i="4"/>
  <c r="D25" i="4"/>
  <c r="D26" i="4" s="1"/>
  <c r="H24" i="4"/>
  <c r="J24" i="4" s="1"/>
  <c r="G24" i="4"/>
  <c r="F20" i="4"/>
  <c r="G20" i="4" s="1"/>
  <c r="D20" i="4"/>
  <c r="D19" i="4"/>
  <c r="F19" i="4"/>
  <c r="F18" i="4"/>
  <c r="D18" i="4"/>
  <c r="F17" i="4"/>
  <c r="G17" i="4" s="1"/>
  <c r="D17" i="4"/>
  <c r="H17" i="4" s="1"/>
  <c r="G19" i="4"/>
  <c r="G18" i="4"/>
  <c r="J16" i="4"/>
  <c r="H16" i="4"/>
  <c r="G16" i="4"/>
  <c r="H9" i="4"/>
  <c r="J9" i="4" s="1"/>
  <c r="D9" i="4"/>
  <c r="G9" i="4"/>
  <c r="F9" i="4"/>
  <c r="G8" i="4"/>
  <c r="J8" i="4" s="1"/>
  <c r="H8" i="4"/>
  <c r="D8" i="4"/>
  <c r="F8" i="4"/>
  <c r="F7" i="4"/>
  <c r="D7" i="4"/>
  <c r="H7" i="4" s="1"/>
  <c r="F6" i="4"/>
  <c r="G6" i="4" s="1"/>
  <c r="D6" i="4"/>
  <c r="G7" i="4"/>
  <c r="J5" i="4"/>
  <c r="H5" i="4"/>
  <c r="G5" i="4"/>
  <c r="H31" i="7" l="1"/>
  <c r="H32" i="7" s="1"/>
  <c r="H71" i="5"/>
  <c r="H72" i="5"/>
  <c r="B74" i="5"/>
  <c r="F74" i="5" s="1"/>
  <c r="H74" i="5" s="1"/>
  <c r="F73" i="5"/>
  <c r="H73" i="5" s="1"/>
  <c r="H75" i="5" s="1"/>
  <c r="D40" i="5" s="1"/>
  <c r="E40" i="5" s="1"/>
  <c r="H64" i="5"/>
  <c r="B58" i="5"/>
  <c r="F58" i="5" s="1"/>
  <c r="H58" i="5" s="1"/>
  <c r="F57" i="5"/>
  <c r="H57" i="5" s="1"/>
  <c r="H65" i="5"/>
  <c r="H67" i="5" s="1"/>
  <c r="D38" i="5" s="1"/>
  <c r="E38" i="5" s="1"/>
  <c r="E6" i="5"/>
  <c r="H6" i="5" s="1"/>
  <c r="E7" i="5"/>
  <c r="H13" i="5"/>
  <c r="H28" i="5"/>
  <c r="H29" i="5"/>
  <c r="B31" i="5"/>
  <c r="H31" i="5" s="1"/>
  <c r="H30" i="5"/>
  <c r="H23" i="5"/>
  <c r="H22" i="5"/>
  <c r="H14" i="5"/>
  <c r="F15" i="5"/>
  <c r="H15" i="5" s="1"/>
  <c r="B8" i="5"/>
  <c r="F8" i="5" s="1"/>
  <c r="H8" i="5" s="1"/>
  <c r="F7" i="5"/>
  <c r="D27" i="4"/>
  <c r="H26" i="4"/>
  <c r="J26" i="4" s="1"/>
  <c r="H25" i="4"/>
  <c r="J25" i="4" s="1"/>
  <c r="H20" i="4"/>
  <c r="J20" i="4" s="1"/>
  <c r="H19" i="4"/>
  <c r="J19" i="4" s="1"/>
  <c r="J17" i="4"/>
  <c r="H18" i="4"/>
  <c r="J18" i="4" s="1"/>
  <c r="J7" i="4"/>
  <c r="H6" i="4"/>
  <c r="J6" i="4" s="1"/>
  <c r="F25" i="3"/>
  <c r="F24" i="3"/>
  <c r="F23" i="3"/>
  <c r="C23" i="3"/>
  <c r="C24" i="3" s="1"/>
  <c r="I22" i="3"/>
  <c r="G22" i="3"/>
  <c r="F22" i="3"/>
  <c r="C6" i="3"/>
  <c r="G6" i="3" s="1"/>
  <c r="F5" i="3"/>
  <c r="F6" i="3"/>
  <c r="C5" i="3"/>
  <c r="F4" i="3"/>
  <c r="G5" i="3"/>
  <c r="I5" i="3" s="1"/>
  <c r="G4" i="3"/>
  <c r="I4" i="3" s="1"/>
  <c r="G5" i="2"/>
  <c r="G6" i="2"/>
  <c r="G7" i="2"/>
  <c r="G8" i="2"/>
  <c r="G9" i="2"/>
  <c r="G10" i="2"/>
  <c r="G4" i="2"/>
  <c r="I4" i="2" s="1"/>
  <c r="I5" i="2"/>
  <c r="I6" i="2"/>
  <c r="I7" i="2"/>
  <c r="I8" i="2"/>
  <c r="I9" i="2"/>
  <c r="I10" i="2"/>
  <c r="H32" i="5" l="1"/>
  <c r="D36" i="5" s="1"/>
  <c r="H59" i="5"/>
  <c r="D37" i="5" s="1"/>
  <c r="E37" i="5" s="1"/>
  <c r="H24" i="5"/>
  <c r="D39" i="5" s="1"/>
  <c r="H16" i="5"/>
  <c r="H7" i="5"/>
  <c r="H9" i="5" s="1"/>
  <c r="D28" i="4"/>
  <c r="H28" i="4" s="1"/>
  <c r="J28" i="4" s="1"/>
  <c r="H27" i="4"/>
  <c r="J27" i="4" s="1"/>
  <c r="C25" i="3"/>
  <c r="G25" i="3" s="1"/>
  <c r="I25" i="3" s="1"/>
  <c r="G24" i="3"/>
  <c r="I24" i="3" s="1"/>
  <c r="G23" i="3"/>
  <c r="I23" i="3" s="1"/>
  <c r="I6" i="3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<sst xmlns="http://schemas.openxmlformats.org/spreadsheetml/2006/main" count="595" uniqueCount="46">
  <si>
    <t>Mass</t>
  </si>
  <si>
    <t>StopDrop</t>
  </si>
  <si>
    <t>StartClimb</t>
  </si>
  <si>
    <t>3 significant digits</t>
  </si>
  <si>
    <t>Weight</t>
  </si>
  <si>
    <t>Equilibrium</t>
  </si>
  <si>
    <t>Length+Weight</t>
  </si>
  <si>
    <t>Displacement</t>
  </si>
  <si>
    <t>Force</t>
  </si>
  <si>
    <t>Voltage</t>
  </si>
  <si>
    <t>Spring constant</t>
  </si>
  <si>
    <t xml:space="preserve">       </t>
  </si>
  <si>
    <t>Stiffness:60</t>
  </si>
  <si>
    <t>Stiffness:20</t>
  </si>
  <si>
    <t>Length withWeight</t>
  </si>
  <si>
    <t>Stiffness:45</t>
  </si>
  <si>
    <t>Stiffness:70</t>
  </si>
  <si>
    <t>Stiffness</t>
  </si>
  <si>
    <t>1/10 ratio</t>
  </si>
  <si>
    <t>avg</t>
  </si>
  <si>
    <t>PULLEY BREAKS, Re-Did Pulley</t>
  </si>
  <si>
    <t>Re-done</t>
  </si>
  <si>
    <t>Inches to meters</t>
  </si>
  <si>
    <t>Real Spring Constant</t>
  </si>
  <si>
    <t>K</t>
  </si>
  <si>
    <t>StiffnessNew</t>
  </si>
  <si>
    <t>Stiffness if 64</t>
  </si>
  <si>
    <t>k</t>
  </si>
  <si>
    <t>damping</t>
  </si>
  <si>
    <t>Addl Unit</t>
  </si>
  <si>
    <t>Inch To Meters</t>
  </si>
  <si>
    <t xml:space="preserve">  </t>
  </si>
  <si>
    <t>Volts</t>
  </si>
  <si>
    <t>median</t>
  </si>
  <si>
    <t>BROKLEN PULLY</t>
  </si>
  <si>
    <t>Critical Damping</t>
  </si>
  <si>
    <t>coulomb</t>
  </si>
  <si>
    <t>1/17/13 cd</t>
  </si>
  <si>
    <t>1/21/14 N-D</t>
  </si>
  <si>
    <t>Inches</t>
  </si>
  <si>
    <t>Ticks</t>
  </si>
  <si>
    <t>Ticks/inch</t>
  </si>
  <si>
    <t>1/1 ratio</t>
  </si>
  <si>
    <t>Stiffness 1/1</t>
  </si>
  <si>
    <t>Damping</t>
  </si>
  <si>
    <t>Coulomb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</si>
</sst>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2" fillId="0" borderId="0" xfId="0" applyFont="1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  <xf numFmtId="0" fontId="0" fillId="4" borderId="0" xfId="0" applyFill="1"/>
    <xf numFmtId="0" fontId="3" fillId="0" borderId="0" xfId="0" applyFont="1"/>
    <xf numFmtId="0" fontId="3" fillId="0" borderId="0" xfId="0" applyFont="1" applyFill="1"/>
    <xf numFmtId="0" fontId="0" fillId="0" borderId="7" xfId="0" applyBorder="1"/>
    <xf numFmtId="0" fontId="1" fillId="2" borderId="0" xfId="0" applyFont="1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1" fillId="0" borderId="8" xfId="0" applyFont="1" applyBorder="1"/>
    <xf numFmtId="0" fontId="0" fillId="0" borderId="0" xfId="0" applyFill="1" applyBorder="1"/>
    <xf numFmtId="0" fontId="0" fillId="0" borderId="8" xfId="0" applyBorder="1"/>
    <xf numFmtId="0" fontId="0" fillId="0" borderId="0" xfId="0" applyBorder="1"/>
    <xf numFmtId="0" fontId="0" fillId="0" borderId="6" xfId="0" applyBorder="1"/>
    <xf numFmtId="0" fontId="3" fillId="0" borderId="0" xfId="0" applyFont="1" applyFill="1" applyBorder="1"/>
    <xf numFmtId="0" fontId="3" fillId="0" borderId="9" xfId="0" applyFont="1" applyFill="1" applyBorder="1"/>
    <xf numFmtId="0" fontId="1" fillId="2" borderId="9" xfId="0" applyFont="1" applyFill="1" applyBorder="1"/>
    <xf numFmtId="0" fontId="1" fillId="2" borderId="0" xfId="0" applyFont="1" applyFill="1" applyBorder="1"/>
    <xf numFmtId="0" fontId="0" fillId="0" borderId="5" xfId="0" applyFill="1" applyBorder="1"/>
    <xf numFmtId="0" fontId="0" fillId="0" borderId="2" xfId="0" applyBorder="1"/>
    <xf numFmtId="0" fontId="0" fillId="0" borderId="9" xfId="0" applyBorder="1"/>
    <xf numFmtId="0" fontId="4" fillId="2" borderId="0" xfId="0" applyFont="1" applyFill="1"/>
    <xf numFmtId="0" fontId="0" fillId="0" borderId="0" xfId="0" applyFill="1"/>
    <xf numFmtId="0" fontId="1" fillId="0" borderId="0" xfId="0" applyFont="1" applyFill="1" applyBorder="1"/>
    <xf numFmtId="1" fontId="0" fillId="0" borderId="0" xfId="0" applyNumberFormat="1" applyBorder="1"/>
    <xf numFmtId="1" fontId="0" fillId="0" borderId="5" xfId="0" applyNumberForma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8" xfId="0" applyFont="1" applyBorder="1"/>
    <xf numFmtId="1" fontId="3" fillId="0" borderId="0" xfId="0" applyNumberFormat="1" applyFont="1" applyBorder="1"/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StopDrop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Sheet1!$B$4:$B$11</c:f>
              <c:numCache>
                <c:formatCode>General</c:formatCode>
                <c:ptCount val="8"/>
                <c:pt idx="0">
                  <c:v>3.9550000000000001</c:v>
                </c:pt>
                <c:pt idx="1">
                  <c:v>8.495000000000001</c:v>
                </c:pt>
                <c:pt idx="2">
                  <c:v>13.07</c:v>
                </c:pt>
                <c:pt idx="3">
                  <c:v>17.61</c:v>
                </c:pt>
                <c:pt idx="4">
                  <c:v>22.189999999999998</c:v>
                </c:pt>
                <c:pt idx="5">
                  <c:v>26.824999999999996</c:v>
                </c:pt>
                <c:pt idx="6">
                  <c:v>31.389999999999997</c:v>
                </c:pt>
                <c:pt idx="7">
                  <c:v>35.964999999999996</c:v>
                </c:pt>
              </c:numCache>
            </c:numRef>
          </c:xVal>
          <c:yVal>
            <c:numRef>
              <c:f>Sheet1!$C$4:$C$11</c:f>
              <c:numCache>
                <c:formatCode>General</c:formatCode>
                <c:ptCount val="8"/>
                <c:pt idx="0">
                  <c:v>-0.19639999999999999</c:v>
                </c:pt>
                <c:pt idx="1">
                  <c:v>-0.51700000000000002</c:v>
                </c:pt>
                <c:pt idx="2">
                  <c:v>-0.81799999999999995</c:v>
                </c:pt>
                <c:pt idx="3">
                  <c:v>-1.1100000000000001</c:v>
                </c:pt>
                <c:pt idx="4">
                  <c:v>-1.4379999999999999</c:v>
                </c:pt>
                <c:pt idx="5">
                  <c:v>-1.738</c:v>
                </c:pt>
                <c:pt idx="6">
                  <c:v>-2.04</c:v>
                </c:pt>
                <c:pt idx="7">
                  <c:v>-2.3199999999999998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StartClimb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5.002121609798775E-2"/>
                  <c:y val="9.9129848352289301E-2"/>
                </c:manualLayout>
              </c:layout>
              <c:numFmt formatCode="General" sourceLinked="0"/>
            </c:trendlineLbl>
          </c:trendline>
          <c:xVal>
            <c:numRef>
              <c:f>Sheet1!$B$4:$B$11</c:f>
              <c:numCache>
                <c:formatCode>General</c:formatCode>
                <c:ptCount val="8"/>
                <c:pt idx="0">
                  <c:v>3.9550000000000001</c:v>
                </c:pt>
                <c:pt idx="1">
                  <c:v>8.495000000000001</c:v>
                </c:pt>
                <c:pt idx="2">
                  <c:v>13.07</c:v>
                </c:pt>
                <c:pt idx="3">
                  <c:v>17.61</c:v>
                </c:pt>
                <c:pt idx="4">
                  <c:v>22.189999999999998</c:v>
                </c:pt>
                <c:pt idx="5">
                  <c:v>26.824999999999996</c:v>
                </c:pt>
                <c:pt idx="6">
                  <c:v>31.389999999999997</c:v>
                </c:pt>
                <c:pt idx="7">
                  <c:v>35.964999999999996</c:v>
                </c:pt>
              </c:numCache>
            </c:numRef>
          </c:xVal>
          <c:yVal>
            <c:numRef>
              <c:f>Sheet1!$D$4:$D$11</c:f>
              <c:numCache>
                <c:formatCode>General</c:formatCode>
                <c:ptCount val="8"/>
                <c:pt idx="0">
                  <c:v>-0.255</c:v>
                </c:pt>
                <c:pt idx="1">
                  <c:v>-0.57299999999999995</c:v>
                </c:pt>
                <c:pt idx="2">
                  <c:v>-0.86699999999999999</c:v>
                </c:pt>
                <c:pt idx="3">
                  <c:v>-1.161</c:v>
                </c:pt>
                <c:pt idx="4">
                  <c:v>-1.526</c:v>
                </c:pt>
                <c:pt idx="5">
                  <c:v>-1.79</c:v>
                </c:pt>
                <c:pt idx="6">
                  <c:v>-2.08</c:v>
                </c:pt>
                <c:pt idx="7">
                  <c:v>-2.4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45536"/>
        <c:axId val="98346112"/>
      </c:scatterChart>
      <c:valAx>
        <c:axId val="9834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346112"/>
        <c:crosses val="autoZero"/>
        <c:crossBetween val="midCat"/>
      </c:valAx>
      <c:valAx>
        <c:axId val="9834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345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'resol1 run'!$R$4:$R$12</c:f>
              <c:numCache>
                <c:formatCode>General</c:formatCode>
                <c:ptCount val="9"/>
                <c:pt idx="0">
                  <c:v>480</c:v>
                </c:pt>
                <c:pt idx="1">
                  <c:v>889</c:v>
                </c:pt>
                <c:pt idx="2">
                  <c:v>1285</c:v>
                </c:pt>
                <c:pt idx="3">
                  <c:v>1685</c:v>
                </c:pt>
                <c:pt idx="4">
                  <c:v>2089</c:v>
                </c:pt>
                <c:pt idx="5">
                  <c:v>2483</c:v>
                </c:pt>
                <c:pt idx="6">
                  <c:v>2989</c:v>
                </c:pt>
                <c:pt idx="7">
                  <c:v>3591</c:v>
                </c:pt>
                <c:pt idx="8">
                  <c:v>5590</c:v>
                </c:pt>
              </c:numCache>
            </c:numRef>
          </c:xVal>
          <c:yVal>
            <c:numRef>
              <c:f>'resol1 run'!$O$4:$O$12</c:f>
              <c:numCache>
                <c:formatCode>General</c:formatCode>
                <c:ptCount val="9"/>
                <c:pt idx="0">
                  <c:v>3.5625</c:v>
                </c:pt>
                <c:pt idx="1">
                  <c:v>4.3125</c:v>
                </c:pt>
                <c:pt idx="2">
                  <c:v>5</c:v>
                </c:pt>
                <c:pt idx="3">
                  <c:v>5.6875</c:v>
                </c:pt>
                <c:pt idx="4">
                  <c:v>6.40625</c:v>
                </c:pt>
                <c:pt idx="5">
                  <c:v>7.0625</c:v>
                </c:pt>
                <c:pt idx="6">
                  <c:v>8</c:v>
                </c:pt>
                <c:pt idx="7">
                  <c:v>9</c:v>
                </c:pt>
                <c:pt idx="8">
                  <c:v>12.53125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32832"/>
        <c:axId val="57432256"/>
      </c:scatterChart>
      <c:valAx>
        <c:axId val="5743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432256"/>
        <c:crosses val="autoZero"/>
        <c:crossBetween val="midCat"/>
      </c:valAx>
      <c:valAx>
        <c:axId val="5743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432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trendline>
            <c:trendlineType val="power"/>
            <c:dispRSqr val="1"/>
            <c:dispEq val="1"/>
            <c:trendlineLbl>
              <c:layout>
                <c:manualLayout>
                  <c:x val="5.9083333333333335E-2"/>
                  <c:y val="-0.35533785862974027"/>
                </c:manualLayout>
              </c:layout>
              <c:numFmt formatCode="General" sourceLinked="0"/>
            </c:trendlineLbl>
          </c:trendline>
          <c:xVal>
            <c:numRef>
              <c:f>'3rd run'!$C$36:$C$40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7</c:v>
                </c:pt>
              </c:numCache>
            </c:numRef>
          </c:xVal>
          <c:yVal>
            <c:numRef>
              <c:f>'3rd run'!$D$36:$D$40</c:f>
              <c:numCache>
                <c:formatCode>General</c:formatCode>
                <c:ptCount val="5"/>
                <c:pt idx="0">
                  <c:v>995.19320501603988</c:v>
                </c:pt>
                <c:pt idx="1">
                  <c:v>581.67436902369241</c:v>
                </c:pt>
                <c:pt idx="2">
                  <c:v>293.5928760116679</c:v>
                </c:pt>
                <c:pt idx="3">
                  <c:v>190.23024456410639</c:v>
                </c:pt>
                <c:pt idx="4">
                  <c:v>384.83058502855283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48416"/>
        <c:axId val="98348992"/>
      </c:scatterChart>
      <c:valAx>
        <c:axId val="9834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348992"/>
        <c:crosses val="autoZero"/>
        <c:crossBetween val="midCat"/>
      </c:valAx>
      <c:valAx>
        <c:axId val="9834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348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0.23261679790026246"/>
                  <c:y val="-1.7965879265091862E-2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1"/>
            <c:dispEq val="1"/>
            <c:trendlineLbl>
              <c:layout>
                <c:manualLayout>
                  <c:x val="-9.5036526684164485E-2"/>
                  <c:y val="2.1372849227179937E-3"/>
                </c:manualLayout>
              </c:layout>
              <c:numFmt formatCode="General" sourceLinked="0"/>
            </c:trendlineLbl>
          </c:trendline>
          <c:xVal>
            <c:numRef>
              <c:f>'3rd run'!$A$36:$A$40</c:f>
              <c:numCache>
                <c:formatCode>General</c:formatCode>
                <c:ptCount val="5"/>
                <c:pt idx="0">
                  <c:v>19.2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44.8</c:v>
                </c:pt>
              </c:numCache>
            </c:numRef>
          </c:xVal>
          <c:yVal>
            <c:numRef>
              <c:f>'3rd run'!$E$36:$E$40</c:f>
              <c:numCache>
                <c:formatCode>General</c:formatCode>
                <c:ptCount val="5"/>
                <c:pt idx="0">
                  <c:v>995.19320501603988</c:v>
                </c:pt>
                <c:pt idx="1">
                  <c:v>581.67436902369241</c:v>
                </c:pt>
                <c:pt idx="2">
                  <c:v>293.5928760116679</c:v>
                </c:pt>
                <c:pt idx="3">
                  <c:v>190.23024456410639</c:v>
                </c:pt>
                <c:pt idx="4">
                  <c:v>384.83058502855283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50720"/>
        <c:axId val="98351296"/>
      </c:scatterChart>
      <c:valAx>
        <c:axId val="9835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351296"/>
        <c:crosses val="autoZero"/>
        <c:crossBetween val="midCat"/>
      </c:valAx>
      <c:valAx>
        <c:axId val="9835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350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'5th run'!$C$162</c:f>
              <c:strCache>
                <c:ptCount val="1"/>
                <c:pt idx="0">
                  <c:v>K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2433578302712161"/>
                  <c:y val="-4.7466419638721627E-2"/>
                </c:manualLayout>
              </c:layout>
              <c:numFmt formatCode="General" sourceLinked="0"/>
            </c:trendlineLbl>
          </c:trendline>
          <c:xVal>
            <c:numRef>
              <c:f>'5th run'!$B$163:$B$177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80</c:v>
                </c:pt>
                <c:pt idx="13">
                  <c:v>90</c:v>
                </c:pt>
                <c:pt idx="14">
                  <c:v>95</c:v>
                </c:pt>
              </c:numCache>
            </c:numRef>
          </c:xVal>
          <c:yVal>
            <c:numRef>
              <c:f>'5th run'!$C$163:$C$177</c:f>
              <c:numCache>
                <c:formatCode>General</c:formatCode>
                <c:ptCount val="15"/>
                <c:pt idx="0">
                  <c:v>4920.3777786516875</c:v>
                </c:pt>
                <c:pt idx="1">
                  <c:v>2814.3877851458888</c:v>
                </c:pt>
                <c:pt idx="2">
                  <c:v>1826.9158040000004</c:v>
                </c:pt>
                <c:pt idx="3">
                  <c:v>1406.7251690800001</c:v>
                </c:pt>
                <c:pt idx="4">
                  <c:v>1153.287168478261</c:v>
                </c:pt>
                <c:pt idx="5">
                  <c:v>938.95946460176992</c:v>
                </c:pt>
                <c:pt idx="6">
                  <c:v>796.20658600000002</c:v>
                </c:pt>
                <c:pt idx="7">
                  <c:v>675.81158917197456</c:v>
                </c:pt>
                <c:pt idx="8">
                  <c:v>609.08392365097586</c:v>
                </c:pt>
                <c:pt idx="9">
                  <c:v>558.43378684210529</c:v>
                </c:pt>
                <c:pt idx="10">
                  <c:v>502.40184610000017</c:v>
                </c:pt>
                <c:pt idx="11">
                  <c:v>493.42379977464793</c:v>
                </c:pt>
                <c:pt idx="12">
                  <c:v>358.85846150000003</c:v>
                </c:pt>
                <c:pt idx="13">
                  <c:v>316.72364029850746</c:v>
                </c:pt>
                <c:pt idx="14">
                  <c:v>285.10524849015587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13344"/>
        <c:axId val="121913920"/>
      </c:scatterChart>
      <c:valAx>
        <c:axId val="12191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913920"/>
        <c:crosses val="autoZero"/>
        <c:crossBetween val="midCat"/>
      </c:valAx>
      <c:valAx>
        <c:axId val="12191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913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29031539807524059"/>
                  <c:y val="6.8636264216972789E-2"/>
                </c:manualLayout>
              </c:layout>
              <c:numFmt formatCode="General" sourceLinked="0"/>
            </c:trendlineLbl>
          </c:trendline>
          <c:xVal>
            <c:numRef>
              <c:f>'5th run'!$B$166:$B$177</c:f>
              <c:numCache>
                <c:formatCode>General</c:formatCode>
                <c:ptCount val="12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80</c:v>
                </c:pt>
                <c:pt idx="10">
                  <c:v>90</c:v>
                </c:pt>
                <c:pt idx="11">
                  <c:v>95</c:v>
                </c:pt>
              </c:numCache>
            </c:numRef>
          </c:xVal>
          <c:yVal>
            <c:numRef>
              <c:f>'5th run'!$C$166:$C$177</c:f>
              <c:numCache>
                <c:formatCode>General</c:formatCode>
                <c:ptCount val="12"/>
                <c:pt idx="0">
                  <c:v>1406.7251690800001</c:v>
                </c:pt>
                <c:pt idx="1">
                  <c:v>1153.287168478261</c:v>
                </c:pt>
                <c:pt idx="2">
                  <c:v>938.95946460176992</c:v>
                </c:pt>
                <c:pt idx="3">
                  <c:v>796.20658600000002</c:v>
                </c:pt>
                <c:pt idx="4">
                  <c:v>675.81158917197456</c:v>
                </c:pt>
                <c:pt idx="5">
                  <c:v>609.08392365097586</c:v>
                </c:pt>
                <c:pt idx="6">
                  <c:v>558.43378684210529</c:v>
                </c:pt>
                <c:pt idx="7">
                  <c:v>502.40184610000017</c:v>
                </c:pt>
                <c:pt idx="8">
                  <c:v>493.42379977464793</c:v>
                </c:pt>
                <c:pt idx="9">
                  <c:v>358.85846150000003</c:v>
                </c:pt>
                <c:pt idx="10">
                  <c:v>316.72364029850746</c:v>
                </c:pt>
                <c:pt idx="11">
                  <c:v>285.10524849015587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15648"/>
        <c:axId val="121916224"/>
      </c:scatterChart>
      <c:valAx>
        <c:axId val="12191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916224"/>
        <c:crosses val="autoZero"/>
        <c:crossBetween val="midCat"/>
      </c:valAx>
      <c:valAx>
        <c:axId val="12191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915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'5th run'!$D$162</c:f>
              <c:strCache>
                <c:ptCount val="1"/>
                <c:pt idx="0">
                  <c:v>Stiffness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40110564304461943"/>
                  <c:y val="-8.5825678040244963E-2"/>
                </c:manualLayout>
              </c:layout>
              <c:numFmt formatCode="General" sourceLinked="0"/>
            </c:trendlineLbl>
          </c:trendline>
          <c:xVal>
            <c:numRef>
              <c:f>'5th run'!$C$163:$C$177</c:f>
              <c:numCache>
                <c:formatCode>General</c:formatCode>
                <c:ptCount val="15"/>
                <c:pt idx="0">
                  <c:v>4920.3777786516875</c:v>
                </c:pt>
                <c:pt idx="1">
                  <c:v>2814.3877851458888</c:v>
                </c:pt>
                <c:pt idx="2">
                  <c:v>1826.9158040000004</c:v>
                </c:pt>
                <c:pt idx="3">
                  <c:v>1406.7251690800001</c:v>
                </c:pt>
                <c:pt idx="4">
                  <c:v>1153.287168478261</c:v>
                </c:pt>
                <c:pt idx="5">
                  <c:v>938.95946460176992</c:v>
                </c:pt>
                <c:pt idx="6">
                  <c:v>796.20658600000002</c:v>
                </c:pt>
                <c:pt idx="7">
                  <c:v>675.81158917197456</c:v>
                </c:pt>
                <c:pt idx="8">
                  <c:v>609.08392365097586</c:v>
                </c:pt>
                <c:pt idx="9">
                  <c:v>558.43378684210529</c:v>
                </c:pt>
                <c:pt idx="10">
                  <c:v>502.40184610000017</c:v>
                </c:pt>
                <c:pt idx="11">
                  <c:v>493.42379977464793</c:v>
                </c:pt>
                <c:pt idx="12">
                  <c:v>358.85846150000003</c:v>
                </c:pt>
                <c:pt idx="13">
                  <c:v>316.72364029850746</c:v>
                </c:pt>
                <c:pt idx="14">
                  <c:v>285.10524849015587</c:v>
                </c:pt>
              </c:numCache>
            </c:numRef>
          </c:xVal>
          <c:yVal>
            <c:numRef>
              <c:f>'5th run'!$D$163:$D$177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80</c:v>
                </c:pt>
                <c:pt idx="13">
                  <c:v>90</c:v>
                </c:pt>
                <c:pt idx="14">
                  <c:v>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17952"/>
        <c:axId val="121918528"/>
      </c:scatterChart>
      <c:valAx>
        <c:axId val="12191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918528"/>
        <c:crosses val="autoZero"/>
        <c:crossBetween val="midCat"/>
      </c:valAx>
      <c:valAx>
        <c:axId val="12191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917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'resol1 run'!$C$218</c:f>
              <c:strCache>
                <c:ptCount val="1"/>
                <c:pt idx="0">
                  <c:v>K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2433578302712161"/>
                  <c:y val="-4.7466419638721627E-2"/>
                </c:manualLayout>
              </c:layout>
              <c:numFmt formatCode="General" sourceLinked="0"/>
            </c:trendlineLbl>
          </c:trendline>
          <c:xVal>
            <c:numRef>
              <c:f>'resol1 run'!$B$219:$B$230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45</c:v>
                </c:pt>
                <c:pt idx="4">
                  <c:v>100</c:v>
                </c:pt>
                <c:pt idx="5">
                  <c:v>120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30</c:v>
                </c:pt>
                <c:pt idx="10">
                  <c:v>80</c:v>
                </c:pt>
              </c:numCache>
            </c:numRef>
          </c:xVal>
          <c:yVal>
            <c:numRef>
              <c:f>'resol1 run'!$C$219:$C$230</c:f>
              <c:numCache>
                <c:formatCode>General</c:formatCode>
                <c:ptCount val="12"/>
                <c:pt idx="0">
                  <c:v>9378.1677938666689</c:v>
                </c:pt>
                <c:pt idx="1">
                  <c:v>5305.1209749999998</c:v>
                </c:pt>
                <c:pt idx="2">
                  <c:v>3772.5304711111112</c:v>
                </c:pt>
                <c:pt idx="3">
                  <c:v>1266.8945611940298</c:v>
                </c:pt>
                <c:pt idx="4">
                  <c:v>568.37380568888898</c:v>
                </c:pt>
                <c:pt idx="5">
                  <c:v>462.57185613079025</c:v>
                </c:pt>
                <c:pt idx="6">
                  <c:v>360.69876130256415</c:v>
                </c:pt>
                <c:pt idx="7">
                  <c:v>337.33637877333342</c:v>
                </c:pt>
                <c:pt idx="8">
                  <c:v>267.84151708336822</c:v>
                </c:pt>
                <c:pt idx="9">
                  <c:v>1257.5101570370371</c:v>
                </c:pt>
                <c:pt idx="10">
                  <c:v>741.32694847161576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20096"/>
        <c:axId val="58620672"/>
      </c:scatterChart>
      <c:valAx>
        <c:axId val="5862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620672"/>
        <c:crosses val="autoZero"/>
        <c:crossBetween val="midCat"/>
      </c:valAx>
      <c:valAx>
        <c:axId val="5862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620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29031539807524059"/>
                  <c:y val="6.8636264216972789E-2"/>
                </c:manualLayout>
              </c:layout>
              <c:numFmt formatCode="General" sourceLinked="0"/>
            </c:trendlineLbl>
          </c:trendline>
          <c:xVal>
            <c:numRef>
              <c:f>'resol1 run'!$C$255:$C$260</c:f>
              <c:numCache>
                <c:formatCode>General</c:formatCode>
                <c:ptCount val="6"/>
                <c:pt idx="0">
                  <c:v>741.32694847161576</c:v>
                </c:pt>
                <c:pt idx="1">
                  <c:v>568.37380568888898</c:v>
                </c:pt>
                <c:pt idx="2">
                  <c:v>462.57185613079025</c:v>
                </c:pt>
                <c:pt idx="3">
                  <c:v>360.69876130256415</c:v>
                </c:pt>
                <c:pt idx="4">
                  <c:v>337.33637877333342</c:v>
                </c:pt>
                <c:pt idx="5">
                  <c:v>267.84151708336822</c:v>
                </c:pt>
              </c:numCache>
            </c:numRef>
          </c:xVal>
          <c:yVal>
            <c:numRef>
              <c:f>'resol1 run'!$B$255:$B$260</c:f>
              <c:numCache>
                <c:formatCode>General</c:formatCode>
                <c:ptCount val="6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6096"/>
        <c:axId val="58836672"/>
      </c:scatterChart>
      <c:valAx>
        <c:axId val="5883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836672"/>
        <c:crosses val="autoZero"/>
        <c:crossBetween val="midCat"/>
      </c:valAx>
      <c:valAx>
        <c:axId val="5883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836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'resol1 run'!$D$218</c:f>
              <c:strCache>
                <c:ptCount val="1"/>
                <c:pt idx="0">
                  <c:v>Stiffness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40110564304461943"/>
                  <c:y val="-8.5825678040244963E-2"/>
                </c:manualLayout>
              </c:layout>
              <c:numFmt formatCode="General" sourceLinked="0"/>
            </c:trendlineLbl>
          </c:trendline>
          <c:xVal>
            <c:numRef>
              <c:f>'resol1 run'!$C$219:$C$230</c:f>
              <c:numCache>
                <c:formatCode>General</c:formatCode>
                <c:ptCount val="12"/>
                <c:pt idx="0">
                  <c:v>9378.1677938666689</c:v>
                </c:pt>
                <c:pt idx="1">
                  <c:v>5305.1209749999998</c:v>
                </c:pt>
                <c:pt idx="2">
                  <c:v>3772.5304711111112</c:v>
                </c:pt>
                <c:pt idx="3">
                  <c:v>1266.8945611940298</c:v>
                </c:pt>
                <c:pt idx="4">
                  <c:v>568.37380568888898</c:v>
                </c:pt>
                <c:pt idx="5">
                  <c:v>462.57185613079025</c:v>
                </c:pt>
                <c:pt idx="6">
                  <c:v>360.69876130256415</c:v>
                </c:pt>
                <c:pt idx="7">
                  <c:v>337.33637877333342</c:v>
                </c:pt>
                <c:pt idx="8">
                  <c:v>267.84151708336822</c:v>
                </c:pt>
                <c:pt idx="9">
                  <c:v>1257.5101570370371</c:v>
                </c:pt>
                <c:pt idx="10">
                  <c:v>741.32694847161576</c:v>
                </c:pt>
              </c:numCache>
            </c:numRef>
          </c:xVal>
          <c:yVal>
            <c:numRef>
              <c:f>'resol1 run'!$D$219:$D$230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45</c:v>
                </c:pt>
                <c:pt idx="4">
                  <c:v>100</c:v>
                </c:pt>
                <c:pt idx="5">
                  <c:v>120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30</c:v>
                </c:pt>
                <c:pt idx="10">
                  <c:v>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8976"/>
        <c:axId val="58839552"/>
      </c:scatterChart>
      <c:valAx>
        <c:axId val="5883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839552"/>
        <c:crosses val="autoZero"/>
        <c:crossBetween val="midCat"/>
      </c:valAx>
      <c:valAx>
        <c:axId val="5883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838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</xdr:row>
      <xdr:rowOff>33337</xdr:rowOff>
    </xdr:from>
    <xdr:to>
      <xdr:col>13</xdr:col>
      <xdr:colOff>400050</xdr:colOff>
      <xdr:row>15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27</xdr:row>
      <xdr:rowOff>185737</xdr:rowOff>
    </xdr:from>
    <xdr:to>
      <xdr:col>20</xdr:col>
      <xdr:colOff>457200</xdr:colOff>
      <xdr:row>42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133350</xdr:colOff>
      <xdr:row>31</xdr:row>
      <xdr:rowOff>109537</xdr:rowOff>
    </xdr:from>
    <xdr:to>
      <xdr:col>17</xdr:col>
      <xdr:colOff>438150</xdr:colOff>
      <xdr:row>45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156</xdr:row>
      <xdr:rowOff>166687</xdr:rowOff>
    </xdr:from>
    <xdr:to>
      <xdr:col>12</xdr:col>
      <xdr:colOff>466725</xdr:colOff>
      <xdr:row>171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177</xdr:row>
      <xdr:rowOff>176212</xdr:rowOff>
    </xdr:from>
    <xdr:to>
      <xdr:col>13</xdr:col>
      <xdr:colOff>533400</xdr:colOff>
      <xdr:row>192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476250</xdr:colOff>
      <xdr:row>155</xdr:row>
      <xdr:rowOff>42862</xdr:rowOff>
    </xdr:from>
    <xdr:to>
      <xdr:col>18</xdr:col>
      <xdr:colOff>171450</xdr:colOff>
      <xdr:row>169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217</xdr:row>
      <xdr:rowOff>80962</xdr:rowOff>
    </xdr:from>
    <xdr:to>
      <xdr:col>14</xdr:col>
      <xdr:colOff>495300</xdr:colOff>
      <xdr:row>231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233</xdr:row>
      <xdr:rowOff>176212</xdr:rowOff>
    </xdr:from>
    <xdr:to>
      <xdr:col>15</xdr:col>
      <xdr:colOff>533400</xdr:colOff>
      <xdr:row>248</xdr:row>
      <xdr:rowOff>61912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552450</xdr:colOff>
      <xdr:row>207</xdr:row>
      <xdr:rowOff>147637</xdr:rowOff>
    </xdr:from>
    <xdr:to>
      <xdr:col>18</xdr:col>
      <xdr:colOff>247650</xdr:colOff>
      <xdr:row>222</xdr:row>
      <xdr:rowOff>33337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90487</xdr:colOff>
      <xdr:row>12</xdr:row>
      <xdr:rowOff>66675</xdr:rowOff>
    </xdr:from>
    <xdr:to>
      <xdr:col>26</xdr:col>
      <xdr:colOff>395287</xdr:colOff>
      <xdr:row>26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workbookViewId="0">
      <selection activeCell="B20" sqref="B20"/>
    </sheetView>
  </sheetViews>
  <sheetFormatPr defaultRowHeight="15" x14ac:dyDescent="0.25"/>
  <cols>
    <col min="4" max="4" width="10.28515625" bestFit="1" customWidth="1"/>
    <col min="9" max="10" width="9.140625" customWidth="1"/>
  </cols>
  <sheetData>
    <row r="1" spans="2:4" x14ac:dyDescent="0.25">
      <c r="B1" t="s">
        <v>3</v>
      </c>
    </row>
    <row r="3" spans="2:4" x14ac:dyDescent="0.25">
      <c r="B3" t="s">
        <v>0</v>
      </c>
      <c r="C3" t="s">
        <v>1</v>
      </c>
      <c r="D3" t="s">
        <v>2</v>
      </c>
    </row>
    <row r="4" spans="2:4" x14ac:dyDescent="0.25">
      <c r="B4">
        <v>3.9550000000000001</v>
      </c>
      <c r="C4">
        <v>-0.19639999999999999</v>
      </c>
      <c r="D4">
        <v>-0.255</v>
      </c>
    </row>
    <row r="5" spans="2:4" x14ac:dyDescent="0.25">
      <c r="B5">
        <f>B4+4.54</f>
        <v>8.495000000000001</v>
      </c>
      <c r="C5">
        <v>-0.51700000000000002</v>
      </c>
      <c r="D5">
        <v>-0.57299999999999995</v>
      </c>
    </row>
    <row r="6" spans="2:4" x14ac:dyDescent="0.25">
      <c r="B6">
        <f>B5+4.575</f>
        <v>13.07</v>
      </c>
      <c r="C6">
        <v>-0.81799999999999995</v>
      </c>
      <c r="D6">
        <v>-0.86699999999999999</v>
      </c>
    </row>
    <row r="7" spans="2:4" x14ac:dyDescent="0.25">
      <c r="B7">
        <f>B6+4.54</f>
        <v>17.61</v>
      </c>
      <c r="C7">
        <v>-1.1100000000000001</v>
      </c>
      <c r="D7">
        <v>-1.161</v>
      </c>
    </row>
    <row r="8" spans="2:4" x14ac:dyDescent="0.25">
      <c r="B8">
        <f>B7+4.58</f>
        <v>22.189999999999998</v>
      </c>
      <c r="C8">
        <v>-1.4379999999999999</v>
      </c>
      <c r="D8">
        <v>-1.526</v>
      </c>
    </row>
    <row r="9" spans="2:4" x14ac:dyDescent="0.25">
      <c r="B9">
        <f>B8+4.635</f>
        <v>26.824999999999996</v>
      </c>
      <c r="C9">
        <v>-1.738</v>
      </c>
      <c r="D9">
        <v>-1.79</v>
      </c>
    </row>
    <row r="10" spans="2:4" x14ac:dyDescent="0.25">
      <c r="B10">
        <f>B9+4.565</f>
        <v>31.389999999999997</v>
      </c>
      <c r="C10">
        <v>-2.04</v>
      </c>
      <c r="D10">
        <v>-2.08</v>
      </c>
    </row>
    <row r="11" spans="2:4" x14ac:dyDescent="0.25">
      <c r="B11">
        <f>B10+4.575</f>
        <v>35.964999999999996</v>
      </c>
      <c r="C11">
        <v>-2.3199999999999998</v>
      </c>
      <c r="D11">
        <v>-2.4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4:F24"/>
  <sheetViews>
    <sheetView tabSelected="1" topLeftCell="A13" workbookViewId="0">
      <selection activeCell="H19" sqref="H19"/>
    </sheetView>
  </sheetViews>
  <sheetFormatPr defaultRowHeight="15" x14ac:dyDescent="0.25"/>
  <cols>
    <col min="3" max="3" width="13" customWidth="1"/>
  </cols>
  <sheetData>
    <row r="4" spans="2:3" x14ac:dyDescent="0.25">
      <c r="B4">
        <v>800</v>
      </c>
      <c r="C4">
        <f>36725*B4^-0.929</f>
        <v>73.78892894358394</v>
      </c>
    </row>
    <row r="5" spans="2:3" x14ac:dyDescent="0.25">
      <c r="B5">
        <v>700</v>
      </c>
      <c r="C5">
        <f t="shared" ref="C5:C10" si="0">36725*B5^-0.929</f>
        <v>83.534470730350066</v>
      </c>
    </row>
    <row r="6" spans="2:3" x14ac:dyDescent="0.25">
      <c r="B6">
        <v>600</v>
      </c>
      <c r="C6">
        <f t="shared" si="0"/>
        <v>96.396062114383</v>
      </c>
    </row>
    <row r="7" spans="2:3" x14ac:dyDescent="0.25">
      <c r="B7">
        <v>500</v>
      </c>
      <c r="C7">
        <f t="shared" si="0"/>
        <v>114.1875278011925</v>
      </c>
    </row>
    <row r="8" spans="2:3" x14ac:dyDescent="0.25">
      <c r="B8">
        <v>400</v>
      </c>
      <c r="C8">
        <f t="shared" si="0"/>
        <v>140.49086049197209</v>
      </c>
    </row>
    <row r="9" spans="2:3" x14ac:dyDescent="0.25">
      <c r="B9">
        <v>300</v>
      </c>
      <c r="C9">
        <f t="shared" si="0"/>
        <v>183.53384319809689</v>
      </c>
    </row>
    <row r="10" spans="2:3" x14ac:dyDescent="0.25">
      <c r="B10">
        <v>200</v>
      </c>
      <c r="C10">
        <f t="shared" si="0"/>
        <v>267.48839106833202</v>
      </c>
    </row>
    <row r="17" spans="2:6" ht="15.75" thickBot="1" x14ac:dyDescent="0.3"/>
    <row r="18" spans="2:6" x14ac:dyDescent="0.25">
      <c r="B18" s="37" t="s">
        <v>24</v>
      </c>
      <c r="C18" s="38" t="s">
        <v>43</v>
      </c>
      <c r="D18" s="38" t="s">
        <v>44</v>
      </c>
      <c r="E18" s="39" t="s">
        <v>45</v>
      </c>
    </row>
    <row r="19" spans="2:6" x14ac:dyDescent="0.25">
      <c r="B19" s="22">
        <v>800</v>
      </c>
      <c r="C19" s="35">
        <v>73.78892894358394</v>
      </c>
      <c r="D19" s="23"/>
      <c r="E19" s="31"/>
    </row>
    <row r="20" spans="2:6" x14ac:dyDescent="0.25">
      <c r="B20" s="22">
        <v>700</v>
      </c>
      <c r="C20" s="35">
        <v>83.534470730350066</v>
      </c>
      <c r="D20" s="23">
        <v>600</v>
      </c>
      <c r="E20" s="31">
        <v>3</v>
      </c>
    </row>
    <row r="21" spans="2:6" x14ac:dyDescent="0.25">
      <c r="B21" s="40">
        <v>600</v>
      </c>
      <c r="C21" s="41">
        <v>96.396062114383</v>
      </c>
      <c r="D21" s="42">
        <v>575</v>
      </c>
      <c r="E21" s="31">
        <v>3</v>
      </c>
    </row>
    <row r="22" spans="2:6" x14ac:dyDescent="0.25">
      <c r="B22" s="22">
        <v>500</v>
      </c>
      <c r="C22" s="35">
        <v>114.1875278011925</v>
      </c>
      <c r="D22" s="23">
        <v>560</v>
      </c>
      <c r="E22" s="31">
        <v>3</v>
      </c>
    </row>
    <row r="23" spans="2:6" x14ac:dyDescent="0.25">
      <c r="B23" s="40">
        <v>400</v>
      </c>
      <c r="C23" s="41">
        <v>140.49086049197209</v>
      </c>
      <c r="D23" s="42">
        <v>530</v>
      </c>
      <c r="E23" s="31">
        <v>3</v>
      </c>
      <c r="F23" s="25">
        <v>40</v>
      </c>
    </row>
    <row r="24" spans="2:6" ht="15.75" thickBot="1" x14ac:dyDescent="0.3">
      <c r="B24" s="8">
        <v>300</v>
      </c>
      <c r="C24" s="36">
        <v>183.53384319809689</v>
      </c>
      <c r="D24" s="9">
        <v>500</v>
      </c>
      <c r="E24" s="24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29"/>
  <sheetViews>
    <sheetView topLeftCell="A16" workbookViewId="0">
      <selection activeCell="C12" sqref="B12:C13"/>
    </sheetView>
  </sheetViews>
  <sheetFormatPr defaultRowHeight="15" x14ac:dyDescent="0.25"/>
  <cols>
    <col min="6" max="6" width="10" customWidth="1"/>
    <col min="9" max="9" width="11.42578125" customWidth="1"/>
    <col min="10" max="10" width="20.5703125" customWidth="1"/>
  </cols>
  <sheetData>
    <row r="4" spans="2:5" x14ac:dyDescent="0.25">
      <c r="B4" t="s">
        <v>17</v>
      </c>
      <c r="C4" t="s">
        <v>24</v>
      </c>
      <c r="E4" t="s">
        <v>35</v>
      </c>
    </row>
    <row r="5" spans="2:5" x14ac:dyDescent="0.25">
      <c r="B5">
        <v>5</v>
      </c>
      <c r="C5">
        <v>4920.3777786516875</v>
      </c>
    </row>
    <row r="6" spans="2:5" x14ac:dyDescent="0.25">
      <c r="B6">
        <v>10</v>
      </c>
      <c r="C6">
        <v>2814.3877851458888</v>
      </c>
    </row>
    <row r="7" spans="2:5" x14ac:dyDescent="0.25">
      <c r="B7">
        <v>15</v>
      </c>
      <c r="C7">
        <v>1826.9158040000004</v>
      </c>
    </row>
    <row r="8" spans="2:5" x14ac:dyDescent="0.25">
      <c r="B8">
        <v>20</v>
      </c>
      <c r="C8">
        <v>1406.7251690800001</v>
      </c>
    </row>
    <row r="9" spans="2:5" x14ac:dyDescent="0.25">
      <c r="B9">
        <v>25</v>
      </c>
      <c r="C9">
        <v>1153.287168478261</v>
      </c>
    </row>
    <row r="10" spans="2:5" x14ac:dyDescent="0.25">
      <c r="B10">
        <v>30</v>
      </c>
      <c r="C10">
        <v>938.95946460176992</v>
      </c>
    </row>
    <row r="11" spans="2:5" x14ac:dyDescent="0.25">
      <c r="B11">
        <v>35</v>
      </c>
      <c r="C11">
        <v>796.20658600000002</v>
      </c>
    </row>
    <row r="12" spans="2:5" x14ac:dyDescent="0.25">
      <c r="B12">
        <v>40</v>
      </c>
      <c r="C12">
        <v>675.81158917197456</v>
      </c>
    </row>
    <row r="13" spans="2:5" x14ac:dyDescent="0.25">
      <c r="B13">
        <v>45</v>
      </c>
      <c r="C13">
        <v>609.08392365097586</v>
      </c>
    </row>
    <row r="14" spans="2:5" x14ac:dyDescent="0.25">
      <c r="B14">
        <v>50</v>
      </c>
      <c r="C14">
        <v>558.43378684210529</v>
      </c>
    </row>
    <row r="15" spans="2:5" x14ac:dyDescent="0.25">
      <c r="B15">
        <v>55</v>
      </c>
      <c r="C15">
        <v>502.40184610000017</v>
      </c>
    </row>
    <row r="16" spans="2:5" x14ac:dyDescent="0.25">
      <c r="B16">
        <v>60</v>
      </c>
      <c r="C16">
        <v>493.42379977464793</v>
      </c>
    </row>
    <row r="17" spans="2:10" x14ac:dyDescent="0.25">
      <c r="B17">
        <v>80</v>
      </c>
      <c r="C17">
        <v>358.85846150000003</v>
      </c>
    </row>
    <row r="18" spans="2:10" x14ac:dyDescent="0.25">
      <c r="B18">
        <v>90</v>
      </c>
      <c r="C18">
        <v>316.72364029850746</v>
      </c>
    </row>
    <row r="19" spans="2:10" x14ac:dyDescent="0.25">
      <c r="B19">
        <v>95</v>
      </c>
      <c r="C19">
        <v>285.10524849015587</v>
      </c>
    </row>
    <row r="21" spans="2:10" ht="15.75" thickBot="1" x14ac:dyDescent="0.3"/>
    <row r="22" spans="2:10" x14ac:dyDescent="0.25">
      <c r="B22" s="5" t="s">
        <v>24</v>
      </c>
      <c r="C22" s="30" t="s">
        <v>17</v>
      </c>
      <c r="D22" s="7" t="s">
        <v>35</v>
      </c>
      <c r="E22" s="21"/>
      <c r="F22" s="21" t="s">
        <v>37</v>
      </c>
      <c r="G22" t="s">
        <v>36</v>
      </c>
      <c r="I22" t="s">
        <v>38</v>
      </c>
      <c r="J22" t="s">
        <v>36</v>
      </c>
    </row>
    <row r="23" spans="2:10" x14ac:dyDescent="0.25">
      <c r="B23" s="22">
        <v>1000</v>
      </c>
      <c r="C23" s="23">
        <f t="shared" ref="C23:C29" si="0" xml:space="preserve"> 33021*B23^(-1.026)</f>
        <v>27.592447265014034</v>
      </c>
      <c r="D23" s="31">
        <v>400</v>
      </c>
    </row>
    <row r="24" spans="2:10" x14ac:dyDescent="0.25">
      <c r="B24" s="22">
        <v>800</v>
      </c>
      <c r="C24" s="23">
        <f t="shared" si="0"/>
        <v>34.691245675136052</v>
      </c>
      <c r="D24" s="31">
        <v>400</v>
      </c>
    </row>
    <row r="25" spans="2:10" x14ac:dyDescent="0.25">
      <c r="B25" s="22">
        <v>700</v>
      </c>
      <c r="C25" s="23">
        <f t="shared" si="0"/>
        <v>39.785024710768376</v>
      </c>
      <c r="D25" s="31">
        <v>400</v>
      </c>
    </row>
    <row r="26" spans="2:10" x14ac:dyDescent="0.25">
      <c r="B26" s="22">
        <v>600</v>
      </c>
      <c r="C26" s="23">
        <f t="shared" si="0"/>
        <v>46.602266413871376</v>
      </c>
      <c r="D26" s="31">
        <v>400</v>
      </c>
      <c r="F26">
        <v>540</v>
      </c>
      <c r="G26">
        <v>3</v>
      </c>
      <c r="I26">
        <v>540</v>
      </c>
      <c r="J26">
        <v>6</v>
      </c>
    </row>
    <row r="27" spans="2:10" x14ac:dyDescent="0.25">
      <c r="B27" s="22">
        <v>500</v>
      </c>
      <c r="C27" s="23">
        <f t="shared" si="0"/>
        <v>56.188442861046184</v>
      </c>
      <c r="D27" s="31">
        <v>400</v>
      </c>
      <c r="F27">
        <v>480</v>
      </c>
      <c r="G27">
        <v>3</v>
      </c>
      <c r="I27">
        <v>470</v>
      </c>
      <c r="J27">
        <v>6</v>
      </c>
    </row>
    <row r="28" spans="2:10" x14ac:dyDescent="0.25">
      <c r="B28" s="22">
        <v>400</v>
      </c>
      <c r="C28" s="23">
        <f t="shared" si="0"/>
        <v>70.644225815643864</v>
      </c>
      <c r="D28" s="31">
        <v>400</v>
      </c>
      <c r="F28">
        <v>440</v>
      </c>
      <c r="G28">
        <v>3</v>
      </c>
      <c r="I28">
        <v>380</v>
      </c>
      <c r="J28">
        <v>6</v>
      </c>
    </row>
    <row r="29" spans="2:10" ht="15.75" thickBot="1" x14ac:dyDescent="0.3">
      <c r="B29" s="8">
        <v>300</v>
      </c>
      <c r="C29" s="9">
        <f t="shared" si="0"/>
        <v>94.899475876183459</v>
      </c>
      <c r="D29" s="24">
        <v>350</v>
      </c>
      <c r="F29">
        <v>415</v>
      </c>
      <c r="G29">
        <v>3</v>
      </c>
      <c r="I29">
        <v>350</v>
      </c>
      <c r="J29">
        <v>6</v>
      </c>
    </row>
  </sheetData>
  <sortState ref="B23:D29">
    <sortCondition descending="1" ref="B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workbookViewId="0">
      <selection activeCell="G9" sqref="G9"/>
    </sheetView>
  </sheetViews>
  <sheetFormatPr defaultRowHeight="15" x14ac:dyDescent="0.25"/>
  <cols>
    <col min="3" max="3" width="12.5703125" customWidth="1"/>
    <col min="4" max="4" width="12.85546875" customWidth="1"/>
    <col min="5" max="5" width="21.140625" customWidth="1"/>
    <col min="6" max="6" width="18.28515625" customWidth="1"/>
    <col min="9" max="9" width="18.28515625" customWidth="1"/>
  </cols>
  <sheetData>
    <row r="1" spans="2:9" x14ac:dyDescent="0.25">
      <c r="B1">
        <v>0.5</v>
      </c>
    </row>
    <row r="3" spans="2:9" x14ac:dyDescent="0.25"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</row>
    <row r="4" spans="2:9" x14ac:dyDescent="0.25">
      <c r="G4">
        <f>C4*9.8</f>
        <v>0</v>
      </c>
      <c r="I4" t="e">
        <f>G4/F4</f>
        <v>#DIV/0!</v>
      </c>
    </row>
    <row r="5" spans="2:9" x14ac:dyDescent="0.25">
      <c r="G5">
        <f t="shared" ref="G5:G10" si="0">C5*9.8</f>
        <v>0</v>
      </c>
      <c r="I5" t="e">
        <f t="shared" ref="I5:I10" si="1">G5/F5</f>
        <v>#DIV/0!</v>
      </c>
    </row>
    <row r="6" spans="2:9" x14ac:dyDescent="0.25">
      <c r="G6">
        <f t="shared" si="0"/>
        <v>0</v>
      </c>
      <c r="I6" t="e">
        <f t="shared" si="1"/>
        <v>#DIV/0!</v>
      </c>
    </row>
    <row r="7" spans="2:9" x14ac:dyDescent="0.25">
      <c r="G7">
        <f t="shared" si="0"/>
        <v>0</v>
      </c>
      <c r="I7" t="e">
        <f t="shared" si="1"/>
        <v>#DIV/0!</v>
      </c>
    </row>
    <row r="8" spans="2:9" x14ac:dyDescent="0.25">
      <c r="G8">
        <f t="shared" si="0"/>
        <v>0</v>
      </c>
      <c r="I8" t="e">
        <f t="shared" si="1"/>
        <v>#DIV/0!</v>
      </c>
    </row>
    <row r="9" spans="2:9" x14ac:dyDescent="0.25">
      <c r="G9">
        <f t="shared" si="0"/>
        <v>0</v>
      </c>
      <c r="I9" t="e">
        <f t="shared" si="1"/>
        <v>#DIV/0!</v>
      </c>
    </row>
    <row r="10" spans="2:9" x14ac:dyDescent="0.25">
      <c r="G10">
        <f t="shared" si="0"/>
        <v>0</v>
      </c>
      <c r="I10" t="e">
        <f t="shared" si="1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workbookViewId="0">
      <selection activeCell="B2" sqref="B2:I6"/>
    </sheetView>
  </sheetViews>
  <sheetFormatPr defaultRowHeight="15" x14ac:dyDescent="0.25"/>
  <cols>
    <col min="4" max="4" width="11.85546875" customWidth="1"/>
    <col min="5" max="5" width="26.7109375" customWidth="1"/>
    <col min="6" max="6" width="18.7109375" customWidth="1"/>
    <col min="7" max="7" width="12.28515625" customWidth="1"/>
  </cols>
  <sheetData>
    <row r="1" spans="2:9" x14ac:dyDescent="0.25">
      <c r="B1">
        <v>1.1000000000000001</v>
      </c>
    </row>
    <row r="2" spans="2:9" x14ac:dyDescent="0.25">
      <c r="B2" t="s">
        <v>12</v>
      </c>
    </row>
    <row r="3" spans="2:9" x14ac:dyDescent="0.25">
      <c r="C3" t="s">
        <v>4</v>
      </c>
      <c r="D3" t="s">
        <v>5</v>
      </c>
      <c r="E3" t="s">
        <v>14</v>
      </c>
      <c r="F3" t="s">
        <v>7</v>
      </c>
      <c r="G3" t="s">
        <v>8</v>
      </c>
      <c r="H3" t="s">
        <v>9</v>
      </c>
      <c r="I3" t="s">
        <v>10</v>
      </c>
    </row>
    <row r="4" spans="2:9" x14ac:dyDescent="0.25">
      <c r="C4">
        <v>3.9550000000000001</v>
      </c>
      <c r="D4">
        <v>8</v>
      </c>
      <c r="E4">
        <v>12.5</v>
      </c>
      <c r="F4">
        <f>E4-D4</f>
        <v>4.5</v>
      </c>
      <c r="G4">
        <f>C4*9.8</f>
        <v>38.759</v>
      </c>
      <c r="H4">
        <v>-0.2</v>
      </c>
      <c r="I4">
        <f>G4/E4</f>
        <v>3.1007199999999999</v>
      </c>
    </row>
    <row r="5" spans="2:9" x14ac:dyDescent="0.25">
      <c r="C5">
        <f>C4+4.54</f>
        <v>8.495000000000001</v>
      </c>
      <c r="D5">
        <v>8</v>
      </c>
      <c r="E5">
        <v>19.75</v>
      </c>
      <c r="F5">
        <f t="shared" ref="F5:F6" si="0">E5-D5</f>
        <v>11.75</v>
      </c>
      <c r="G5">
        <f t="shared" ref="G5:G6" si="1">C5*9.8</f>
        <v>83.251000000000019</v>
      </c>
      <c r="H5">
        <v>-0.51900000000000002</v>
      </c>
      <c r="I5">
        <f t="shared" ref="I5:I6" si="2">G5/F5</f>
        <v>7.0851914893617041</v>
      </c>
    </row>
    <row r="6" spans="2:9" x14ac:dyDescent="0.25">
      <c r="C6">
        <f>C5+4.58</f>
        <v>13.075000000000001</v>
      </c>
      <c r="D6">
        <v>8</v>
      </c>
      <c r="E6">
        <v>21.75</v>
      </c>
      <c r="F6">
        <f t="shared" si="0"/>
        <v>13.75</v>
      </c>
      <c r="G6">
        <f t="shared" si="1"/>
        <v>128.13500000000002</v>
      </c>
      <c r="I6">
        <f t="shared" si="2"/>
        <v>9.3189090909090915</v>
      </c>
    </row>
    <row r="19" spans="2:11" x14ac:dyDescent="0.25">
      <c r="K19" t="s">
        <v>11</v>
      </c>
    </row>
    <row r="20" spans="2:11" x14ac:dyDescent="0.25">
      <c r="B20" t="s">
        <v>13</v>
      </c>
    </row>
    <row r="21" spans="2:11" x14ac:dyDescent="0.25">
      <c r="C21" t="s">
        <v>4</v>
      </c>
      <c r="D21" t="s">
        <v>5</v>
      </c>
      <c r="E21" t="s">
        <v>14</v>
      </c>
      <c r="F21" t="s">
        <v>7</v>
      </c>
      <c r="G21" t="s">
        <v>8</v>
      </c>
      <c r="H21" t="s">
        <v>9</v>
      </c>
      <c r="I21" t="s">
        <v>10</v>
      </c>
    </row>
    <row r="22" spans="2:11" x14ac:dyDescent="0.25">
      <c r="C22">
        <v>3.9550000000000001</v>
      </c>
      <c r="D22">
        <v>4</v>
      </c>
      <c r="E22">
        <v>5.75</v>
      </c>
      <c r="F22">
        <f>E22-D22</f>
        <v>1.75</v>
      </c>
      <c r="G22">
        <f>C22*9.8</f>
        <v>38.759</v>
      </c>
      <c r="I22">
        <f>G22/E22</f>
        <v>6.7406956521739128</v>
      </c>
    </row>
    <row r="23" spans="2:11" x14ac:dyDescent="0.25">
      <c r="C23">
        <f>C22+4.54</f>
        <v>8.495000000000001</v>
      </c>
      <c r="D23">
        <v>4</v>
      </c>
      <c r="E23">
        <v>8.25</v>
      </c>
      <c r="F23">
        <f t="shared" ref="F23:F25" si="3">E23-D23</f>
        <v>4.25</v>
      </c>
      <c r="G23">
        <f t="shared" ref="G23:G25" si="4">C23*9.8</f>
        <v>83.251000000000019</v>
      </c>
      <c r="I23">
        <f>G23/F23</f>
        <v>19.5884705882353</v>
      </c>
    </row>
    <row r="24" spans="2:11" x14ac:dyDescent="0.25">
      <c r="C24">
        <f>C23+4.58</f>
        <v>13.075000000000001</v>
      </c>
      <c r="D24">
        <v>4</v>
      </c>
      <c r="E24">
        <v>9.5</v>
      </c>
      <c r="F24">
        <f t="shared" si="3"/>
        <v>5.5</v>
      </c>
      <c r="G24">
        <f t="shared" si="4"/>
        <v>128.13500000000002</v>
      </c>
      <c r="I24">
        <f>G24/F24</f>
        <v>23.29727272727273</v>
      </c>
    </row>
    <row r="25" spans="2:11" x14ac:dyDescent="0.25">
      <c r="C25">
        <f>C24+4.548</f>
        <v>17.623000000000001</v>
      </c>
      <c r="F25">
        <f t="shared" si="3"/>
        <v>0</v>
      </c>
      <c r="G25">
        <f t="shared" si="4"/>
        <v>172.70540000000003</v>
      </c>
      <c r="I25" t="e">
        <f>G25/F25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28"/>
  <sheetViews>
    <sheetView topLeftCell="A13" workbookViewId="0">
      <selection activeCell="D15" sqref="D15:J20"/>
    </sheetView>
  </sheetViews>
  <sheetFormatPr defaultRowHeight="15" x14ac:dyDescent="0.25"/>
  <cols>
    <col min="5" max="5" width="11.28515625" bestFit="1" customWidth="1"/>
    <col min="6" max="6" width="11.140625" customWidth="1"/>
    <col min="7" max="7" width="13.28515625" bestFit="1" customWidth="1"/>
  </cols>
  <sheetData>
    <row r="3" spans="3:10" x14ac:dyDescent="0.25">
      <c r="C3" t="s">
        <v>15</v>
      </c>
    </row>
    <row r="4" spans="3:10" x14ac:dyDescent="0.25">
      <c r="D4" t="s">
        <v>4</v>
      </c>
      <c r="E4" t="s">
        <v>5</v>
      </c>
      <c r="F4" t="s">
        <v>14</v>
      </c>
      <c r="G4" t="s">
        <v>7</v>
      </c>
      <c r="H4" t="s">
        <v>8</v>
      </c>
      <c r="I4" t="s">
        <v>9</v>
      </c>
      <c r="J4" t="s">
        <v>10</v>
      </c>
    </row>
    <row r="5" spans="3:10" x14ac:dyDescent="0.25">
      <c r="D5">
        <v>3.9550000000000001</v>
      </c>
      <c r="E5">
        <v>17.399999999999999</v>
      </c>
      <c r="F5">
        <v>18.45</v>
      </c>
      <c r="G5">
        <f>F5-E5</f>
        <v>1.0500000000000007</v>
      </c>
      <c r="H5">
        <f>D5*9.8</f>
        <v>38.759</v>
      </c>
      <c r="J5">
        <f>H5/F5</f>
        <v>2.1007588075880759</v>
      </c>
    </row>
    <row r="6" spans="3:10" x14ac:dyDescent="0.25">
      <c r="D6">
        <f>D5+4.548</f>
        <v>8.5030000000000001</v>
      </c>
      <c r="E6">
        <v>17.399999999999999</v>
      </c>
      <c r="F6">
        <f>21.6+0.75</f>
        <v>22.35</v>
      </c>
      <c r="G6">
        <f t="shared" ref="G6:G7" si="0">F6-E6</f>
        <v>4.9500000000000028</v>
      </c>
      <c r="H6">
        <f t="shared" ref="H6:H7" si="1">D6*9.8</f>
        <v>83.329400000000007</v>
      </c>
      <c r="J6">
        <f t="shared" ref="J6:J7" si="2">H6/G6</f>
        <v>16.834222222222213</v>
      </c>
    </row>
    <row r="7" spans="3:10" x14ac:dyDescent="0.25">
      <c r="D7">
        <f>D6+4.54</f>
        <v>13.042999999999999</v>
      </c>
      <c r="E7">
        <v>17.399999999999999</v>
      </c>
      <c r="F7">
        <f>23+1.75</f>
        <v>24.75</v>
      </c>
      <c r="G7">
        <f t="shared" si="0"/>
        <v>7.3500000000000014</v>
      </c>
      <c r="H7">
        <f t="shared" si="1"/>
        <v>127.8214</v>
      </c>
      <c r="J7">
        <f t="shared" si="2"/>
        <v>17.390666666666664</v>
      </c>
    </row>
    <row r="8" spans="3:10" x14ac:dyDescent="0.25">
      <c r="D8">
        <f>D7+4.575</f>
        <v>17.617999999999999</v>
      </c>
      <c r="E8">
        <v>17.399999999999999</v>
      </c>
      <c r="F8">
        <f>24.7+2.75</f>
        <v>27.45</v>
      </c>
      <c r="G8">
        <f t="shared" ref="G8:G9" si="3">F8-E8</f>
        <v>10.050000000000001</v>
      </c>
      <c r="H8">
        <f t="shared" ref="H8" si="4">D8*9.8</f>
        <v>172.65639999999999</v>
      </c>
      <c r="J8">
        <f t="shared" ref="J8" si="5">H8/G8</f>
        <v>17.179741293532338</v>
      </c>
    </row>
    <row r="9" spans="3:10" x14ac:dyDescent="0.25">
      <c r="D9">
        <f>D8+4.635</f>
        <v>22.253</v>
      </c>
      <c r="E9">
        <v>17.399999999999999</v>
      </c>
      <c r="F9">
        <f>26.3+3.75</f>
        <v>30.05</v>
      </c>
      <c r="G9">
        <f t="shared" si="3"/>
        <v>12.650000000000002</v>
      </c>
      <c r="H9">
        <f t="shared" ref="H9" si="6">D9*9.8</f>
        <v>218.07940000000002</v>
      </c>
      <c r="J9">
        <f t="shared" ref="J9" si="7">H9/G9</f>
        <v>17.239478260869564</v>
      </c>
    </row>
    <row r="14" spans="3:10" x14ac:dyDescent="0.25">
      <c r="C14" t="s">
        <v>12</v>
      </c>
    </row>
    <row r="15" spans="3:10" x14ac:dyDescent="0.25">
      <c r="D15" t="s">
        <v>4</v>
      </c>
      <c r="E15" t="s">
        <v>5</v>
      </c>
      <c r="F15" t="s">
        <v>14</v>
      </c>
      <c r="G15" t="s">
        <v>7</v>
      </c>
      <c r="H15" t="s">
        <v>8</v>
      </c>
      <c r="I15" t="s">
        <v>9</v>
      </c>
      <c r="J15" t="s">
        <v>10</v>
      </c>
    </row>
    <row r="16" spans="3:10" x14ac:dyDescent="0.25">
      <c r="D16">
        <v>3.9550000000000001</v>
      </c>
      <c r="E16">
        <v>17.399999999999999</v>
      </c>
      <c r="F16">
        <v>26</v>
      </c>
      <c r="G16">
        <f>F16-E16</f>
        <v>8.6000000000000014</v>
      </c>
      <c r="H16">
        <f>D16*9.8</f>
        <v>38.759</v>
      </c>
      <c r="J16">
        <f>H16/F16</f>
        <v>1.4907307692307692</v>
      </c>
    </row>
    <row r="17" spans="3:10" x14ac:dyDescent="0.25">
      <c r="D17">
        <f>D16+4.54</f>
        <v>8.495000000000001</v>
      </c>
      <c r="E17">
        <v>17.399999999999999</v>
      </c>
      <c r="F17">
        <f>23.6+0.75</f>
        <v>24.35</v>
      </c>
      <c r="G17">
        <f t="shared" ref="G17:G20" si="8">F17-E17</f>
        <v>6.9500000000000028</v>
      </c>
      <c r="H17">
        <f t="shared" ref="H17:H20" si="9">D17*9.8</f>
        <v>83.251000000000019</v>
      </c>
      <c r="J17">
        <f t="shared" ref="J17:J20" si="10">H17/G17</f>
        <v>11.978561151079134</v>
      </c>
    </row>
    <row r="18" spans="3:10" x14ac:dyDescent="0.25">
      <c r="D18">
        <f>D17+4.575</f>
        <v>13.07</v>
      </c>
      <c r="E18">
        <v>17.399999999999999</v>
      </c>
      <c r="F18">
        <f>25.2+1.75</f>
        <v>26.95</v>
      </c>
      <c r="G18">
        <f t="shared" si="8"/>
        <v>9.5500000000000007</v>
      </c>
      <c r="H18">
        <f t="shared" si="9"/>
        <v>128.08600000000001</v>
      </c>
      <c r="J18">
        <f t="shared" si="10"/>
        <v>13.412146596858639</v>
      </c>
    </row>
    <row r="19" spans="3:10" x14ac:dyDescent="0.25">
      <c r="D19">
        <f>D18+4.635</f>
        <v>17.704999999999998</v>
      </c>
      <c r="E19">
        <v>17.399999999999999</v>
      </c>
      <c r="F19">
        <f>27.5+2.75</f>
        <v>30.25</v>
      </c>
      <c r="G19">
        <f t="shared" si="8"/>
        <v>12.850000000000001</v>
      </c>
      <c r="H19">
        <f t="shared" si="9"/>
        <v>173.50899999999999</v>
      </c>
      <c r="J19">
        <f t="shared" si="10"/>
        <v>13.502645914396885</v>
      </c>
    </row>
    <row r="20" spans="3:10" x14ac:dyDescent="0.25">
      <c r="D20">
        <f>D19+4.548</f>
        <v>22.253</v>
      </c>
      <c r="E20">
        <v>17.399999999999999</v>
      </c>
      <c r="F20">
        <f>30+3.75</f>
        <v>33.75</v>
      </c>
      <c r="G20">
        <f t="shared" si="8"/>
        <v>16.350000000000001</v>
      </c>
      <c r="H20">
        <f t="shared" si="9"/>
        <v>218.07940000000002</v>
      </c>
      <c r="J20">
        <f t="shared" si="10"/>
        <v>13.338189602446484</v>
      </c>
    </row>
    <row r="22" spans="3:10" x14ac:dyDescent="0.25">
      <c r="C22" t="s">
        <v>16</v>
      </c>
    </row>
    <row r="23" spans="3:10" x14ac:dyDescent="0.25">
      <c r="D23" t="s">
        <v>4</v>
      </c>
      <c r="E23" t="s">
        <v>5</v>
      </c>
      <c r="F23" t="s">
        <v>14</v>
      </c>
      <c r="G23" t="s">
        <v>7</v>
      </c>
      <c r="H23" t="s">
        <v>8</v>
      </c>
      <c r="I23" t="s">
        <v>9</v>
      </c>
      <c r="J23" t="s">
        <v>10</v>
      </c>
    </row>
    <row r="24" spans="3:10" x14ac:dyDescent="0.25">
      <c r="D24">
        <v>3.9550000000000001</v>
      </c>
      <c r="E24">
        <v>10.6</v>
      </c>
      <c r="F24">
        <v>14.6</v>
      </c>
      <c r="G24">
        <f>F24-E24</f>
        <v>4</v>
      </c>
      <c r="H24">
        <f>D24*9.8</f>
        <v>38.759</v>
      </c>
      <c r="J24">
        <f>H24/F24</f>
        <v>2.6547260273972602</v>
      </c>
    </row>
    <row r="25" spans="3:10" x14ac:dyDescent="0.25">
      <c r="D25">
        <f>D24+4.54</f>
        <v>8.495000000000001</v>
      </c>
      <c r="E25">
        <v>10.6</v>
      </c>
      <c r="F25">
        <f>17+0.75</f>
        <v>17.75</v>
      </c>
      <c r="G25">
        <f t="shared" ref="G25:G28" si="11">F25-E25</f>
        <v>7.15</v>
      </c>
      <c r="H25">
        <f t="shared" ref="H25:H28" si="12">D25*9.8</f>
        <v>83.251000000000019</v>
      </c>
      <c r="J25">
        <f t="shared" ref="J25:J28" si="13">H25/G25</f>
        <v>11.643496503496506</v>
      </c>
    </row>
    <row r="26" spans="3:10" x14ac:dyDescent="0.25">
      <c r="D26">
        <f>D25+4.575</f>
        <v>13.07</v>
      </c>
      <c r="E26">
        <v>10.6</v>
      </c>
      <c r="F26">
        <f>20.3+1.75</f>
        <v>22.05</v>
      </c>
      <c r="G26">
        <f t="shared" si="11"/>
        <v>11.450000000000001</v>
      </c>
      <c r="H26">
        <f t="shared" si="12"/>
        <v>128.08600000000001</v>
      </c>
      <c r="J26">
        <f t="shared" si="13"/>
        <v>11.186550218340612</v>
      </c>
    </row>
    <row r="27" spans="3:10" x14ac:dyDescent="0.25">
      <c r="D27">
        <f>D26+4.635</f>
        <v>17.704999999999998</v>
      </c>
      <c r="E27">
        <v>10.6</v>
      </c>
      <c r="F27">
        <f>24+2.75</f>
        <v>26.75</v>
      </c>
      <c r="G27">
        <f t="shared" si="11"/>
        <v>16.149999999999999</v>
      </c>
      <c r="H27">
        <f t="shared" si="12"/>
        <v>173.50899999999999</v>
      </c>
      <c r="J27">
        <f t="shared" si="13"/>
        <v>10.74359133126935</v>
      </c>
    </row>
    <row r="28" spans="3:10" x14ac:dyDescent="0.25">
      <c r="D28">
        <f>D27+4.548</f>
        <v>22.253</v>
      </c>
      <c r="E28">
        <v>10.6</v>
      </c>
      <c r="F28">
        <f>26.5+3.75</f>
        <v>30.25</v>
      </c>
      <c r="G28">
        <f t="shared" si="11"/>
        <v>19.649999999999999</v>
      </c>
      <c r="H28">
        <f t="shared" si="12"/>
        <v>218.07940000000002</v>
      </c>
      <c r="J28">
        <f t="shared" si="13"/>
        <v>11.098188295165397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"/>
  <sheetViews>
    <sheetView topLeftCell="A49" workbookViewId="0">
      <selection activeCell="A61" sqref="A61:J67"/>
    </sheetView>
  </sheetViews>
  <sheetFormatPr defaultRowHeight="15" x14ac:dyDescent="0.25"/>
  <cols>
    <col min="4" max="4" width="16.42578125" customWidth="1"/>
    <col min="5" max="5" width="13.28515625" bestFit="1" customWidth="1"/>
  </cols>
  <sheetData>
    <row r="1" spans="1:10" x14ac:dyDescent="0.25">
      <c r="A1" t="s">
        <v>17</v>
      </c>
    </row>
    <row r="3" spans="1:10" x14ac:dyDescent="0.25">
      <c r="A3" s="2">
        <v>5</v>
      </c>
      <c r="B3" t="s">
        <v>4</v>
      </c>
      <c r="C3" t="s">
        <v>5</v>
      </c>
      <c r="D3" t="s">
        <v>14</v>
      </c>
      <c r="E3" s="1" t="s">
        <v>7</v>
      </c>
      <c r="F3" s="1" t="s">
        <v>8</v>
      </c>
      <c r="G3" t="s">
        <v>9</v>
      </c>
      <c r="H3" s="1" t="s">
        <v>10</v>
      </c>
      <c r="J3" s="1" t="s">
        <v>18</v>
      </c>
    </row>
    <row r="4" spans="1:10" x14ac:dyDescent="0.25">
      <c r="C4" s="2">
        <v>8.9499999999999993</v>
      </c>
      <c r="E4" s="1">
        <f>D4-C4</f>
        <v>-8.9499999999999993</v>
      </c>
      <c r="F4" s="1">
        <f>B4*9.8</f>
        <v>0</v>
      </c>
      <c r="H4" s="1" t="e">
        <f>F4/D4</f>
        <v>#DIV/0!</v>
      </c>
      <c r="J4" s="2">
        <v>-76</v>
      </c>
    </row>
    <row r="5" spans="1:10" x14ac:dyDescent="0.25">
      <c r="A5">
        <v>4.54</v>
      </c>
      <c r="B5">
        <f>A5</f>
        <v>4.54</v>
      </c>
      <c r="C5">
        <f>C4</f>
        <v>8.9499999999999993</v>
      </c>
      <c r="D5" s="2">
        <f>11.55+0.75</f>
        <v>12.3</v>
      </c>
      <c r="E5" s="1">
        <f t="shared" ref="E5:E8" si="0">D5-C5</f>
        <v>3.3500000000000014</v>
      </c>
      <c r="F5" s="1">
        <f>B5*9.8</f>
        <v>44.492000000000004</v>
      </c>
      <c r="H5" s="1">
        <f t="shared" ref="H5:H8" si="1">F5/E5</f>
        <v>13.281194029850742</v>
      </c>
      <c r="J5" s="2"/>
    </row>
    <row r="6" spans="1:10" x14ac:dyDescent="0.25">
      <c r="A6">
        <v>4.5750000000000002</v>
      </c>
      <c r="B6">
        <f>B5+A6</f>
        <v>9.1150000000000002</v>
      </c>
      <c r="C6">
        <f t="shared" ref="C6:C8" si="2">C5</f>
        <v>8.9499999999999993</v>
      </c>
      <c r="D6" s="2">
        <f>13.56+1.75</f>
        <v>15.31</v>
      </c>
      <c r="E6" s="1">
        <f t="shared" si="0"/>
        <v>6.3600000000000012</v>
      </c>
      <c r="F6" s="1">
        <f t="shared" ref="F6:F8" si="3">B6*9.8</f>
        <v>89.327000000000012</v>
      </c>
      <c r="H6" s="1">
        <f t="shared" si="1"/>
        <v>14.045125786163521</v>
      </c>
      <c r="J6" s="2">
        <v>-252</v>
      </c>
    </row>
    <row r="7" spans="1:10" x14ac:dyDescent="0.25">
      <c r="A7">
        <v>4.6349999999999998</v>
      </c>
      <c r="B7">
        <f t="shared" ref="B7:B8" si="4">B6+A7</f>
        <v>13.75</v>
      </c>
      <c r="C7">
        <f t="shared" si="2"/>
        <v>8.9499999999999993</v>
      </c>
      <c r="D7" s="2">
        <f>15.1+2.75</f>
        <v>17.850000000000001</v>
      </c>
      <c r="E7" s="1">
        <f t="shared" si="0"/>
        <v>8.9000000000000021</v>
      </c>
      <c r="F7" s="1">
        <f t="shared" si="3"/>
        <v>134.75</v>
      </c>
      <c r="H7" s="1">
        <f t="shared" si="1"/>
        <v>15.140449438202243</v>
      </c>
      <c r="J7" s="2"/>
    </row>
    <row r="8" spans="1:10" x14ac:dyDescent="0.25">
      <c r="A8">
        <v>4.548</v>
      </c>
      <c r="B8">
        <f t="shared" si="4"/>
        <v>18.298000000000002</v>
      </c>
      <c r="C8">
        <f t="shared" si="2"/>
        <v>8.9499999999999993</v>
      </c>
      <c r="D8" s="2">
        <f>17.58+3.7</f>
        <v>21.279999999999998</v>
      </c>
      <c r="E8" s="1">
        <f t="shared" si="0"/>
        <v>12.329999999999998</v>
      </c>
      <c r="F8" s="1">
        <f t="shared" si="3"/>
        <v>179.32040000000003</v>
      </c>
      <c r="H8" s="1">
        <f t="shared" si="1"/>
        <v>14.543422546634231</v>
      </c>
      <c r="J8" s="2">
        <v>-421</v>
      </c>
    </row>
    <row r="9" spans="1:10" x14ac:dyDescent="0.25">
      <c r="G9" t="s">
        <v>19</v>
      </c>
      <c r="H9" s="1">
        <f>AVERAGE(H5:H8)</f>
        <v>14.252547950212684</v>
      </c>
    </row>
    <row r="11" spans="1:10" x14ac:dyDescent="0.25">
      <c r="A11" s="2">
        <v>10</v>
      </c>
      <c r="B11" t="s">
        <v>4</v>
      </c>
      <c r="C11" t="s">
        <v>5</v>
      </c>
      <c r="D11" t="s">
        <v>14</v>
      </c>
      <c r="E11" s="1" t="s">
        <v>7</v>
      </c>
      <c r="F11" s="1" t="s">
        <v>8</v>
      </c>
      <c r="G11" t="s">
        <v>9</v>
      </c>
      <c r="H11" s="1" t="s">
        <v>10</v>
      </c>
      <c r="J11" s="1" t="s">
        <v>18</v>
      </c>
    </row>
    <row r="12" spans="1:10" x14ac:dyDescent="0.25">
      <c r="C12" s="2">
        <v>11.95</v>
      </c>
      <c r="E12" s="1">
        <f>D12-C12</f>
        <v>-11.95</v>
      </c>
      <c r="F12" s="1">
        <f>B12*9.8</f>
        <v>0</v>
      </c>
      <c r="H12" s="1" t="e">
        <f>F12/D12</f>
        <v>#DIV/0!</v>
      </c>
      <c r="J12" s="2">
        <v>-155</v>
      </c>
    </row>
    <row r="13" spans="1:10" x14ac:dyDescent="0.25">
      <c r="A13">
        <v>4.54</v>
      </c>
      <c r="B13">
        <f>A13</f>
        <v>4.54</v>
      </c>
      <c r="C13">
        <f>C12</f>
        <v>11.95</v>
      </c>
      <c r="D13" s="2">
        <f>17+0.75</f>
        <v>17.75</v>
      </c>
      <c r="E13" s="1">
        <f t="shared" ref="E13:E15" si="5">D13-C13</f>
        <v>5.8000000000000007</v>
      </c>
      <c r="F13" s="1">
        <f>B13*9.8</f>
        <v>44.492000000000004</v>
      </c>
      <c r="H13" s="1">
        <f t="shared" ref="H13:H15" si="6">F13/E13</f>
        <v>7.6710344827586203</v>
      </c>
      <c r="J13" s="2"/>
    </row>
    <row r="14" spans="1:10" x14ac:dyDescent="0.25">
      <c r="A14">
        <v>4.5750000000000002</v>
      </c>
      <c r="B14">
        <f>B13+A14</f>
        <v>9.1150000000000002</v>
      </c>
      <c r="C14">
        <f t="shared" ref="C14:C15" si="7">C13</f>
        <v>11.95</v>
      </c>
      <c r="D14" s="2">
        <f>21.9+1.75</f>
        <v>23.65</v>
      </c>
      <c r="E14" s="1">
        <f t="shared" si="5"/>
        <v>11.7</v>
      </c>
      <c r="F14" s="1">
        <f t="shared" ref="F14:F15" si="8">B14*9.8</f>
        <v>89.327000000000012</v>
      </c>
      <c r="H14" s="1">
        <f t="shared" si="6"/>
        <v>7.6347863247863259</v>
      </c>
      <c r="J14" s="2"/>
    </row>
    <row r="15" spans="1:10" x14ac:dyDescent="0.25">
      <c r="A15">
        <v>4.6349999999999998</v>
      </c>
      <c r="B15">
        <f t="shared" ref="B15" si="9">B14+A15</f>
        <v>13.75</v>
      </c>
      <c r="C15">
        <f t="shared" si="7"/>
        <v>11.95</v>
      </c>
      <c r="D15" s="2">
        <f>27.49+2.75</f>
        <v>30.24</v>
      </c>
      <c r="E15" s="1">
        <f t="shared" si="5"/>
        <v>18.29</v>
      </c>
      <c r="F15" s="1">
        <f t="shared" si="8"/>
        <v>134.75</v>
      </c>
      <c r="H15" s="1">
        <f t="shared" si="6"/>
        <v>7.367413887370148</v>
      </c>
      <c r="J15" s="2"/>
    </row>
    <row r="16" spans="1:10" x14ac:dyDescent="0.25">
      <c r="G16" t="s">
        <v>19</v>
      </c>
      <c r="H16" s="1">
        <f>AVERAGE(H13:H15)</f>
        <v>7.5577448983050317</v>
      </c>
    </row>
    <row r="17" spans="1:10" x14ac:dyDescent="0.25">
      <c r="H17" s="1"/>
    </row>
    <row r="18" spans="1:10" s="3" customFormat="1" x14ac:dyDescent="0.25">
      <c r="A18" s="3" t="s">
        <v>20</v>
      </c>
    </row>
    <row r="20" spans="1:10" x14ac:dyDescent="0.25">
      <c r="A20" s="2">
        <v>15</v>
      </c>
      <c r="B20" t="s">
        <v>4</v>
      </c>
      <c r="C20" t="s">
        <v>5</v>
      </c>
      <c r="D20" t="s">
        <v>14</v>
      </c>
      <c r="E20" s="1" t="s">
        <v>7</v>
      </c>
      <c r="F20" s="1" t="s">
        <v>8</v>
      </c>
      <c r="G20" t="s">
        <v>9</v>
      </c>
      <c r="H20" s="1" t="s">
        <v>10</v>
      </c>
      <c r="J20" s="1" t="s">
        <v>18</v>
      </c>
    </row>
    <row r="21" spans="1:10" x14ac:dyDescent="0.25">
      <c r="C21" s="2">
        <v>16.05</v>
      </c>
      <c r="E21" s="1">
        <f>(D21-C21)*$E$43</f>
        <v>-0.40766999999999998</v>
      </c>
      <c r="F21" s="1">
        <f>B21*9.8</f>
        <v>0</v>
      </c>
      <c r="H21" s="1" t="e">
        <f>F21/D21</f>
        <v>#DIV/0!</v>
      </c>
      <c r="J21" s="2">
        <v>272</v>
      </c>
    </row>
    <row r="22" spans="1:10" x14ac:dyDescent="0.25">
      <c r="A22">
        <v>4.54</v>
      </c>
      <c r="B22">
        <f>A22</f>
        <v>4.54</v>
      </c>
      <c r="C22">
        <f>C21</f>
        <v>16.05</v>
      </c>
      <c r="D22" s="2">
        <v>24.95</v>
      </c>
      <c r="E22" s="1">
        <f t="shared" ref="E22:E23" si="10">(D22-C22)*$E$43</f>
        <v>0.22605999999999996</v>
      </c>
      <c r="F22" s="1">
        <f>B22*9.8</f>
        <v>44.492000000000004</v>
      </c>
      <c r="H22" s="1">
        <f t="shared" ref="H22:H23" si="11">F22/E22</f>
        <v>196.81500486596485</v>
      </c>
      <c r="J22" s="2">
        <v>520</v>
      </c>
    </row>
    <row r="23" spans="1:10" x14ac:dyDescent="0.25">
      <c r="A23">
        <v>4.5750000000000002</v>
      </c>
      <c r="B23">
        <f>B22+A23</f>
        <v>9.1150000000000002</v>
      </c>
      <c r="C23">
        <f t="shared" ref="C23" si="12">C22</f>
        <v>16.05</v>
      </c>
      <c r="D23" s="2">
        <v>35.200000000000003</v>
      </c>
      <c r="E23" s="1">
        <f t="shared" si="10"/>
        <v>0.48641000000000001</v>
      </c>
      <c r="F23" s="1">
        <f t="shared" ref="F23" si="13">B23*9.8</f>
        <v>89.327000000000012</v>
      </c>
      <c r="H23" s="1">
        <f t="shared" si="11"/>
        <v>183.64548426224792</v>
      </c>
      <c r="J23" s="2"/>
    </row>
    <row r="24" spans="1:10" x14ac:dyDescent="0.25">
      <c r="G24" t="s">
        <v>19</v>
      </c>
      <c r="H24" s="1">
        <f>AVERAGE(H22:H23)</f>
        <v>190.23024456410639</v>
      </c>
    </row>
    <row r="26" spans="1:10" x14ac:dyDescent="0.25">
      <c r="A26" s="2">
        <v>3</v>
      </c>
      <c r="B26" t="s">
        <v>4</v>
      </c>
      <c r="C26" t="s">
        <v>5</v>
      </c>
      <c r="D26" t="s">
        <v>14</v>
      </c>
      <c r="E26" s="1" t="s">
        <v>7</v>
      </c>
      <c r="F26" s="1" t="s">
        <v>8</v>
      </c>
      <c r="G26" t="s">
        <v>9</v>
      </c>
      <c r="H26" s="1" t="s">
        <v>10</v>
      </c>
      <c r="J26" s="1" t="s">
        <v>18</v>
      </c>
    </row>
    <row r="27" spans="1:10" x14ac:dyDescent="0.25">
      <c r="C27" s="2">
        <v>8.9</v>
      </c>
      <c r="E27" s="1">
        <f>(D27-C27)*$E$43</f>
        <v>-0.22606000000000001</v>
      </c>
      <c r="F27" s="1">
        <f>B27*9.8</f>
        <v>0</v>
      </c>
      <c r="H27" s="1" t="e">
        <f>F27/D27</f>
        <v>#DIV/0!</v>
      </c>
      <c r="J27" s="2">
        <v>54</v>
      </c>
    </row>
    <row r="28" spans="1:10" x14ac:dyDescent="0.25">
      <c r="A28">
        <v>4.54</v>
      </c>
      <c r="B28">
        <f>A28</f>
        <v>4.54</v>
      </c>
      <c r="C28">
        <f>C27</f>
        <v>8.9</v>
      </c>
      <c r="D28" s="2">
        <v>10.5</v>
      </c>
      <c r="E28" s="1">
        <f>(D28-C28)*$E$43</f>
        <v>4.0639999999999989E-2</v>
      </c>
      <c r="F28" s="1">
        <f>B28*9.8</f>
        <v>44.492000000000004</v>
      </c>
      <c r="H28" s="1">
        <f t="shared" ref="H28:H31" si="14">F28/E28</f>
        <v>1094.7834645669295</v>
      </c>
      <c r="J28" s="2">
        <v>105</v>
      </c>
    </row>
    <row r="29" spans="1:10" x14ac:dyDescent="0.25">
      <c r="A29">
        <v>4.5750000000000002</v>
      </c>
      <c r="B29">
        <f>B28+A29</f>
        <v>9.1150000000000002</v>
      </c>
      <c r="C29">
        <f t="shared" ref="C29:C31" si="15">C28</f>
        <v>8.9</v>
      </c>
      <c r="D29" s="2">
        <v>12.4</v>
      </c>
      <c r="E29" s="1">
        <f t="shared" ref="E29:E31" si="16">(D29-C29)*$E$43</f>
        <v>8.8899999999999993E-2</v>
      </c>
      <c r="F29" s="1">
        <f t="shared" ref="F29:F31" si="17">B29*9.8</f>
        <v>89.327000000000012</v>
      </c>
      <c r="H29" s="1">
        <f t="shared" si="14"/>
        <v>1004.8031496062995</v>
      </c>
      <c r="J29" s="2">
        <v>156</v>
      </c>
    </row>
    <row r="30" spans="1:10" x14ac:dyDescent="0.25">
      <c r="A30">
        <v>4.6349999999999998</v>
      </c>
      <c r="B30">
        <f t="shared" ref="B30:B31" si="18">B29+A30</f>
        <v>13.75</v>
      </c>
      <c r="C30">
        <f t="shared" si="15"/>
        <v>8.9</v>
      </c>
      <c r="D30" s="2">
        <v>14.5</v>
      </c>
      <c r="E30" s="1">
        <f t="shared" si="16"/>
        <v>0.14223999999999998</v>
      </c>
      <c r="F30" s="1">
        <f t="shared" si="17"/>
        <v>134.75</v>
      </c>
      <c r="H30" s="1">
        <f t="shared" si="14"/>
        <v>947.34251968503952</v>
      </c>
      <c r="J30" s="2">
        <v>210</v>
      </c>
    </row>
    <row r="31" spans="1:10" x14ac:dyDescent="0.25">
      <c r="A31">
        <v>4.548</v>
      </c>
      <c r="B31">
        <f t="shared" si="18"/>
        <v>18.298000000000002</v>
      </c>
      <c r="C31">
        <f t="shared" si="15"/>
        <v>8.9</v>
      </c>
      <c r="D31" s="2">
        <v>16.46</v>
      </c>
      <c r="E31" s="1">
        <f t="shared" si="16"/>
        <v>0.192024</v>
      </c>
      <c r="F31" s="1">
        <f t="shared" si="17"/>
        <v>179.32040000000003</v>
      </c>
      <c r="H31" s="1">
        <f t="shared" si="14"/>
        <v>933.84368620589112</v>
      </c>
      <c r="J31" s="2">
        <v>268</v>
      </c>
    </row>
    <row r="32" spans="1:10" x14ac:dyDescent="0.25">
      <c r="G32" t="s">
        <v>19</v>
      </c>
      <c r="H32" s="1">
        <f>AVERAGE(H28:H31)</f>
        <v>995.19320501603988</v>
      </c>
    </row>
    <row r="35" spans="1:5" x14ac:dyDescent="0.25">
      <c r="A35" t="s">
        <v>26</v>
      </c>
      <c r="B35" t="s">
        <v>25</v>
      </c>
      <c r="C35" t="s">
        <v>17</v>
      </c>
      <c r="E35" t="s">
        <v>23</v>
      </c>
    </row>
    <row r="36" spans="1:5" x14ac:dyDescent="0.25">
      <c r="A36">
        <f>B36*64/10</f>
        <v>19.2</v>
      </c>
      <c r="B36">
        <f>C36</f>
        <v>3</v>
      </c>
      <c r="C36">
        <v>3</v>
      </c>
      <c r="D36">
        <f>H32</f>
        <v>995.19320501603988</v>
      </c>
      <c r="E36">
        <f>D36</f>
        <v>995.19320501603988</v>
      </c>
    </row>
    <row r="37" spans="1:5" x14ac:dyDescent="0.25">
      <c r="A37">
        <f t="shared" ref="A37:A40" si="19">B37*64/10</f>
        <v>32</v>
      </c>
      <c r="B37">
        <f t="shared" ref="B37:B40" si="20">C37</f>
        <v>5</v>
      </c>
      <c r="C37">
        <v>5</v>
      </c>
      <c r="D37">
        <f>H59</f>
        <v>581.67436902369241</v>
      </c>
      <c r="E37">
        <f t="shared" ref="E37:E40" si="21">D37</f>
        <v>581.67436902369241</v>
      </c>
    </row>
    <row r="38" spans="1:5" x14ac:dyDescent="0.25">
      <c r="A38">
        <f t="shared" si="19"/>
        <v>64</v>
      </c>
      <c r="B38">
        <f t="shared" si="20"/>
        <v>10</v>
      </c>
      <c r="C38">
        <v>10</v>
      </c>
      <c r="D38">
        <f>H67</f>
        <v>293.5928760116679</v>
      </c>
      <c r="E38">
        <f t="shared" si="21"/>
        <v>293.5928760116679</v>
      </c>
    </row>
    <row r="39" spans="1:5" x14ac:dyDescent="0.25">
      <c r="A39">
        <f t="shared" si="19"/>
        <v>96</v>
      </c>
      <c r="B39">
        <f t="shared" si="20"/>
        <v>15</v>
      </c>
      <c r="C39">
        <v>15</v>
      </c>
      <c r="D39">
        <f>H24</f>
        <v>190.23024456410639</v>
      </c>
      <c r="E39">
        <f t="shared" si="21"/>
        <v>190.23024456410639</v>
      </c>
    </row>
    <row r="40" spans="1:5" x14ac:dyDescent="0.25">
      <c r="A40">
        <f t="shared" si="19"/>
        <v>44.8</v>
      </c>
      <c r="B40">
        <f t="shared" si="20"/>
        <v>7</v>
      </c>
      <c r="C40">
        <v>7</v>
      </c>
      <c r="D40">
        <f>H75</f>
        <v>384.83058502855283</v>
      </c>
      <c r="E40">
        <f t="shared" si="21"/>
        <v>384.83058502855283</v>
      </c>
    </row>
    <row r="43" spans="1:5" x14ac:dyDescent="0.25">
      <c r="D43" t="s">
        <v>22</v>
      </c>
      <c r="E43" s="4">
        <v>2.5399999999999999E-2</v>
      </c>
    </row>
    <row r="44" spans="1:5" ht="15.75" thickBot="1" x14ac:dyDescent="0.3"/>
    <row r="45" spans="1:5" x14ac:dyDescent="0.25">
      <c r="C45" s="5" t="s">
        <v>17</v>
      </c>
      <c r="D45" s="6">
        <v>25</v>
      </c>
      <c r="E45" s="7">
        <f>(E46-960.65)/-9.2099</f>
        <v>126.02199806729716</v>
      </c>
    </row>
    <row r="46" spans="1:5" ht="15.75" thickBot="1" x14ac:dyDescent="0.3">
      <c r="C46" s="8" t="s">
        <v>24</v>
      </c>
      <c r="D46" s="9">
        <f xml:space="preserve"> -9.2099*D45 + 960.65</f>
        <v>730.40250000000003</v>
      </c>
      <c r="E46" s="10">
        <v>-200</v>
      </c>
    </row>
    <row r="51" spans="1:20" x14ac:dyDescent="0.25">
      <c r="A51" t="s">
        <v>21</v>
      </c>
    </row>
    <row r="53" spans="1:20" x14ac:dyDescent="0.25">
      <c r="A53" s="2">
        <v>5</v>
      </c>
      <c r="B53" t="s">
        <v>4</v>
      </c>
      <c r="C53" t="s">
        <v>5</v>
      </c>
      <c r="D53" t="s">
        <v>14</v>
      </c>
      <c r="E53" s="1" t="s">
        <v>7</v>
      </c>
      <c r="F53" s="1" t="s">
        <v>8</v>
      </c>
      <c r="G53" t="s">
        <v>9</v>
      </c>
      <c r="H53" s="1" t="s">
        <v>10</v>
      </c>
      <c r="J53" s="1" t="s">
        <v>18</v>
      </c>
    </row>
    <row r="54" spans="1:20" x14ac:dyDescent="0.25">
      <c r="C54" s="2">
        <v>1.97</v>
      </c>
      <c r="E54" s="1">
        <f>(D54-C54)*$E$43</f>
        <v>-5.0037999999999999E-2</v>
      </c>
      <c r="F54" s="1">
        <f>B54*9.8</f>
        <v>0</v>
      </c>
      <c r="H54" s="1" t="e">
        <f>F54/D54</f>
        <v>#DIV/0!</v>
      </c>
      <c r="J54" s="2">
        <v>90</v>
      </c>
    </row>
    <row r="55" spans="1:20" x14ac:dyDescent="0.25">
      <c r="A55">
        <v>4.54</v>
      </c>
      <c r="B55">
        <f>A55</f>
        <v>4.54</v>
      </c>
      <c r="C55">
        <f>C54</f>
        <v>1.97</v>
      </c>
      <c r="D55" s="2">
        <v>4.9000000000000004</v>
      </c>
      <c r="E55" s="1">
        <f t="shared" ref="E55:E58" si="22">(D55-C55)*$E$43</f>
        <v>7.4422000000000016E-2</v>
      </c>
      <c r="F55" s="1">
        <f>B55*9.8</f>
        <v>44.492000000000004</v>
      </c>
      <c r="H55" s="1">
        <f t="shared" ref="H55:H58" si="23">F55/E55</f>
        <v>597.83397382494422</v>
      </c>
      <c r="J55" s="2">
        <v>175</v>
      </c>
    </row>
    <row r="56" spans="1:20" x14ac:dyDescent="0.25">
      <c r="A56">
        <v>4.5750000000000002</v>
      </c>
      <c r="B56">
        <f>B55+A56</f>
        <v>9.1150000000000002</v>
      </c>
      <c r="C56">
        <f t="shared" ref="C56:C58" si="24">C55</f>
        <v>1.97</v>
      </c>
      <c r="D56" s="2">
        <v>8</v>
      </c>
      <c r="E56" s="1">
        <f t="shared" si="22"/>
        <v>0.15316199999999999</v>
      </c>
      <c r="F56" s="1">
        <f t="shared" ref="F56:F58" si="25">B56*9.8</f>
        <v>89.327000000000012</v>
      </c>
      <c r="H56" s="1">
        <f t="shared" si="23"/>
        <v>583.21907522753702</v>
      </c>
      <c r="J56" s="2">
        <v>257</v>
      </c>
      <c r="T56" t="s">
        <v>31</v>
      </c>
    </row>
    <row r="57" spans="1:20" x14ac:dyDescent="0.25">
      <c r="A57">
        <v>4.6349999999999998</v>
      </c>
      <c r="B57">
        <f t="shared" ref="B57:B58" si="26">B56+A57</f>
        <v>13.75</v>
      </c>
      <c r="C57">
        <f t="shared" si="24"/>
        <v>1.97</v>
      </c>
      <c r="D57" s="2">
        <v>11.25</v>
      </c>
      <c r="E57" s="1">
        <f t="shared" si="22"/>
        <v>0.23571199999999998</v>
      </c>
      <c r="F57" s="1">
        <f t="shared" si="25"/>
        <v>134.75</v>
      </c>
      <c r="H57" s="1">
        <f t="shared" si="23"/>
        <v>571.67221015476514</v>
      </c>
      <c r="J57" s="2">
        <v>357</v>
      </c>
    </row>
    <row r="58" spans="1:20" x14ac:dyDescent="0.25">
      <c r="A58">
        <v>4.548</v>
      </c>
      <c r="B58">
        <f t="shared" si="26"/>
        <v>18.298000000000002</v>
      </c>
      <c r="C58">
        <f t="shared" si="24"/>
        <v>1.97</v>
      </c>
      <c r="D58" s="2">
        <v>14.27</v>
      </c>
      <c r="E58" s="1">
        <f t="shared" si="22"/>
        <v>0.31241999999999998</v>
      </c>
      <c r="F58" s="1">
        <f t="shared" si="25"/>
        <v>179.32040000000003</v>
      </c>
      <c r="H58" s="1">
        <f t="shared" si="23"/>
        <v>573.97221688752336</v>
      </c>
      <c r="J58" s="2">
        <v>440</v>
      </c>
    </row>
    <row r="59" spans="1:20" x14ac:dyDescent="0.25">
      <c r="G59" t="s">
        <v>19</v>
      </c>
      <c r="H59" s="1">
        <f>AVERAGE(H55:H58)</f>
        <v>581.67436902369241</v>
      </c>
    </row>
    <row r="61" spans="1:20" x14ac:dyDescent="0.25">
      <c r="A61" s="2">
        <v>10</v>
      </c>
      <c r="B61" t="s">
        <v>4</v>
      </c>
      <c r="C61" t="s">
        <v>5</v>
      </c>
      <c r="D61" t="s">
        <v>14</v>
      </c>
      <c r="E61" s="1" t="s">
        <v>7</v>
      </c>
      <c r="F61" s="1" t="s">
        <v>8</v>
      </c>
      <c r="G61" t="s">
        <v>9</v>
      </c>
      <c r="H61" s="1" t="s">
        <v>10</v>
      </c>
      <c r="J61" s="1" t="s">
        <v>18</v>
      </c>
    </row>
    <row r="62" spans="1:20" x14ac:dyDescent="0.25">
      <c r="C62" s="2">
        <v>5.5</v>
      </c>
      <c r="E62" s="1">
        <f t="shared" ref="E62:E66" si="27">(D62-C62)*$E$43</f>
        <v>-0.13969999999999999</v>
      </c>
      <c r="F62" s="1">
        <f>B62*9.8</f>
        <v>0</v>
      </c>
      <c r="H62" s="1" t="e">
        <f>F62/D62</f>
        <v>#DIV/0!</v>
      </c>
      <c r="J62" s="2">
        <v>189</v>
      </c>
    </row>
    <row r="63" spans="1:20" x14ac:dyDescent="0.25">
      <c r="A63">
        <v>4.54</v>
      </c>
      <c r="B63">
        <f>A63</f>
        <v>4.54</v>
      </c>
      <c r="C63">
        <f>C62</f>
        <v>5.5</v>
      </c>
      <c r="D63" s="2">
        <v>11.48</v>
      </c>
      <c r="E63" s="1">
        <f t="shared" si="27"/>
        <v>0.151892</v>
      </c>
      <c r="F63" s="1">
        <f>B63*9.8</f>
        <v>44.492000000000004</v>
      </c>
      <c r="H63" s="1">
        <f t="shared" ref="H63:H65" si="28">F63/E63</f>
        <v>292.91865272693758</v>
      </c>
      <c r="J63" s="2">
        <v>339</v>
      </c>
    </row>
    <row r="64" spans="1:20" x14ac:dyDescent="0.25">
      <c r="A64">
        <v>4.5750000000000002</v>
      </c>
      <c r="B64">
        <f>B63+A64</f>
        <v>9.1150000000000002</v>
      </c>
      <c r="C64">
        <f t="shared" ref="C64:C66" si="29">C63</f>
        <v>5.5</v>
      </c>
      <c r="D64" s="2">
        <v>17.18</v>
      </c>
      <c r="E64" s="1">
        <f t="shared" si="27"/>
        <v>0.29667199999999999</v>
      </c>
      <c r="F64" s="1">
        <f t="shared" ref="F64:F65" si="30">B64*9.8</f>
        <v>89.327000000000012</v>
      </c>
      <c r="H64" s="1">
        <f t="shared" si="28"/>
        <v>301.09683421421641</v>
      </c>
      <c r="J64" s="2">
        <v>529</v>
      </c>
    </row>
    <row r="65" spans="1:11" x14ac:dyDescent="0.25">
      <c r="A65">
        <v>4.6349999999999998</v>
      </c>
      <c r="B65">
        <f t="shared" ref="B65:B66" si="31">B64+A65</f>
        <v>13.75</v>
      </c>
      <c r="C65">
        <f t="shared" si="29"/>
        <v>5.5</v>
      </c>
      <c r="D65" s="2">
        <v>24</v>
      </c>
      <c r="E65" s="1">
        <f t="shared" si="27"/>
        <v>0.46989999999999998</v>
      </c>
      <c r="F65" s="1">
        <f t="shared" si="30"/>
        <v>134.75</v>
      </c>
      <c r="H65" s="1">
        <f t="shared" si="28"/>
        <v>286.76314109384975</v>
      </c>
      <c r="J65" s="2">
        <v>705</v>
      </c>
    </row>
    <row r="66" spans="1:11" x14ac:dyDescent="0.25">
      <c r="A66">
        <v>4.548</v>
      </c>
      <c r="B66">
        <f t="shared" si="31"/>
        <v>18.298000000000002</v>
      </c>
      <c r="C66">
        <f t="shared" si="29"/>
        <v>5.5</v>
      </c>
      <c r="D66" s="2">
        <v>31.2</v>
      </c>
      <c r="E66" s="1">
        <f t="shared" si="27"/>
        <v>0.65277999999999992</v>
      </c>
      <c r="F66" s="1">
        <f t="shared" ref="F66" si="32">B66*9.8</f>
        <v>179.32040000000003</v>
      </c>
      <c r="H66" s="1">
        <f t="shared" ref="H66" si="33">F66/E66</f>
        <v>274.7026563313828</v>
      </c>
      <c r="J66" s="2"/>
    </row>
    <row r="67" spans="1:11" x14ac:dyDescent="0.25">
      <c r="G67" t="s">
        <v>19</v>
      </c>
      <c r="H67" s="1">
        <f>AVERAGE(H63:H65)</f>
        <v>293.5928760116679</v>
      </c>
    </row>
    <row r="69" spans="1:11" x14ac:dyDescent="0.25">
      <c r="A69" s="2">
        <v>7</v>
      </c>
      <c r="B69" t="s">
        <v>4</v>
      </c>
      <c r="C69" t="s">
        <v>5</v>
      </c>
      <c r="D69" t="s">
        <v>14</v>
      </c>
      <c r="E69" s="1" t="s">
        <v>7</v>
      </c>
      <c r="F69" s="1" t="s">
        <v>8</v>
      </c>
      <c r="G69" t="s">
        <v>9</v>
      </c>
      <c r="H69" s="1" t="s">
        <v>10</v>
      </c>
      <c r="J69" s="1" t="s">
        <v>18</v>
      </c>
    </row>
    <row r="70" spans="1:11" x14ac:dyDescent="0.25">
      <c r="C70" s="2">
        <v>4.95</v>
      </c>
      <c r="E70" s="1">
        <f t="shared" ref="E70:E74" si="34">(D70-C70)*$E$43</f>
        <v>-0.12573000000000001</v>
      </c>
      <c r="F70" s="1">
        <f>B70*9.8</f>
        <v>0</v>
      </c>
      <c r="H70" s="1" t="e">
        <f>F70/D70</f>
        <v>#DIV/0!</v>
      </c>
      <c r="J70" s="2">
        <v>124</v>
      </c>
    </row>
    <row r="71" spans="1:11" x14ac:dyDescent="0.25">
      <c r="A71">
        <v>4.54</v>
      </c>
      <c r="B71">
        <f>A71</f>
        <v>4.54</v>
      </c>
      <c r="C71">
        <f>C70</f>
        <v>4.95</v>
      </c>
      <c r="D71" s="2">
        <v>9.48</v>
      </c>
      <c r="E71" s="1">
        <f t="shared" si="34"/>
        <v>0.115062</v>
      </c>
      <c r="F71" s="1">
        <f>B71*9.8</f>
        <v>44.492000000000004</v>
      </c>
      <c r="H71" s="1">
        <f t="shared" ref="H71:H74" si="35">F71/E71</f>
        <v>386.67848638125537</v>
      </c>
      <c r="J71" s="2">
        <v>246</v>
      </c>
    </row>
    <row r="72" spans="1:11" x14ac:dyDescent="0.25">
      <c r="A72">
        <v>4.5750000000000002</v>
      </c>
      <c r="B72">
        <f>B71+A72</f>
        <v>9.1150000000000002</v>
      </c>
      <c r="C72">
        <f t="shared" ref="C72:C74" si="36">C71</f>
        <v>4.95</v>
      </c>
      <c r="D72" s="2">
        <v>14.4</v>
      </c>
      <c r="E72" s="1">
        <f t="shared" si="34"/>
        <v>0.24002999999999997</v>
      </c>
      <c r="F72" s="1">
        <f t="shared" ref="F72:F74" si="37">B72*9.8</f>
        <v>89.327000000000012</v>
      </c>
      <c r="H72" s="1">
        <f t="shared" si="35"/>
        <v>372.14931466899981</v>
      </c>
      <c r="J72" s="2">
        <v>369</v>
      </c>
      <c r="K72">
        <v>380</v>
      </c>
    </row>
    <row r="73" spans="1:11" x14ac:dyDescent="0.25">
      <c r="A73">
        <v>4.6349999999999998</v>
      </c>
      <c r="B73">
        <f t="shared" ref="B73:B74" si="38">B72+A73</f>
        <v>13.75</v>
      </c>
      <c r="C73">
        <f t="shared" si="36"/>
        <v>4.95</v>
      </c>
      <c r="D73" s="2">
        <v>18.5</v>
      </c>
      <c r="E73" s="1">
        <f t="shared" si="34"/>
        <v>0.34417000000000003</v>
      </c>
      <c r="F73" s="1">
        <f t="shared" si="37"/>
        <v>134.75</v>
      </c>
      <c r="H73" s="1">
        <f t="shared" si="35"/>
        <v>391.52163175175053</v>
      </c>
      <c r="J73" s="2">
        <v>497</v>
      </c>
    </row>
    <row r="74" spans="1:11" x14ac:dyDescent="0.25">
      <c r="A74">
        <v>4.548</v>
      </c>
      <c r="B74">
        <f t="shared" si="38"/>
        <v>18.298000000000002</v>
      </c>
      <c r="C74">
        <f t="shared" si="36"/>
        <v>4.95</v>
      </c>
      <c r="D74" s="2">
        <v>23.1</v>
      </c>
      <c r="E74" s="1">
        <f t="shared" si="34"/>
        <v>0.46101000000000003</v>
      </c>
      <c r="F74" s="1">
        <f t="shared" si="37"/>
        <v>179.32040000000003</v>
      </c>
      <c r="H74" s="1">
        <f t="shared" si="35"/>
        <v>388.97290731220585</v>
      </c>
      <c r="J74" s="2">
        <v>633</v>
      </c>
    </row>
    <row r="75" spans="1:11" x14ac:dyDescent="0.25">
      <c r="G75" t="s">
        <v>19</v>
      </c>
      <c r="H75" s="1">
        <f>AVERAGE(H71:H74)</f>
        <v>384.83058502855283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E38" sqref="E38"/>
    </sheetView>
  </sheetViews>
  <sheetFormatPr defaultRowHeight="15" x14ac:dyDescent="0.25"/>
  <sheetData>
    <row r="2" spans="1:2" x14ac:dyDescent="0.25">
      <c r="A2" t="s">
        <v>27</v>
      </c>
      <c r="B2" t="s">
        <v>28</v>
      </c>
    </row>
    <row r="3" spans="1:2" x14ac:dyDescent="0.25">
      <c r="A3">
        <v>400</v>
      </c>
      <c r="B3">
        <v>20</v>
      </c>
    </row>
    <row r="4" spans="1:2" x14ac:dyDescent="0.25">
      <c r="A4">
        <v>600</v>
      </c>
      <c r="B4">
        <v>20</v>
      </c>
    </row>
    <row r="5" spans="1:2" x14ac:dyDescent="0.25">
      <c r="A5">
        <v>800</v>
      </c>
      <c r="B5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workbookViewId="0">
      <selection activeCell="E5" sqref="E5"/>
    </sheetView>
  </sheetViews>
  <sheetFormatPr defaultRowHeight="15" x14ac:dyDescent="0.25"/>
  <sheetData>
    <row r="2" spans="1:13" x14ac:dyDescent="0.25">
      <c r="G2" t="s">
        <v>30</v>
      </c>
      <c r="H2" s="15">
        <v>39.370100000000001</v>
      </c>
    </row>
    <row r="7" spans="1:13" x14ac:dyDescent="0.25">
      <c r="A7" s="12" t="s">
        <v>24</v>
      </c>
      <c r="B7" s="11">
        <v>400</v>
      </c>
      <c r="C7" s="12" t="s">
        <v>17</v>
      </c>
      <c r="D7" s="11"/>
      <c r="E7" s="12"/>
      <c r="F7" s="12"/>
      <c r="G7" s="12"/>
      <c r="H7" s="12"/>
      <c r="I7" s="12"/>
      <c r="J7" s="12"/>
    </row>
    <row r="8" spans="1:13" x14ac:dyDescent="0.25">
      <c r="A8" s="13" t="s">
        <v>29</v>
      </c>
      <c r="B8" s="13" t="s">
        <v>4</v>
      </c>
      <c r="C8" s="13" t="s">
        <v>5</v>
      </c>
      <c r="D8" s="13" t="s">
        <v>14</v>
      </c>
      <c r="E8" s="14" t="s">
        <v>7</v>
      </c>
      <c r="F8" s="14" t="s">
        <v>8</v>
      </c>
      <c r="G8" s="13" t="s">
        <v>9</v>
      </c>
      <c r="H8" s="14" t="s">
        <v>10</v>
      </c>
      <c r="I8" s="14"/>
      <c r="J8" s="14" t="s">
        <v>18</v>
      </c>
    </row>
    <row r="9" spans="1:13" x14ac:dyDescent="0.25">
      <c r="C9" s="2">
        <v>7.9</v>
      </c>
      <c r="E9" s="1"/>
      <c r="F9" s="1"/>
      <c r="H9" s="1"/>
      <c r="J9" s="16"/>
      <c r="L9" t="s">
        <v>17</v>
      </c>
      <c r="M9" t="s">
        <v>32</v>
      </c>
    </row>
    <row r="10" spans="1:13" x14ac:dyDescent="0.25">
      <c r="A10">
        <v>4.54</v>
      </c>
      <c r="B10">
        <f>A10</f>
        <v>4.54</v>
      </c>
      <c r="C10">
        <f>C9</f>
        <v>7.9</v>
      </c>
      <c r="D10" s="2">
        <f>inchtometers*E10</f>
        <v>4.3791362230000006</v>
      </c>
      <c r="E10" s="1">
        <f>F10/$B$7</f>
        <v>0.11123000000000001</v>
      </c>
      <c r="F10" s="1">
        <f>B10*9.8</f>
        <v>44.492000000000004</v>
      </c>
      <c r="H10" s="1">
        <f t="shared" ref="H10:H13" si="0">F10/E10</f>
        <v>400</v>
      </c>
      <c r="J10" s="16"/>
      <c r="K10">
        <f>$C$9+D10</f>
        <v>12.279136223000002</v>
      </c>
      <c r="L10">
        <v>56</v>
      </c>
    </row>
    <row r="11" spans="1:13" x14ac:dyDescent="0.25">
      <c r="A11">
        <v>4.5750000000000002</v>
      </c>
      <c r="B11">
        <f>B10+A11</f>
        <v>9.1150000000000002</v>
      </c>
      <c r="C11">
        <f t="shared" ref="C11:C13" si="1">C10</f>
        <v>7.9</v>
      </c>
      <c r="D11" s="2">
        <f>inchtometers*E11</f>
        <v>8.7920323067500021</v>
      </c>
      <c r="E11" s="1">
        <f t="shared" ref="E11:E13" si="2">F11/$B$7</f>
        <v>0.22331750000000003</v>
      </c>
      <c r="F11" s="1">
        <f t="shared" ref="F11:F13" si="3">B11*9.8</f>
        <v>89.327000000000012</v>
      </c>
      <c r="H11" s="1">
        <f t="shared" si="0"/>
        <v>400</v>
      </c>
      <c r="J11" s="16"/>
      <c r="K11">
        <f t="shared" ref="K11:K13" si="4">$C$9+D11</f>
        <v>16.692032306750001</v>
      </c>
      <c r="L11">
        <v>58</v>
      </c>
      <c r="M11">
        <v>-0.81599999999999995</v>
      </c>
    </row>
    <row r="12" spans="1:13" x14ac:dyDescent="0.25">
      <c r="A12">
        <v>4.6349999999999998</v>
      </c>
      <c r="B12">
        <f t="shared" ref="B12:B13" si="5">B11+A12</f>
        <v>13.75</v>
      </c>
      <c r="C12">
        <f t="shared" si="1"/>
        <v>7.9</v>
      </c>
      <c r="D12" s="2">
        <f>inchtometers*E12</f>
        <v>13.2628024375</v>
      </c>
      <c r="E12" s="1">
        <f t="shared" si="2"/>
        <v>0.33687499999999998</v>
      </c>
      <c r="F12" s="1">
        <f t="shared" si="3"/>
        <v>134.75</v>
      </c>
      <c r="H12" s="1">
        <f t="shared" si="0"/>
        <v>400</v>
      </c>
      <c r="J12" s="16"/>
      <c r="K12">
        <f t="shared" si="4"/>
        <v>21.162802437499998</v>
      </c>
      <c r="L12">
        <v>65</v>
      </c>
    </row>
    <row r="13" spans="1:13" x14ac:dyDescent="0.25">
      <c r="A13">
        <v>4.54</v>
      </c>
      <c r="B13">
        <f t="shared" si="5"/>
        <v>18.29</v>
      </c>
      <c r="C13">
        <f t="shared" si="1"/>
        <v>7.9</v>
      </c>
      <c r="D13" s="2">
        <f>inchtometers*E13</f>
        <v>17.641938660500003</v>
      </c>
      <c r="E13" s="1">
        <f t="shared" si="2"/>
        <v>0.44810500000000003</v>
      </c>
      <c r="F13" s="1">
        <f t="shared" si="3"/>
        <v>179.24200000000002</v>
      </c>
      <c r="H13" s="1">
        <f t="shared" si="0"/>
        <v>400</v>
      </c>
      <c r="J13" s="16"/>
      <c r="K13">
        <f t="shared" si="4"/>
        <v>25.541938660500001</v>
      </c>
      <c r="L13">
        <v>65</v>
      </c>
    </row>
    <row r="14" spans="1:13" x14ac:dyDescent="0.25">
      <c r="G14" t="s">
        <v>19</v>
      </c>
      <c r="H14" s="1">
        <f>AVERAGE(H10:H13)</f>
        <v>400</v>
      </c>
      <c r="J14" s="1"/>
    </row>
    <row r="16" spans="1:13" x14ac:dyDescent="0.25">
      <c r="A16" s="12" t="s">
        <v>24</v>
      </c>
      <c r="B16" s="11">
        <v>600</v>
      </c>
      <c r="C16" s="12" t="s">
        <v>17</v>
      </c>
      <c r="D16" s="11"/>
      <c r="E16" s="12"/>
      <c r="F16" s="12"/>
      <c r="G16" s="12"/>
      <c r="H16" s="12"/>
      <c r="I16" s="12"/>
      <c r="J16" s="12"/>
    </row>
    <row r="17" spans="1:13" x14ac:dyDescent="0.25">
      <c r="A17" s="13" t="s">
        <v>29</v>
      </c>
      <c r="B17" s="13" t="s">
        <v>4</v>
      </c>
      <c r="C17" s="13" t="s">
        <v>5</v>
      </c>
      <c r="D17" s="13" t="s">
        <v>14</v>
      </c>
      <c r="E17" s="14" t="s">
        <v>7</v>
      </c>
      <c r="F17" s="14" t="s">
        <v>8</v>
      </c>
      <c r="G17" s="13" t="s">
        <v>9</v>
      </c>
      <c r="H17" s="14" t="s">
        <v>10</v>
      </c>
      <c r="I17" s="14"/>
      <c r="J17" s="14" t="s">
        <v>18</v>
      </c>
    </row>
    <row r="18" spans="1:13" x14ac:dyDescent="0.25">
      <c r="C18" s="2">
        <v>2.59</v>
      </c>
      <c r="E18" s="1"/>
      <c r="F18" s="1"/>
      <c r="H18" s="1"/>
      <c r="J18" s="16"/>
    </row>
    <row r="19" spans="1:13" x14ac:dyDescent="0.25">
      <c r="A19">
        <v>4.54</v>
      </c>
      <c r="B19">
        <f>A19</f>
        <v>4.54</v>
      </c>
      <c r="C19">
        <f>C18</f>
        <v>2.59</v>
      </c>
      <c r="D19" s="2">
        <f>inchtometers*E19</f>
        <v>2.9194241486666668</v>
      </c>
      <c r="E19" s="1">
        <f>F19/$B$16</f>
        <v>7.4153333333333335E-2</v>
      </c>
      <c r="F19" s="1">
        <f>B19*9.8</f>
        <v>44.492000000000004</v>
      </c>
      <c r="H19" s="1">
        <f t="shared" ref="H19:H22" si="6">F19/E19</f>
        <v>600</v>
      </c>
      <c r="J19" s="16"/>
      <c r="K19">
        <f>$C$18+D19</f>
        <v>5.5094241486666666</v>
      </c>
      <c r="M19">
        <v>5.5</v>
      </c>
    </row>
    <row r="20" spans="1:13" x14ac:dyDescent="0.25">
      <c r="A20">
        <v>4.5750000000000002</v>
      </c>
      <c r="B20">
        <f>B19+A20</f>
        <v>9.1150000000000002</v>
      </c>
      <c r="C20">
        <f t="shared" ref="C20:C22" si="7">C19</f>
        <v>2.59</v>
      </c>
      <c r="D20" s="2">
        <f>inchtometers*E20</f>
        <v>5.8613548711666681</v>
      </c>
      <c r="E20" s="1">
        <f t="shared" ref="E20:E22" si="8">F20/$B$16</f>
        <v>0.14887833333333336</v>
      </c>
      <c r="F20" s="1">
        <f t="shared" ref="F20:F22" si="9">B20*9.8</f>
        <v>89.327000000000012</v>
      </c>
      <c r="H20" s="1">
        <f t="shared" si="6"/>
        <v>600</v>
      </c>
      <c r="J20" s="16"/>
      <c r="K20">
        <f t="shared" ref="K20:K22" si="10">$C$18+D20</f>
        <v>8.4513548711666679</v>
      </c>
    </row>
    <row r="21" spans="1:13" x14ac:dyDescent="0.25">
      <c r="A21">
        <v>4.6349999999999998</v>
      </c>
      <c r="B21">
        <f t="shared" ref="B21:B22" si="11">B20+A21</f>
        <v>13.75</v>
      </c>
      <c r="C21">
        <f t="shared" si="7"/>
        <v>2.59</v>
      </c>
      <c r="D21" s="2">
        <f>inchtometers*E21</f>
        <v>8.8418682916666675</v>
      </c>
      <c r="E21" s="1">
        <f t="shared" si="8"/>
        <v>0.22458333333333333</v>
      </c>
      <c r="F21" s="1">
        <f t="shared" si="9"/>
        <v>134.75</v>
      </c>
      <c r="H21" s="1">
        <f t="shared" si="6"/>
        <v>600</v>
      </c>
      <c r="J21" s="16"/>
      <c r="K21">
        <f t="shared" si="10"/>
        <v>11.431868291666667</v>
      </c>
    </row>
    <row r="22" spans="1:13" x14ac:dyDescent="0.25">
      <c r="A22">
        <v>4.54</v>
      </c>
      <c r="B22">
        <f t="shared" si="11"/>
        <v>18.29</v>
      </c>
      <c r="C22">
        <f t="shared" si="7"/>
        <v>2.59</v>
      </c>
      <c r="D22" s="2">
        <f>inchtometers*E22</f>
        <v>11.761292440333335</v>
      </c>
      <c r="E22" s="1">
        <f t="shared" si="8"/>
        <v>0.29873666666666671</v>
      </c>
      <c r="F22" s="1">
        <f t="shared" si="9"/>
        <v>179.24200000000002</v>
      </c>
      <c r="H22" s="1">
        <f t="shared" si="6"/>
        <v>600</v>
      </c>
      <c r="J22" s="16"/>
      <c r="K22">
        <f t="shared" si="10"/>
        <v>14.351292440333335</v>
      </c>
    </row>
    <row r="23" spans="1:13" x14ac:dyDescent="0.25">
      <c r="G23" t="s">
        <v>19</v>
      </c>
      <c r="H23" s="1">
        <f>AVERAGE(H19:H22)</f>
        <v>600</v>
      </c>
      <c r="J23" s="1"/>
    </row>
    <row r="25" spans="1:13" x14ac:dyDescent="0.25">
      <c r="A25" s="12" t="s">
        <v>24</v>
      </c>
      <c r="B25" s="11">
        <v>800</v>
      </c>
      <c r="C25" s="12" t="s">
        <v>17</v>
      </c>
      <c r="D25" s="11"/>
      <c r="E25" s="12"/>
      <c r="F25" s="12"/>
      <c r="G25" s="12"/>
      <c r="H25" s="12"/>
      <c r="I25" s="12"/>
      <c r="J25" s="12"/>
    </row>
    <row r="26" spans="1:13" x14ac:dyDescent="0.25">
      <c r="A26" s="13" t="s">
        <v>29</v>
      </c>
      <c r="B26" s="13" t="s">
        <v>4</v>
      </c>
      <c r="C26" s="13" t="s">
        <v>5</v>
      </c>
      <c r="D26" s="13" t="s">
        <v>14</v>
      </c>
      <c r="E26" s="14" t="s">
        <v>7</v>
      </c>
      <c r="F26" s="14" t="s">
        <v>8</v>
      </c>
      <c r="G26" s="13" t="s">
        <v>9</v>
      </c>
      <c r="H26" s="14" t="s">
        <v>10</v>
      </c>
      <c r="I26" s="14"/>
      <c r="J26" s="14" t="s">
        <v>18</v>
      </c>
    </row>
    <row r="27" spans="1:13" x14ac:dyDescent="0.25">
      <c r="C27" s="2">
        <v>7.9</v>
      </c>
      <c r="E27" s="1"/>
      <c r="F27" s="1"/>
      <c r="H27" s="1"/>
      <c r="J27" s="16"/>
    </row>
    <row r="28" spans="1:13" x14ac:dyDescent="0.25">
      <c r="A28">
        <v>4.54</v>
      </c>
      <c r="B28">
        <f>A28</f>
        <v>4.54</v>
      </c>
      <c r="C28">
        <f>C27</f>
        <v>7.9</v>
      </c>
      <c r="D28" s="2">
        <f>inchtometers*E28</f>
        <v>2.1895681115000003</v>
      </c>
      <c r="E28" s="1">
        <f>F28/$B$25</f>
        <v>5.5615000000000005E-2</v>
      </c>
      <c r="F28" s="1">
        <f>B28*9.8</f>
        <v>44.492000000000004</v>
      </c>
      <c r="H28" s="1">
        <f t="shared" ref="H28:H31" si="12">F28/E28</f>
        <v>800</v>
      </c>
      <c r="J28" s="16"/>
    </row>
    <row r="29" spans="1:13" x14ac:dyDescent="0.25">
      <c r="A29">
        <v>4.5750000000000002</v>
      </c>
      <c r="B29">
        <f>B28+A29</f>
        <v>9.1150000000000002</v>
      </c>
      <c r="C29">
        <f t="shared" ref="C29:C31" si="13">C28</f>
        <v>7.9</v>
      </c>
      <c r="D29" s="2">
        <f>inchtometers*E29</f>
        <v>4.3960161533750011</v>
      </c>
      <c r="E29" s="1">
        <f t="shared" ref="E29:E31" si="14">F29/$B$25</f>
        <v>0.11165875000000001</v>
      </c>
      <c r="F29" s="1">
        <f t="shared" ref="F29:F31" si="15">B29*9.8</f>
        <v>89.327000000000012</v>
      </c>
      <c r="H29" s="1">
        <f t="shared" si="12"/>
        <v>800</v>
      </c>
      <c r="J29" s="16"/>
    </row>
    <row r="30" spans="1:13" x14ac:dyDescent="0.25">
      <c r="A30">
        <v>4.6349999999999998</v>
      </c>
      <c r="B30">
        <f t="shared" ref="B30:B31" si="16">B29+A30</f>
        <v>13.75</v>
      </c>
      <c r="C30">
        <f t="shared" si="13"/>
        <v>7.9</v>
      </c>
      <c r="D30" s="2">
        <f>inchtometers*E30</f>
        <v>6.6314012187499998</v>
      </c>
      <c r="E30" s="1">
        <f t="shared" si="14"/>
        <v>0.16843749999999999</v>
      </c>
      <c r="F30" s="1">
        <f t="shared" si="15"/>
        <v>134.75</v>
      </c>
      <c r="H30" s="1">
        <f t="shared" si="12"/>
        <v>800</v>
      </c>
      <c r="J30" s="16"/>
    </row>
    <row r="31" spans="1:13" x14ac:dyDescent="0.25">
      <c r="A31">
        <v>4.54</v>
      </c>
      <c r="B31">
        <f t="shared" si="16"/>
        <v>18.29</v>
      </c>
      <c r="C31">
        <f t="shared" si="13"/>
        <v>7.9</v>
      </c>
      <c r="D31" s="2">
        <f>inchtometers*E31</f>
        <v>8.8209693302500014</v>
      </c>
      <c r="E31" s="1">
        <f t="shared" si="14"/>
        <v>0.22405250000000002</v>
      </c>
      <c r="F31" s="1">
        <f t="shared" si="15"/>
        <v>179.24200000000002</v>
      </c>
      <c r="H31" s="1">
        <f t="shared" si="12"/>
        <v>800</v>
      </c>
      <c r="J31" s="16"/>
    </row>
    <row r="32" spans="1:13" x14ac:dyDescent="0.25">
      <c r="G32" t="s">
        <v>19</v>
      </c>
      <c r="H32" s="1">
        <f>AVERAGE(H28:H31)</f>
        <v>800</v>
      </c>
      <c r="J32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89"/>
  <sheetViews>
    <sheetView topLeftCell="A145" workbookViewId="0">
      <selection activeCell="C171" sqref="C171"/>
    </sheetView>
  </sheetViews>
  <sheetFormatPr defaultRowHeight="15" x14ac:dyDescent="0.25"/>
  <sheetData>
    <row r="2" spans="2:11" x14ac:dyDescent="0.25">
      <c r="E2" t="s">
        <v>30</v>
      </c>
      <c r="F2" s="15">
        <v>39.370100000000001</v>
      </c>
    </row>
    <row r="4" spans="2:11" ht="15.75" thickBot="1" x14ac:dyDescent="0.3"/>
    <row r="5" spans="2:11" x14ac:dyDescent="0.25">
      <c r="B5" s="17" t="s">
        <v>17</v>
      </c>
      <c r="C5" s="11">
        <v>5</v>
      </c>
      <c r="D5" s="18" t="s">
        <v>24</v>
      </c>
      <c r="E5" s="11"/>
      <c r="F5" s="18"/>
      <c r="G5" s="18"/>
      <c r="H5" s="18"/>
      <c r="I5" s="18"/>
      <c r="J5" s="18"/>
      <c r="K5" s="19"/>
    </row>
    <row r="6" spans="2:11" x14ac:dyDescent="0.25">
      <c r="B6" s="20"/>
      <c r="C6" s="25" t="s">
        <v>4</v>
      </c>
      <c r="D6" s="25" t="s">
        <v>5</v>
      </c>
      <c r="E6" s="25" t="s">
        <v>14</v>
      </c>
      <c r="F6" s="25" t="s">
        <v>7</v>
      </c>
      <c r="G6" s="25" t="s">
        <v>8</v>
      </c>
      <c r="H6" s="25" t="s">
        <v>9</v>
      </c>
      <c r="I6" s="25" t="s">
        <v>10</v>
      </c>
      <c r="J6" s="25"/>
      <c r="K6" s="26" t="s">
        <v>18</v>
      </c>
    </row>
    <row r="7" spans="2:11" x14ac:dyDescent="0.25">
      <c r="B7" s="22"/>
      <c r="C7" s="23"/>
      <c r="D7" s="28">
        <v>2.27</v>
      </c>
      <c r="E7" s="23"/>
      <c r="F7" s="21"/>
      <c r="G7" s="21"/>
      <c r="H7" s="21"/>
      <c r="I7" s="21"/>
      <c r="J7" s="23"/>
      <c r="K7" s="27">
        <v>10</v>
      </c>
    </row>
    <row r="8" spans="2:11" x14ac:dyDescent="0.25">
      <c r="B8" s="22">
        <v>4.54</v>
      </c>
      <c r="C8" s="23">
        <f>B8</f>
        <v>4.54</v>
      </c>
      <c r="D8" s="23">
        <f>D7</f>
        <v>2.27</v>
      </c>
      <c r="E8" s="28">
        <v>2.6259999999999999</v>
      </c>
      <c r="F8" s="21">
        <f>(E8-D8)/$F$2</f>
        <v>9.0423951171066334E-3</v>
      </c>
      <c r="G8" s="21">
        <f>C8*9.8</f>
        <v>44.492000000000004</v>
      </c>
      <c r="H8" s="23"/>
      <c r="I8" s="21">
        <f t="shared" ref="I8:I11" si="0">G8/F8</f>
        <v>4920.3777786516875</v>
      </c>
      <c r="J8" s="23"/>
      <c r="K8" s="27"/>
    </row>
    <row r="9" spans="2:11" x14ac:dyDescent="0.25">
      <c r="B9" s="22">
        <v>4.5750000000000002</v>
      </c>
      <c r="C9" s="23">
        <f>C8+B9</f>
        <v>9.1150000000000002</v>
      </c>
      <c r="D9" s="23">
        <f t="shared" ref="D9:D11" si="1">D8</f>
        <v>2.27</v>
      </c>
      <c r="E9" s="28">
        <v>3</v>
      </c>
      <c r="F9" s="21">
        <f t="shared" ref="F9:F11" si="2">(E9-D9)/$F$2</f>
        <v>1.8541989987325407E-2</v>
      </c>
      <c r="G9" s="21">
        <f t="shared" ref="G9:G11" si="3">C9*9.8</f>
        <v>89.327000000000012</v>
      </c>
      <c r="H9" s="23"/>
      <c r="I9" s="21">
        <f t="shared" si="0"/>
        <v>4817.5519489041098</v>
      </c>
      <c r="J9" s="23"/>
      <c r="K9" s="27"/>
    </row>
    <row r="10" spans="2:11" x14ac:dyDescent="0.25">
      <c r="B10" s="22">
        <v>4.6349999999999998</v>
      </c>
      <c r="C10" s="23">
        <f t="shared" ref="C10:C11" si="4">C9+B10</f>
        <v>13.75</v>
      </c>
      <c r="D10" s="23">
        <f t="shared" si="1"/>
        <v>2.27</v>
      </c>
      <c r="E10" s="28">
        <v>3.3</v>
      </c>
      <c r="F10" s="21">
        <f t="shared" si="2"/>
        <v>2.6161985872527622E-2</v>
      </c>
      <c r="G10" s="21">
        <f t="shared" si="3"/>
        <v>134.75</v>
      </c>
      <c r="H10" s="23"/>
      <c r="I10" s="21">
        <f t="shared" si="0"/>
        <v>5150.6028883495155</v>
      </c>
      <c r="J10" s="23"/>
      <c r="K10" s="27"/>
    </row>
    <row r="11" spans="2:11" x14ac:dyDescent="0.25">
      <c r="B11" s="22">
        <v>4.54</v>
      </c>
      <c r="C11" s="23">
        <f t="shared" si="4"/>
        <v>18.29</v>
      </c>
      <c r="D11" s="23">
        <f t="shared" si="1"/>
        <v>2.27</v>
      </c>
      <c r="E11" s="28">
        <v>3.7290000000000001</v>
      </c>
      <c r="F11" s="21">
        <f t="shared" si="2"/>
        <v>3.7058579988366806E-2</v>
      </c>
      <c r="G11" s="21">
        <f t="shared" si="3"/>
        <v>179.24200000000002</v>
      </c>
      <c r="H11" s="23"/>
      <c r="I11" s="21">
        <f t="shared" si="0"/>
        <v>4836.7206745716248</v>
      </c>
      <c r="J11" s="23"/>
      <c r="K11" s="27"/>
    </row>
    <row r="12" spans="2:11" ht="15.75" thickBot="1" x14ac:dyDescent="0.3">
      <c r="B12" s="8"/>
      <c r="C12" s="9"/>
      <c r="D12" s="9"/>
      <c r="E12" s="9"/>
      <c r="F12" s="9"/>
      <c r="G12" s="9"/>
      <c r="H12" s="9" t="s">
        <v>33</v>
      </c>
      <c r="I12" s="29">
        <f>MEDIAN(I8:I10)</f>
        <v>4920.3777786516875</v>
      </c>
      <c r="J12" s="9">
        <f>MAX(I8:I11)-MIN(I8:I11)</f>
        <v>333.05093944540567</v>
      </c>
      <c r="K12" s="24"/>
    </row>
    <row r="15" spans="2:11" ht="15.75" thickBot="1" x14ac:dyDescent="0.3"/>
    <row r="16" spans="2:11" x14ac:dyDescent="0.25">
      <c r="B16" s="17" t="s">
        <v>17</v>
      </c>
      <c r="C16" s="11">
        <v>10</v>
      </c>
      <c r="D16" s="18" t="s">
        <v>24</v>
      </c>
      <c r="E16" s="11"/>
      <c r="F16" s="18"/>
      <c r="G16" s="18"/>
      <c r="H16" s="18"/>
      <c r="I16" s="18"/>
      <c r="J16" s="18"/>
      <c r="K16" s="19"/>
    </row>
    <row r="17" spans="2:11" x14ac:dyDescent="0.25">
      <c r="B17" s="20"/>
      <c r="C17" s="25" t="s">
        <v>4</v>
      </c>
      <c r="D17" s="25" t="s">
        <v>5</v>
      </c>
      <c r="E17" s="25" t="s">
        <v>14</v>
      </c>
      <c r="F17" s="25" t="s">
        <v>7</v>
      </c>
      <c r="G17" s="25" t="s">
        <v>8</v>
      </c>
      <c r="H17" s="25" t="s">
        <v>9</v>
      </c>
      <c r="I17" s="25" t="s">
        <v>10</v>
      </c>
      <c r="J17" s="25"/>
      <c r="K17" s="26" t="s">
        <v>18</v>
      </c>
    </row>
    <row r="18" spans="2:11" x14ac:dyDescent="0.25">
      <c r="B18" s="22"/>
      <c r="C18" s="23"/>
      <c r="D18" s="28">
        <v>2.625</v>
      </c>
      <c r="E18" s="23"/>
      <c r="F18" s="21"/>
      <c r="G18" s="21"/>
      <c r="H18" s="21"/>
      <c r="I18" s="21"/>
      <c r="J18" s="23"/>
      <c r="K18" s="27"/>
    </row>
    <row r="19" spans="2:11" x14ac:dyDescent="0.25">
      <c r="B19" s="22">
        <v>4.54</v>
      </c>
      <c r="C19" s="23">
        <f>B19</f>
        <v>4.54</v>
      </c>
      <c r="D19" s="23">
        <f>D18</f>
        <v>2.625</v>
      </c>
      <c r="E19" s="28">
        <v>3.25</v>
      </c>
      <c r="F19" s="21">
        <f>(E19-D19)/$F$2</f>
        <v>1.587499142750463E-2</v>
      </c>
      <c r="G19" s="21">
        <f>C19*9.8</f>
        <v>44.492000000000004</v>
      </c>
      <c r="H19" s="23"/>
      <c r="I19" s="21">
        <f t="shared" ref="I19:I22" si="5">G19/F19</f>
        <v>2802.6471827200003</v>
      </c>
      <c r="J19" s="23"/>
      <c r="K19" s="27"/>
    </row>
    <row r="20" spans="2:11" x14ac:dyDescent="0.25">
      <c r="B20" s="22">
        <v>4.5750000000000002</v>
      </c>
      <c r="C20" s="23">
        <f>C19+B20</f>
        <v>9.1150000000000002</v>
      </c>
      <c r="D20" s="23">
        <f t="shared" ref="D20:D22" si="6">D19</f>
        <v>2.625</v>
      </c>
      <c r="E20" s="28">
        <v>3.7250000000000001</v>
      </c>
      <c r="F20" s="21">
        <f t="shared" ref="F20:F22" si="7">(E20-D20)/$F$2</f>
        <v>2.793998491240815E-2</v>
      </c>
      <c r="G20" s="21">
        <f t="shared" ref="G20:G22" si="8">C20*9.8</f>
        <v>89.327000000000012</v>
      </c>
      <c r="H20" s="23"/>
      <c r="I20" s="21">
        <f t="shared" si="5"/>
        <v>3197.1026569999999</v>
      </c>
      <c r="J20" s="23"/>
      <c r="K20" s="27"/>
    </row>
    <row r="21" spans="2:11" x14ac:dyDescent="0.25">
      <c r="B21" s="22">
        <v>4.6349999999999998</v>
      </c>
      <c r="C21" s="23">
        <f t="shared" ref="C21:C22" si="9">C20+B21</f>
        <v>13.75</v>
      </c>
      <c r="D21" s="23">
        <f t="shared" si="6"/>
        <v>2.625</v>
      </c>
      <c r="E21" s="28">
        <v>4.51</v>
      </c>
      <c r="F21" s="21">
        <f t="shared" si="7"/>
        <v>4.7878974145353956E-2</v>
      </c>
      <c r="G21" s="21">
        <f t="shared" si="8"/>
        <v>134.75</v>
      </c>
      <c r="H21" s="23"/>
      <c r="I21" s="21">
        <f t="shared" si="5"/>
        <v>2814.3877851458888</v>
      </c>
      <c r="J21" s="23"/>
      <c r="K21" s="27"/>
    </row>
    <row r="22" spans="2:11" x14ac:dyDescent="0.25">
      <c r="B22" s="22">
        <v>4.54</v>
      </c>
      <c r="C22" s="23">
        <f t="shared" si="9"/>
        <v>18.29</v>
      </c>
      <c r="D22" s="23">
        <f t="shared" si="6"/>
        <v>2.625</v>
      </c>
      <c r="E22" s="28">
        <v>5.14</v>
      </c>
      <c r="F22" s="21">
        <f t="shared" si="7"/>
        <v>6.3880965504278617E-2</v>
      </c>
      <c r="G22" s="21">
        <f t="shared" si="8"/>
        <v>179.24200000000002</v>
      </c>
      <c r="H22" s="23"/>
      <c r="I22" s="21">
        <f t="shared" si="5"/>
        <v>2805.8749360636189</v>
      </c>
      <c r="J22" s="23"/>
      <c r="K22" s="27"/>
    </row>
    <row r="23" spans="2:11" ht="15.75" thickBot="1" x14ac:dyDescent="0.3">
      <c r="B23" s="8"/>
      <c r="C23" s="9"/>
      <c r="D23" s="9"/>
      <c r="E23" s="9"/>
      <c r="F23" s="9"/>
      <c r="G23" s="9"/>
      <c r="H23" s="9" t="s">
        <v>33</v>
      </c>
      <c r="I23" s="29">
        <f>MEDIAN(I19:I21)</f>
        <v>2814.3877851458888</v>
      </c>
      <c r="J23" s="9">
        <f>MAX(I19:I22)-MIN(I19:I22)</f>
        <v>394.45547427999963</v>
      </c>
      <c r="K23" s="24"/>
    </row>
    <row r="26" spans="2:11" ht="15.75" thickBot="1" x14ac:dyDescent="0.3"/>
    <row r="27" spans="2:11" x14ac:dyDescent="0.25">
      <c r="B27" s="17" t="s">
        <v>17</v>
      </c>
      <c r="C27" s="11">
        <v>15</v>
      </c>
      <c r="D27" s="18" t="s">
        <v>24</v>
      </c>
      <c r="E27" s="11"/>
      <c r="F27" s="18"/>
      <c r="G27" s="18"/>
      <c r="H27" s="18"/>
      <c r="I27" s="18"/>
      <c r="J27" s="18"/>
      <c r="K27" s="19"/>
    </row>
    <row r="28" spans="2:11" x14ac:dyDescent="0.25">
      <c r="B28" s="20"/>
      <c r="C28" s="25" t="s">
        <v>4</v>
      </c>
      <c r="D28" s="25" t="s">
        <v>5</v>
      </c>
      <c r="E28" s="25" t="s">
        <v>14</v>
      </c>
      <c r="F28" s="25" t="s">
        <v>7</v>
      </c>
      <c r="G28" s="25" t="s">
        <v>8</v>
      </c>
      <c r="H28" s="25" t="s">
        <v>9</v>
      </c>
      <c r="I28" s="25" t="s">
        <v>10</v>
      </c>
      <c r="J28" s="25"/>
      <c r="K28" s="26" t="s">
        <v>18</v>
      </c>
    </row>
    <row r="29" spans="2:11" x14ac:dyDescent="0.25">
      <c r="B29" s="22"/>
      <c r="C29" s="23"/>
      <c r="D29" s="28">
        <v>2.8</v>
      </c>
      <c r="E29" s="23"/>
      <c r="F29" s="21"/>
      <c r="G29" s="21"/>
      <c r="H29" s="21"/>
      <c r="I29" s="21"/>
      <c r="J29" s="23"/>
      <c r="K29" s="27">
        <v>-19</v>
      </c>
    </row>
    <row r="30" spans="2:11" x14ac:dyDescent="0.25">
      <c r="B30" s="22">
        <v>4.54</v>
      </c>
      <c r="C30" s="23">
        <f>B30</f>
        <v>4.54</v>
      </c>
      <c r="D30" s="23">
        <f>D29</f>
        <v>2.8</v>
      </c>
      <c r="E30" s="28">
        <v>3.9750000000000001</v>
      </c>
      <c r="F30" s="21">
        <f>(E30-D30)/$F$2</f>
        <v>2.9844983883708709E-2</v>
      </c>
      <c r="G30" s="21">
        <f>C30*9.8</f>
        <v>44.492000000000004</v>
      </c>
      <c r="H30" s="23"/>
      <c r="I30" s="21">
        <f t="shared" ref="I30:I33" si="10">G30/F30</f>
        <v>1490.7697780425531</v>
      </c>
      <c r="J30" s="23"/>
      <c r="K30" s="27"/>
    </row>
    <row r="31" spans="2:11" x14ac:dyDescent="0.25">
      <c r="B31" s="22">
        <v>4.5750000000000002</v>
      </c>
      <c r="C31" s="23">
        <f>C30+B31</f>
        <v>9.1150000000000002</v>
      </c>
      <c r="D31" s="23">
        <f t="shared" ref="D31:D33" si="11">D30</f>
        <v>2.8</v>
      </c>
      <c r="E31" s="28">
        <v>4.7249999999999996</v>
      </c>
      <c r="F31" s="21">
        <f t="shared" ref="F31:F33" si="12">(E31-D31)/$F$2</f>
        <v>4.8894973596714256E-2</v>
      </c>
      <c r="G31" s="21">
        <f t="shared" ref="G31:G33" si="13">C31*9.8</f>
        <v>89.327000000000012</v>
      </c>
      <c r="H31" s="23"/>
      <c r="I31" s="21">
        <f t="shared" si="10"/>
        <v>1826.9158040000004</v>
      </c>
      <c r="J31" s="23"/>
      <c r="K31" s="27"/>
    </row>
    <row r="32" spans="2:11" x14ac:dyDescent="0.25">
      <c r="B32" s="22">
        <v>4.6349999999999998</v>
      </c>
      <c r="C32" s="23">
        <f t="shared" ref="C32:C33" si="14">C31+B32</f>
        <v>13.75</v>
      </c>
      <c r="D32" s="23">
        <f t="shared" si="11"/>
        <v>2.8</v>
      </c>
      <c r="E32" s="28">
        <v>5.7</v>
      </c>
      <c r="F32" s="21">
        <f t="shared" si="12"/>
        <v>7.3659960223621493E-2</v>
      </c>
      <c r="G32" s="21">
        <f t="shared" si="13"/>
        <v>134.75</v>
      </c>
      <c r="H32" s="23"/>
      <c r="I32" s="21">
        <f t="shared" si="10"/>
        <v>1829.3520603448274</v>
      </c>
      <c r="J32" s="23"/>
      <c r="K32" s="27"/>
    </row>
    <row r="33" spans="2:13" x14ac:dyDescent="0.25">
      <c r="B33" s="22">
        <v>4.54</v>
      </c>
      <c r="C33" s="23">
        <f t="shared" si="14"/>
        <v>18.29</v>
      </c>
      <c r="D33" s="23">
        <f t="shared" si="11"/>
        <v>2.8</v>
      </c>
      <c r="E33" s="28">
        <v>6.7</v>
      </c>
      <c r="F33" s="21">
        <f t="shared" si="12"/>
        <v>9.9059946507628893E-2</v>
      </c>
      <c r="G33" s="21">
        <f t="shared" si="13"/>
        <v>179.24200000000002</v>
      </c>
      <c r="H33" s="23"/>
      <c r="I33" s="21">
        <f t="shared" si="10"/>
        <v>1809.4296062051283</v>
      </c>
      <c r="J33" s="23"/>
      <c r="K33" s="27"/>
    </row>
    <row r="34" spans="2:13" ht="15.75" thickBot="1" x14ac:dyDescent="0.3">
      <c r="B34" s="8"/>
      <c r="C34" s="9"/>
      <c r="D34" s="9"/>
      <c r="E34" s="9"/>
      <c r="F34" s="9"/>
      <c r="G34" s="9"/>
      <c r="H34" s="9" t="s">
        <v>33</v>
      </c>
      <c r="I34" s="29">
        <f>MEDIAN(I30:I32)</f>
        <v>1826.9158040000004</v>
      </c>
      <c r="J34" s="9">
        <f>MAX(I30:I33)-MIN(I30:I33)</f>
        <v>338.58228230227428</v>
      </c>
      <c r="K34" s="24"/>
    </row>
    <row r="36" spans="2:13" ht="15.75" thickBot="1" x14ac:dyDescent="0.3"/>
    <row r="37" spans="2:13" x14ac:dyDescent="0.25">
      <c r="B37" s="17" t="s">
        <v>17</v>
      </c>
      <c r="C37" s="11">
        <v>20</v>
      </c>
      <c r="D37" s="18" t="s">
        <v>24</v>
      </c>
      <c r="E37" s="11"/>
      <c r="F37" s="18"/>
      <c r="G37" s="18"/>
      <c r="H37" s="18"/>
      <c r="I37" s="18"/>
      <c r="J37" s="18"/>
      <c r="K37" s="19"/>
    </row>
    <row r="38" spans="2:13" x14ac:dyDescent="0.25">
      <c r="B38" s="20"/>
      <c r="C38" s="25" t="s">
        <v>4</v>
      </c>
      <c r="D38" s="25" t="s">
        <v>5</v>
      </c>
      <c r="E38" s="25" t="s">
        <v>14</v>
      </c>
      <c r="F38" s="25" t="s">
        <v>7</v>
      </c>
      <c r="G38" s="25" t="s">
        <v>8</v>
      </c>
      <c r="H38" s="25" t="s">
        <v>9</v>
      </c>
      <c r="I38" s="25" t="s">
        <v>10</v>
      </c>
      <c r="J38" s="25"/>
      <c r="K38" s="26" t="s">
        <v>18</v>
      </c>
    </row>
    <row r="39" spans="2:13" x14ac:dyDescent="0.25">
      <c r="B39" s="22"/>
      <c r="C39" s="23"/>
      <c r="D39" s="28">
        <v>3.125</v>
      </c>
      <c r="E39" s="23"/>
      <c r="F39" s="21"/>
      <c r="G39" s="21"/>
      <c r="H39" s="21"/>
      <c r="I39" s="21"/>
      <c r="J39" s="23"/>
      <c r="K39" s="27">
        <v>-26</v>
      </c>
    </row>
    <row r="40" spans="2:13" x14ac:dyDescent="0.25">
      <c r="B40" s="22">
        <v>4.54</v>
      </c>
      <c r="C40" s="23">
        <f>B40</f>
        <v>4.54</v>
      </c>
      <c r="D40" s="23">
        <f>D39</f>
        <v>3.125</v>
      </c>
      <c r="E40" s="28">
        <v>4.49</v>
      </c>
      <c r="F40" s="21">
        <f>(E40-D40)/$F$2</f>
        <v>3.4670981277670113E-2</v>
      </c>
      <c r="G40" s="21">
        <f>C40*9.8</f>
        <v>44.492000000000004</v>
      </c>
      <c r="H40" s="23"/>
      <c r="I40" s="21">
        <f t="shared" ref="I40:I43" si="15">G40/F40</f>
        <v>1283.263362051282</v>
      </c>
      <c r="J40" s="23"/>
      <c r="K40" s="27">
        <v>-64</v>
      </c>
      <c r="M40">
        <f t="shared" ref="M40:M42" si="16">E40/(K40-$K$39)</f>
        <v>-0.11815789473684211</v>
      </c>
    </row>
    <row r="41" spans="2:13" x14ac:dyDescent="0.25">
      <c r="B41" s="22">
        <v>4.5750000000000002</v>
      </c>
      <c r="C41" s="23">
        <f>C40+B41</f>
        <v>9.1150000000000002</v>
      </c>
      <c r="D41" s="23">
        <f t="shared" ref="D41:D43" si="17">D40</f>
        <v>3.125</v>
      </c>
      <c r="E41" s="28">
        <v>5.625</v>
      </c>
      <c r="F41" s="21">
        <f t="shared" ref="F41:F43" si="18">(E41-D41)/$F$2</f>
        <v>6.3499965710018522E-2</v>
      </c>
      <c r="G41" s="21">
        <f t="shared" ref="G41:G43" si="19">C41*9.8</f>
        <v>89.327000000000012</v>
      </c>
      <c r="H41" s="23"/>
      <c r="I41" s="21">
        <f t="shared" si="15"/>
        <v>1406.7251690800001</v>
      </c>
      <c r="J41" s="23"/>
      <c r="K41" s="27">
        <v>-98</v>
      </c>
      <c r="M41">
        <f t="shared" si="16"/>
        <v>-7.8125E-2</v>
      </c>
    </row>
    <row r="42" spans="2:13" x14ac:dyDescent="0.25">
      <c r="B42" s="22">
        <v>4.6349999999999998</v>
      </c>
      <c r="C42" s="23">
        <f t="shared" ref="C42:C43" si="20">C41+B42</f>
        <v>13.75</v>
      </c>
      <c r="D42" s="23">
        <f t="shared" si="17"/>
        <v>3.125</v>
      </c>
      <c r="E42" s="28">
        <v>6.875</v>
      </c>
      <c r="F42" s="21">
        <f t="shared" si="18"/>
        <v>9.5249948565027776E-2</v>
      </c>
      <c r="G42" s="21">
        <f t="shared" si="19"/>
        <v>134.75</v>
      </c>
      <c r="H42" s="23"/>
      <c r="I42" s="21">
        <f t="shared" si="15"/>
        <v>1414.6989266666667</v>
      </c>
      <c r="J42" s="23"/>
      <c r="K42" s="27">
        <v>-133</v>
      </c>
      <c r="M42">
        <f t="shared" si="16"/>
        <v>-6.4252336448598124E-2</v>
      </c>
    </row>
    <row r="43" spans="2:13" x14ac:dyDescent="0.25">
      <c r="B43" s="22">
        <v>4.54</v>
      </c>
      <c r="C43" s="23">
        <f t="shared" si="20"/>
        <v>18.29</v>
      </c>
      <c r="D43" s="23">
        <f t="shared" si="17"/>
        <v>3.125</v>
      </c>
      <c r="E43" s="28">
        <v>8.1999999999999993</v>
      </c>
      <c r="F43" s="21">
        <f t="shared" si="18"/>
        <v>0.12890493039133757</v>
      </c>
      <c r="G43" s="21">
        <f t="shared" si="19"/>
        <v>179.24200000000002</v>
      </c>
      <c r="H43" s="23"/>
      <c r="I43" s="21">
        <f t="shared" si="15"/>
        <v>1390.4976284137933</v>
      </c>
      <c r="J43" s="23"/>
      <c r="K43" s="27">
        <v>-169</v>
      </c>
      <c r="M43">
        <f>E43/(K43-$K$39)</f>
        <v>-5.7342657342657338E-2</v>
      </c>
    </row>
    <row r="44" spans="2:13" ht="15.75" thickBot="1" x14ac:dyDescent="0.3">
      <c r="B44" s="8"/>
      <c r="C44" s="9"/>
      <c r="D44" s="9"/>
      <c r="E44" s="9"/>
      <c r="F44" s="9"/>
      <c r="G44" s="9"/>
      <c r="H44" s="9" t="s">
        <v>33</v>
      </c>
      <c r="I44" s="29">
        <f>MEDIAN(I40:I42)</f>
        <v>1406.7251690800001</v>
      </c>
      <c r="J44" s="9">
        <f>MAX(I40:I43)-MIN(I40:I43)</f>
        <v>131.43556461538469</v>
      </c>
      <c r="K44" s="24"/>
    </row>
    <row r="45" spans="2:13" ht="15.75" thickBot="1" x14ac:dyDescent="0.3"/>
    <row r="46" spans="2:13" x14ac:dyDescent="0.25">
      <c r="B46" s="17" t="s">
        <v>17</v>
      </c>
      <c r="C46" s="11">
        <v>25</v>
      </c>
      <c r="D46" s="18" t="s">
        <v>24</v>
      </c>
      <c r="E46" s="11"/>
      <c r="F46" s="18"/>
      <c r="G46" s="18"/>
      <c r="H46" s="18"/>
      <c r="I46" s="18"/>
      <c r="J46" s="18"/>
      <c r="K46" s="19"/>
    </row>
    <row r="47" spans="2:13" x14ac:dyDescent="0.25">
      <c r="B47" s="20"/>
      <c r="C47" s="25" t="s">
        <v>4</v>
      </c>
      <c r="D47" s="25" t="s">
        <v>5</v>
      </c>
      <c r="E47" s="25" t="s">
        <v>14</v>
      </c>
      <c r="F47" s="25" t="s">
        <v>7</v>
      </c>
      <c r="G47" s="25" t="s">
        <v>8</v>
      </c>
      <c r="H47" s="25" t="s">
        <v>9</v>
      </c>
      <c r="I47" s="25" t="s">
        <v>10</v>
      </c>
      <c r="J47" s="25"/>
      <c r="K47" s="26" t="s">
        <v>18</v>
      </c>
    </row>
    <row r="48" spans="2:13" x14ac:dyDescent="0.25">
      <c r="B48" s="22"/>
      <c r="C48" s="23"/>
      <c r="D48" s="28">
        <v>3.6</v>
      </c>
      <c r="E48" s="23"/>
      <c r="F48" s="21"/>
      <c r="G48" s="21"/>
      <c r="H48" s="21"/>
      <c r="I48" s="21"/>
      <c r="J48" s="23"/>
      <c r="K48" s="27">
        <v>37</v>
      </c>
    </row>
    <row r="49" spans="2:13" x14ac:dyDescent="0.25">
      <c r="B49" s="22">
        <v>4.54</v>
      </c>
      <c r="C49" s="23">
        <f>B49</f>
        <v>4.54</v>
      </c>
      <c r="D49" s="23">
        <f>D48</f>
        <v>3.6</v>
      </c>
      <c r="E49" s="28">
        <v>5.2</v>
      </c>
      <c r="F49" s="21">
        <f>(E49-D49)/$F$2</f>
        <v>4.063997805441185E-2</v>
      </c>
      <c r="G49" s="21">
        <f>C49*9.8</f>
        <v>44.492000000000004</v>
      </c>
      <c r="H49" s="23"/>
      <c r="I49" s="21">
        <f t="shared" ref="I49:I52" si="21">G49/F49</f>
        <v>1094.7840557500001</v>
      </c>
      <c r="J49" s="23"/>
      <c r="K49" s="27">
        <v>87</v>
      </c>
      <c r="M49">
        <f>E49/(K49-$K$48)</f>
        <v>0.10400000000000001</v>
      </c>
    </row>
    <row r="50" spans="2:13" x14ac:dyDescent="0.25">
      <c r="B50" s="22">
        <v>4.5750000000000002</v>
      </c>
      <c r="C50" s="23">
        <f>C49+B50</f>
        <v>9.1150000000000002</v>
      </c>
      <c r="D50" s="23">
        <f t="shared" ref="D50:D52" si="22">D49</f>
        <v>3.6</v>
      </c>
      <c r="E50" s="28">
        <v>6.63</v>
      </c>
      <c r="F50" s="21">
        <f t="shared" ref="F50:F52" si="23">(E50-D50)/$F$2</f>
        <v>7.6961958440542433E-2</v>
      </c>
      <c r="G50" s="21">
        <f t="shared" ref="G50:G52" si="24">C50*9.8</f>
        <v>89.327000000000012</v>
      </c>
      <c r="H50" s="23"/>
      <c r="I50" s="21">
        <f t="shared" si="21"/>
        <v>1160.6643309240926</v>
      </c>
      <c r="J50" s="23"/>
      <c r="K50" s="27">
        <v>124</v>
      </c>
      <c r="M50">
        <f>E50/(K50-$K$48)</f>
        <v>7.6206896551724135E-2</v>
      </c>
    </row>
    <row r="51" spans="2:13" x14ac:dyDescent="0.25">
      <c r="B51" s="22">
        <v>4.6349999999999998</v>
      </c>
      <c r="C51" s="23">
        <f t="shared" ref="C51:C52" si="25">C50+B51</f>
        <v>13.75</v>
      </c>
      <c r="D51" s="23">
        <f t="shared" si="22"/>
        <v>3.6</v>
      </c>
      <c r="E51" s="28">
        <v>8.1999999999999993</v>
      </c>
      <c r="F51" s="21">
        <f t="shared" si="23"/>
        <v>0.11683993690643406</v>
      </c>
      <c r="G51" s="21">
        <f t="shared" si="24"/>
        <v>134.75</v>
      </c>
      <c r="H51" s="23"/>
      <c r="I51" s="21">
        <f t="shared" si="21"/>
        <v>1153.287168478261</v>
      </c>
      <c r="J51" s="23"/>
      <c r="K51" s="27"/>
      <c r="M51">
        <f t="shared" ref="M51:M52" si="26">E51/(K51-$K$48)</f>
        <v>-0.22162162162162161</v>
      </c>
    </row>
    <row r="52" spans="2:13" x14ac:dyDescent="0.25">
      <c r="B52" s="22">
        <v>4.54</v>
      </c>
      <c r="C52" s="23">
        <f t="shared" si="25"/>
        <v>18.29</v>
      </c>
      <c r="D52" s="23">
        <f t="shared" si="22"/>
        <v>3.6</v>
      </c>
      <c r="E52" s="28">
        <v>9.7249999999999996</v>
      </c>
      <c r="F52" s="21">
        <f t="shared" si="23"/>
        <v>0.15557491598954537</v>
      </c>
      <c r="G52" s="21">
        <f t="shared" si="24"/>
        <v>179.24200000000002</v>
      </c>
      <c r="H52" s="23"/>
      <c r="I52" s="21">
        <f t="shared" si="21"/>
        <v>1152.1266064000001</v>
      </c>
      <c r="J52" s="23"/>
      <c r="K52" s="27">
        <v>211</v>
      </c>
      <c r="M52">
        <f t="shared" si="26"/>
        <v>5.5890804597701148E-2</v>
      </c>
    </row>
    <row r="53" spans="2:13" ht="15.75" thickBot="1" x14ac:dyDescent="0.3">
      <c r="B53" s="8"/>
      <c r="C53" s="9"/>
      <c r="D53" s="9"/>
      <c r="E53" s="9"/>
      <c r="F53" s="9"/>
      <c r="G53" s="9"/>
      <c r="H53" s="9" t="s">
        <v>33</v>
      </c>
      <c r="I53" s="29">
        <f>MEDIAN(I49:I51)</f>
        <v>1153.287168478261</v>
      </c>
      <c r="J53" s="9">
        <f>MAX(I49:I52)-MIN(I49:I52)</f>
        <v>65.880275174092503</v>
      </c>
      <c r="K53" s="24"/>
    </row>
    <row r="55" spans="2:13" ht="15.75" thickBot="1" x14ac:dyDescent="0.3"/>
    <row r="56" spans="2:13" x14ac:dyDescent="0.25">
      <c r="B56" s="17" t="s">
        <v>17</v>
      </c>
      <c r="C56" s="11">
        <v>30</v>
      </c>
      <c r="D56" s="18" t="s">
        <v>24</v>
      </c>
      <c r="E56" s="11"/>
      <c r="F56" s="18"/>
      <c r="G56" s="18"/>
      <c r="H56" s="18"/>
      <c r="I56" s="18"/>
      <c r="J56" s="18"/>
      <c r="K56" s="19"/>
    </row>
    <row r="57" spans="2:13" x14ac:dyDescent="0.25">
      <c r="B57" s="20"/>
      <c r="C57" s="25" t="s">
        <v>4</v>
      </c>
      <c r="D57" s="25" t="s">
        <v>5</v>
      </c>
      <c r="E57" s="25" t="s">
        <v>14</v>
      </c>
      <c r="F57" s="25" t="s">
        <v>7</v>
      </c>
      <c r="G57" s="25" t="s">
        <v>8</v>
      </c>
      <c r="H57" s="25" t="s">
        <v>9</v>
      </c>
      <c r="I57" s="25" t="s">
        <v>10</v>
      </c>
      <c r="J57" s="25"/>
      <c r="K57" s="26" t="s">
        <v>18</v>
      </c>
    </row>
    <row r="58" spans="2:13" x14ac:dyDescent="0.25">
      <c r="B58" s="22"/>
      <c r="C58" s="23"/>
      <c r="D58" s="28">
        <v>3.7250000000000001</v>
      </c>
      <c r="E58" s="23"/>
      <c r="F58" s="21"/>
      <c r="G58" s="21"/>
      <c r="H58" s="21"/>
      <c r="I58" s="21"/>
      <c r="J58" s="23"/>
      <c r="K58" s="27">
        <v>42</v>
      </c>
    </row>
    <row r="59" spans="2:13" x14ac:dyDescent="0.25">
      <c r="B59" s="22">
        <v>4.54</v>
      </c>
      <c r="C59" s="23">
        <f>B59</f>
        <v>4.54</v>
      </c>
      <c r="D59" s="23">
        <f>D58</f>
        <v>3.7250000000000001</v>
      </c>
      <c r="E59" s="28">
        <v>5.5250000000000004</v>
      </c>
      <c r="F59" s="21">
        <f>(E59-D59)/$F$2</f>
        <v>4.5719975311213336E-2</v>
      </c>
      <c r="G59" s="21">
        <f>C59*9.8</f>
        <v>44.492000000000004</v>
      </c>
      <c r="H59" s="23"/>
      <c r="I59" s="21">
        <f t="shared" ref="I59:I62" si="27">G59/F59</f>
        <v>973.14138288888887</v>
      </c>
      <c r="J59" s="23"/>
      <c r="K59" s="27">
        <v>93</v>
      </c>
    </row>
    <row r="60" spans="2:13" x14ac:dyDescent="0.25">
      <c r="B60" s="22">
        <v>4.5750000000000002</v>
      </c>
      <c r="C60" s="23">
        <f>C59+B60</f>
        <v>9.1150000000000002</v>
      </c>
      <c r="D60" s="23">
        <f t="shared" ref="D60:D62" si="28">D59</f>
        <v>3.7250000000000001</v>
      </c>
      <c r="E60" s="28">
        <v>7.48</v>
      </c>
      <c r="F60" s="21">
        <f t="shared" ref="F60:F62" si="29">(E60-D60)/$F$2</f>
        <v>9.5376948496447816E-2</v>
      </c>
      <c r="G60" s="21">
        <f t="shared" ref="G60:G62" si="30">C60*9.8</f>
        <v>89.327000000000012</v>
      </c>
      <c r="H60" s="23"/>
      <c r="I60" s="21">
        <f t="shared" si="27"/>
        <v>936.56802202396818</v>
      </c>
      <c r="J60" s="23"/>
      <c r="K60" s="27"/>
    </row>
    <row r="61" spans="2:13" x14ac:dyDescent="0.25">
      <c r="B61" s="22">
        <v>4.6349999999999998</v>
      </c>
      <c r="C61" s="23">
        <f t="shared" ref="C61:C62" si="31">C60+B61</f>
        <v>13.75</v>
      </c>
      <c r="D61" s="23">
        <f t="shared" si="28"/>
        <v>3.7250000000000001</v>
      </c>
      <c r="E61" s="28">
        <v>9.375</v>
      </c>
      <c r="F61" s="21">
        <f t="shared" si="29"/>
        <v>0.14350992250464184</v>
      </c>
      <c r="G61" s="21">
        <f t="shared" si="30"/>
        <v>134.75</v>
      </c>
      <c r="H61" s="23"/>
      <c r="I61" s="21">
        <f t="shared" si="27"/>
        <v>938.95946460176992</v>
      </c>
      <c r="J61" s="23"/>
      <c r="K61" s="27">
        <v>200</v>
      </c>
    </row>
    <row r="62" spans="2:13" x14ac:dyDescent="0.25">
      <c r="B62" s="22">
        <v>4.54</v>
      </c>
      <c r="C62" s="23">
        <f t="shared" si="31"/>
        <v>18.29</v>
      </c>
      <c r="D62" s="23">
        <f t="shared" si="28"/>
        <v>3.7250000000000001</v>
      </c>
      <c r="E62" s="28">
        <v>11.26</v>
      </c>
      <c r="F62" s="21">
        <f t="shared" si="29"/>
        <v>0.19138889664999581</v>
      </c>
      <c r="G62" s="21">
        <f t="shared" si="30"/>
        <v>179.24200000000002</v>
      </c>
      <c r="H62" s="23"/>
      <c r="I62" s="21">
        <f t="shared" si="27"/>
        <v>936.53290832116795</v>
      </c>
      <c r="J62" s="23"/>
      <c r="K62" s="27">
        <v>255</v>
      </c>
    </row>
    <row r="63" spans="2:13" ht="15.75" thickBot="1" x14ac:dyDescent="0.3">
      <c r="B63" s="8"/>
      <c r="C63" s="9"/>
      <c r="D63" s="9"/>
      <c r="E63" s="9"/>
      <c r="F63" s="9"/>
      <c r="G63" s="9"/>
      <c r="H63" s="9" t="s">
        <v>33</v>
      </c>
      <c r="I63" s="29">
        <f>MEDIAN(I59:I61)</f>
        <v>938.95946460176992</v>
      </c>
      <c r="J63" s="9">
        <f>MAX(I59:I62)-MIN(I59:I62)</f>
        <v>36.608474567720918</v>
      </c>
      <c r="K63" s="24"/>
    </row>
    <row r="65" spans="2:23" ht="15.75" thickBot="1" x14ac:dyDescent="0.3"/>
    <row r="66" spans="2:23" x14ac:dyDescent="0.25">
      <c r="B66" s="17" t="s">
        <v>17</v>
      </c>
      <c r="C66" s="11">
        <v>35</v>
      </c>
      <c r="D66" s="18" t="s">
        <v>24</v>
      </c>
      <c r="E66" s="11"/>
      <c r="F66" s="18"/>
      <c r="G66" s="18"/>
      <c r="H66" s="18"/>
      <c r="I66" s="18"/>
      <c r="J66" s="18"/>
      <c r="K66" s="19"/>
      <c r="N66" s="17" t="s">
        <v>17</v>
      </c>
      <c r="O66" s="11">
        <v>40</v>
      </c>
      <c r="P66" s="18" t="s">
        <v>24</v>
      </c>
      <c r="Q66" s="11"/>
      <c r="R66" s="18"/>
      <c r="S66" s="18"/>
      <c r="T66" s="18"/>
      <c r="U66" s="18"/>
      <c r="V66" s="18"/>
      <c r="W66" s="19"/>
    </row>
    <row r="67" spans="2:23" x14ac:dyDescent="0.25">
      <c r="B67" s="20"/>
      <c r="C67" s="25" t="s">
        <v>4</v>
      </c>
      <c r="D67" s="25" t="s">
        <v>5</v>
      </c>
      <c r="E67" s="25" t="s">
        <v>14</v>
      </c>
      <c r="F67" s="25" t="s">
        <v>7</v>
      </c>
      <c r="G67" s="25" t="s">
        <v>8</v>
      </c>
      <c r="H67" s="25" t="s">
        <v>9</v>
      </c>
      <c r="I67" s="25" t="s">
        <v>10</v>
      </c>
      <c r="J67" s="25"/>
      <c r="K67" s="26" t="s">
        <v>18</v>
      </c>
      <c r="N67" s="20"/>
      <c r="O67" s="25" t="s">
        <v>4</v>
      </c>
      <c r="P67" s="25" t="s">
        <v>5</v>
      </c>
      <c r="Q67" s="25" t="s">
        <v>14</v>
      </c>
      <c r="R67" s="25" t="s">
        <v>7</v>
      </c>
      <c r="S67" s="25" t="s">
        <v>8</v>
      </c>
      <c r="T67" s="25" t="s">
        <v>9</v>
      </c>
      <c r="U67" s="25" t="s">
        <v>10</v>
      </c>
      <c r="V67" s="25"/>
      <c r="W67" s="26" t="s">
        <v>18</v>
      </c>
    </row>
    <row r="68" spans="2:23" x14ac:dyDescent="0.25">
      <c r="B68" s="22"/>
      <c r="C68" s="23"/>
      <c r="D68" s="28">
        <v>4</v>
      </c>
      <c r="E68" s="23"/>
      <c r="F68" s="21"/>
      <c r="G68" s="21"/>
      <c r="H68" s="21"/>
      <c r="I68" s="21"/>
      <c r="J68" s="23"/>
      <c r="K68" s="27">
        <v>49</v>
      </c>
      <c r="N68" s="22"/>
      <c r="O68" s="23"/>
      <c r="P68" s="28">
        <v>2.5249999999999999</v>
      </c>
      <c r="Q68" s="23"/>
      <c r="R68" s="21"/>
      <c r="S68" s="21"/>
      <c r="T68" s="21"/>
      <c r="U68" s="21"/>
      <c r="V68" s="23"/>
      <c r="W68" s="27">
        <v>56</v>
      </c>
    </row>
    <row r="69" spans="2:23" x14ac:dyDescent="0.25">
      <c r="B69" s="22">
        <v>4.54</v>
      </c>
      <c r="C69" s="23">
        <f>B69</f>
        <v>4.54</v>
      </c>
      <c r="D69" s="23">
        <f>D68</f>
        <v>4</v>
      </c>
      <c r="E69" s="28">
        <v>6.2</v>
      </c>
      <c r="F69" s="21">
        <f>(E69-D69)/$F$2</f>
        <v>5.58799698248163E-2</v>
      </c>
      <c r="G69" s="21">
        <f>C69*9.8</f>
        <v>44.492000000000004</v>
      </c>
      <c r="H69" s="23"/>
      <c r="I69" s="21">
        <f t="shared" ref="I69:I72" si="32">G69/F69</f>
        <v>796.20658600000002</v>
      </c>
      <c r="J69" s="23"/>
      <c r="K69" s="27">
        <v>110</v>
      </c>
      <c r="N69" s="22">
        <v>4.54</v>
      </c>
      <c r="O69" s="23">
        <f>N69</f>
        <v>4.54</v>
      </c>
      <c r="P69" s="23">
        <f>P68</f>
        <v>2.5249999999999999</v>
      </c>
      <c r="Q69" s="28">
        <v>5.23</v>
      </c>
      <c r="R69" s="21">
        <f>(Q69-P69)/$F$2</f>
        <v>6.8706962898240048E-2</v>
      </c>
      <c r="S69" s="21">
        <f>O69*9.8</f>
        <v>44.492000000000004</v>
      </c>
      <c r="T69" s="23"/>
      <c r="U69" s="21">
        <f t="shared" ref="U69:U72" si="33">S69/R69</f>
        <v>647.56173353049905</v>
      </c>
      <c r="V69" s="23"/>
      <c r="W69" s="27">
        <v>131</v>
      </c>
    </row>
    <row r="70" spans="2:23" x14ac:dyDescent="0.25">
      <c r="B70" s="22">
        <v>4.5750000000000002</v>
      </c>
      <c r="C70" s="23">
        <f>C69+B70</f>
        <v>9.1150000000000002</v>
      </c>
      <c r="D70" s="23">
        <f t="shared" ref="D70:D72" si="34">D69</f>
        <v>4</v>
      </c>
      <c r="E70" s="28">
        <v>8.25</v>
      </c>
      <c r="F70" s="21">
        <f t="shared" ref="F70:F72" si="35">(E70-D70)/$F$2</f>
        <v>0.10794994170703148</v>
      </c>
      <c r="G70" s="21">
        <f t="shared" ref="G70:G72" si="36">C70*9.8</f>
        <v>89.327000000000012</v>
      </c>
      <c r="H70" s="23"/>
      <c r="I70" s="21">
        <f t="shared" si="32"/>
        <v>827.48539357647064</v>
      </c>
      <c r="J70" s="23"/>
      <c r="K70" s="27">
        <v>168</v>
      </c>
      <c r="N70" s="22">
        <v>4.5750000000000002</v>
      </c>
      <c r="O70" s="23">
        <f>O69+N70</f>
        <v>9.1150000000000002</v>
      </c>
      <c r="P70" s="23">
        <f t="shared" ref="P70:P72" si="37">P69</f>
        <v>2.5249999999999999</v>
      </c>
      <c r="Q70" s="28">
        <v>7.5250000000000004</v>
      </c>
      <c r="R70" s="21">
        <f t="shared" ref="R70:R71" si="38">(Q70-P70)/$F$2</f>
        <v>0.12699993142003704</v>
      </c>
      <c r="S70" s="21">
        <f t="shared" ref="S70:S72" si="39">O70*9.8</f>
        <v>89.327000000000012</v>
      </c>
      <c r="T70" s="23"/>
      <c r="U70" s="21">
        <f t="shared" si="33"/>
        <v>703.36258454000006</v>
      </c>
      <c r="V70" s="23"/>
      <c r="W70" s="27">
        <v>198</v>
      </c>
    </row>
    <row r="71" spans="2:23" x14ac:dyDescent="0.25">
      <c r="B71" s="22">
        <v>4.6349999999999998</v>
      </c>
      <c r="C71" s="23">
        <f t="shared" ref="C71:C72" si="40">C70+B71</f>
        <v>13.75</v>
      </c>
      <c r="D71" s="23">
        <f t="shared" si="34"/>
        <v>4</v>
      </c>
      <c r="E71" s="28">
        <v>10.73</v>
      </c>
      <c r="F71" s="21">
        <f t="shared" si="35"/>
        <v>0.17094190769136985</v>
      </c>
      <c r="G71" s="21">
        <f t="shared" si="36"/>
        <v>134.75</v>
      </c>
      <c r="H71" s="23"/>
      <c r="I71" s="21">
        <f t="shared" si="32"/>
        <v>788.27949108469534</v>
      </c>
      <c r="J71" s="23"/>
      <c r="K71" s="27">
        <v>238</v>
      </c>
      <c r="N71" s="22">
        <v>4.6349999999999998</v>
      </c>
      <c r="O71" s="23">
        <f t="shared" ref="O71:O72" si="41">O70+N71</f>
        <v>13.75</v>
      </c>
      <c r="P71" s="23">
        <f t="shared" si="37"/>
        <v>2.5249999999999999</v>
      </c>
      <c r="Q71" s="28">
        <v>10.210000000000001</v>
      </c>
      <c r="R71" s="21">
        <f t="shared" si="38"/>
        <v>0.19519889459259693</v>
      </c>
      <c r="S71" s="21">
        <f t="shared" si="39"/>
        <v>134.75</v>
      </c>
      <c r="T71" s="23"/>
      <c r="U71" s="21">
        <f t="shared" si="33"/>
        <v>690.3215322055953</v>
      </c>
      <c r="V71" s="23"/>
      <c r="W71" s="27">
        <v>273</v>
      </c>
    </row>
    <row r="72" spans="2:23" x14ac:dyDescent="0.25">
      <c r="B72" s="22">
        <v>4.54</v>
      </c>
      <c r="C72" s="23">
        <f t="shared" si="40"/>
        <v>18.29</v>
      </c>
      <c r="D72" s="23">
        <f t="shared" si="34"/>
        <v>4</v>
      </c>
      <c r="E72" s="28">
        <v>12.73</v>
      </c>
      <c r="F72" s="21">
        <f t="shared" si="35"/>
        <v>0.22174188025938465</v>
      </c>
      <c r="G72" s="21">
        <f t="shared" si="36"/>
        <v>179.24200000000002</v>
      </c>
      <c r="H72" s="23"/>
      <c r="I72" s="21">
        <f t="shared" si="32"/>
        <v>808.33625019473095</v>
      </c>
      <c r="J72" s="23"/>
      <c r="K72" s="27"/>
      <c r="N72" s="22">
        <v>4.54</v>
      </c>
      <c r="O72" s="23">
        <f t="shared" si="41"/>
        <v>18.29</v>
      </c>
      <c r="P72" s="23">
        <f t="shared" si="37"/>
        <v>2.5249999999999999</v>
      </c>
      <c r="Q72" t="s">
        <v>34</v>
      </c>
      <c r="R72" s="21" t="e">
        <f>(#REF!-P72)/$F$2</f>
        <v>#REF!</v>
      </c>
      <c r="S72" s="21">
        <f t="shared" si="39"/>
        <v>179.24200000000002</v>
      </c>
      <c r="T72" s="23"/>
      <c r="U72" s="21" t="e">
        <f t="shared" si="33"/>
        <v>#REF!</v>
      </c>
      <c r="V72" s="23"/>
      <c r="W72" s="27"/>
    </row>
    <row r="73" spans="2:23" ht="15.75" thickBot="1" x14ac:dyDescent="0.3">
      <c r="B73" s="8"/>
      <c r="C73" s="9"/>
      <c r="D73" s="9"/>
      <c r="E73" s="9"/>
      <c r="F73" s="9"/>
      <c r="G73" s="9"/>
      <c r="H73" s="9" t="s">
        <v>33</v>
      </c>
      <c r="I73" s="29">
        <f>MEDIAN(I69:I71)</f>
        <v>796.20658600000002</v>
      </c>
      <c r="J73" s="9">
        <f>MAX(I69:I72)-MIN(I69:I72)</f>
        <v>39.205902491775305</v>
      </c>
      <c r="K73" s="24"/>
      <c r="N73" s="8"/>
      <c r="O73" s="9"/>
      <c r="P73" s="9"/>
      <c r="Q73" s="9"/>
      <c r="R73" s="9"/>
      <c r="S73" s="9"/>
      <c r="T73" s="9" t="s">
        <v>33</v>
      </c>
      <c r="U73" s="29">
        <f>MEDIAN(U69:U71)</f>
        <v>690.3215322055953</v>
      </c>
      <c r="V73" s="9" t="e">
        <f>MAX(U69:U72)-MIN(U69:U72)</f>
        <v>#REF!</v>
      </c>
      <c r="W73" s="24"/>
    </row>
    <row r="74" spans="2:23" ht="15.75" thickBot="1" x14ac:dyDescent="0.3"/>
    <row r="75" spans="2:23" x14ac:dyDescent="0.25">
      <c r="B75" s="17" t="s">
        <v>17</v>
      </c>
      <c r="C75" s="11">
        <v>40</v>
      </c>
      <c r="D75" s="18" t="s">
        <v>24</v>
      </c>
      <c r="E75" s="11"/>
      <c r="F75" s="18"/>
      <c r="G75" s="18"/>
      <c r="H75" s="18"/>
      <c r="I75" s="18"/>
      <c r="J75" s="18"/>
      <c r="K75" s="19"/>
    </row>
    <row r="76" spans="2:23" x14ac:dyDescent="0.25">
      <c r="B76" s="20"/>
      <c r="C76" s="25" t="s">
        <v>4</v>
      </c>
      <c r="D76" s="25" t="s">
        <v>5</v>
      </c>
      <c r="E76" s="25" t="s">
        <v>14</v>
      </c>
      <c r="F76" s="25" t="s">
        <v>7</v>
      </c>
      <c r="G76" s="25" t="s">
        <v>8</v>
      </c>
      <c r="H76" s="25" t="s">
        <v>9</v>
      </c>
      <c r="I76" s="25" t="s">
        <v>10</v>
      </c>
      <c r="J76" s="25"/>
      <c r="K76" s="26" t="s">
        <v>18</v>
      </c>
    </row>
    <row r="77" spans="2:23" x14ac:dyDescent="0.25">
      <c r="B77" s="22"/>
      <c r="C77" s="23"/>
      <c r="D77" s="28">
        <v>1.4</v>
      </c>
      <c r="E77" s="23"/>
      <c r="F77" s="21"/>
      <c r="G77" s="21"/>
      <c r="H77" s="21"/>
      <c r="I77" s="21"/>
      <c r="J77" s="23"/>
      <c r="K77" s="27"/>
    </row>
    <row r="78" spans="2:23" x14ac:dyDescent="0.25">
      <c r="B78" s="22">
        <v>4.54</v>
      </c>
      <c r="C78" s="23">
        <f>B78</f>
        <v>4.54</v>
      </c>
      <c r="D78" s="23">
        <f>D77</f>
        <v>1.4</v>
      </c>
      <c r="E78" s="28">
        <v>4.0999999999999996</v>
      </c>
      <c r="F78" s="21">
        <f>(E78-D78)/$F$2</f>
        <v>6.8579962966819993E-2</v>
      </c>
      <c r="G78" s="21">
        <f>C78*9.8</f>
        <v>44.492000000000004</v>
      </c>
      <c r="H78" s="23"/>
      <c r="I78" s="21">
        <f t="shared" ref="I78:I81" si="42">G78/F78</f>
        <v>648.76092192592603</v>
      </c>
      <c r="J78" s="23"/>
      <c r="K78" s="27"/>
    </row>
    <row r="79" spans="2:23" x14ac:dyDescent="0.25">
      <c r="B79" s="22">
        <v>4.5750000000000002</v>
      </c>
      <c r="C79" s="23">
        <f>C78+B79</f>
        <v>9.1150000000000002</v>
      </c>
      <c r="D79" s="23">
        <f t="shared" ref="D79:D81" si="43">D78</f>
        <v>1.4</v>
      </c>
      <c r="E79" s="28">
        <v>6.53</v>
      </c>
      <c r="F79" s="21">
        <f t="shared" ref="F79:F81" si="44">(E79-D79)/$F$2</f>
        <v>0.13030192963695802</v>
      </c>
      <c r="G79" s="21">
        <f t="shared" ref="G79:G81" si="45">C79*9.8</f>
        <v>89.327000000000012</v>
      </c>
      <c r="H79" s="23"/>
      <c r="I79" s="21">
        <f t="shared" si="42"/>
        <v>685.53858142300192</v>
      </c>
      <c r="J79" s="23"/>
      <c r="K79" s="27"/>
    </row>
    <row r="80" spans="2:23" x14ac:dyDescent="0.25">
      <c r="B80" s="22">
        <v>4.6349999999999998</v>
      </c>
      <c r="C80" s="23">
        <f t="shared" ref="C80:C81" si="46">C79+B80</f>
        <v>13.75</v>
      </c>
      <c r="D80" s="23">
        <f t="shared" si="43"/>
        <v>1.4</v>
      </c>
      <c r="E80" s="28">
        <v>9.25</v>
      </c>
      <c r="F80" s="21">
        <f t="shared" si="44"/>
        <v>0.19938989232945814</v>
      </c>
      <c r="G80" s="21">
        <f t="shared" si="45"/>
        <v>134.75</v>
      </c>
      <c r="H80" s="23"/>
      <c r="I80" s="21">
        <f t="shared" si="42"/>
        <v>675.81158917197456</v>
      </c>
      <c r="J80" s="23"/>
      <c r="K80" s="27"/>
    </row>
    <row r="81" spans="2:11" x14ac:dyDescent="0.25">
      <c r="B81" s="22">
        <v>4.54</v>
      </c>
      <c r="C81" s="23">
        <f t="shared" si="46"/>
        <v>18.29</v>
      </c>
      <c r="D81" s="23">
        <f t="shared" si="43"/>
        <v>1.4</v>
      </c>
      <c r="E81" s="28">
        <v>11.574999999999999</v>
      </c>
      <c r="F81" s="21">
        <f t="shared" si="44"/>
        <v>0.25844486043977533</v>
      </c>
      <c r="G81" s="21">
        <f t="shared" si="45"/>
        <v>179.24200000000002</v>
      </c>
      <c r="H81" s="23"/>
      <c r="I81" s="21">
        <f t="shared" si="42"/>
        <v>693.5405861621623</v>
      </c>
      <c r="J81" s="23"/>
      <c r="K81" s="27"/>
    </row>
    <row r="82" spans="2:11" ht="15.75" thickBot="1" x14ac:dyDescent="0.3">
      <c r="B82" s="8"/>
      <c r="C82" s="9"/>
      <c r="D82" s="9"/>
      <c r="E82" s="9"/>
      <c r="F82" s="9"/>
      <c r="G82" s="9"/>
      <c r="H82" s="9" t="s">
        <v>33</v>
      </c>
      <c r="I82" s="29">
        <f>MEDIAN(I78:I80)</f>
        <v>675.81158917197456</v>
      </c>
      <c r="J82" s="9">
        <f>MAX(I78:I81)-MIN(I78:I81)</f>
        <v>44.779664236236272</v>
      </c>
      <c r="K82" s="24"/>
    </row>
    <row r="84" spans="2:11" ht="15.75" thickBot="1" x14ac:dyDescent="0.3"/>
    <row r="85" spans="2:11" x14ac:dyDescent="0.25">
      <c r="B85" s="17" t="s">
        <v>17</v>
      </c>
      <c r="C85" s="11">
        <v>45</v>
      </c>
      <c r="D85" s="18" t="s">
        <v>24</v>
      </c>
      <c r="E85" s="11"/>
      <c r="F85" s="18"/>
      <c r="G85" s="18"/>
      <c r="H85" s="18"/>
      <c r="I85" s="18"/>
      <c r="J85" s="18"/>
      <c r="K85" s="19"/>
    </row>
    <row r="86" spans="2:11" x14ac:dyDescent="0.25">
      <c r="B86" s="20"/>
      <c r="C86" s="25" t="s">
        <v>4</v>
      </c>
      <c r="D86" s="25" t="s">
        <v>5</v>
      </c>
      <c r="E86" s="25" t="s">
        <v>14</v>
      </c>
      <c r="F86" s="25" t="s">
        <v>7</v>
      </c>
      <c r="G86" s="25" t="s">
        <v>8</v>
      </c>
      <c r="H86" s="25" t="s">
        <v>9</v>
      </c>
      <c r="I86" s="25" t="s">
        <v>10</v>
      </c>
      <c r="J86" s="25"/>
      <c r="K86" s="26" t="s">
        <v>18</v>
      </c>
    </row>
    <row r="87" spans="2:11" x14ac:dyDescent="0.25">
      <c r="B87" s="22"/>
      <c r="C87" s="23"/>
      <c r="D87" s="28">
        <v>1.52</v>
      </c>
      <c r="E87" s="23"/>
      <c r="F87" s="21"/>
      <c r="G87" s="21"/>
      <c r="H87" s="21"/>
      <c r="I87" s="21"/>
      <c r="J87" s="23"/>
      <c r="K87" s="27">
        <v>-61</v>
      </c>
    </row>
    <row r="88" spans="2:11" x14ac:dyDescent="0.25">
      <c r="B88" s="22">
        <v>4.54</v>
      </c>
      <c r="C88" s="23">
        <f>B88</f>
        <v>4.54</v>
      </c>
      <c r="D88" s="23">
        <f>D87</f>
        <v>1.52</v>
      </c>
      <c r="E88" s="28">
        <v>4.3</v>
      </c>
      <c r="F88" s="21">
        <f>(E88-D88)/$F$2</f>
        <v>7.0611961869540579E-2</v>
      </c>
      <c r="G88" s="21">
        <f>C88*9.8</f>
        <v>44.492000000000004</v>
      </c>
      <c r="H88" s="23"/>
      <c r="I88" s="21">
        <f t="shared" ref="I88:I90" si="47">G88/F88</f>
        <v>630.09154287769798</v>
      </c>
      <c r="J88" s="23"/>
      <c r="K88" s="27">
        <v>140</v>
      </c>
    </row>
    <row r="89" spans="2:11" x14ac:dyDescent="0.25">
      <c r="B89" s="22">
        <v>4.5750000000000002</v>
      </c>
      <c r="C89" s="23">
        <f>C88+B89</f>
        <v>9.1150000000000002</v>
      </c>
      <c r="D89" s="23">
        <f t="shared" ref="D89:D91" si="48">D88</f>
        <v>1.52</v>
      </c>
      <c r="E89" s="28">
        <v>7.3</v>
      </c>
      <c r="F89" s="21">
        <f t="shared" ref="F89:F91" si="49">(E89-D89)/$F$2</f>
        <v>0.14681192072156279</v>
      </c>
      <c r="G89" s="21">
        <f t="shared" ref="G89:G91" si="50">C89*9.8</f>
        <v>89.327000000000012</v>
      </c>
      <c r="H89" s="23"/>
      <c r="I89" s="21">
        <f t="shared" si="47"/>
        <v>608.4451423356403</v>
      </c>
      <c r="J89" s="23"/>
      <c r="K89" s="27">
        <v>223</v>
      </c>
    </row>
    <row r="90" spans="2:11" x14ac:dyDescent="0.25">
      <c r="B90" s="22">
        <v>4.6349999999999998</v>
      </c>
      <c r="C90" s="23">
        <f t="shared" ref="C90:C91" si="51">C89+B90</f>
        <v>13.75</v>
      </c>
      <c r="D90" s="23">
        <f t="shared" si="48"/>
        <v>1.52</v>
      </c>
      <c r="E90" s="28">
        <v>10.23</v>
      </c>
      <c r="F90" s="21">
        <f t="shared" si="49"/>
        <v>0.22123388053370452</v>
      </c>
      <c r="G90" s="21">
        <f t="shared" si="50"/>
        <v>134.75</v>
      </c>
      <c r="H90" s="23"/>
      <c r="I90" s="21">
        <f t="shared" si="47"/>
        <v>609.08392365097586</v>
      </c>
      <c r="J90" s="23"/>
      <c r="K90" s="27">
        <v>304</v>
      </c>
    </row>
    <row r="91" spans="2:11" x14ac:dyDescent="0.25">
      <c r="B91" s="22">
        <v>4.54</v>
      </c>
      <c r="C91" s="23">
        <f t="shared" si="51"/>
        <v>18.29</v>
      </c>
      <c r="D91" s="23">
        <f t="shared" si="48"/>
        <v>1.52</v>
      </c>
      <c r="E91" s="28"/>
      <c r="F91" s="21">
        <f t="shared" si="49"/>
        <v>-3.8607979151691257E-2</v>
      </c>
      <c r="G91" s="21">
        <f t="shared" si="50"/>
        <v>179.24200000000002</v>
      </c>
      <c r="H91" s="23"/>
      <c r="I91" s="21"/>
      <c r="J91" s="23"/>
      <c r="K91" s="27">
        <v>373</v>
      </c>
    </row>
    <row r="92" spans="2:11" ht="15.75" thickBot="1" x14ac:dyDescent="0.3">
      <c r="B92" s="8"/>
      <c r="C92" s="9"/>
      <c r="D92" s="9"/>
      <c r="E92" s="9"/>
      <c r="F92" s="9"/>
      <c r="G92" s="9"/>
      <c r="H92" s="9" t="s">
        <v>33</v>
      </c>
      <c r="I92" s="29">
        <f>MEDIAN(I88:I90)</f>
        <v>609.08392365097586</v>
      </c>
      <c r="J92" s="9">
        <f>MAX(I88:I91)-MIN(I88:I91)</f>
        <v>21.646400542057677</v>
      </c>
      <c r="K92" s="24"/>
    </row>
    <row r="94" spans="2:11" ht="15.75" thickBot="1" x14ac:dyDescent="0.3"/>
    <row r="95" spans="2:11" x14ac:dyDescent="0.25">
      <c r="B95" s="17" t="s">
        <v>17</v>
      </c>
      <c r="C95" s="11">
        <v>50</v>
      </c>
      <c r="D95" s="18" t="s">
        <v>24</v>
      </c>
      <c r="E95" s="11"/>
      <c r="F95" s="18"/>
      <c r="G95" s="18"/>
      <c r="H95" s="18"/>
      <c r="I95" s="18"/>
      <c r="J95" s="18"/>
      <c r="K95" s="19"/>
    </row>
    <row r="96" spans="2:11" x14ac:dyDescent="0.25">
      <c r="B96" s="20"/>
      <c r="C96" s="25" t="s">
        <v>4</v>
      </c>
      <c r="D96" s="25" t="s">
        <v>5</v>
      </c>
      <c r="E96" s="25" t="s">
        <v>14</v>
      </c>
      <c r="F96" s="25" t="s">
        <v>7</v>
      </c>
      <c r="G96" s="25" t="s">
        <v>8</v>
      </c>
      <c r="H96" s="25" t="s">
        <v>9</v>
      </c>
      <c r="I96" s="25" t="s">
        <v>10</v>
      </c>
      <c r="J96" s="25"/>
      <c r="K96" s="26" t="s">
        <v>18</v>
      </c>
    </row>
    <row r="97" spans="2:11" x14ac:dyDescent="0.25">
      <c r="B97" s="22"/>
      <c r="C97" s="23"/>
      <c r="D97" s="28">
        <v>1.75</v>
      </c>
      <c r="E97" s="23"/>
      <c r="F97" s="21"/>
      <c r="G97" s="21"/>
      <c r="H97" s="21"/>
      <c r="I97" s="21"/>
      <c r="J97" s="23"/>
      <c r="K97" s="27"/>
    </row>
    <row r="98" spans="2:11" x14ac:dyDescent="0.25">
      <c r="B98" s="22">
        <v>4.54</v>
      </c>
      <c r="C98" s="23">
        <f>B98</f>
        <v>4.54</v>
      </c>
      <c r="D98" s="23">
        <f>D97</f>
        <v>1.75</v>
      </c>
      <c r="E98" s="28">
        <v>4.75</v>
      </c>
      <c r="F98" s="21">
        <f>(E98-D98)/$F$2</f>
        <v>7.6199958852022215E-2</v>
      </c>
      <c r="G98" s="21">
        <f>C98*9.8</f>
        <v>44.492000000000004</v>
      </c>
      <c r="H98" s="23"/>
      <c r="I98" s="21">
        <f t="shared" ref="I98:I100" si="52">G98/F98</f>
        <v>583.88482973333339</v>
      </c>
      <c r="J98" s="23"/>
      <c r="K98" s="27"/>
    </row>
    <row r="99" spans="2:11" x14ac:dyDescent="0.25">
      <c r="B99" s="22">
        <v>4.5750000000000002</v>
      </c>
      <c r="C99" s="23">
        <f>C98+B99</f>
        <v>9.1150000000000002</v>
      </c>
      <c r="D99" s="23">
        <f t="shared" ref="D99:D101" si="53">D98</f>
        <v>1.75</v>
      </c>
      <c r="E99" s="28">
        <v>8.25</v>
      </c>
      <c r="F99" s="21">
        <f t="shared" ref="F99:F101" si="54">(E99-D99)/$F$2</f>
        <v>0.16509991084604814</v>
      </c>
      <c r="G99" s="21">
        <f t="shared" ref="G99:G101" si="55">C99*9.8</f>
        <v>89.327000000000012</v>
      </c>
      <c r="H99" s="23"/>
      <c r="I99" s="21">
        <f t="shared" si="52"/>
        <v>541.0481419538462</v>
      </c>
      <c r="J99" s="23"/>
      <c r="K99" s="27"/>
    </row>
    <row r="100" spans="2:11" x14ac:dyDescent="0.25">
      <c r="B100" s="22">
        <v>4.6349999999999998</v>
      </c>
      <c r="C100" s="23">
        <f t="shared" ref="C100:C101" si="56">C99+B100</f>
        <v>13.75</v>
      </c>
      <c r="D100" s="23">
        <f t="shared" si="53"/>
        <v>1.75</v>
      </c>
      <c r="E100" s="28">
        <v>11.25</v>
      </c>
      <c r="F100" s="21">
        <f t="shared" si="54"/>
        <v>0.24129986969807035</v>
      </c>
      <c r="G100" s="21">
        <f t="shared" si="55"/>
        <v>134.75</v>
      </c>
      <c r="H100" s="23"/>
      <c r="I100" s="21">
        <f t="shared" si="52"/>
        <v>558.43378684210529</v>
      </c>
      <c r="J100" s="23"/>
      <c r="K100" s="27"/>
    </row>
    <row r="101" spans="2:11" x14ac:dyDescent="0.25">
      <c r="B101" s="22">
        <v>4.54</v>
      </c>
      <c r="C101" s="23">
        <f t="shared" si="56"/>
        <v>18.29</v>
      </c>
      <c r="D101" s="23">
        <f t="shared" si="53"/>
        <v>1.75</v>
      </c>
      <c r="E101" s="28"/>
      <c r="F101" s="21">
        <f t="shared" si="54"/>
        <v>-4.4449975997012961E-2</v>
      </c>
      <c r="G101" s="21">
        <f t="shared" si="55"/>
        <v>179.24200000000002</v>
      </c>
      <c r="H101" s="23"/>
      <c r="I101" s="21"/>
      <c r="J101" s="23"/>
      <c r="K101" s="27"/>
    </row>
    <row r="102" spans="2:11" ht="15.75" thickBot="1" x14ac:dyDescent="0.3">
      <c r="B102" s="8"/>
      <c r="C102" s="9"/>
      <c r="D102" s="9"/>
      <c r="E102" s="9"/>
      <c r="F102" s="9"/>
      <c r="G102" s="9"/>
      <c r="H102" s="9" t="s">
        <v>33</v>
      </c>
      <c r="I102" s="29">
        <f>MEDIAN(I98:I100)</f>
        <v>558.43378684210529</v>
      </c>
      <c r="J102" s="9">
        <f>MAX(I98:I101)-MIN(I98:I101)</f>
        <v>42.836687779487193</v>
      </c>
      <c r="K102" s="24"/>
    </row>
    <row r="104" spans="2:11" ht="15.75" thickBot="1" x14ac:dyDescent="0.3"/>
    <row r="105" spans="2:11" x14ac:dyDescent="0.25">
      <c r="B105" s="17" t="s">
        <v>17</v>
      </c>
      <c r="C105" s="11">
        <v>55</v>
      </c>
      <c r="D105" s="18" t="s">
        <v>24</v>
      </c>
      <c r="E105" s="11"/>
      <c r="F105" s="18"/>
      <c r="G105" s="18"/>
      <c r="H105" s="18"/>
      <c r="I105" s="18"/>
      <c r="J105" s="18"/>
      <c r="K105" s="19"/>
    </row>
    <row r="106" spans="2:11" x14ac:dyDescent="0.25">
      <c r="B106" s="20"/>
      <c r="C106" s="25" t="s">
        <v>4</v>
      </c>
      <c r="D106" s="25" t="s">
        <v>5</v>
      </c>
      <c r="E106" s="25" t="s">
        <v>14</v>
      </c>
      <c r="F106" s="25" t="s">
        <v>7</v>
      </c>
      <c r="G106" s="25" t="s">
        <v>8</v>
      </c>
      <c r="H106" s="25" t="s">
        <v>9</v>
      </c>
      <c r="I106" s="25" t="s">
        <v>10</v>
      </c>
      <c r="J106" s="25"/>
      <c r="K106" s="26" t="s">
        <v>18</v>
      </c>
    </row>
    <row r="107" spans="2:11" x14ac:dyDescent="0.25">
      <c r="B107" s="22"/>
      <c r="C107" s="23"/>
      <c r="D107" s="28">
        <v>1.2</v>
      </c>
      <c r="E107" s="23"/>
      <c r="F107" s="21"/>
      <c r="G107" s="21"/>
      <c r="H107" s="21"/>
      <c r="I107" s="21"/>
      <c r="J107" s="23"/>
      <c r="K107" s="27"/>
    </row>
    <row r="108" spans="2:11" x14ac:dyDescent="0.25">
      <c r="B108" s="22">
        <v>4.54</v>
      </c>
      <c r="C108" s="23">
        <f>B108</f>
        <v>4.54</v>
      </c>
      <c r="D108" s="23">
        <f>D107</f>
        <v>1.2</v>
      </c>
      <c r="E108" s="28">
        <v>4.7</v>
      </c>
      <c r="F108" s="21">
        <f>(E108-D108)/$F$2</f>
        <v>8.8899951994025922E-2</v>
      </c>
      <c r="G108" s="21">
        <f>C108*9.8</f>
        <v>44.492000000000004</v>
      </c>
      <c r="H108" s="23"/>
      <c r="I108" s="21">
        <f t="shared" ref="I108:I110" si="57">G108/F108</f>
        <v>500.47271120000005</v>
      </c>
      <c r="J108" s="23"/>
      <c r="K108" s="27"/>
    </row>
    <row r="109" spans="2:11" x14ac:dyDescent="0.25">
      <c r="B109" s="22">
        <v>4.5750000000000002</v>
      </c>
      <c r="C109" s="23">
        <f>C108+B109</f>
        <v>9.1150000000000002</v>
      </c>
      <c r="D109" s="23">
        <f t="shared" ref="D109:D111" si="58">D108</f>
        <v>1.2</v>
      </c>
      <c r="E109" s="28">
        <v>8.1999999999999993</v>
      </c>
      <c r="F109" s="21">
        <f t="shared" ref="F109:F111" si="59">(E109-D109)/$F$2</f>
        <v>0.17779990398805182</v>
      </c>
      <c r="G109" s="21">
        <f t="shared" ref="G109:G111" si="60">C109*9.8</f>
        <v>89.327000000000012</v>
      </c>
      <c r="H109" s="23"/>
      <c r="I109" s="21">
        <f t="shared" si="57"/>
        <v>502.40184610000017</v>
      </c>
      <c r="J109" s="23"/>
      <c r="K109" s="27"/>
    </row>
    <row r="110" spans="2:11" x14ac:dyDescent="0.25">
      <c r="B110" s="22">
        <v>4.6349999999999998</v>
      </c>
      <c r="C110" s="23">
        <f t="shared" ref="C110:C111" si="61">C109+B110</f>
        <v>13.75</v>
      </c>
      <c r="D110" s="23">
        <f t="shared" si="58"/>
        <v>1.2</v>
      </c>
      <c r="E110" s="28">
        <v>11.7</v>
      </c>
      <c r="F110" s="21">
        <f t="shared" si="59"/>
        <v>0.26669985598207774</v>
      </c>
      <c r="G110" s="21">
        <f t="shared" si="60"/>
        <v>134.75</v>
      </c>
      <c r="H110" s="23"/>
      <c r="I110" s="21">
        <f t="shared" si="57"/>
        <v>505.24961666666672</v>
      </c>
      <c r="J110" s="23"/>
      <c r="K110" s="27"/>
    </row>
    <row r="111" spans="2:11" x14ac:dyDescent="0.25">
      <c r="B111" s="22">
        <v>4.54</v>
      </c>
      <c r="C111" s="23">
        <f t="shared" si="61"/>
        <v>18.29</v>
      </c>
      <c r="D111" s="23">
        <f t="shared" si="58"/>
        <v>1.2</v>
      </c>
      <c r="E111" s="28"/>
      <c r="F111" s="21">
        <f t="shared" si="59"/>
        <v>-3.0479983540808886E-2</v>
      </c>
      <c r="G111" s="21">
        <f t="shared" si="60"/>
        <v>179.24200000000002</v>
      </c>
      <c r="H111" s="23"/>
      <c r="I111" s="21"/>
      <c r="J111" s="23"/>
      <c r="K111" s="27"/>
    </row>
    <row r="112" spans="2:11" ht="15.75" thickBot="1" x14ac:dyDescent="0.3">
      <c r="B112" s="8"/>
      <c r="C112" s="9"/>
      <c r="D112" s="9"/>
      <c r="E112" s="9"/>
      <c r="F112" s="9"/>
      <c r="G112" s="9"/>
      <c r="H112" s="9" t="s">
        <v>33</v>
      </c>
      <c r="I112" s="29">
        <f>MEDIAN(I108:I110)</f>
        <v>502.40184610000017</v>
      </c>
      <c r="J112" s="9">
        <f>MAX(I108:I111)-MIN(I108:I111)</f>
        <v>4.7769054666666761</v>
      </c>
      <c r="K112" s="24"/>
    </row>
    <row r="113" spans="2:11" ht="15.75" thickBot="1" x14ac:dyDescent="0.3"/>
    <row r="114" spans="2:11" x14ac:dyDescent="0.25">
      <c r="B114" s="17" t="s">
        <v>17</v>
      </c>
      <c r="C114" s="11">
        <v>60</v>
      </c>
      <c r="D114" s="18" t="s">
        <v>24</v>
      </c>
      <c r="E114" s="11"/>
      <c r="F114" s="18"/>
      <c r="G114" s="18"/>
      <c r="H114" s="18"/>
      <c r="I114" s="18"/>
      <c r="J114" s="18"/>
      <c r="K114" s="19"/>
    </row>
    <row r="115" spans="2:11" x14ac:dyDescent="0.25">
      <c r="B115" s="20"/>
      <c r="C115" s="25" t="s">
        <v>4</v>
      </c>
      <c r="D115" s="25" t="s">
        <v>5</v>
      </c>
      <c r="E115" s="25" t="s">
        <v>14</v>
      </c>
      <c r="F115" s="25" t="s">
        <v>7</v>
      </c>
      <c r="G115" s="25" t="s">
        <v>8</v>
      </c>
      <c r="H115" s="25" t="s">
        <v>9</v>
      </c>
      <c r="I115" s="25" t="s">
        <v>10</v>
      </c>
      <c r="J115" s="25"/>
      <c r="K115" s="26" t="s">
        <v>18</v>
      </c>
    </row>
    <row r="116" spans="2:11" x14ac:dyDescent="0.25">
      <c r="B116" s="22"/>
      <c r="C116" s="23"/>
      <c r="D116" s="28">
        <v>1.7</v>
      </c>
      <c r="E116" s="23"/>
      <c r="F116" s="21"/>
      <c r="G116" s="21"/>
      <c r="H116" s="21"/>
      <c r="I116" s="21"/>
      <c r="J116" s="23"/>
      <c r="K116" s="27"/>
    </row>
    <row r="117" spans="2:11" x14ac:dyDescent="0.25">
      <c r="B117" s="22">
        <v>4.54</v>
      </c>
      <c r="C117" s="23">
        <f>B117</f>
        <v>4.54</v>
      </c>
      <c r="D117" s="23">
        <f>D116</f>
        <v>1.7</v>
      </c>
      <c r="E117" s="28">
        <v>5.25</v>
      </c>
      <c r="F117" s="21">
        <f>(E117-D117)/$F$2</f>
        <v>9.016995130822629E-2</v>
      </c>
      <c r="G117" s="21">
        <f>C117*9.8</f>
        <v>44.492000000000004</v>
      </c>
      <c r="H117" s="23"/>
      <c r="I117" s="21">
        <f t="shared" ref="I117:I119" si="62">G117/F117</f>
        <v>493.42379977464793</v>
      </c>
      <c r="J117" s="23"/>
      <c r="K117" s="27"/>
    </row>
    <row r="118" spans="2:11" x14ac:dyDescent="0.25">
      <c r="B118" s="22">
        <v>4.5750000000000002</v>
      </c>
      <c r="C118" s="23">
        <f>C117+B118</f>
        <v>9.1150000000000002</v>
      </c>
      <c r="D118" s="23">
        <f t="shared" ref="D118:D120" si="63">D117</f>
        <v>1.7</v>
      </c>
      <c r="E118" s="28">
        <v>8.75</v>
      </c>
      <c r="F118" s="21">
        <f t="shared" ref="F118:F120" si="64">(E118-D118)/$F$2</f>
        <v>0.1790699033022522</v>
      </c>
      <c r="G118" s="21">
        <f t="shared" ref="G118:G120" si="65">C118*9.8</f>
        <v>89.327000000000012</v>
      </c>
      <c r="H118" s="23"/>
      <c r="I118" s="21">
        <f t="shared" si="62"/>
        <v>498.83871243971646</v>
      </c>
      <c r="J118" s="23"/>
      <c r="K118" s="27"/>
    </row>
    <row r="119" spans="2:11" x14ac:dyDescent="0.25">
      <c r="B119" s="22">
        <v>4.6349999999999998</v>
      </c>
      <c r="C119" s="23">
        <f t="shared" ref="C119:C120" si="66">C118+B119</f>
        <v>13.75</v>
      </c>
      <c r="D119" s="23">
        <f t="shared" si="63"/>
        <v>1.7</v>
      </c>
      <c r="E119" s="28">
        <v>12.625</v>
      </c>
      <c r="F119" s="21">
        <f t="shared" si="64"/>
        <v>0.27749485015278091</v>
      </c>
      <c r="G119" s="21">
        <f t="shared" si="65"/>
        <v>134.75</v>
      </c>
      <c r="H119" s="23"/>
      <c r="I119" s="21">
        <f t="shared" si="62"/>
        <v>485.59459725400455</v>
      </c>
      <c r="J119" s="23"/>
      <c r="K119" s="27"/>
    </row>
    <row r="120" spans="2:11" x14ac:dyDescent="0.25">
      <c r="B120" s="22">
        <v>4.54</v>
      </c>
      <c r="C120" s="23">
        <f t="shared" si="66"/>
        <v>18.29</v>
      </c>
      <c r="D120" s="23">
        <f t="shared" si="63"/>
        <v>1.7</v>
      </c>
      <c r="E120" s="28"/>
      <c r="F120" s="21">
        <f t="shared" si="64"/>
        <v>-4.3179976682812586E-2</v>
      </c>
      <c r="G120" s="21">
        <f t="shared" si="65"/>
        <v>179.24200000000002</v>
      </c>
      <c r="H120" s="23"/>
      <c r="I120" s="21"/>
      <c r="J120" s="23"/>
      <c r="K120" s="27"/>
    </row>
    <row r="121" spans="2:11" ht="15.75" thickBot="1" x14ac:dyDescent="0.3">
      <c r="B121" s="8"/>
      <c r="C121" s="9"/>
      <c r="D121" s="9"/>
      <c r="E121" s="9"/>
      <c r="F121" s="9"/>
      <c r="G121" s="9"/>
      <c r="H121" s="9" t="s">
        <v>33</v>
      </c>
      <c r="I121" s="29">
        <f>MEDIAN(I117:I119)</f>
        <v>493.42379977464793</v>
      </c>
      <c r="J121" s="9">
        <f>MAX(I117:I120)-MIN(I117:I120)</f>
        <v>13.244115185711905</v>
      </c>
      <c r="K121" s="24"/>
    </row>
    <row r="123" spans="2:11" ht="15.75" thickBot="1" x14ac:dyDescent="0.3"/>
    <row r="124" spans="2:11" x14ac:dyDescent="0.25">
      <c r="B124" s="17" t="s">
        <v>17</v>
      </c>
      <c r="C124" s="11">
        <v>80</v>
      </c>
      <c r="D124" s="18" t="s">
        <v>24</v>
      </c>
      <c r="E124" s="11"/>
      <c r="F124" s="18"/>
      <c r="G124" s="18"/>
      <c r="H124" s="18"/>
      <c r="I124" s="18"/>
      <c r="J124" s="18"/>
      <c r="K124" s="19"/>
    </row>
    <row r="125" spans="2:11" x14ac:dyDescent="0.25">
      <c r="B125" s="20"/>
      <c r="C125" s="25" t="s">
        <v>4</v>
      </c>
      <c r="D125" s="25" t="s">
        <v>5</v>
      </c>
      <c r="E125" s="25" t="s">
        <v>14</v>
      </c>
      <c r="F125" s="25" t="s">
        <v>7</v>
      </c>
      <c r="G125" s="25" t="s">
        <v>8</v>
      </c>
      <c r="H125" s="25" t="s">
        <v>9</v>
      </c>
      <c r="I125" s="25" t="s">
        <v>10</v>
      </c>
      <c r="J125" s="25"/>
      <c r="K125" s="26" t="s">
        <v>18</v>
      </c>
    </row>
    <row r="126" spans="2:11" x14ac:dyDescent="0.25">
      <c r="B126" s="22"/>
      <c r="C126" s="23"/>
      <c r="D126" s="28">
        <v>1.5</v>
      </c>
      <c r="E126" s="23"/>
      <c r="F126" s="21"/>
      <c r="G126" s="21"/>
      <c r="H126" s="21"/>
      <c r="I126" s="21"/>
      <c r="J126" s="23"/>
      <c r="K126" s="27"/>
    </row>
    <row r="127" spans="2:11" x14ac:dyDescent="0.25">
      <c r="B127" s="22">
        <v>4.54</v>
      </c>
      <c r="C127" s="23">
        <f>B127</f>
        <v>4.54</v>
      </c>
      <c r="D127" s="23">
        <f>D126</f>
        <v>1.5</v>
      </c>
      <c r="E127" s="28">
        <v>6.25</v>
      </c>
      <c r="F127" s="21">
        <f>(E127-D127)/$F$2</f>
        <v>0.12064993484903518</v>
      </c>
      <c r="G127" s="21">
        <f>C127*9.8</f>
        <v>44.492000000000004</v>
      </c>
      <c r="H127" s="23"/>
      <c r="I127" s="21">
        <f t="shared" ref="I127:I129" si="67">G127/F127</f>
        <v>368.76936614736849</v>
      </c>
      <c r="J127" s="23"/>
      <c r="K127" s="27"/>
    </row>
    <row r="128" spans="2:11" x14ac:dyDescent="0.25">
      <c r="B128" s="22">
        <v>4.5750000000000002</v>
      </c>
      <c r="C128" s="23">
        <f>C127+B128</f>
        <v>9.1150000000000002</v>
      </c>
      <c r="D128" s="23">
        <f t="shared" ref="D128:D130" si="68">D127</f>
        <v>1.5</v>
      </c>
      <c r="E128" s="28">
        <v>11.3</v>
      </c>
      <c r="F128" s="21">
        <f t="shared" ref="F128:F130" si="69">(E128-D128)/$F$2</f>
        <v>0.24891986558327259</v>
      </c>
      <c r="G128" s="21">
        <f t="shared" ref="G128:G130" si="70">C128*9.8</f>
        <v>89.327000000000012</v>
      </c>
      <c r="H128" s="23"/>
      <c r="I128" s="21">
        <f t="shared" si="67"/>
        <v>358.85846150000003</v>
      </c>
      <c r="J128" s="23"/>
      <c r="K128" s="27"/>
    </row>
    <row r="129" spans="2:11" x14ac:dyDescent="0.25">
      <c r="B129" s="22">
        <v>4.6349999999999998</v>
      </c>
      <c r="C129" s="23">
        <f t="shared" ref="C129:C130" si="71">C128+B129</f>
        <v>13.75</v>
      </c>
      <c r="D129" s="23">
        <f t="shared" si="68"/>
        <v>1.5</v>
      </c>
      <c r="E129" s="28">
        <v>16.375</v>
      </c>
      <c r="F129" s="21">
        <f t="shared" si="69"/>
        <v>0.37782479597461016</v>
      </c>
      <c r="G129" s="21">
        <f t="shared" si="70"/>
        <v>134.75</v>
      </c>
      <c r="H129" s="23"/>
      <c r="I129" s="21">
        <f t="shared" si="67"/>
        <v>356.64678823529414</v>
      </c>
      <c r="J129" s="23"/>
      <c r="K129" s="27"/>
    </row>
    <row r="130" spans="2:11" x14ac:dyDescent="0.25">
      <c r="B130" s="22">
        <v>4.54</v>
      </c>
      <c r="C130" s="23">
        <f t="shared" si="71"/>
        <v>18.29</v>
      </c>
      <c r="D130" s="23">
        <f t="shared" si="68"/>
        <v>1.5</v>
      </c>
      <c r="E130" s="28"/>
      <c r="F130" s="21">
        <f t="shared" si="69"/>
        <v>-3.8099979426011107E-2</v>
      </c>
      <c r="G130" s="21">
        <f t="shared" si="70"/>
        <v>179.24200000000002</v>
      </c>
      <c r="H130" s="23"/>
      <c r="I130" s="21"/>
      <c r="J130" s="23"/>
      <c r="K130" s="27"/>
    </row>
    <row r="131" spans="2:11" ht="15.75" thickBot="1" x14ac:dyDescent="0.3">
      <c r="B131" s="8"/>
      <c r="C131" s="9"/>
      <c r="D131" s="9"/>
      <c r="E131" s="9"/>
      <c r="F131" s="9"/>
      <c r="G131" s="9"/>
      <c r="H131" s="9" t="s">
        <v>33</v>
      </c>
      <c r="I131" s="29">
        <f>MEDIAN(I127:I129)</f>
        <v>358.85846150000003</v>
      </c>
      <c r="J131" s="9">
        <f>MAX(I127:I130)-MIN(I127:I130)</f>
        <v>12.122577912074348</v>
      </c>
      <c r="K131" s="24"/>
    </row>
    <row r="132" spans="2:11" ht="15.75" thickBot="1" x14ac:dyDescent="0.3"/>
    <row r="133" spans="2:11" x14ac:dyDescent="0.25">
      <c r="B133" s="17" t="s">
        <v>17</v>
      </c>
      <c r="C133" s="11">
        <v>90</v>
      </c>
      <c r="D133" s="18" t="s">
        <v>24</v>
      </c>
      <c r="E133" s="11"/>
      <c r="F133" s="18"/>
      <c r="G133" s="18"/>
      <c r="H133" s="18"/>
      <c r="I133" s="18"/>
      <c r="J133" s="18"/>
      <c r="K133" s="19"/>
    </row>
    <row r="134" spans="2:11" x14ac:dyDescent="0.25">
      <c r="B134" s="20"/>
      <c r="C134" s="25" t="s">
        <v>4</v>
      </c>
      <c r="D134" s="25" t="s">
        <v>5</v>
      </c>
      <c r="E134" s="25" t="s">
        <v>14</v>
      </c>
      <c r="F134" s="25" t="s">
        <v>7</v>
      </c>
      <c r="G134" s="25" t="s">
        <v>8</v>
      </c>
      <c r="H134" s="25" t="s">
        <v>9</v>
      </c>
      <c r="I134" s="25" t="s">
        <v>10</v>
      </c>
      <c r="J134" s="25"/>
      <c r="K134" s="26" t="s">
        <v>18</v>
      </c>
    </row>
    <row r="135" spans="2:11" x14ac:dyDescent="0.25">
      <c r="B135" s="22"/>
      <c r="C135" s="23"/>
      <c r="D135" s="28">
        <v>2</v>
      </c>
      <c r="E135" s="23"/>
      <c r="F135" s="21"/>
      <c r="G135" s="21"/>
      <c r="H135" s="21"/>
      <c r="I135" s="21"/>
      <c r="J135" s="23"/>
      <c r="K135" s="27"/>
    </row>
    <row r="136" spans="2:11" x14ac:dyDescent="0.25">
      <c r="B136" s="22">
        <v>4.54</v>
      </c>
      <c r="C136" s="23">
        <f>B136</f>
        <v>4.54</v>
      </c>
      <c r="D136" s="23">
        <f>D135</f>
        <v>2</v>
      </c>
      <c r="E136" s="28">
        <v>7.5</v>
      </c>
      <c r="F136" s="21">
        <f>(E136-D136)/$F$2</f>
        <v>0.13969992456204072</v>
      </c>
      <c r="G136" s="21">
        <f>C136*9.8</f>
        <v>44.492000000000004</v>
      </c>
      <c r="H136" s="23"/>
      <c r="I136" s="21">
        <f t="shared" ref="I136:I138" si="72">G136/F136</f>
        <v>318.48263440000005</v>
      </c>
      <c r="J136" s="23"/>
      <c r="K136" s="27"/>
    </row>
    <row r="137" spans="2:11" x14ac:dyDescent="0.25">
      <c r="B137" s="22">
        <v>4.5750000000000002</v>
      </c>
      <c r="C137" s="23">
        <f>C136+B137</f>
        <v>9.1150000000000002</v>
      </c>
      <c r="D137" s="23">
        <f t="shared" ref="D137:D139" si="73">D136</f>
        <v>2</v>
      </c>
      <c r="E137" s="28">
        <v>13.125</v>
      </c>
      <c r="F137" s="21">
        <f t="shared" ref="F137:F139" si="74">(E137-D137)/$F$2</f>
        <v>0.28257484740958239</v>
      </c>
      <c r="G137" s="21">
        <f t="shared" ref="G137:G139" si="75">C137*9.8</f>
        <v>89.327000000000012</v>
      </c>
      <c r="H137" s="23"/>
      <c r="I137" s="21">
        <f t="shared" si="72"/>
        <v>316.11801552359555</v>
      </c>
      <c r="J137" s="23"/>
      <c r="K137" s="27"/>
    </row>
    <row r="138" spans="2:11" x14ac:dyDescent="0.25">
      <c r="B138" s="22">
        <v>4.6349999999999998</v>
      </c>
      <c r="C138" s="23">
        <f t="shared" ref="C138:C139" si="76">C137+B138</f>
        <v>13.75</v>
      </c>
      <c r="D138" s="23">
        <f t="shared" si="73"/>
        <v>2</v>
      </c>
      <c r="E138" s="28">
        <v>18.75</v>
      </c>
      <c r="F138" s="21">
        <f t="shared" si="74"/>
        <v>0.42544977025712405</v>
      </c>
      <c r="G138" s="21">
        <f t="shared" si="75"/>
        <v>134.75</v>
      </c>
      <c r="H138" s="23"/>
      <c r="I138" s="21">
        <f t="shared" si="72"/>
        <v>316.72364029850746</v>
      </c>
      <c r="J138" s="23"/>
      <c r="K138" s="27"/>
    </row>
    <row r="139" spans="2:11" x14ac:dyDescent="0.25">
      <c r="B139" s="22">
        <v>4.54</v>
      </c>
      <c r="C139" s="23">
        <f t="shared" si="76"/>
        <v>18.29</v>
      </c>
      <c r="D139" s="23">
        <f t="shared" si="73"/>
        <v>2</v>
      </c>
      <c r="E139" s="28"/>
      <c r="F139" s="21">
        <f t="shared" si="74"/>
        <v>-5.0799972568014815E-2</v>
      </c>
      <c r="G139" s="21">
        <f t="shared" si="75"/>
        <v>179.24200000000002</v>
      </c>
      <c r="H139" s="23"/>
      <c r="I139" s="21"/>
      <c r="J139" s="23"/>
      <c r="K139" s="27"/>
    </row>
    <row r="140" spans="2:11" ht="15.75" thickBot="1" x14ac:dyDescent="0.3">
      <c r="B140" s="8"/>
      <c r="C140" s="9"/>
      <c r="D140" s="9"/>
      <c r="E140" s="9"/>
      <c r="F140" s="9"/>
      <c r="G140" s="9"/>
      <c r="H140" s="9" t="s">
        <v>33</v>
      </c>
      <c r="I140" s="29">
        <f>MEDIAN(I136:I138)</f>
        <v>316.72364029850746</v>
      </c>
      <c r="J140" s="9">
        <f>MAX(I136:I139)-MIN(I136:I139)</f>
        <v>2.3646188764045064</v>
      </c>
      <c r="K140" s="24"/>
    </row>
    <row r="142" spans="2:11" ht="15.75" thickBot="1" x14ac:dyDescent="0.3"/>
    <row r="143" spans="2:11" x14ac:dyDescent="0.25">
      <c r="B143" s="17" t="s">
        <v>17</v>
      </c>
      <c r="C143" s="11">
        <v>95</v>
      </c>
      <c r="D143" s="18" t="s">
        <v>24</v>
      </c>
      <c r="E143" s="11"/>
      <c r="F143" s="18"/>
      <c r="G143" s="18"/>
      <c r="H143" s="18"/>
      <c r="I143" s="18"/>
      <c r="J143" s="18"/>
      <c r="K143" s="19"/>
    </row>
    <row r="144" spans="2:11" x14ac:dyDescent="0.25">
      <c r="B144" s="20"/>
      <c r="C144" s="25" t="s">
        <v>4</v>
      </c>
      <c r="D144" s="25" t="s">
        <v>5</v>
      </c>
      <c r="E144" s="25" t="s">
        <v>14</v>
      </c>
      <c r="F144" s="25" t="s">
        <v>7</v>
      </c>
      <c r="G144" s="25" t="s">
        <v>8</v>
      </c>
      <c r="H144" s="25" t="s">
        <v>9</v>
      </c>
      <c r="I144" s="25" t="s">
        <v>10</v>
      </c>
      <c r="J144" s="25"/>
      <c r="K144" s="26" t="s">
        <v>18</v>
      </c>
    </row>
    <row r="145" spans="2:11" x14ac:dyDescent="0.25">
      <c r="B145" s="22"/>
      <c r="C145" s="23"/>
      <c r="D145" s="28">
        <v>2.625</v>
      </c>
      <c r="E145" s="23"/>
      <c r="F145" s="21"/>
      <c r="G145" s="21"/>
      <c r="H145" s="21"/>
      <c r="I145" s="21"/>
      <c r="J145" s="23"/>
      <c r="K145" s="27"/>
    </row>
    <row r="146" spans="2:11" x14ac:dyDescent="0.25">
      <c r="B146" s="22">
        <v>4.54</v>
      </c>
      <c r="C146" s="23">
        <f>B146</f>
        <v>4.54</v>
      </c>
      <c r="D146" s="23">
        <f>D145</f>
        <v>2.625</v>
      </c>
      <c r="E146" s="28">
        <v>9.25</v>
      </c>
      <c r="F146" s="21">
        <f>(E146-D146)/$F$2</f>
        <v>0.16827490913154908</v>
      </c>
      <c r="G146" s="21">
        <f>C146*9.8</f>
        <v>44.492000000000004</v>
      </c>
      <c r="H146" s="23"/>
      <c r="I146" s="21">
        <f t="shared" ref="I146:I147" si="77">G146/F146</f>
        <v>264.40067761509437</v>
      </c>
      <c r="J146" s="23"/>
      <c r="K146" s="27"/>
    </row>
    <row r="147" spans="2:11" x14ac:dyDescent="0.25">
      <c r="B147" s="22">
        <v>4.5750000000000002</v>
      </c>
      <c r="C147" s="23">
        <f>C146+B147</f>
        <v>9.1150000000000002</v>
      </c>
      <c r="D147" s="23">
        <f t="shared" ref="D147:D149" si="78">D146</f>
        <v>2.625</v>
      </c>
      <c r="E147" s="28">
        <v>14.125</v>
      </c>
      <c r="F147" s="21">
        <f t="shared" ref="F147:F149" si="79">(E147-D147)/$F$2</f>
        <v>0.29209984226608515</v>
      </c>
      <c r="G147" s="21">
        <f t="shared" ref="G147:G149" si="80">C147*9.8</f>
        <v>89.327000000000012</v>
      </c>
      <c r="H147" s="23"/>
      <c r="I147" s="21">
        <f t="shared" si="77"/>
        <v>305.80981936521744</v>
      </c>
      <c r="J147" s="23"/>
      <c r="K147" s="27"/>
    </row>
    <row r="148" spans="2:11" x14ac:dyDescent="0.25">
      <c r="B148" s="22">
        <v>4.6349999999999998</v>
      </c>
      <c r="C148" s="23">
        <f t="shared" ref="C148:C149" si="81">C147+B148</f>
        <v>13.75</v>
      </c>
      <c r="D148" s="23">
        <f t="shared" si="78"/>
        <v>2.625</v>
      </c>
      <c r="E148" s="28"/>
      <c r="F148" s="21">
        <f t="shared" si="79"/>
        <v>-6.6674963995519435E-2</v>
      </c>
      <c r="G148" s="21">
        <f t="shared" si="80"/>
        <v>134.75</v>
      </c>
      <c r="H148" s="23"/>
      <c r="I148" s="21"/>
      <c r="J148" s="23"/>
      <c r="K148" s="27"/>
    </row>
    <row r="149" spans="2:11" x14ac:dyDescent="0.25">
      <c r="B149" s="22">
        <v>4.54</v>
      </c>
      <c r="C149" s="23">
        <f t="shared" si="81"/>
        <v>18.29</v>
      </c>
      <c r="D149" s="23">
        <f t="shared" si="78"/>
        <v>2.625</v>
      </c>
      <c r="E149" s="28"/>
      <c r="F149" s="21">
        <f t="shared" si="79"/>
        <v>-6.6674963995519435E-2</v>
      </c>
      <c r="G149" s="21">
        <f t="shared" si="80"/>
        <v>179.24200000000002</v>
      </c>
      <c r="H149" s="23"/>
      <c r="I149" s="21"/>
      <c r="J149" s="23"/>
      <c r="K149" s="27"/>
    </row>
    <row r="150" spans="2:11" ht="15.75" thickBot="1" x14ac:dyDescent="0.3">
      <c r="B150" s="8"/>
      <c r="C150" s="9"/>
      <c r="D150" s="9"/>
      <c r="E150" s="9"/>
      <c r="F150" s="9"/>
      <c r="G150" s="9"/>
      <c r="H150" s="9" t="s">
        <v>33</v>
      </c>
      <c r="I150" s="29">
        <f>MEDIAN(I146:I148)</f>
        <v>285.10524849015587</v>
      </c>
      <c r="J150" s="9">
        <f>MAX(I146:I149)-MIN(I146:I149)</f>
        <v>41.409141750123069</v>
      </c>
      <c r="K150" s="24"/>
    </row>
    <row r="162" spans="2:4" x14ac:dyDescent="0.25">
      <c r="B162" t="s">
        <v>17</v>
      </c>
      <c r="C162" t="s">
        <v>24</v>
      </c>
      <c r="D162" t="s">
        <v>17</v>
      </c>
    </row>
    <row r="163" spans="2:4" x14ac:dyDescent="0.25">
      <c r="B163">
        <f>C5</f>
        <v>5</v>
      </c>
      <c r="C163">
        <f>I12</f>
        <v>4920.3777786516875</v>
      </c>
      <c r="D163">
        <v>5</v>
      </c>
    </row>
    <row r="164" spans="2:4" x14ac:dyDescent="0.25">
      <c r="B164">
        <f>C16</f>
        <v>10</v>
      </c>
      <c r="C164">
        <f>I23</f>
        <v>2814.3877851458888</v>
      </c>
      <c r="D164">
        <v>10</v>
      </c>
    </row>
    <row r="165" spans="2:4" x14ac:dyDescent="0.25">
      <c r="B165">
        <f>C27</f>
        <v>15</v>
      </c>
      <c r="C165">
        <f>I34</f>
        <v>1826.9158040000004</v>
      </c>
      <c r="D165">
        <v>15</v>
      </c>
    </row>
    <row r="166" spans="2:4" x14ac:dyDescent="0.25">
      <c r="B166">
        <f>C37</f>
        <v>20</v>
      </c>
      <c r="C166">
        <f>I44</f>
        <v>1406.7251690800001</v>
      </c>
      <c r="D166">
        <v>20</v>
      </c>
    </row>
    <row r="167" spans="2:4" x14ac:dyDescent="0.25">
      <c r="B167">
        <f>C46</f>
        <v>25</v>
      </c>
      <c r="C167">
        <f>I53</f>
        <v>1153.287168478261</v>
      </c>
      <c r="D167">
        <v>25</v>
      </c>
    </row>
    <row r="168" spans="2:4" x14ac:dyDescent="0.25">
      <c r="B168">
        <f>C56</f>
        <v>30</v>
      </c>
      <c r="C168">
        <f>I63</f>
        <v>938.95946460176992</v>
      </c>
      <c r="D168">
        <v>30</v>
      </c>
    </row>
    <row r="169" spans="2:4" x14ac:dyDescent="0.25">
      <c r="B169">
        <f>C66</f>
        <v>35</v>
      </c>
      <c r="C169">
        <f>I73</f>
        <v>796.20658600000002</v>
      </c>
      <c r="D169">
        <v>35</v>
      </c>
    </row>
    <row r="170" spans="2:4" x14ac:dyDescent="0.25">
      <c r="B170">
        <f>C75</f>
        <v>40</v>
      </c>
      <c r="C170">
        <f>I82</f>
        <v>675.81158917197456</v>
      </c>
      <c r="D170">
        <v>40</v>
      </c>
    </row>
    <row r="171" spans="2:4" x14ac:dyDescent="0.25">
      <c r="B171">
        <f>C85</f>
        <v>45</v>
      </c>
      <c r="C171">
        <f>I92</f>
        <v>609.08392365097586</v>
      </c>
      <c r="D171">
        <v>45</v>
      </c>
    </row>
    <row r="172" spans="2:4" x14ac:dyDescent="0.25">
      <c r="B172">
        <f>C95</f>
        <v>50</v>
      </c>
      <c r="C172">
        <f>I102</f>
        <v>558.43378684210529</v>
      </c>
      <c r="D172">
        <v>50</v>
      </c>
    </row>
    <row r="173" spans="2:4" x14ac:dyDescent="0.25">
      <c r="B173">
        <f>C105</f>
        <v>55</v>
      </c>
      <c r="C173">
        <f>I112</f>
        <v>502.40184610000017</v>
      </c>
      <c r="D173">
        <v>55</v>
      </c>
    </row>
    <row r="174" spans="2:4" x14ac:dyDescent="0.25">
      <c r="B174">
        <f>C114</f>
        <v>60</v>
      </c>
      <c r="C174">
        <f>I121</f>
        <v>493.42379977464793</v>
      </c>
      <c r="D174">
        <v>60</v>
      </c>
    </row>
    <row r="175" spans="2:4" x14ac:dyDescent="0.25">
      <c r="B175">
        <f>C124</f>
        <v>80</v>
      </c>
      <c r="C175">
        <f>I131</f>
        <v>358.85846150000003</v>
      </c>
      <c r="D175">
        <v>80</v>
      </c>
    </row>
    <row r="176" spans="2:4" x14ac:dyDescent="0.25">
      <c r="B176">
        <f>C133</f>
        <v>90</v>
      </c>
      <c r="C176">
        <f>I140</f>
        <v>316.72364029850746</v>
      </c>
      <c r="D176">
        <v>90</v>
      </c>
    </row>
    <row r="177" spans="1:4" x14ac:dyDescent="0.25">
      <c r="B177">
        <f>C143</f>
        <v>95</v>
      </c>
      <c r="C177">
        <f>I150</f>
        <v>285.10524849015587</v>
      </c>
      <c r="D177">
        <v>95</v>
      </c>
    </row>
    <row r="188" spans="1:4" x14ac:dyDescent="0.25">
      <c r="A188" t="s">
        <v>24</v>
      </c>
      <c r="B188">
        <v>800</v>
      </c>
    </row>
    <row r="189" spans="1:4" x14ac:dyDescent="0.25">
      <c r="A189" t="s">
        <v>17</v>
      </c>
      <c r="B189">
        <f xml:space="preserve"> 33021*B188^(-1.026)</f>
        <v>34.691245675136052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X260"/>
  <sheetViews>
    <sheetView workbookViewId="0">
      <selection activeCell="D259" sqref="D259"/>
    </sheetView>
  </sheetViews>
  <sheetFormatPr defaultRowHeight="15" x14ac:dyDescent="0.25"/>
  <cols>
    <col min="12" max="13" width="9.140625" style="33"/>
  </cols>
  <sheetData>
    <row r="2" spans="2:24" x14ac:dyDescent="0.25">
      <c r="E2" t="s">
        <v>30</v>
      </c>
      <c r="F2" s="15">
        <v>39.370100000000001</v>
      </c>
      <c r="O2" t="s">
        <v>39</v>
      </c>
      <c r="R2" t="s">
        <v>40</v>
      </c>
    </row>
    <row r="3" spans="2:24" x14ac:dyDescent="0.25">
      <c r="N3" s="32">
        <f>2+12/16</f>
        <v>2.75</v>
      </c>
      <c r="Q3" s="32">
        <v>87</v>
      </c>
      <c r="T3" t="s">
        <v>41</v>
      </c>
    </row>
    <row r="4" spans="2:24" ht="15.75" thickBot="1" x14ac:dyDescent="0.3">
      <c r="N4">
        <f>2+12/16</f>
        <v>2.75</v>
      </c>
      <c r="O4" s="32">
        <f>3+9/16</f>
        <v>3.5625</v>
      </c>
      <c r="P4">
        <f>O4-N4</f>
        <v>0.8125</v>
      </c>
      <c r="Q4">
        <v>87</v>
      </c>
      <c r="R4" s="32">
        <v>480</v>
      </c>
      <c r="S4">
        <f>R4-Q4</f>
        <v>393</v>
      </c>
      <c r="T4">
        <f>S4/P4</f>
        <v>483.69230769230768</v>
      </c>
      <c r="U4">
        <f>0.0018*S4+2.7402</f>
        <v>3.4476000000000004</v>
      </c>
    </row>
    <row r="5" spans="2:24" x14ac:dyDescent="0.25">
      <c r="B5" s="17" t="s">
        <v>17</v>
      </c>
      <c r="C5" s="11">
        <v>5</v>
      </c>
      <c r="D5" s="18" t="s">
        <v>24</v>
      </c>
      <c r="E5" s="11"/>
      <c r="F5" s="18"/>
      <c r="G5" s="18"/>
      <c r="H5" s="18"/>
      <c r="I5" s="18"/>
      <c r="J5" s="18"/>
      <c r="K5" s="19"/>
      <c r="L5" s="21"/>
      <c r="M5" s="21"/>
      <c r="N5">
        <f t="shared" ref="N5:N12" si="0">2+12/16</f>
        <v>2.75</v>
      </c>
      <c r="O5" s="32">
        <f>4+5/16</f>
        <v>4.3125</v>
      </c>
      <c r="P5">
        <f>O5-N5</f>
        <v>1.5625</v>
      </c>
      <c r="Q5">
        <v>87</v>
      </c>
      <c r="R5" s="32">
        <v>889</v>
      </c>
      <c r="S5">
        <f t="shared" ref="S5:S6" si="1">R5-Q5</f>
        <v>802</v>
      </c>
      <c r="T5">
        <f>S5/P5</f>
        <v>513.28</v>
      </c>
      <c r="U5">
        <f t="shared" ref="U5:U12" si="2">0.0018*S5+2.7402</f>
        <v>4.1837999999999997</v>
      </c>
      <c r="V5">
        <f>O5-O4</f>
        <v>0.75</v>
      </c>
      <c r="W5">
        <f>R5-R4</f>
        <v>409</v>
      </c>
      <c r="X5">
        <f>W5/V5</f>
        <v>545.33333333333337</v>
      </c>
    </row>
    <row r="6" spans="2:24" x14ac:dyDescent="0.25">
      <c r="B6" s="20"/>
      <c r="C6" s="25" t="s">
        <v>4</v>
      </c>
      <c r="D6" s="25" t="s">
        <v>5</v>
      </c>
      <c r="E6" s="25" t="s">
        <v>14</v>
      </c>
      <c r="F6" s="25" t="s">
        <v>7</v>
      </c>
      <c r="G6" s="25" t="s">
        <v>8</v>
      </c>
      <c r="H6" s="25" t="s">
        <v>9</v>
      </c>
      <c r="I6" s="25" t="s">
        <v>10</v>
      </c>
      <c r="J6" s="25"/>
      <c r="K6" s="26" t="s">
        <v>18</v>
      </c>
      <c r="L6" s="25"/>
      <c r="M6" s="25"/>
      <c r="N6">
        <f t="shared" si="0"/>
        <v>2.75</v>
      </c>
      <c r="O6" s="32">
        <v>5</v>
      </c>
      <c r="P6">
        <f>O6-N6</f>
        <v>2.25</v>
      </c>
      <c r="Q6">
        <v>87</v>
      </c>
      <c r="R6" s="32">
        <v>1285</v>
      </c>
      <c r="S6">
        <f t="shared" si="1"/>
        <v>1198</v>
      </c>
      <c r="T6">
        <f>S6/P6</f>
        <v>532.44444444444446</v>
      </c>
      <c r="U6">
        <f t="shared" si="2"/>
        <v>4.8966000000000003</v>
      </c>
      <c r="V6">
        <f t="shared" ref="V6:V12" si="3">O6-O5</f>
        <v>0.6875</v>
      </c>
      <c r="W6">
        <f t="shared" ref="W6:W12" si="4">R6-R5</f>
        <v>396</v>
      </c>
      <c r="X6">
        <f t="shared" ref="X6:X12" si="5">W6/V6</f>
        <v>576</v>
      </c>
    </row>
    <row r="7" spans="2:24" x14ac:dyDescent="0.25">
      <c r="B7" s="22"/>
      <c r="C7" s="23"/>
      <c r="D7" s="28">
        <f>3+6/16</f>
        <v>3.375</v>
      </c>
      <c r="E7" s="23"/>
      <c r="F7" s="21"/>
      <c r="G7" s="21"/>
      <c r="H7" s="21"/>
      <c r="I7" s="21"/>
      <c r="J7" s="23"/>
      <c r="K7" s="27">
        <v>94</v>
      </c>
      <c r="L7" s="34"/>
      <c r="M7" s="34"/>
      <c r="N7">
        <f t="shared" si="0"/>
        <v>2.75</v>
      </c>
      <c r="O7">
        <f>5+11/16</f>
        <v>5.6875</v>
      </c>
      <c r="P7">
        <f t="shared" ref="P7:P11" si="6">O7-N7</f>
        <v>2.9375</v>
      </c>
      <c r="Q7">
        <v>87</v>
      </c>
      <c r="R7" s="32">
        <v>1685</v>
      </c>
      <c r="S7">
        <f t="shared" ref="S7:S10" si="7">R7-Q7</f>
        <v>1598</v>
      </c>
      <c r="T7">
        <f t="shared" ref="T7:T10" si="8">S7/P7</f>
        <v>544</v>
      </c>
      <c r="U7">
        <f t="shared" si="2"/>
        <v>5.6166</v>
      </c>
      <c r="V7">
        <f t="shared" si="3"/>
        <v>0.6875</v>
      </c>
      <c r="W7">
        <f t="shared" si="4"/>
        <v>400</v>
      </c>
      <c r="X7">
        <f t="shared" si="5"/>
        <v>581.81818181818187</v>
      </c>
    </row>
    <row r="8" spans="2:24" x14ac:dyDescent="0.25">
      <c r="B8" s="22">
        <v>4.54</v>
      </c>
      <c r="C8" s="23">
        <f>B8</f>
        <v>4.54</v>
      </c>
      <c r="D8" s="23">
        <f>D7</f>
        <v>3.375</v>
      </c>
      <c r="E8" s="28">
        <f>3+9/16</f>
        <v>3.5625</v>
      </c>
      <c r="F8" s="21">
        <f>(E8-D8)/$F$2</f>
        <v>4.7624974282513884E-3</v>
      </c>
      <c r="G8" s="21">
        <f>C8*9.8</f>
        <v>44.492000000000004</v>
      </c>
      <c r="H8" s="23"/>
      <c r="I8" s="21">
        <f t="shared" ref="I8:I11" si="9">G8/F8</f>
        <v>9342.1572757333342</v>
      </c>
      <c r="J8" s="23"/>
      <c r="K8" s="27">
        <v>178</v>
      </c>
      <c r="L8" s="34"/>
      <c r="M8" s="34"/>
      <c r="N8">
        <f t="shared" si="0"/>
        <v>2.75</v>
      </c>
      <c r="O8">
        <f>6+6.5/16</f>
        <v>6.40625</v>
      </c>
      <c r="P8">
        <f t="shared" si="6"/>
        <v>3.65625</v>
      </c>
      <c r="Q8">
        <v>87</v>
      </c>
      <c r="R8" s="32">
        <v>2089</v>
      </c>
      <c r="S8">
        <f t="shared" si="7"/>
        <v>2002</v>
      </c>
      <c r="T8">
        <f t="shared" si="8"/>
        <v>547.55555555555554</v>
      </c>
      <c r="U8">
        <f t="shared" si="2"/>
        <v>6.3437999999999999</v>
      </c>
      <c r="V8">
        <f t="shared" si="3"/>
        <v>0.71875</v>
      </c>
      <c r="W8">
        <f t="shared" si="4"/>
        <v>404</v>
      </c>
      <c r="X8">
        <f t="shared" si="5"/>
        <v>562.08695652173913</v>
      </c>
    </row>
    <row r="9" spans="2:24" x14ac:dyDescent="0.25">
      <c r="B9" s="22">
        <v>4.5750000000000002</v>
      </c>
      <c r="C9" s="23">
        <f>C8+B9</f>
        <v>9.1150000000000002</v>
      </c>
      <c r="D9" s="23">
        <f t="shared" ref="D9:D11" si="10">D8</f>
        <v>3.375</v>
      </c>
      <c r="E9" s="28">
        <f>3+12/16</f>
        <v>3.75</v>
      </c>
      <c r="F9" s="21">
        <f t="shared" ref="F9:F11" si="11">(E9-D9)/$F$2</f>
        <v>9.5249948565027769E-3</v>
      </c>
      <c r="G9" s="21">
        <f t="shared" ref="G9:G11" si="12">C9*9.8</f>
        <v>89.327000000000012</v>
      </c>
      <c r="H9" s="23"/>
      <c r="I9" s="21">
        <f t="shared" si="9"/>
        <v>9378.1677938666689</v>
      </c>
      <c r="J9" s="23"/>
      <c r="K9" s="27">
        <v>265</v>
      </c>
      <c r="L9" s="34"/>
      <c r="M9" s="34"/>
      <c r="N9">
        <f t="shared" si="0"/>
        <v>2.75</v>
      </c>
      <c r="O9">
        <f>7+1/16</f>
        <v>7.0625</v>
      </c>
      <c r="P9">
        <f t="shared" si="6"/>
        <v>4.3125</v>
      </c>
      <c r="Q9">
        <v>87</v>
      </c>
      <c r="R9" s="32">
        <v>2483</v>
      </c>
      <c r="S9">
        <f t="shared" si="7"/>
        <v>2396</v>
      </c>
      <c r="T9">
        <f t="shared" si="8"/>
        <v>555.59420289855075</v>
      </c>
      <c r="U9">
        <f t="shared" si="2"/>
        <v>7.0530000000000008</v>
      </c>
      <c r="V9">
        <f t="shared" si="3"/>
        <v>0.65625</v>
      </c>
      <c r="W9">
        <f t="shared" si="4"/>
        <v>394</v>
      </c>
      <c r="X9">
        <f t="shared" si="5"/>
        <v>600.38095238095241</v>
      </c>
    </row>
    <row r="10" spans="2:24" x14ac:dyDescent="0.25">
      <c r="B10" s="22">
        <v>4.6349999999999998</v>
      </c>
      <c r="C10" s="23">
        <f t="shared" ref="C10:C11" si="13">C9+B10</f>
        <v>13.75</v>
      </c>
      <c r="D10" s="23">
        <f t="shared" si="10"/>
        <v>3.375</v>
      </c>
      <c r="E10" s="28">
        <f>3+15/16</f>
        <v>3.9375</v>
      </c>
      <c r="F10" s="21">
        <f t="shared" si="11"/>
        <v>1.4287492284754165E-2</v>
      </c>
      <c r="G10" s="21">
        <f t="shared" si="12"/>
        <v>134.75</v>
      </c>
      <c r="H10" s="23"/>
      <c r="I10" s="21">
        <f t="shared" si="9"/>
        <v>9431.3261777777789</v>
      </c>
      <c r="J10" s="23"/>
      <c r="K10" s="27">
        <v>350</v>
      </c>
      <c r="L10" s="34"/>
      <c r="M10" s="34"/>
      <c r="N10">
        <f t="shared" si="0"/>
        <v>2.75</v>
      </c>
      <c r="O10">
        <v>8</v>
      </c>
      <c r="P10">
        <f t="shared" si="6"/>
        <v>5.25</v>
      </c>
      <c r="Q10">
        <v>87</v>
      </c>
      <c r="R10" s="32">
        <v>2989</v>
      </c>
      <c r="S10">
        <f t="shared" si="7"/>
        <v>2902</v>
      </c>
      <c r="T10">
        <f t="shared" si="8"/>
        <v>552.76190476190482</v>
      </c>
      <c r="U10">
        <f t="shared" si="2"/>
        <v>7.9638000000000009</v>
      </c>
      <c r="V10">
        <f t="shared" si="3"/>
        <v>0.9375</v>
      </c>
      <c r="W10">
        <f t="shared" si="4"/>
        <v>506</v>
      </c>
      <c r="X10">
        <f t="shared" si="5"/>
        <v>539.73333333333335</v>
      </c>
    </row>
    <row r="11" spans="2:24" x14ac:dyDescent="0.25">
      <c r="B11" s="22">
        <v>4.54</v>
      </c>
      <c r="C11" s="23">
        <f t="shared" si="13"/>
        <v>18.29</v>
      </c>
      <c r="D11" s="23">
        <f t="shared" si="10"/>
        <v>3.375</v>
      </c>
      <c r="E11" s="28">
        <f>4+2.5/16</f>
        <v>4.15625</v>
      </c>
      <c r="F11" s="21">
        <f t="shared" si="11"/>
        <v>1.9843739284380785E-2</v>
      </c>
      <c r="G11" s="21">
        <f t="shared" si="12"/>
        <v>179.24200000000002</v>
      </c>
      <c r="H11" s="23"/>
      <c r="I11" s="21">
        <f t="shared" si="9"/>
        <v>9032.6725941760014</v>
      </c>
      <c r="J11" s="23"/>
      <c r="K11" s="27">
        <v>445</v>
      </c>
      <c r="L11" s="34"/>
      <c r="M11" s="34"/>
      <c r="N11">
        <f t="shared" si="0"/>
        <v>2.75</v>
      </c>
      <c r="O11">
        <v>9</v>
      </c>
      <c r="P11">
        <f t="shared" si="6"/>
        <v>6.25</v>
      </c>
      <c r="Q11">
        <v>87</v>
      </c>
      <c r="R11" s="32">
        <v>3591</v>
      </c>
      <c r="S11">
        <f t="shared" ref="S11" si="14">R11-Q11</f>
        <v>3504</v>
      </c>
      <c r="T11">
        <f t="shared" ref="T11" si="15">S11/P11</f>
        <v>560.64</v>
      </c>
      <c r="U11">
        <f t="shared" si="2"/>
        <v>9.0473999999999997</v>
      </c>
      <c r="V11">
        <f t="shared" si="3"/>
        <v>1</v>
      </c>
      <c r="W11">
        <f t="shared" si="4"/>
        <v>602</v>
      </c>
      <c r="X11">
        <f t="shared" si="5"/>
        <v>602</v>
      </c>
    </row>
    <row r="12" spans="2:24" ht="15.75" thickBot="1" x14ac:dyDescent="0.3">
      <c r="B12" s="8"/>
      <c r="C12" s="9"/>
      <c r="D12" s="9"/>
      <c r="E12" s="9"/>
      <c r="F12" s="9"/>
      <c r="G12" s="9"/>
      <c r="H12" s="9" t="s">
        <v>33</v>
      </c>
      <c r="I12" s="29">
        <f>MEDIAN(I8:I10)</f>
        <v>9378.1677938666689</v>
      </c>
      <c r="J12" s="9">
        <f>MAX(I8:I11)-MIN(I8:I11)</f>
        <v>398.65358360177743</v>
      </c>
      <c r="K12" s="24"/>
      <c r="L12" s="21"/>
      <c r="M12" s="21"/>
      <c r="N12">
        <f t="shared" si="0"/>
        <v>2.75</v>
      </c>
      <c r="O12">
        <f>12+8.5/16</f>
        <v>12.53125</v>
      </c>
      <c r="P12">
        <f t="shared" ref="P12" si="16">O12-N12</f>
        <v>9.78125</v>
      </c>
      <c r="Q12">
        <v>88</v>
      </c>
      <c r="R12" s="32">
        <v>5590</v>
      </c>
      <c r="S12">
        <f t="shared" ref="S12" si="17">R12-Q12</f>
        <v>5502</v>
      </c>
      <c r="T12">
        <f t="shared" ref="T12" si="18">S12/P12</f>
        <v>562.50479233226838</v>
      </c>
      <c r="U12">
        <f t="shared" si="2"/>
        <v>12.643799999999999</v>
      </c>
      <c r="V12">
        <f t="shared" si="3"/>
        <v>3.53125</v>
      </c>
      <c r="W12">
        <f t="shared" si="4"/>
        <v>1999</v>
      </c>
      <c r="X12">
        <f t="shared" si="5"/>
        <v>566.08849557522126</v>
      </c>
    </row>
    <row r="15" spans="2:24" ht="15.75" thickBot="1" x14ac:dyDescent="0.3">
      <c r="O15">
        <f>E9-E8</f>
        <v>0.1875</v>
      </c>
      <c r="P15">
        <f>K9-K8</f>
        <v>87</v>
      </c>
      <c r="R15">
        <f t="shared" ref="R15:R16" si="19">O15/P15</f>
        <v>2.1551724137931034E-3</v>
      </c>
    </row>
    <row r="16" spans="2:24" x14ac:dyDescent="0.25">
      <c r="B16" s="17" t="s">
        <v>17</v>
      </c>
      <c r="C16" s="11">
        <v>10</v>
      </c>
      <c r="D16" s="18" t="s">
        <v>24</v>
      </c>
      <c r="E16" s="11"/>
      <c r="F16" s="18"/>
      <c r="G16" s="18"/>
      <c r="H16" s="18"/>
      <c r="I16" s="18"/>
      <c r="J16" s="18"/>
      <c r="K16" s="19"/>
      <c r="L16" s="21"/>
      <c r="M16" s="21"/>
      <c r="O16">
        <f>E10-E9</f>
        <v>0.1875</v>
      </c>
      <c r="P16">
        <f>K10-K9</f>
        <v>85</v>
      </c>
      <c r="R16">
        <f t="shared" si="19"/>
        <v>2.2058823529411764E-3</v>
      </c>
    </row>
    <row r="17" spans="2:18" x14ac:dyDescent="0.25">
      <c r="B17" s="20"/>
      <c r="C17" s="25" t="s">
        <v>4</v>
      </c>
      <c r="D17" s="25" t="s">
        <v>5</v>
      </c>
      <c r="E17" s="25" t="s">
        <v>14</v>
      </c>
      <c r="F17" s="25" t="s">
        <v>7</v>
      </c>
      <c r="G17" s="25" t="s">
        <v>8</v>
      </c>
      <c r="H17" s="25" t="s">
        <v>9</v>
      </c>
      <c r="I17" s="25" t="s">
        <v>10</v>
      </c>
      <c r="J17" s="25"/>
      <c r="K17" s="26" t="s">
        <v>18</v>
      </c>
      <c r="L17" s="25"/>
      <c r="M17" s="25"/>
      <c r="O17">
        <f>E11-E10</f>
        <v>0.21875</v>
      </c>
      <c r="P17">
        <f>K11-K10</f>
        <v>95</v>
      </c>
      <c r="R17">
        <f>O17/P17</f>
        <v>2.3026315789473682E-3</v>
      </c>
    </row>
    <row r="18" spans="2:18" x14ac:dyDescent="0.25">
      <c r="B18" s="22"/>
      <c r="C18" s="23"/>
      <c r="D18" s="28">
        <f>3+9/16</f>
        <v>3.5625</v>
      </c>
      <c r="E18" s="23"/>
      <c r="F18" s="21"/>
      <c r="G18" s="21"/>
      <c r="H18" s="21"/>
      <c r="I18" s="21"/>
      <c r="J18" s="23"/>
      <c r="K18" s="27">
        <v>174</v>
      </c>
      <c r="L18" s="34"/>
      <c r="M18" s="34"/>
    </row>
    <row r="19" spans="2:18" x14ac:dyDescent="0.25">
      <c r="B19" s="22">
        <v>4.54</v>
      </c>
      <c r="C19" s="23">
        <f>B19</f>
        <v>4.54</v>
      </c>
      <c r="D19" s="23">
        <f>D18</f>
        <v>3.5625</v>
      </c>
      <c r="E19" s="28">
        <f>3+14/16</f>
        <v>3.875</v>
      </c>
      <c r="F19" s="21">
        <f>(E19-D19)/$F$2</f>
        <v>7.9374957137523152E-3</v>
      </c>
      <c r="G19" s="21">
        <f>C19*9.8</f>
        <v>44.492000000000004</v>
      </c>
      <c r="H19" s="23"/>
      <c r="I19" s="21">
        <f t="shared" ref="I19:I22" si="20">G19/F19</f>
        <v>5605.2943654400005</v>
      </c>
      <c r="J19" s="23"/>
      <c r="K19" s="27">
        <v>340</v>
      </c>
      <c r="L19" s="34"/>
      <c r="M19" s="34"/>
    </row>
    <row r="20" spans="2:18" x14ac:dyDescent="0.25">
      <c r="B20" s="22">
        <v>4.5750000000000002</v>
      </c>
      <c r="C20" s="23">
        <f>C19+B20</f>
        <v>9.1150000000000002</v>
      </c>
      <c r="D20" s="23">
        <f t="shared" ref="D20:D22" si="21">D19</f>
        <v>3.5625</v>
      </c>
      <c r="E20" s="28">
        <f>4+4/16</f>
        <v>4.25</v>
      </c>
      <c r="F20" s="21">
        <f t="shared" ref="F20:F22" si="22">(E20-D20)/$F$2</f>
        <v>1.746249057025509E-2</v>
      </c>
      <c r="G20" s="21">
        <f t="shared" ref="G20:G22" si="23">C20*9.8</f>
        <v>89.327000000000012</v>
      </c>
      <c r="H20" s="23"/>
      <c r="I20" s="21">
        <f t="shared" si="20"/>
        <v>5115.3642512000015</v>
      </c>
      <c r="J20" s="23"/>
      <c r="K20" s="27">
        <v>490</v>
      </c>
      <c r="L20" s="34"/>
      <c r="M20" s="34"/>
      <c r="O20">
        <f>E20-E19</f>
        <v>0.375</v>
      </c>
      <c r="P20">
        <f>K20-K19</f>
        <v>150</v>
      </c>
      <c r="R20">
        <f t="shared" ref="R19:R20" si="24">O20/P20</f>
        <v>2.5000000000000001E-3</v>
      </c>
    </row>
    <row r="21" spans="2:18" x14ac:dyDescent="0.25">
      <c r="B21" s="22">
        <v>4.6349999999999998</v>
      </c>
      <c r="C21" s="23">
        <f t="shared" ref="C21:C22" si="25">C20+B21</f>
        <v>13.75</v>
      </c>
      <c r="D21" s="23">
        <f t="shared" si="21"/>
        <v>3.5625</v>
      </c>
      <c r="E21" s="28">
        <f>4+9/16</f>
        <v>4.5625</v>
      </c>
      <c r="F21" s="21">
        <f t="shared" si="22"/>
        <v>2.5399986284007407E-2</v>
      </c>
      <c r="G21" s="21">
        <f t="shared" si="23"/>
        <v>134.75</v>
      </c>
      <c r="H21" s="23"/>
      <c r="I21" s="21">
        <f t="shared" si="20"/>
        <v>5305.1209749999998</v>
      </c>
      <c r="J21" s="23"/>
      <c r="K21" s="27">
        <v>697</v>
      </c>
      <c r="L21" s="34"/>
      <c r="M21" s="34"/>
      <c r="O21">
        <f>E21-E20</f>
        <v>0.3125</v>
      </c>
      <c r="P21">
        <f>K21-K20</f>
        <v>207</v>
      </c>
      <c r="R21">
        <f>O21/P21</f>
        <v>1.5096618357487923E-3</v>
      </c>
    </row>
    <row r="22" spans="2:18" x14ac:dyDescent="0.25">
      <c r="B22" s="22">
        <v>4.54</v>
      </c>
      <c r="C22" s="23">
        <f t="shared" si="25"/>
        <v>18.29</v>
      </c>
      <c r="D22" s="23">
        <f t="shared" si="21"/>
        <v>3.5625</v>
      </c>
      <c r="E22" s="28">
        <f>4+14/16</f>
        <v>4.875</v>
      </c>
      <c r="F22" s="21">
        <f t="shared" si="22"/>
        <v>3.3337481997759717E-2</v>
      </c>
      <c r="G22" s="21">
        <f t="shared" si="23"/>
        <v>179.24200000000002</v>
      </c>
      <c r="H22" s="23"/>
      <c r="I22" s="21">
        <f t="shared" si="20"/>
        <v>5376.5908298666682</v>
      </c>
      <c r="J22" s="23"/>
      <c r="K22" s="27">
        <v>875</v>
      </c>
      <c r="L22" s="34"/>
      <c r="M22" s="34"/>
      <c r="O22">
        <f>E22-E21</f>
        <v>0.3125</v>
      </c>
      <c r="P22">
        <f>K22-K21</f>
        <v>178</v>
      </c>
      <c r="R22">
        <f>O22/P22</f>
        <v>1.7556179775280898E-3</v>
      </c>
    </row>
    <row r="23" spans="2:18" ht="15.75" thickBot="1" x14ac:dyDescent="0.3">
      <c r="B23" s="8"/>
      <c r="C23" s="9"/>
      <c r="D23" s="9"/>
      <c r="E23" s="9"/>
      <c r="F23" s="9"/>
      <c r="G23" s="9"/>
      <c r="H23" s="9" t="s">
        <v>33</v>
      </c>
      <c r="I23" s="29">
        <f>MEDIAN(I19:I21)</f>
        <v>5305.1209749999998</v>
      </c>
      <c r="J23" s="9">
        <f>MAX(I19:I22)-MIN(I19:I22)</f>
        <v>489.93011423999906</v>
      </c>
      <c r="K23" s="24"/>
      <c r="L23" s="21"/>
      <c r="M23" s="21"/>
    </row>
    <row r="26" spans="2:18" ht="15.75" thickBot="1" x14ac:dyDescent="0.3"/>
    <row r="27" spans="2:18" x14ac:dyDescent="0.25">
      <c r="B27" s="17" t="s">
        <v>17</v>
      </c>
      <c r="C27" s="11">
        <v>15</v>
      </c>
      <c r="D27" s="18" t="s">
        <v>24</v>
      </c>
      <c r="E27" s="11"/>
      <c r="F27" s="18"/>
      <c r="G27" s="18"/>
      <c r="H27" s="18"/>
      <c r="I27" s="18"/>
      <c r="J27" s="18"/>
      <c r="K27" s="19"/>
      <c r="L27" s="21"/>
      <c r="M27" s="21"/>
    </row>
    <row r="28" spans="2:18" x14ac:dyDescent="0.25">
      <c r="B28" s="20"/>
      <c r="C28" s="25" t="s">
        <v>4</v>
      </c>
      <c r="D28" s="25" t="s">
        <v>5</v>
      </c>
      <c r="E28" s="25" t="s">
        <v>14</v>
      </c>
      <c r="F28" s="25" t="s">
        <v>7</v>
      </c>
      <c r="G28" s="25" t="s">
        <v>8</v>
      </c>
      <c r="H28" s="25" t="s">
        <v>9</v>
      </c>
      <c r="I28" s="25" t="s">
        <v>10</v>
      </c>
      <c r="J28" s="25"/>
      <c r="K28" s="26" t="s">
        <v>18</v>
      </c>
      <c r="L28" s="25"/>
      <c r="M28" s="25"/>
    </row>
    <row r="29" spans="2:18" x14ac:dyDescent="0.25">
      <c r="B29" s="22"/>
      <c r="C29" s="23"/>
      <c r="D29" s="28">
        <f>3+12/16</f>
        <v>3.75</v>
      </c>
      <c r="E29" s="23"/>
      <c r="F29" s="21"/>
      <c r="G29" s="21"/>
      <c r="H29" s="21"/>
      <c r="I29" s="21"/>
      <c r="J29" s="23"/>
      <c r="K29" s="27">
        <v>284</v>
      </c>
      <c r="L29" s="34">
        <f>0.0018*K29+2.7402</f>
        <v>3.2514000000000003</v>
      </c>
      <c r="M29" s="34"/>
    </row>
    <row r="30" spans="2:18" x14ac:dyDescent="0.25">
      <c r="B30" s="22">
        <v>4.54</v>
      </c>
      <c r="C30" s="23">
        <f>B30</f>
        <v>4.54</v>
      </c>
      <c r="D30" s="23">
        <f>D29</f>
        <v>3.75</v>
      </c>
      <c r="E30" s="28">
        <f>4+2.5/16</f>
        <v>4.15625</v>
      </c>
      <c r="F30" s="21">
        <f>(E30-D30)/$F$2</f>
        <v>1.0318744427878009E-2</v>
      </c>
      <c r="G30" s="21">
        <f>C30*9.8</f>
        <v>44.492000000000004</v>
      </c>
      <c r="H30" s="23"/>
      <c r="I30" s="21">
        <f t="shared" ref="I30:I33" si="26">G30/F30</f>
        <v>4311.7648964923083</v>
      </c>
      <c r="J30" s="23"/>
      <c r="K30" s="27">
        <v>518</v>
      </c>
      <c r="L30" s="34">
        <f t="shared" ref="L30:L33" si="27">0.0018*K30+2.7402</f>
        <v>3.6726000000000001</v>
      </c>
      <c r="M30" s="34"/>
    </row>
    <row r="31" spans="2:18" x14ac:dyDescent="0.25">
      <c r="B31" s="22">
        <v>4.5750000000000002</v>
      </c>
      <c r="C31" s="23">
        <f>C30+B31</f>
        <v>9.1150000000000002</v>
      </c>
      <c r="D31" s="23">
        <f t="shared" ref="D31:D33" si="28">D30</f>
        <v>3.75</v>
      </c>
      <c r="E31" s="28">
        <f>4+12/16</f>
        <v>4.75</v>
      </c>
      <c r="F31" s="21">
        <f t="shared" ref="F31:F33" si="29">(E31-D31)/$F$2</f>
        <v>2.5399986284007407E-2</v>
      </c>
      <c r="G31" s="21">
        <f t="shared" ref="G31:G33" si="30">C31*9.8</f>
        <v>89.327000000000012</v>
      </c>
      <c r="H31" s="23"/>
      <c r="I31" s="21">
        <f t="shared" si="26"/>
        <v>3516.8129227000004</v>
      </c>
      <c r="J31" s="23"/>
      <c r="K31" s="27">
        <v>809</v>
      </c>
      <c r="L31" s="34">
        <f t="shared" si="27"/>
        <v>4.1964000000000006</v>
      </c>
      <c r="M31" s="34"/>
      <c r="O31">
        <f>E31-E30</f>
        <v>0.59375</v>
      </c>
      <c r="P31">
        <f>K31-K30</f>
        <v>291</v>
      </c>
      <c r="R31">
        <f t="shared" ref="R31:R32" si="31">O31/P31</f>
        <v>2.0403780068728524E-3</v>
      </c>
    </row>
    <row r="32" spans="2:18" x14ac:dyDescent="0.25">
      <c r="B32" s="22">
        <v>4.6349999999999998</v>
      </c>
      <c r="C32" s="23">
        <f t="shared" ref="C32:C33" si="32">C31+B32</f>
        <v>13.75</v>
      </c>
      <c r="D32" s="23">
        <f t="shared" si="28"/>
        <v>3.75</v>
      </c>
      <c r="E32" s="28">
        <f>5+2.5/16</f>
        <v>5.15625</v>
      </c>
      <c r="F32" s="21">
        <f t="shared" si="29"/>
        <v>3.5718730711885416E-2</v>
      </c>
      <c r="G32" s="21">
        <f t="shared" si="30"/>
        <v>134.75</v>
      </c>
      <c r="H32" s="23"/>
      <c r="I32" s="21">
        <f t="shared" si="26"/>
        <v>3772.5304711111112</v>
      </c>
      <c r="J32" s="23"/>
      <c r="K32" s="27">
        <v>1034</v>
      </c>
      <c r="L32" s="34">
        <f t="shared" si="27"/>
        <v>4.6013999999999999</v>
      </c>
      <c r="M32" s="34"/>
      <c r="O32">
        <f>E32-E31</f>
        <v>0.40625</v>
      </c>
      <c r="P32">
        <f>K32-K31</f>
        <v>225</v>
      </c>
      <c r="R32">
        <f>O32/P32</f>
        <v>1.8055555555555555E-3</v>
      </c>
    </row>
    <row r="33" spans="2:18" x14ac:dyDescent="0.25">
      <c r="B33" s="22">
        <v>4.54</v>
      </c>
      <c r="C33" s="23">
        <f t="shared" si="32"/>
        <v>18.29</v>
      </c>
      <c r="D33" s="23">
        <f t="shared" si="28"/>
        <v>3.75</v>
      </c>
      <c r="E33" s="28">
        <f>5+11.5/16</f>
        <v>5.71875</v>
      </c>
      <c r="F33" s="21">
        <f t="shared" si="29"/>
        <v>5.0006222996639579E-2</v>
      </c>
      <c r="G33" s="21">
        <f t="shared" si="30"/>
        <v>179.24200000000002</v>
      </c>
      <c r="H33" s="23"/>
      <c r="I33" s="21">
        <f t="shared" si="26"/>
        <v>3584.3938865777782</v>
      </c>
      <c r="J33" s="23"/>
      <c r="K33" s="27">
        <v>1326</v>
      </c>
      <c r="L33" s="34">
        <f t="shared" si="27"/>
        <v>5.1270000000000007</v>
      </c>
      <c r="M33" s="34"/>
      <c r="O33">
        <f>E33-E32</f>
        <v>0.5625</v>
      </c>
      <c r="P33">
        <f>K33-K32</f>
        <v>292</v>
      </c>
      <c r="R33">
        <f>O33/P33</f>
        <v>1.9263698630136985E-3</v>
      </c>
    </row>
    <row r="34" spans="2:18" ht="15.75" thickBot="1" x14ac:dyDescent="0.3">
      <c r="B34" s="8"/>
      <c r="C34" s="9"/>
      <c r="D34" s="9"/>
      <c r="E34" s="9"/>
      <c r="F34" s="9"/>
      <c r="G34" s="9"/>
      <c r="H34" s="9" t="s">
        <v>33</v>
      </c>
      <c r="I34" s="29">
        <f>MEDIAN(I30:I32)</f>
        <v>3772.5304711111112</v>
      </c>
      <c r="J34" s="9">
        <f>MAX(I30:I33)-MIN(I30:I33)</f>
        <v>794.95197379230785</v>
      </c>
      <c r="K34" s="24"/>
      <c r="L34" s="21"/>
      <c r="M34" s="21"/>
    </row>
    <row r="36" spans="2:18" ht="15.75" thickBot="1" x14ac:dyDescent="0.3">
      <c r="B36" s="3"/>
    </row>
    <row r="37" spans="2:18" x14ac:dyDescent="0.25">
      <c r="B37" s="17" t="s">
        <v>17</v>
      </c>
      <c r="C37" s="11">
        <v>45</v>
      </c>
      <c r="D37" s="18" t="s">
        <v>24</v>
      </c>
      <c r="E37" s="11"/>
      <c r="F37" s="18"/>
      <c r="G37" s="18"/>
      <c r="H37" s="18"/>
      <c r="I37" s="18"/>
      <c r="J37" s="18"/>
      <c r="K37" s="19"/>
      <c r="L37" s="21"/>
      <c r="M37" s="21"/>
    </row>
    <row r="38" spans="2:18" x14ac:dyDescent="0.25">
      <c r="B38" s="20"/>
      <c r="C38" s="25" t="s">
        <v>4</v>
      </c>
      <c r="D38" s="25" t="s">
        <v>5</v>
      </c>
      <c r="E38" s="25" t="s">
        <v>14</v>
      </c>
      <c r="F38" s="25" t="s">
        <v>7</v>
      </c>
      <c r="G38" s="25" t="s">
        <v>8</v>
      </c>
      <c r="H38" s="25" t="s">
        <v>9</v>
      </c>
      <c r="I38" s="25" t="s">
        <v>10</v>
      </c>
      <c r="J38" s="25"/>
      <c r="K38" s="26" t="s">
        <v>42</v>
      </c>
      <c r="L38" s="25"/>
      <c r="M38" s="25"/>
    </row>
    <row r="39" spans="2:18" x14ac:dyDescent="0.25">
      <c r="B39" s="22"/>
      <c r="C39" s="23"/>
      <c r="D39" s="28">
        <f>3+7/16</f>
        <v>3.4375</v>
      </c>
      <c r="E39" s="23"/>
      <c r="F39" s="21"/>
      <c r="G39" s="21"/>
      <c r="H39" s="21"/>
      <c r="I39" s="21"/>
      <c r="J39" s="23"/>
      <c r="K39" s="27">
        <v>854</v>
      </c>
      <c r="L39" s="34">
        <f>0.0018*K39+2.7402</f>
        <v>4.2774000000000001</v>
      </c>
      <c r="M39" s="34"/>
    </row>
    <row r="40" spans="2:18" x14ac:dyDescent="0.25">
      <c r="B40" s="22">
        <v>4.54</v>
      </c>
      <c r="C40" s="23">
        <f>B40</f>
        <v>4.54</v>
      </c>
      <c r="D40" s="23">
        <f>D39</f>
        <v>3.4375</v>
      </c>
      <c r="E40" s="28">
        <f>4+12/16</f>
        <v>4.75</v>
      </c>
      <c r="F40" s="21">
        <f>(E40-D40)/$F$2</f>
        <v>3.3337481997759717E-2</v>
      </c>
      <c r="G40" s="21">
        <f>C40*9.8</f>
        <v>44.492000000000004</v>
      </c>
      <c r="H40" s="23"/>
      <c r="I40" s="21">
        <f t="shared" ref="I40:I43" si="33">G40/F40</f>
        <v>1334.5938965333337</v>
      </c>
      <c r="J40" s="23"/>
      <c r="K40" s="27">
        <v>1581</v>
      </c>
      <c r="L40" s="34">
        <f>0.0018*K40+2.7402</f>
        <v>5.5860000000000003</v>
      </c>
      <c r="M40" s="34">
        <f>L40-$L$39</f>
        <v>1.3086000000000002</v>
      </c>
      <c r="N40">
        <f>E40-D40</f>
        <v>1.3125</v>
      </c>
      <c r="O40">
        <f>M40-N40</f>
        <v>-3.8999999999997925E-3</v>
      </c>
    </row>
    <row r="41" spans="2:18" x14ac:dyDescent="0.25">
      <c r="B41" s="22">
        <v>4.5750000000000002</v>
      </c>
      <c r="C41" s="23">
        <f>C40+B41</f>
        <v>9.1150000000000002</v>
      </c>
      <c r="D41" s="23">
        <f t="shared" ref="D41:D43" si="34">D40</f>
        <v>3.4375</v>
      </c>
      <c r="E41" s="28">
        <f>6+4/16</f>
        <v>6.25</v>
      </c>
      <c r="F41" s="21">
        <f t="shared" ref="F41:F43" si="35">(E41-D41)/$F$2</f>
        <v>7.1437461423770832E-2</v>
      </c>
      <c r="G41" s="21">
        <f t="shared" ref="G41:G43" si="36">C41*9.8</f>
        <v>89.327000000000012</v>
      </c>
      <c r="H41" s="23"/>
      <c r="I41" s="21">
        <f t="shared" si="33"/>
        <v>1250.4223725155557</v>
      </c>
      <c r="J41" s="23"/>
      <c r="K41" s="27">
        <v>2398</v>
      </c>
      <c r="L41" s="34">
        <f>0.0018*K41+2.7402</f>
        <v>7.0565999999999995</v>
      </c>
      <c r="M41" s="34">
        <f t="shared" ref="M41:M43" si="37">L41-$L$39</f>
        <v>2.7791999999999994</v>
      </c>
      <c r="N41">
        <f>E41-D41</f>
        <v>2.8125</v>
      </c>
      <c r="O41">
        <f>M41-N41</f>
        <v>-3.3300000000000551E-2</v>
      </c>
    </row>
    <row r="42" spans="2:18" x14ac:dyDescent="0.25">
      <c r="B42" s="22">
        <v>4.6349999999999998</v>
      </c>
      <c r="C42" s="23">
        <f t="shared" ref="C42:C43" si="38">C41+B42</f>
        <v>13.75</v>
      </c>
      <c r="D42" s="23">
        <f t="shared" si="34"/>
        <v>3.4375</v>
      </c>
      <c r="E42" s="28">
        <f>7+10/16</f>
        <v>7.625</v>
      </c>
      <c r="F42" s="21">
        <f t="shared" si="35"/>
        <v>0.10636244256428101</v>
      </c>
      <c r="G42" s="21">
        <f t="shared" si="36"/>
        <v>134.75</v>
      </c>
      <c r="H42" s="23"/>
      <c r="I42" s="21">
        <f t="shared" si="33"/>
        <v>1266.8945611940298</v>
      </c>
      <c r="J42" s="23"/>
      <c r="K42" s="27">
        <v>3196</v>
      </c>
      <c r="L42" s="34">
        <f>0.0018*K42+2.7402</f>
        <v>8.4930000000000003</v>
      </c>
      <c r="M42" s="34">
        <f t="shared" si="37"/>
        <v>4.2156000000000002</v>
      </c>
      <c r="N42">
        <f>E42-D42</f>
        <v>4.1875</v>
      </c>
      <c r="O42">
        <f>M42-N42</f>
        <v>2.8100000000000236E-2</v>
      </c>
    </row>
    <row r="43" spans="2:18" x14ac:dyDescent="0.25">
      <c r="B43" s="22">
        <v>4.54</v>
      </c>
      <c r="C43" s="23">
        <f t="shared" si="38"/>
        <v>18.29</v>
      </c>
      <c r="D43" s="23">
        <f t="shared" si="34"/>
        <v>3.4375</v>
      </c>
      <c r="E43" s="28">
        <f>9+1.5/16</f>
        <v>9.09375</v>
      </c>
      <c r="F43" s="21">
        <f t="shared" si="35"/>
        <v>0.1436686724189169</v>
      </c>
      <c r="G43" s="21">
        <f t="shared" si="36"/>
        <v>179.24200000000002</v>
      </c>
      <c r="H43" s="23"/>
      <c r="I43" s="21">
        <f t="shared" si="33"/>
        <v>1247.6067119027625</v>
      </c>
      <c r="J43" s="23"/>
      <c r="K43" s="27">
        <v>4004</v>
      </c>
      <c r="L43" s="34">
        <f>0.0018*K43+2.7402</f>
        <v>9.9474</v>
      </c>
      <c r="M43" s="34">
        <f t="shared" si="37"/>
        <v>5.67</v>
      </c>
      <c r="N43">
        <f>E43-D43</f>
        <v>5.65625</v>
      </c>
      <c r="O43">
        <f>M43-N43</f>
        <v>1.3749999999999929E-2</v>
      </c>
    </row>
    <row r="44" spans="2:18" ht="15.75" thickBot="1" x14ac:dyDescent="0.3">
      <c r="B44" s="8"/>
      <c r="C44" s="9"/>
      <c r="D44" s="9"/>
      <c r="E44" s="9"/>
      <c r="F44" s="9"/>
      <c r="G44" s="9"/>
      <c r="H44" s="9" t="s">
        <v>33</v>
      </c>
      <c r="I44" s="29">
        <f>MEDIAN(I40:I42)</f>
        <v>1266.8945611940298</v>
      </c>
      <c r="J44" s="9">
        <f>MAX(I40:I43)-MIN(I40:I43)</f>
        <v>86.987184630571164</v>
      </c>
      <c r="K44" s="24"/>
      <c r="L44" s="21"/>
      <c r="M44" s="21"/>
    </row>
    <row r="45" spans="2:18" ht="15.75" thickBot="1" x14ac:dyDescent="0.3"/>
    <row r="46" spans="2:18" x14ac:dyDescent="0.25">
      <c r="B46" s="17" t="s">
        <v>17</v>
      </c>
      <c r="C46" s="11">
        <v>25</v>
      </c>
      <c r="D46" s="18" t="s">
        <v>24</v>
      </c>
      <c r="E46" s="11"/>
      <c r="F46" s="18"/>
      <c r="G46" s="18"/>
      <c r="H46" s="18"/>
      <c r="I46" s="18"/>
      <c r="J46" s="18"/>
      <c r="K46" s="19"/>
      <c r="L46" s="21"/>
      <c r="M46" s="21"/>
    </row>
    <row r="47" spans="2:18" x14ac:dyDescent="0.25">
      <c r="B47" s="20"/>
      <c r="C47" s="25" t="s">
        <v>4</v>
      </c>
      <c r="D47" s="25" t="s">
        <v>5</v>
      </c>
      <c r="E47" s="25" t="s">
        <v>14</v>
      </c>
      <c r="F47" s="25" t="s">
        <v>7</v>
      </c>
      <c r="G47" s="25" t="s">
        <v>8</v>
      </c>
      <c r="H47" s="25" t="s">
        <v>9</v>
      </c>
      <c r="I47" s="25" t="s">
        <v>10</v>
      </c>
      <c r="J47" s="25"/>
      <c r="K47" s="26" t="s">
        <v>18</v>
      </c>
      <c r="L47" s="25"/>
      <c r="M47" s="25"/>
    </row>
    <row r="48" spans="2:18" x14ac:dyDescent="0.25">
      <c r="B48" s="22"/>
      <c r="C48" s="23"/>
      <c r="D48" s="28"/>
      <c r="E48" s="23"/>
      <c r="F48" s="21"/>
      <c r="G48" s="21"/>
      <c r="H48" s="21"/>
      <c r="I48" s="21"/>
      <c r="J48" s="23"/>
      <c r="K48" s="27"/>
      <c r="L48" s="34"/>
      <c r="M48" s="34"/>
    </row>
    <row r="49" spans="2:15" x14ac:dyDescent="0.25">
      <c r="B49" s="22">
        <v>4.54</v>
      </c>
      <c r="C49" s="23">
        <f>B49</f>
        <v>4.54</v>
      </c>
      <c r="D49" s="23">
        <f>D48</f>
        <v>0</v>
      </c>
      <c r="E49" s="28"/>
      <c r="F49" s="21">
        <f>(E49-D49)/$F$2</f>
        <v>0</v>
      </c>
      <c r="G49" s="21">
        <f>C49*9.8</f>
        <v>44.492000000000004</v>
      </c>
      <c r="H49" s="23"/>
      <c r="I49" s="21" t="e">
        <f t="shared" ref="I49:I52" si="39">G49/F49</f>
        <v>#DIV/0!</v>
      </c>
      <c r="J49" s="23"/>
      <c r="K49" s="27"/>
      <c r="L49" s="34"/>
      <c r="M49" s="34"/>
      <c r="O49" t="e">
        <f>E49/(K49-$K$48)</f>
        <v>#DIV/0!</v>
      </c>
    </row>
    <row r="50" spans="2:15" x14ac:dyDescent="0.25">
      <c r="B50" s="22">
        <v>4.5750000000000002</v>
      </c>
      <c r="C50" s="23">
        <f>C49+B50</f>
        <v>9.1150000000000002</v>
      </c>
      <c r="D50" s="23">
        <f t="shared" ref="D50:D52" si="40">D49</f>
        <v>0</v>
      </c>
      <c r="E50" s="28"/>
      <c r="F50" s="21">
        <f t="shared" ref="F50:F52" si="41">(E50-D50)/$F$2</f>
        <v>0</v>
      </c>
      <c r="G50" s="21">
        <f t="shared" ref="G50:G52" si="42">C50*9.8</f>
        <v>89.327000000000012</v>
      </c>
      <c r="H50" s="23"/>
      <c r="I50" s="21" t="e">
        <f t="shared" si="39"/>
        <v>#DIV/0!</v>
      </c>
      <c r="J50" s="23"/>
      <c r="K50" s="27"/>
      <c r="L50" s="34"/>
      <c r="M50" s="34"/>
      <c r="O50" t="e">
        <f>E50/(K50-$K$48)</f>
        <v>#DIV/0!</v>
      </c>
    </row>
    <row r="51" spans="2:15" x14ac:dyDescent="0.25">
      <c r="B51" s="22">
        <v>4.6349999999999998</v>
      </c>
      <c r="C51" s="23">
        <f t="shared" ref="C51:C52" si="43">C50+B51</f>
        <v>13.75</v>
      </c>
      <c r="D51" s="23">
        <f t="shared" si="40"/>
        <v>0</v>
      </c>
      <c r="E51" s="28"/>
      <c r="F51" s="21">
        <f t="shared" si="41"/>
        <v>0</v>
      </c>
      <c r="G51" s="21">
        <f t="shared" si="42"/>
        <v>134.75</v>
      </c>
      <c r="H51" s="23"/>
      <c r="I51" s="21" t="e">
        <f t="shared" si="39"/>
        <v>#DIV/0!</v>
      </c>
      <c r="J51" s="23"/>
      <c r="K51" s="27"/>
      <c r="L51" s="34"/>
      <c r="M51" s="34"/>
      <c r="O51" t="e">
        <f>E51/(K51-$K$48)</f>
        <v>#DIV/0!</v>
      </c>
    </row>
    <row r="52" spans="2:15" x14ac:dyDescent="0.25">
      <c r="B52" s="22">
        <v>4.54</v>
      </c>
      <c r="C52" s="23">
        <f t="shared" si="43"/>
        <v>18.29</v>
      </c>
      <c r="D52" s="23">
        <f t="shared" si="40"/>
        <v>0</v>
      </c>
      <c r="E52" s="28"/>
      <c r="F52" s="21">
        <f t="shared" si="41"/>
        <v>0</v>
      </c>
      <c r="G52" s="21">
        <f t="shared" si="42"/>
        <v>179.24200000000002</v>
      </c>
      <c r="H52" s="23"/>
      <c r="I52" s="21" t="e">
        <f t="shared" si="39"/>
        <v>#DIV/0!</v>
      </c>
      <c r="J52" s="23"/>
      <c r="K52" s="27"/>
      <c r="L52" s="34"/>
      <c r="M52" s="34"/>
      <c r="O52" t="e">
        <f>E52/(K52-$K$48)</f>
        <v>#DIV/0!</v>
      </c>
    </row>
    <row r="53" spans="2:15" ht="15.75" thickBot="1" x14ac:dyDescent="0.3">
      <c r="B53" s="8"/>
      <c r="C53" s="9"/>
      <c r="D53" s="9"/>
      <c r="E53" s="9"/>
      <c r="F53" s="9"/>
      <c r="G53" s="9"/>
      <c r="H53" s="9" t="s">
        <v>33</v>
      </c>
      <c r="I53" s="29" t="e">
        <f>MEDIAN(I49:I51)</f>
        <v>#DIV/0!</v>
      </c>
      <c r="J53" s="9" t="e">
        <f>MAX(I49:I52)-MIN(I49:I52)</f>
        <v>#DIV/0!</v>
      </c>
      <c r="K53" s="24"/>
      <c r="L53" s="21"/>
      <c r="M53" s="21"/>
    </row>
    <row r="55" spans="2:15" ht="15.75" thickBot="1" x14ac:dyDescent="0.3"/>
    <row r="56" spans="2:15" x14ac:dyDescent="0.25">
      <c r="B56" s="17" t="s">
        <v>17</v>
      </c>
      <c r="C56" s="11">
        <v>30</v>
      </c>
      <c r="D56" s="18" t="s">
        <v>24</v>
      </c>
      <c r="E56" s="11"/>
      <c r="F56" s="18"/>
      <c r="G56" s="18"/>
      <c r="H56" s="18"/>
      <c r="I56" s="18"/>
      <c r="J56" s="18"/>
      <c r="K56" s="19"/>
      <c r="L56" s="21"/>
      <c r="M56" s="21"/>
    </row>
    <row r="57" spans="2:15" x14ac:dyDescent="0.25">
      <c r="B57" s="20"/>
      <c r="C57" s="25" t="s">
        <v>4</v>
      </c>
      <c r="D57" s="25" t="s">
        <v>5</v>
      </c>
      <c r="E57" s="25" t="s">
        <v>14</v>
      </c>
      <c r="F57" s="25" t="s">
        <v>7</v>
      </c>
      <c r="G57" s="25" t="s">
        <v>8</v>
      </c>
      <c r="H57" s="25" t="s">
        <v>9</v>
      </c>
      <c r="I57" s="25" t="s">
        <v>10</v>
      </c>
      <c r="J57" s="25"/>
      <c r="K57" s="26" t="s">
        <v>18</v>
      </c>
      <c r="L57" s="25"/>
      <c r="M57" s="25"/>
    </row>
    <row r="58" spans="2:15" x14ac:dyDescent="0.25">
      <c r="B58" s="22"/>
      <c r="C58" s="23"/>
      <c r="D58" s="28"/>
      <c r="E58" s="23"/>
      <c r="F58" s="21"/>
      <c r="G58" s="21"/>
      <c r="H58" s="21"/>
      <c r="I58" s="21"/>
      <c r="J58" s="23"/>
      <c r="K58" s="27"/>
      <c r="L58" s="34"/>
      <c r="M58" s="34"/>
    </row>
    <row r="59" spans="2:15" x14ac:dyDescent="0.25">
      <c r="B59" s="22">
        <v>4.54</v>
      </c>
      <c r="C59" s="23">
        <f>B59</f>
        <v>4.54</v>
      </c>
      <c r="D59" s="23">
        <f>D58</f>
        <v>0</v>
      </c>
      <c r="E59" s="28"/>
      <c r="F59" s="21">
        <f>(E59-D59)/$F$2</f>
        <v>0</v>
      </c>
      <c r="G59" s="21">
        <f>C59*9.8</f>
        <v>44.492000000000004</v>
      </c>
      <c r="H59" s="23"/>
      <c r="I59" s="21" t="e">
        <f t="shared" ref="I59:I62" si="44">G59/F59</f>
        <v>#DIV/0!</v>
      </c>
      <c r="J59" s="23"/>
      <c r="K59" s="27"/>
      <c r="L59" s="34"/>
      <c r="M59" s="34"/>
    </row>
    <row r="60" spans="2:15" x14ac:dyDescent="0.25">
      <c r="B60" s="22">
        <v>4.5750000000000002</v>
      </c>
      <c r="C60" s="23">
        <f>C59+B60</f>
        <v>9.1150000000000002</v>
      </c>
      <c r="D60" s="23">
        <f t="shared" ref="D60:D62" si="45">D59</f>
        <v>0</v>
      </c>
      <c r="E60" s="28"/>
      <c r="F60" s="21">
        <f t="shared" ref="F60:F62" si="46">(E60-D60)/$F$2</f>
        <v>0</v>
      </c>
      <c r="G60" s="21">
        <f t="shared" ref="G60:G62" si="47">C60*9.8</f>
        <v>89.327000000000012</v>
      </c>
      <c r="H60" s="23"/>
      <c r="I60" s="21" t="e">
        <f t="shared" si="44"/>
        <v>#DIV/0!</v>
      </c>
      <c r="J60" s="23"/>
      <c r="K60" s="27"/>
      <c r="L60" s="34"/>
      <c r="M60" s="34"/>
    </row>
    <row r="61" spans="2:15" x14ac:dyDescent="0.25">
      <c r="B61" s="22">
        <v>4.6349999999999998</v>
      </c>
      <c r="C61" s="23">
        <f t="shared" ref="C61:C62" si="48">C60+B61</f>
        <v>13.75</v>
      </c>
      <c r="D61" s="23">
        <f t="shared" si="45"/>
        <v>0</v>
      </c>
      <c r="E61" s="28"/>
      <c r="F61" s="21">
        <f t="shared" si="46"/>
        <v>0</v>
      </c>
      <c r="G61" s="21">
        <f t="shared" si="47"/>
        <v>134.75</v>
      </c>
      <c r="H61" s="23"/>
      <c r="I61" s="21" t="e">
        <f t="shared" si="44"/>
        <v>#DIV/0!</v>
      </c>
      <c r="J61" s="23"/>
      <c r="K61" s="27"/>
      <c r="L61" s="34"/>
      <c r="M61" s="34"/>
    </row>
    <row r="62" spans="2:15" x14ac:dyDescent="0.25">
      <c r="B62" s="22">
        <v>4.54</v>
      </c>
      <c r="C62" s="23">
        <f t="shared" si="48"/>
        <v>18.29</v>
      </c>
      <c r="D62" s="23">
        <f t="shared" si="45"/>
        <v>0</v>
      </c>
      <c r="E62" s="28"/>
      <c r="F62" s="21">
        <f t="shared" si="46"/>
        <v>0</v>
      </c>
      <c r="G62" s="21">
        <f t="shared" si="47"/>
        <v>179.24200000000002</v>
      </c>
      <c r="H62" s="23"/>
      <c r="I62" s="21" t="e">
        <f t="shared" si="44"/>
        <v>#DIV/0!</v>
      </c>
      <c r="J62" s="23"/>
      <c r="K62" s="27"/>
      <c r="L62" s="34"/>
      <c r="M62" s="34"/>
    </row>
    <row r="63" spans="2:15" ht="15.75" thickBot="1" x14ac:dyDescent="0.3">
      <c r="B63" s="8"/>
      <c r="C63" s="9"/>
      <c r="D63" s="9"/>
      <c r="E63" s="9"/>
      <c r="F63" s="9"/>
      <c r="G63" s="9"/>
      <c r="H63" s="9" t="s">
        <v>33</v>
      </c>
      <c r="I63" s="29" t="e">
        <f>MEDIAN(I59:I61)</f>
        <v>#DIV/0!</v>
      </c>
      <c r="J63" s="9" t="e">
        <f>MAX(I59:I62)-MIN(I59:I62)</f>
        <v>#DIV/0!</v>
      </c>
      <c r="K63" s="24"/>
      <c r="L63" s="21"/>
      <c r="M63" s="21"/>
    </row>
    <row r="65" spans="2:13" ht="15.75" thickBot="1" x14ac:dyDescent="0.3"/>
    <row r="66" spans="2:13" x14ac:dyDescent="0.25">
      <c r="B66" s="17" t="s">
        <v>17</v>
      </c>
      <c r="C66" s="11">
        <v>35</v>
      </c>
      <c r="D66" s="18" t="s">
        <v>24</v>
      </c>
      <c r="E66" s="11"/>
      <c r="F66" s="18"/>
      <c r="G66" s="18"/>
      <c r="H66" s="18"/>
      <c r="I66" s="18"/>
      <c r="J66" s="18"/>
      <c r="K66" s="19"/>
      <c r="L66" s="21"/>
      <c r="M66" s="21"/>
    </row>
    <row r="67" spans="2:13" x14ac:dyDescent="0.25">
      <c r="B67" s="20"/>
      <c r="C67" s="25" t="s">
        <v>4</v>
      </c>
      <c r="D67" s="25" t="s">
        <v>5</v>
      </c>
      <c r="E67" s="25" t="s">
        <v>14</v>
      </c>
      <c r="F67" s="25" t="s">
        <v>7</v>
      </c>
      <c r="G67" s="25" t="s">
        <v>8</v>
      </c>
      <c r="H67" s="25" t="s">
        <v>9</v>
      </c>
      <c r="I67" s="25" t="s">
        <v>10</v>
      </c>
      <c r="J67" s="25"/>
      <c r="K67" s="26" t="s">
        <v>18</v>
      </c>
      <c r="L67" s="25"/>
      <c r="M67" s="25"/>
    </row>
    <row r="68" spans="2:13" x14ac:dyDescent="0.25">
      <c r="B68" s="22"/>
      <c r="C68" s="23"/>
      <c r="D68" s="28"/>
      <c r="E68" s="23"/>
      <c r="F68" s="21"/>
      <c r="G68" s="21"/>
      <c r="H68" s="21"/>
      <c r="I68" s="21"/>
      <c r="J68" s="23"/>
      <c r="K68" s="27"/>
      <c r="L68" s="34"/>
      <c r="M68" s="34"/>
    </row>
    <row r="69" spans="2:13" x14ac:dyDescent="0.25">
      <c r="B69" s="22">
        <v>4.54</v>
      </c>
      <c r="C69" s="23">
        <f>B69</f>
        <v>4.54</v>
      </c>
      <c r="D69" s="23">
        <f>D68</f>
        <v>0</v>
      </c>
      <c r="E69" s="28"/>
      <c r="F69" s="21">
        <f>(E69-D69)/$F$2</f>
        <v>0</v>
      </c>
      <c r="G69" s="21">
        <f>C69*9.8</f>
        <v>44.492000000000004</v>
      </c>
      <c r="H69" s="23"/>
      <c r="I69" s="21" t="e">
        <f t="shared" ref="I69:I72" si="49">G69/F69</f>
        <v>#DIV/0!</v>
      </c>
      <c r="J69" s="23"/>
      <c r="K69" s="27"/>
      <c r="L69" s="34"/>
      <c r="M69" s="34"/>
    </row>
    <row r="70" spans="2:13" x14ac:dyDescent="0.25">
      <c r="B70" s="22">
        <v>4.5750000000000002</v>
      </c>
      <c r="C70" s="23">
        <f>C69+B70</f>
        <v>9.1150000000000002</v>
      </c>
      <c r="D70" s="23">
        <f t="shared" ref="D70:D72" si="50">D69</f>
        <v>0</v>
      </c>
      <c r="E70" s="28"/>
      <c r="F70" s="21">
        <f t="shared" ref="F70:F72" si="51">(E70-D70)/$F$2</f>
        <v>0</v>
      </c>
      <c r="G70" s="21">
        <f t="shared" ref="G70:G72" si="52">C70*9.8</f>
        <v>89.327000000000012</v>
      </c>
      <c r="H70" s="23"/>
      <c r="I70" s="21" t="e">
        <f t="shared" si="49"/>
        <v>#DIV/0!</v>
      </c>
      <c r="J70" s="23"/>
      <c r="K70" s="27"/>
      <c r="L70" s="34"/>
      <c r="M70" s="34"/>
    </row>
    <row r="71" spans="2:13" x14ac:dyDescent="0.25">
      <c r="B71" s="22">
        <v>4.6349999999999998</v>
      </c>
      <c r="C71" s="23">
        <f t="shared" ref="C71:C72" si="53">C70+B71</f>
        <v>13.75</v>
      </c>
      <c r="D71" s="23">
        <f t="shared" si="50"/>
        <v>0</v>
      </c>
      <c r="E71" s="28"/>
      <c r="F71" s="21">
        <f t="shared" si="51"/>
        <v>0</v>
      </c>
      <c r="G71" s="21">
        <f t="shared" si="52"/>
        <v>134.75</v>
      </c>
      <c r="H71" s="23"/>
      <c r="I71" s="21" t="e">
        <f t="shared" si="49"/>
        <v>#DIV/0!</v>
      </c>
      <c r="J71" s="23"/>
      <c r="K71" s="27"/>
      <c r="L71" s="34"/>
      <c r="M71" s="34"/>
    </row>
    <row r="72" spans="2:13" x14ac:dyDescent="0.25">
      <c r="B72" s="22">
        <v>4.54</v>
      </c>
      <c r="C72" s="23">
        <f t="shared" si="53"/>
        <v>18.29</v>
      </c>
      <c r="D72" s="23">
        <f t="shared" si="50"/>
        <v>0</v>
      </c>
      <c r="E72" s="28"/>
      <c r="F72" s="21">
        <f t="shared" si="51"/>
        <v>0</v>
      </c>
      <c r="G72" s="21">
        <f t="shared" si="52"/>
        <v>179.24200000000002</v>
      </c>
      <c r="H72" s="23"/>
      <c r="I72" s="21" t="e">
        <f t="shared" si="49"/>
        <v>#DIV/0!</v>
      </c>
      <c r="J72" s="23"/>
      <c r="K72" s="27"/>
      <c r="L72" s="34"/>
      <c r="M72" s="34"/>
    </row>
    <row r="73" spans="2:13" ht="15.75" thickBot="1" x14ac:dyDescent="0.3">
      <c r="B73" s="8"/>
      <c r="C73" s="9"/>
      <c r="D73" s="9"/>
      <c r="E73" s="9"/>
      <c r="F73" s="9"/>
      <c r="G73" s="9"/>
      <c r="H73" s="9" t="s">
        <v>33</v>
      </c>
      <c r="I73" s="29" t="e">
        <f>MEDIAN(I69:I71)</f>
        <v>#DIV/0!</v>
      </c>
      <c r="J73" s="9" t="e">
        <f>MAX(I69:I72)-MIN(I69:I72)</f>
        <v>#DIV/0!</v>
      </c>
      <c r="K73" s="24"/>
      <c r="L73" s="21"/>
      <c r="M73" s="21"/>
    </row>
    <row r="74" spans="2:13" ht="15.75" thickBot="1" x14ac:dyDescent="0.3"/>
    <row r="75" spans="2:13" x14ac:dyDescent="0.25">
      <c r="B75" s="17" t="s">
        <v>17</v>
      </c>
      <c r="C75" s="11">
        <v>40</v>
      </c>
      <c r="D75" s="18" t="s">
        <v>24</v>
      </c>
      <c r="E75" s="11"/>
      <c r="F75" s="18"/>
      <c r="G75" s="18"/>
      <c r="H75" s="18"/>
      <c r="I75" s="18"/>
      <c r="J75" s="18"/>
      <c r="K75" s="19"/>
      <c r="L75" s="21"/>
      <c r="M75" s="21"/>
    </row>
    <row r="76" spans="2:13" x14ac:dyDescent="0.25">
      <c r="B76" s="20"/>
      <c r="C76" s="25" t="s">
        <v>4</v>
      </c>
      <c r="D76" s="25" t="s">
        <v>5</v>
      </c>
      <c r="E76" s="25" t="s">
        <v>14</v>
      </c>
      <c r="F76" s="25" t="s">
        <v>7</v>
      </c>
      <c r="G76" s="25" t="s">
        <v>8</v>
      </c>
      <c r="H76" s="25" t="s">
        <v>9</v>
      </c>
      <c r="I76" s="25" t="s">
        <v>10</v>
      </c>
      <c r="J76" s="25"/>
      <c r="K76" s="26" t="s">
        <v>18</v>
      </c>
      <c r="L76" s="25"/>
      <c r="M76" s="25"/>
    </row>
    <row r="77" spans="2:13" x14ac:dyDescent="0.25">
      <c r="B77" s="22"/>
      <c r="C77" s="23"/>
      <c r="D77" s="28"/>
      <c r="E77" s="23"/>
      <c r="F77" s="21"/>
      <c r="G77" s="21"/>
      <c r="H77" s="21"/>
      <c r="I77" s="21"/>
      <c r="J77" s="23"/>
      <c r="K77" s="27"/>
      <c r="L77" s="34"/>
      <c r="M77" s="34"/>
    </row>
    <row r="78" spans="2:13" x14ac:dyDescent="0.25">
      <c r="B78" s="22">
        <v>4.54</v>
      </c>
      <c r="C78" s="23">
        <f>B78</f>
        <v>4.54</v>
      </c>
      <c r="D78" s="23">
        <f>D77</f>
        <v>0</v>
      </c>
      <c r="E78" s="28"/>
      <c r="F78" s="21">
        <f>(E78-D78)/$F$2</f>
        <v>0</v>
      </c>
      <c r="G78" s="21">
        <f>C78*9.8</f>
        <v>44.492000000000004</v>
      </c>
      <c r="H78" s="23"/>
      <c r="I78" s="21" t="e">
        <f t="shared" ref="I78:I81" si="54">G78/F78</f>
        <v>#DIV/0!</v>
      </c>
      <c r="J78" s="23"/>
      <c r="K78" s="27"/>
      <c r="L78" s="34"/>
      <c r="M78" s="34"/>
    </row>
    <row r="79" spans="2:13" x14ac:dyDescent="0.25">
      <c r="B79" s="22">
        <v>4.5750000000000002</v>
      </c>
      <c r="C79" s="23">
        <f>C78+B79</f>
        <v>9.1150000000000002</v>
      </c>
      <c r="D79" s="23">
        <f t="shared" ref="D79:D81" si="55">D78</f>
        <v>0</v>
      </c>
      <c r="E79" s="28"/>
      <c r="F79" s="21">
        <f t="shared" ref="F79:F81" si="56">(E79-D79)/$F$2</f>
        <v>0</v>
      </c>
      <c r="G79" s="21">
        <f t="shared" ref="G79:G81" si="57">C79*9.8</f>
        <v>89.327000000000012</v>
      </c>
      <c r="H79" s="23"/>
      <c r="I79" s="21" t="e">
        <f t="shared" si="54"/>
        <v>#DIV/0!</v>
      </c>
      <c r="J79" s="23"/>
      <c r="K79" s="27"/>
      <c r="L79" s="34"/>
      <c r="M79" s="34"/>
    </row>
    <row r="80" spans="2:13" x14ac:dyDescent="0.25">
      <c r="B80" s="22">
        <v>4.6349999999999998</v>
      </c>
      <c r="C80" s="23">
        <f t="shared" ref="C80:C81" si="58">C79+B80</f>
        <v>13.75</v>
      </c>
      <c r="D80" s="23">
        <f t="shared" si="55"/>
        <v>0</v>
      </c>
      <c r="E80" s="28"/>
      <c r="F80" s="21">
        <f t="shared" si="56"/>
        <v>0</v>
      </c>
      <c r="G80" s="21">
        <f t="shared" si="57"/>
        <v>134.75</v>
      </c>
      <c r="H80" s="23"/>
      <c r="I80" s="21" t="e">
        <f t="shared" si="54"/>
        <v>#DIV/0!</v>
      </c>
      <c r="J80" s="23"/>
      <c r="K80" s="27"/>
      <c r="L80" s="34"/>
      <c r="M80" s="34"/>
    </row>
    <row r="81" spans="2:13" x14ac:dyDescent="0.25">
      <c r="B81" s="22">
        <v>4.54</v>
      </c>
      <c r="C81" s="23">
        <f t="shared" si="58"/>
        <v>18.29</v>
      </c>
      <c r="D81" s="23">
        <f t="shared" si="55"/>
        <v>0</v>
      </c>
      <c r="E81" s="28"/>
      <c r="F81" s="21">
        <f t="shared" si="56"/>
        <v>0</v>
      </c>
      <c r="G81" s="21">
        <f t="shared" si="57"/>
        <v>179.24200000000002</v>
      </c>
      <c r="H81" s="23"/>
      <c r="I81" s="21" t="e">
        <f t="shared" si="54"/>
        <v>#DIV/0!</v>
      </c>
      <c r="J81" s="23"/>
      <c r="K81" s="27"/>
      <c r="L81" s="34"/>
      <c r="M81" s="34"/>
    </row>
    <row r="82" spans="2:13" ht="15.75" thickBot="1" x14ac:dyDescent="0.3">
      <c r="B82" s="8"/>
      <c r="C82" s="9"/>
      <c r="D82" s="9"/>
      <c r="E82" s="9"/>
      <c r="F82" s="9"/>
      <c r="G82" s="9"/>
      <c r="H82" s="9" t="s">
        <v>33</v>
      </c>
      <c r="I82" s="29" t="e">
        <f>MEDIAN(I78:I80)</f>
        <v>#DIV/0!</v>
      </c>
      <c r="J82" s="9" t="e">
        <f>MAX(I78:I81)-MIN(I78:I81)</f>
        <v>#DIV/0!</v>
      </c>
      <c r="K82" s="24"/>
      <c r="L82" s="21"/>
      <c r="M82" s="21"/>
    </row>
    <row r="84" spans="2:13" ht="15.75" thickBot="1" x14ac:dyDescent="0.3"/>
    <row r="85" spans="2:13" x14ac:dyDescent="0.25">
      <c r="B85" s="17" t="s">
        <v>17</v>
      </c>
      <c r="C85" s="11">
        <v>45</v>
      </c>
      <c r="D85" s="18" t="s">
        <v>24</v>
      </c>
      <c r="E85" s="11"/>
      <c r="F85" s="18"/>
      <c r="G85" s="18"/>
      <c r="H85" s="18"/>
      <c r="I85" s="18"/>
      <c r="J85" s="18"/>
      <c r="K85" s="19"/>
      <c r="L85" s="21"/>
      <c r="M85" s="21"/>
    </row>
    <row r="86" spans="2:13" x14ac:dyDescent="0.25">
      <c r="B86" s="20"/>
      <c r="C86" s="25" t="s">
        <v>4</v>
      </c>
      <c r="D86" s="25" t="s">
        <v>5</v>
      </c>
      <c r="E86" s="25" t="s">
        <v>14</v>
      </c>
      <c r="F86" s="25" t="s">
        <v>7</v>
      </c>
      <c r="G86" s="25" t="s">
        <v>8</v>
      </c>
      <c r="H86" s="25" t="s">
        <v>9</v>
      </c>
      <c r="I86" s="25" t="s">
        <v>10</v>
      </c>
      <c r="J86" s="25"/>
      <c r="K86" s="26" t="s">
        <v>18</v>
      </c>
      <c r="L86" s="25"/>
      <c r="M86" s="25"/>
    </row>
    <row r="87" spans="2:13" x14ac:dyDescent="0.25">
      <c r="B87" s="22"/>
      <c r="C87" s="23"/>
      <c r="D87" s="28"/>
      <c r="E87" s="23"/>
      <c r="F87" s="21"/>
      <c r="G87" s="21"/>
      <c r="H87" s="21"/>
      <c r="I87" s="21"/>
      <c r="J87" s="23"/>
      <c r="K87" s="27">
        <v>-61</v>
      </c>
      <c r="L87" s="34"/>
      <c r="M87" s="34"/>
    </row>
    <row r="88" spans="2:13" x14ac:dyDescent="0.25">
      <c r="B88" s="22">
        <v>4.54</v>
      </c>
      <c r="C88" s="23">
        <f>B88</f>
        <v>4.54</v>
      </c>
      <c r="D88" s="23">
        <f>D87</f>
        <v>0</v>
      </c>
      <c r="E88" s="28"/>
      <c r="F88" s="21">
        <f>(E88-D88)/$F$2</f>
        <v>0</v>
      </c>
      <c r="G88" s="21">
        <f>C88*9.8</f>
        <v>44.492000000000004</v>
      </c>
      <c r="H88" s="23"/>
      <c r="I88" s="21" t="e">
        <f t="shared" ref="I88:I90" si="59">G88/F88</f>
        <v>#DIV/0!</v>
      </c>
      <c r="J88" s="23"/>
      <c r="K88" s="27">
        <v>140</v>
      </c>
      <c r="L88" s="34"/>
      <c r="M88" s="34"/>
    </row>
    <row r="89" spans="2:13" x14ac:dyDescent="0.25">
      <c r="B89" s="22">
        <v>4.5750000000000002</v>
      </c>
      <c r="C89" s="23">
        <f>C88+B89</f>
        <v>9.1150000000000002</v>
      </c>
      <c r="D89" s="23">
        <f t="shared" ref="D89:D91" si="60">D88</f>
        <v>0</v>
      </c>
      <c r="E89" s="28"/>
      <c r="F89" s="21">
        <f t="shared" ref="F89:F91" si="61">(E89-D89)/$F$2</f>
        <v>0</v>
      </c>
      <c r="G89" s="21">
        <f t="shared" ref="G89:G91" si="62">C89*9.8</f>
        <v>89.327000000000012</v>
      </c>
      <c r="H89" s="23"/>
      <c r="I89" s="21" t="e">
        <f t="shared" si="59"/>
        <v>#DIV/0!</v>
      </c>
      <c r="J89" s="23"/>
      <c r="K89" s="27">
        <v>223</v>
      </c>
      <c r="L89" s="34"/>
      <c r="M89" s="34"/>
    </row>
    <row r="90" spans="2:13" x14ac:dyDescent="0.25">
      <c r="B90" s="22">
        <v>4.6349999999999998</v>
      </c>
      <c r="C90" s="23">
        <f t="shared" ref="C90:C91" si="63">C89+B90</f>
        <v>13.75</v>
      </c>
      <c r="D90" s="23">
        <f t="shared" si="60"/>
        <v>0</v>
      </c>
      <c r="E90" s="28"/>
      <c r="F90" s="21">
        <f t="shared" si="61"/>
        <v>0</v>
      </c>
      <c r="G90" s="21">
        <f t="shared" si="62"/>
        <v>134.75</v>
      </c>
      <c r="H90" s="23"/>
      <c r="I90" s="21" t="e">
        <f t="shared" si="59"/>
        <v>#DIV/0!</v>
      </c>
      <c r="J90" s="23"/>
      <c r="K90" s="27">
        <v>304</v>
      </c>
      <c r="L90" s="34"/>
      <c r="M90" s="34"/>
    </row>
    <row r="91" spans="2:13" x14ac:dyDescent="0.25">
      <c r="B91" s="22">
        <v>4.54</v>
      </c>
      <c r="C91" s="23">
        <f t="shared" si="63"/>
        <v>18.29</v>
      </c>
      <c r="D91" s="23">
        <f t="shared" si="60"/>
        <v>0</v>
      </c>
      <c r="E91" s="28"/>
      <c r="F91" s="21">
        <f t="shared" si="61"/>
        <v>0</v>
      </c>
      <c r="G91" s="21">
        <f t="shared" si="62"/>
        <v>179.24200000000002</v>
      </c>
      <c r="H91" s="23"/>
      <c r="I91" s="21"/>
      <c r="J91" s="23"/>
      <c r="K91" s="27">
        <v>373</v>
      </c>
      <c r="L91" s="34"/>
      <c r="M91" s="34"/>
    </row>
    <row r="92" spans="2:13" ht="15.75" thickBot="1" x14ac:dyDescent="0.3">
      <c r="B92" s="8"/>
      <c r="C92" s="9"/>
      <c r="D92" s="9"/>
      <c r="E92" s="9"/>
      <c r="F92" s="9"/>
      <c r="G92" s="9"/>
      <c r="H92" s="9" t="s">
        <v>33</v>
      </c>
      <c r="I92" s="29" t="e">
        <f>MEDIAN(I88:I90)</f>
        <v>#DIV/0!</v>
      </c>
      <c r="J92" s="9" t="e">
        <f>MAX(I88:I91)-MIN(I88:I91)</f>
        <v>#DIV/0!</v>
      </c>
      <c r="K92" s="24"/>
      <c r="L92" s="21"/>
      <c r="M92" s="21"/>
    </row>
    <row r="94" spans="2:13" ht="15.75" thickBot="1" x14ac:dyDescent="0.3"/>
    <row r="95" spans="2:13" x14ac:dyDescent="0.25">
      <c r="B95" s="17" t="s">
        <v>17</v>
      </c>
      <c r="C95" s="11">
        <v>50</v>
      </c>
      <c r="D95" s="18" t="s">
        <v>24</v>
      </c>
      <c r="E95" s="11"/>
      <c r="F95" s="18"/>
      <c r="G95" s="18"/>
      <c r="H95" s="18"/>
      <c r="I95" s="18"/>
      <c r="J95" s="18"/>
      <c r="K95" s="19"/>
      <c r="L95" s="21"/>
      <c r="M95" s="21"/>
    </row>
    <row r="96" spans="2:13" x14ac:dyDescent="0.25">
      <c r="B96" s="20"/>
      <c r="C96" s="25" t="s">
        <v>4</v>
      </c>
      <c r="D96" s="25" t="s">
        <v>5</v>
      </c>
      <c r="E96" s="25" t="s">
        <v>14</v>
      </c>
      <c r="F96" s="25" t="s">
        <v>7</v>
      </c>
      <c r="G96" s="25" t="s">
        <v>8</v>
      </c>
      <c r="H96" s="25" t="s">
        <v>9</v>
      </c>
      <c r="I96" s="25" t="s">
        <v>10</v>
      </c>
      <c r="J96" s="25"/>
      <c r="K96" s="26" t="s">
        <v>18</v>
      </c>
      <c r="L96" s="25"/>
      <c r="M96" s="25"/>
    </row>
    <row r="97" spans="2:13" x14ac:dyDescent="0.25">
      <c r="B97" s="22"/>
      <c r="C97" s="23"/>
      <c r="D97" s="28"/>
      <c r="E97" s="23"/>
      <c r="F97" s="21"/>
      <c r="G97" s="21"/>
      <c r="H97" s="21"/>
      <c r="I97" s="21"/>
      <c r="J97" s="23"/>
      <c r="K97" s="27"/>
      <c r="L97" s="34"/>
      <c r="M97" s="34"/>
    </row>
    <row r="98" spans="2:13" x14ac:dyDescent="0.25">
      <c r="B98" s="22">
        <v>4.54</v>
      </c>
      <c r="C98" s="23">
        <f>B98</f>
        <v>4.54</v>
      </c>
      <c r="D98" s="23">
        <f>D97</f>
        <v>0</v>
      </c>
      <c r="E98" s="28"/>
      <c r="F98" s="21">
        <f>(E98-D98)/$F$2</f>
        <v>0</v>
      </c>
      <c r="G98" s="21">
        <f>C98*9.8</f>
        <v>44.492000000000004</v>
      </c>
      <c r="H98" s="23"/>
      <c r="I98" s="21" t="e">
        <f t="shared" ref="I98:I100" si="64">G98/F98</f>
        <v>#DIV/0!</v>
      </c>
      <c r="J98" s="23"/>
      <c r="K98" s="27"/>
      <c r="L98" s="34"/>
      <c r="M98" s="34"/>
    </row>
    <row r="99" spans="2:13" x14ac:dyDescent="0.25">
      <c r="B99" s="22">
        <v>4.5750000000000002</v>
      </c>
      <c r="C99" s="23">
        <f>C98+B99</f>
        <v>9.1150000000000002</v>
      </c>
      <c r="D99" s="23">
        <f t="shared" ref="D99:D101" si="65">D98</f>
        <v>0</v>
      </c>
      <c r="E99" s="28"/>
      <c r="F99" s="21">
        <f t="shared" ref="F99:F101" si="66">(E99-D99)/$F$2</f>
        <v>0</v>
      </c>
      <c r="G99" s="21">
        <f t="shared" ref="G99:G101" si="67">C99*9.8</f>
        <v>89.327000000000012</v>
      </c>
      <c r="H99" s="23"/>
      <c r="I99" s="21" t="e">
        <f t="shared" si="64"/>
        <v>#DIV/0!</v>
      </c>
      <c r="J99" s="23"/>
      <c r="K99" s="27"/>
      <c r="L99" s="34"/>
      <c r="M99" s="34"/>
    </row>
    <row r="100" spans="2:13" x14ac:dyDescent="0.25">
      <c r="B100" s="22">
        <v>4.6349999999999998</v>
      </c>
      <c r="C100" s="23">
        <f t="shared" ref="C100:C101" si="68">C99+B100</f>
        <v>13.75</v>
      </c>
      <c r="D100" s="23">
        <f t="shared" si="65"/>
        <v>0</v>
      </c>
      <c r="E100" s="28"/>
      <c r="F100" s="21">
        <f t="shared" si="66"/>
        <v>0</v>
      </c>
      <c r="G100" s="21">
        <f t="shared" si="67"/>
        <v>134.75</v>
      </c>
      <c r="H100" s="23"/>
      <c r="I100" s="21" t="e">
        <f t="shared" si="64"/>
        <v>#DIV/0!</v>
      </c>
      <c r="J100" s="23"/>
      <c r="K100" s="27"/>
      <c r="L100" s="34"/>
      <c r="M100" s="34"/>
    </row>
    <row r="101" spans="2:13" x14ac:dyDescent="0.25">
      <c r="B101" s="22">
        <v>4.54</v>
      </c>
      <c r="C101" s="23">
        <f t="shared" si="68"/>
        <v>18.29</v>
      </c>
      <c r="D101" s="23">
        <f t="shared" si="65"/>
        <v>0</v>
      </c>
      <c r="E101" s="28"/>
      <c r="F101" s="21">
        <f t="shared" si="66"/>
        <v>0</v>
      </c>
      <c r="G101" s="21">
        <f t="shared" si="67"/>
        <v>179.24200000000002</v>
      </c>
      <c r="H101" s="23"/>
      <c r="I101" s="21"/>
      <c r="J101" s="23"/>
      <c r="K101" s="27"/>
      <c r="L101" s="34"/>
      <c r="M101" s="34"/>
    </row>
    <row r="102" spans="2:13" ht="15.75" thickBot="1" x14ac:dyDescent="0.3">
      <c r="B102" s="8"/>
      <c r="C102" s="9"/>
      <c r="D102" s="9"/>
      <c r="E102" s="9"/>
      <c r="F102" s="9"/>
      <c r="G102" s="9"/>
      <c r="H102" s="9" t="s">
        <v>33</v>
      </c>
      <c r="I102" s="29" t="e">
        <f>MEDIAN(I98:I100)</f>
        <v>#DIV/0!</v>
      </c>
      <c r="J102" s="9" t="e">
        <f>MAX(I98:I101)-MIN(I98:I101)</f>
        <v>#DIV/0!</v>
      </c>
      <c r="K102" s="24"/>
      <c r="L102" s="21"/>
      <c r="M102" s="21"/>
    </row>
    <row r="104" spans="2:13" ht="15.75" thickBot="1" x14ac:dyDescent="0.3"/>
    <row r="105" spans="2:13" x14ac:dyDescent="0.25">
      <c r="B105" s="17" t="s">
        <v>17</v>
      </c>
      <c r="C105" s="11">
        <v>55</v>
      </c>
      <c r="D105" s="18" t="s">
        <v>24</v>
      </c>
      <c r="E105" s="11"/>
      <c r="F105" s="18"/>
      <c r="G105" s="18"/>
      <c r="H105" s="18"/>
      <c r="I105" s="18"/>
      <c r="J105" s="18"/>
      <c r="K105" s="19"/>
      <c r="L105" s="21"/>
      <c r="M105" s="21"/>
    </row>
    <row r="106" spans="2:13" x14ac:dyDescent="0.25">
      <c r="B106" s="20"/>
      <c r="C106" s="25" t="s">
        <v>4</v>
      </c>
      <c r="D106" s="25" t="s">
        <v>5</v>
      </c>
      <c r="E106" s="25" t="s">
        <v>14</v>
      </c>
      <c r="F106" s="25" t="s">
        <v>7</v>
      </c>
      <c r="G106" s="25" t="s">
        <v>8</v>
      </c>
      <c r="H106" s="25" t="s">
        <v>9</v>
      </c>
      <c r="I106" s="25" t="s">
        <v>10</v>
      </c>
      <c r="J106" s="25"/>
      <c r="K106" s="26" t="s">
        <v>18</v>
      </c>
      <c r="L106" s="25"/>
      <c r="M106" s="25"/>
    </row>
    <row r="107" spans="2:13" x14ac:dyDescent="0.25">
      <c r="B107" s="22"/>
      <c r="C107" s="23"/>
      <c r="D107" s="28"/>
      <c r="E107" s="23"/>
      <c r="F107" s="21"/>
      <c r="G107" s="21"/>
      <c r="H107" s="21"/>
      <c r="I107" s="21"/>
      <c r="J107" s="23"/>
      <c r="K107" s="27"/>
      <c r="L107" s="34"/>
      <c r="M107" s="34"/>
    </row>
    <row r="108" spans="2:13" x14ac:dyDescent="0.25">
      <c r="B108" s="22">
        <v>4.54</v>
      </c>
      <c r="C108" s="23">
        <f>B108</f>
        <v>4.54</v>
      </c>
      <c r="D108" s="23">
        <f>D107</f>
        <v>0</v>
      </c>
      <c r="E108" s="28"/>
      <c r="F108" s="21">
        <f>(E108-D108)/$F$2</f>
        <v>0</v>
      </c>
      <c r="G108" s="21">
        <f>C108*9.8</f>
        <v>44.492000000000004</v>
      </c>
      <c r="H108" s="23"/>
      <c r="I108" s="21" t="e">
        <f t="shared" ref="I108:I110" si="69">G108/F108</f>
        <v>#DIV/0!</v>
      </c>
      <c r="J108" s="23"/>
      <c r="K108" s="27"/>
      <c r="L108" s="34"/>
      <c r="M108" s="34"/>
    </row>
    <row r="109" spans="2:13" x14ac:dyDescent="0.25">
      <c r="B109" s="22">
        <v>4.5750000000000002</v>
      </c>
      <c r="C109" s="23">
        <f>C108+B109</f>
        <v>9.1150000000000002</v>
      </c>
      <c r="D109" s="23">
        <f t="shared" ref="D109:D111" si="70">D108</f>
        <v>0</v>
      </c>
      <c r="E109" s="28"/>
      <c r="F109" s="21">
        <f t="shared" ref="F109:F111" si="71">(E109-D109)/$F$2</f>
        <v>0</v>
      </c>
      <c r="G109" s="21">
        <f t="shared" ref="G109:G111" si="72">C109*9.8</f>
        <v>89.327000000000012</v>
      </c>
      <c r="H109" s="23"/>
      <c r="I109" s="21" t="e">
        <f t="shared" si="69"/>
        <v>#DIV/0!</v>
      </c>
      <c r="J109" s="23"/>
      <c r="K109" s="27"/>
      <c r="L109" s="34"/>
      <c r="M109" s="34"/>
    </row>
    <row r="110" spans="2:13" x14ac:dyDescent="0.25">
      <c r="B110" s="22">
        <v>4.6349999999999998</v>
      </c>
      <c r="C110" s="23">
        <f t="shared" ref="C110:C111" si="73">C109+B110</f>
        <v>13.75</v>
      </c>
      <c r="D110" s="23">
        <f t="shared" si="70"/>
        <v>0</v>
      </c>
      <c r="E110" s="28"/>
      <c r="F110" s="21">
        <f t="shared" si="71"/>
        <v>0</v>
      </c>
      <c r="G110" s="21">
        <f t="shared" si="72"/>
        <v>134.75</v>
      </c>
      <c r="H110" s="23"/>
      <c r="I110" s="21" t="e">
        <f t="shared" si="69"/>
        <v>#DIV/0!</v>
      </c>
      <c r="J110" s="23"/>
      <c r="K110" s="27"/>
      <c r="L110" s="34"/>
      <c r="M110" s="34"/>
    </row>
    <row r="111" spans="2:13" x14ac:dyDescent="0.25">
      <c r="B111" s="22">
        <v>4.54</v>
      </c>
      <c r="C111" s="23">
        <f t="shared" si="73"/>
        <v>18.29</v>
      </c>
      <c r="D111" s="23">
        <f t="shared" si="70"/>
        <v>0</v>
      </c>
      <c r="E111" s="28"/>
      <c r="F111" s="21">
        <f t="shared" si="71"/>
        <v>0</v>
      </c>
      <c r="G111" s="21">
        <f t="shared" si="72"/>
        <v>179.24200000000002</v>
      </c>
      <c r="H111" s="23"/>
      <c r="I111" s="21"/>
      <c r="J111" s="23"/>
      <c r="K111" s="27"/>
      <c r="L111" s="34"/>
      <c r="M111" s="34"/>
    </row>
    <row r="112" spans="2:13" ht="15.75" thickBot="1" x14ac:dyDescent="0.3">
      <c r="B112" s="8"/>
      <c r="C112" s="9"/>
      <c r="D112" s="9"/>
      <c r="E112" s="9"/>
      <c r="F112" s="9"/>
      <c r="G112" s="9"/>
      <c r="H112" s="9" t="s">
        <v>33</v>
      </c>
      <c r="I112" s="29" t="e">
        <f>MEDIAN(I108:I110)</f>
        <v>#DIV/0!</v>
      </c>
      <c r="J112" s="9" t="e">
        <f>MAX(I108:I111)-MIN(I108:I111)</f>
        <v>#DIV/0!</v>
      </c>
      <c r="K112" s="24"/>
      <c r="L112" s="21"/>
      <c r="M112" s="21"/>
    </row>
    <row r="113" spans="2:15" ht="15.75" thickBot="1" x14ac:dyDescent="0.3"/>
    <row r="114" spans="2:15" x14ac:dyDescent="0.25">
      <c r="B114" s="17" t="s">
        <v>17</v>
      </c>
      <c r="C114" s="11">
        <v>60</v>
      </c>
      <c r="D114" s="18" t="s">
        <v>24</v>
      </c>
      <c r="E114" s="11"/>
      <c r="F114" s="18"/>
      <c r="G114" s="18"/>
      <c r="H114" s="18"/>
      <c r="I114" s="18"/>
      <c r="J114" s="18"/>
      <c r="K114" s="19"/>
      <c r="L114" s="21"/>
      <c r="M114" s="21"/>
    </row>
    <row r="115" spans="2:15" x14ac:dyDescent="0.25">
      <c r="B115" s="20"/>
      <c r="C115" s="25" t="s">
        <v>4</v>
      </c>
      <c r="D115" s="25" t="s">
        <v>5</v>
      </c>
      <c r="E115" s="25" t="s">
        <v>14</v>
      </c>
      <c r="F115" s="25" t="s">
        <v>7</v>
      </c>
      <c r="G115" s="25" t="s">
        <v>8</v>
      </c>
      <c r="H115" s="25" t="s">
        <v>9</v>
      </c>
      <c r="I115" s="25" t="s">
        <v>10</v>
      </c>
      <c r="J115" s="25"/>
      <c r="K115" s="26" t="s">
        <v>18</v>
      </c>
      <c r="L115" s="25"/>
      <c r="M115" s="25"/>
    </row>
    <row r="116" spans="2:15" x14ac:dyDescent="0.25">
      <c r="B116" s="22"/>
      <c r="C116" s="23"/>
      <c r="D116" s="28"/>
      <c r="E116" s="23"/>
      <c r="F116" s="21"/>
      <c r="G116" s="21"/>
      <c r="H116" s="21"/>
      <c r="I116" s="21"/>
      <c r="J116" s="23"/>
      <c r="K116" s="27"/>
      <c r="L116" s="34"/>
      <c r="M116" s="34"/>
    </row>
    <row r="117" spans="2:15" x14ac:dyDescent="0.25">
      <c r="B117" s="22">
        <v>4.54</v>
      </c>
      <c r="C117" s="23">
        <f>B117</f>
        <v>4.54</v>
      </c>
      <c r="D117" s="23">
        <f>D116</f>
        <v>0</v>
      </c>
      <c r="E117" s="28"/>
      <c r="F117" s="21">
        <f>(E117-D117)/$F$2</f>
        <v>0</v>
      </c>
      <c r="G117" s="21">
        <f>C117*9.8</f>
        <v>44.492000000000004</v>
      </c>
      <c r="H117" s="23"/>
      <c r="I117" s="21" t="e">
        <f t="shared" ref="I117:I119" si="74">G117/F117</f>
        <v>#DIV/0!</v>
      </c>
      <c r="J117" s="23"/>
      <c r="K117" s="27"/>
      <c r="L117" s="34"/>
      <c r="M117" s="34"/>
    </row>
    <row r="118" spans="2:15" x14ac:dyDescent="0.25">
      <c r="B118" s="22">
        <v>4.5750000000000002</v>
      </c>
      <c r="C118" s="23">
        <f>C117+B118</f>
        <v>9.1150000000000002</v>
      </c>
      <c r="D118" s="23">
        <f t="shared" ref="D118:D120" si="75">D117</f>
        <v>0</v>
      </c>
      <c r="E118" s="28"/>
      <c r="F118" s="21">
        <f t="shared" ref="F118:F120" si="76">(E118-D118)/$F$2</f>
        <v>0</v>
      </c>
      <c r="G118" s="21">
        <f t="shared" ref="G118:G120" si="77">C118*9.8</f>
        <v>89.327000000000012</v>
      </c>
      <c r="H118" s="23"/>
      <c r="I118" s="21" t="e">
        <f t="shared" si="74"/>
        <v>#DIV/0!</v>
      </c>
      <c r="J118" s="23"/>
      <c r="K118" s="27"/>
      <c r="L118" s="34"/>
      <c r="M118" s="34"/>
    </row>
    <row r="119" spans="2:15" x14ac:dyDescent="0.25">
      <c r="B119" s="22">
        <v>4.6349999999999998</v>
      </c>
      <c r="C119" s="23">
        <f t="shared" ref="C119:C120" si="78">C118+B119</f>
        <v>13.75</v>
      </c>
      <c r="D119" s="23">
        <f t="shared" si="75"/>
        <v>0</v>
      </c>
      <c r="E119" s="28"/>
      <c r="F119" s="21">
        <f t="shared" si="76"/>
        <v>0</v>
      </c>
      <c r="G119" s="21">
        <f t="shared" si="77"/>
        <v>134.75</v>
      </c>
      <c r="H119" s="23"/>
      <c r="I119" s="21" t="e">
        <f t="shared" si="74"/>
        <v>#DIV/0!</v>
      </c>
      <c r="J119" s="23"/>
      <c r="K119" s="27"/>
      <c r="L119" s="34"/>
      <c r="M119" s="34"/>
    </row>
    <row r="120" spans="2:15" x14ac:dyDescent="0.25">
      <c r="B120" s="22">
        <v>4.54</v>
      </c>
      <c r="C120" s="23">
        <f t="shared" si="78"/>
        <v>18.29</v>
      </c>
      <c r="D120" s="23">
        <f t="shared" si="75"/>
        <v>0</v>
      </c>
      <c r="E120" s="28"/>
      <c r="F120" s="21">
        <f t="shared" si="76"/>
        <v>0</v>
      </c>
      <c r="G120" s="21">
        <f t="shared" si="77"/>
        <v>179.24200000000002</v>
      </c>
      <c r="H120" s="23"/>
      <c r="I120" s="21"/>
      <c r="J120" s="23"/>
      <c r="K120" s="27"/>
      <c r="L120" s="34"/>
      <c r="M120" s="34"/>
    </row>
    <row r="121" spans="2:15" ht="15.75" thickBot="1" x14ac:dyDescent="0.3">
      <c r="B121" s="8"/>
      <c r="C121" s="9"/>
      <c r="D121" s="9"/>
      <c r="E121" s="9"/>
      <c r="F121" s="9"/>
      <c r="G121" s="9"/>
      <c r="H121" s="9" t="s">
        <v>33</v>
      </c>
      <c r="I121" s="29" t="e">
        <f>MEDIAN(I117:I119)</f>
        <v>#DIV/0!</v>
      </c>
      <c r="J121" s="9" t="e">
        <f>MAX(I117:I120)-MIN(I117:I120)</f>
        <v>#DIV/0!</v>
      </c>
      <c r="K121" s="24"/>
      <c r="L121" s="21"/>
      <c r="M121" s="21"/>
    </row>
    <row r="123" spans="2:15" ht="15.75" thickBot="1" x14ac:dyDescent="0.3"/>
    <row r="124" spans="2:15" x14ac:dyDescent="0.25">
      <c r="B124" s="17" t="s">
        <v>17</v>
      </c>
      <c r="C124" s="11">
        <v>30</v>
      </c>
      <c r="D124" s="18" t="s">
        <v>24</v>
      </c>
      <c r="E124" s="11"/>
      <c r="F124" s="18"/>
      <c r="G124" s="18"/>
      <c r="H124" s="18"/>
      <c r="I124" s="18"/>
      <c r="J124" s="18"/>
      <c r="K124" s="19"/>
      <c r="L124" s="21"/>
      <c r="M124" s="21"/>
    </row>
    <row r="125" spans="2:15" x14ac:dyDescent="0.25">
      <c r="B125" s="20"/>
      <c r="C125" s="25" t="s">
        <v>4</v>
      </c>
      <c r="D125" s="25" t="s">
        <v>5</v>
      </c>
      <c r="E125" s="25" t="s">
        <v>14</v>
      </c>
      <c r="F125" s="25" t="s">
        <v>7</v>
      </c>
      <c r="G125" s="25" t="s">
        <v>8</v>
      </c>
      <c r="H125" s="25" t="s">
        <v>9</v>
      </c>
      <c r="I125" s="25" t="s">
        <v>10</v>
      </c>
      <c r="J125" s="25"/>
      <c r="K125" s="26" t="s">
        <v>18</v>
      </c>
      <c r="L125" s="25"/>
      <c r="M125" s="25"/>
    </row>
    <row r="126" spans="2:15" x14ac:dyDescent="0.25">
      <c r="B126" s="22"/>
      <c r="C126" s="23"/>
      <c r="D126" s="28">
        <f>3+7.5/16</f>
        <v>3.46875</v>
      </c>
      <c r="E126" s="23"/>
      <c r="F126" s="21"/>
      <c r="G126" s="21"/>
      <c r="H126" s="21"/>
      <c r="I126" s="21"/>
      <c r="J126" s="23"/>
      <c r="K126" s="27">
        <v>831</v>
      </c>
      <c r="L126" s="34">
        <f>0.0018*K126+2.7402</f>
        <v>4.2360000000000007</v>
      </c>
      <c r="M126" s="34"/>
    </row>
    <row r="127" spans="2:15" x14ac:dyDescent="0.25">
      <c r="B127" s="22">
        <v>4.54</v>
      </c>
      <c r="C127" s="23">
        <f>B127</f>
        <v>4.54</v>
      </c>
      <c r="D127" s="23">
        <f>D126</f>
        <v>3.46875</v>
      </c>
      <c r="E127" s="28">
        <f>4+12.5/16</f>
        <v>4.78125</v>
      </c>
      <c r="F127" s="21">
        <f>(E127-D127)/$F$2</f>
        <v>3.3337481997759717E-2</v>
      </c>
      <c r="G127" s="21">
        <f>C127*9.8</f>
        <v>44.492000000000004</v>
      </c>
      <c r="H127" s="23"/>
      <c r="I127" s="21">
        <f t="shared" ref="I127:I130" si="79">G127/F127</f>
        <v>1334.5938965333337</v>
      </c>
      <c r="J127" s="23"/>
      <c r="K127" s="27">
        <v>1566</v>
      </c>
      <c r="L127" s="34">
        <f>0.0018*K127+2.7402</f>
        <v>5.5590000000000002</v>
      </c>
      <c r="M127" s="34">
        <f>L127-$L$39</f>
        <v>1.2816000000000001</v>
      </c>
      <c r="N127">
        <f>E127-D127</f>
        <v>1.3125</v>
      </c>
      <c r="O127">
        <f>M127-N127</f>
        <v>-3.0899999999999928E-2</v>
      </c>
    </row>
    <row r="128" spans="2:15" x14ac:dyDescent="0.25">
      <c r="B128" s="22">
        <v>4.5750000000000002</v>
      </c>
      <c r="C128" s="23">
        <f>C127+B128</f>
        <v>9.1150000000000002</v>
      </c>
      <c r="D128" s="23">
        <f t="shared" ref="D128:D130" si="80">D127</f>
        <v>3.46875</v>
      </c>
      <c r="E128" s="28">
        <f>6+5.5/16</f>
        <v>6.34375</v>
      </c>
      <c r="F128" s="21">
        <f t="shared" ref="F128:F130" si="81">(E128-D128)/$F$2</f>
        <v>7.3024960566521288E-2</v>
      </c>
      <c r="G128" s="21">
        <f t="shared" ref="G128:G130" si="82">C128*9.8</f>
        <v>89.327000000000012</v>
      </c>
      <c r="H128" s="23"/>
      <c r="I128" s="21">
        <f t="shared" si="79"/>
        <v>1223.2392774608697</v>
      </c>
      <c r="J128" s="23"/>
      <c r="K128" s="27">
        <v>2430</v>
      </c>
      <c r="L128" s="34">
        <f>0.0018*K128+2.7402</f>
        <v>7.1142000000000003</v>
      </c>
      <c r="M128" s="34">
        <f t="shared" ref="M128:M130" si="83">L128-$L$39</f>
        <v>2.8368000000000002</v>
      </c>
      <c r="N128">
        <f>E128-D128</f>
        <v>2.875</v>
      </c>
      <c r="O128">
        <f>M128-N128</f>
        <v>-3.819999999999979E-2</v>
      </c>
    </row>
    <row r="129" spans="2:15" x14ac:dyDescent="0.25">
      <c r="B129" s="22">
        <v>4.6349999999999998</v>
      </c>
      <c r="C129" s="23">
        <f t="shared" ref="C129:C130" si="84">C128+B129</f>
        <v>13.75</v>
      </c>
      <c r="D129" s="23">
        <f t="shared" si="80"/>
        <v>3.46875</v>
      </c>
      <c r="E129" s="28">
        <f>7+11/16</f>
        <v>7.6875</v>
      </c>
      <c r="F129" s="21">
        <f t="shared" si="81"/>
        <v>0.10715619213565625</v>
      </c>
      <c r="G129" s="21">
        <f t="shared" si="82"/>
        <v>134.75</v>
      </c>
      <c r="H129" s="23"/>
      <c r="I129" s="21">
        <f t="shared" si="79"/>
        <v>1257.5101570370371</v>
      </c>
      <c r="J129" s="23"/>
      <c r="K129" s="27">
        <v>3200</v>
      </c>
      <c r="L129" s="34">
        <f>0.0018*K129+2.7402</f>
        <v>8.5001999999999995</v>
      </c>
      <c r="M129" s="34">
        <f t="shared" si="83"/>
        <v>4.2227999999999994</v>
      </c>
      <c r="N129">
        <f>E129-D129</f>
        <v>4.21875</v>
      </c>
      <c r="O129">
        <f>M129-N129</f>
        <v>4.0499999999994429E-3</v>
      </c>
    </row>
    <row r="130" spans="2:15" x14ac:dyDescent="0.25">
      <c r="B130" s="22">
        <v>4.54</v>
      </c>
      <c r="C130" s="23">
        <f t="shared" si="84"/>
        <v>18.29</v>
      </c>
      <c r="D130" s="23">
        <f t="shared" si="80"/>
        <v>3.46875</v>
      </c>
      <c r="E130" s="28">
        <f>9+2.5/16</f>
        <v>9.15625</v>
      </c>
      <c r="F130" s="21">
        <f t="shared" si="81"/>
        <v>0.14446242199029213</v>
      </c>
      <c r="G130" s="21">
        <f t="shared" si="82"/>
        <v>179.24200000000002</v>
      </c>
      <c r="H130" s="23"/>
      <c r="I130" s="21">
        <f t="shared" si="79"/>
        <v>1240.7517299692308</v>
      </c>
      <c r="J130" s="23"/>
      <c r="K130" s="27"/>
      <c r="L130" s="34">
        <f>0.0018*K130+2.7402</f>
        <v>2.7402000000000002</v>
      </c>
      <c r="M130" s="34">
        <f t="shared" si="83"/>
        <v>-1.5371999999999999</v>
      </c>
      <c r="N130">
        <f>E130-D130</f>
        <v>5.6875</v>
      </c>
      <c r="O130">
        <f>M130-N130</f>
        <v>-7.2247000000000003</v>
      </c>
    </row>
    <row r="131" spans="2:15" ht="15.75" thickBot="1" x14ac:dyDescent="0.3">
      <c r="B131" s="8"/>
      <c r="C131" s="9"/>
      <c r="D131" s="9"/>
      <c r="E131" s="9"/>
      <c r="F131" s="9"/>
      <c r="G131" s="9"/>
      <c r="H131" s="9" t="s">
        <v>33</v>
      </c>
      <c r="I131" s="29">
        <f>MEDIAN(I127:I129)</f>
        <v>1257.5101570370371</v>
      </c>
      <c r="J131" s="9">
        <f>MAX(I127:I130)-MIN(I127:I130)</f>
        <v>111.35461907246395</v>
      </c>
      <c r="K131" s="24"/>
      <c r="L131" s="21"/>
      <c r="M131" s="21"/>
    </row>
    <row r="132" spans="2:15" ht="15.75" thickBot="1" x14ac:dyDescent="0.3"/>
    <row r="133" spans="2:15" x14ac:dyDescent="0.25">
      <c r="B133" s="17" t="s">
        <v>17</v>
      </c>
      <c r="C133" s="11">
        <v>80</v>
      </c>
      <c r="D133" s="18" t="s">
        <v>24</v>
      </c>
      <c r="E133" s="11"/>
      <c r="F133" s="18"/>
      <c r="G133" s="18"/>
      <c r="H133" s="18"/>
      <c r="I133" s="18"/>
      <c r="J133" s="18"/>
      <c r="K133" s="19"/>
      <c r="L133" s="21"/>
      <c r="M133" s="21"/>
    </row>
    <row r="134" spans="2:15" x14ac:dyDescent="0.25">
      <c r="B134" s="20"/>
      <c r="C134" s="25" t="s">
        <v>4</v>
      </c>
      <c r="D134" s="25" t="s">
        <v>5</v>
      </c>
      <c r="E134" s="25" t="s">
        <v>14</v>
      </c>
      <c r="F134" s="25" t="s">
        <v>7</v>
      </c>
      <c r="G134" s="25" t="s">
        <v>8</v>
      </c>
      <c r="H134" s="25" t="s">
        <v>9</v>
      </c>
      <c r="I134" s="25" t="s">
        <v>10</v>
      </c>
      <c r="J134" s="25"/>
      <c r="K134" s="26" t="s">
        <v>18</v>
      </c>
      <c r="L134" s="25"/>
      <c r="M134" s="25"/>
    </row>
    <row r="135" spans="2:15" x14ac:dyDescent="0.25">
      <c r="B135" s="22"/>
      <c r="C135" s="23"/>
      <c r="D135" s="28">
        <f>2+14.5/16</f>
        <v>2.90625</v>
      </c>
      <c r="E135" s="23"/>
      <c r="F135" s="21"/>
      <c r="G135" s="21"/>
      <c r="H135" s="21"/>
      <c r="I135" s="21"/>
      <c r="J135" s="23"/>
      <c r="K135" s="27">
        <v>1591</v>
      </c>
      <c r="L135" s="34">
        <f>0.0018*K135+2.7402</f>
        <v>5.6040000000000001</v>
      </c>
      <c r="M135" s="34"/>
    </row>
    <row r="136" spans="2:15" x14ac:dyDescent="0.25">
      <c r="B136" s="22">
        <v>4.54</v>
      </c>
      <c r="C136" s="23">
        <f>B136</f>
        <v>4.54</v>
      </c>
      <c r="D136" s="23">
        <f>D135</f>
        <v>2.90625</v>
      </c>
      <c r="E136" s="28">
        <f>5+2/16</f>
        <v>5.125</v>
      </c>
      <c r="F136" s="21">
        <f>(E136-D136)/$F$2</f>
        <v>5.6356219567641433E-2</v>
      </c>
      <c r="G136" s="21">
        <f>C136*9.8</f>
        <v>44.492000000000004</v>
      </c>
      <c r="H136" s="23"/>
      <c r="I136" s="21">
        <f t="shared" ref="I136:I139" si="85">G136/F136</f>
        <v>789.47807963943671</v>
      </c>
      <c r="J136" s="23"/>
      <c r="K136" s="27">
        <v>2837</v>
      </c>
      <c r="L136" s="34">
        <f>0.0018*K136+2.7402</f>
        <v>7.8468</v>
      </c>
      <c r="M136" s="34">
        <f>L136-$L$135</f>
        <v>2.2427999999999999</v>
      </c>
      <c r="N136">
        <f>E136-D136</f>
        <v>2.21875</v>
      </c>
      <c r="O136">
        <f>M136-N136</f>
        <v>2.4049999999999905E-2</v>
      </c>
    </row>
    <row r="137" spans="2:15" x14ac:dyDescent="0.25">
      <c r="B137" s="22">
        <v>4.5750000000000002</v>
      </c>
      <c r="C137" s="23">
        <f>C136+B137</f>
        <v>9.1150000000000002</v>
      </c>
      <c r="D137" s="23">
        <f t="shared" ref="D137:D139" si="86">D136</f>
        <v>2.90625</v>
      </c>
      <c r="E137" s="28">
        <f>7+11/16</f>
        <v>7.6875</v>
      </c>
      <c r="F137" s="21">
        <f t="shared" ref="F137:F139" si="87">(E137-D137)/$F$2</f>
        <v>0.12144368442041041</v>
      </c>
      <c r="G137" s="21">
        <f t="shared" ref="G137:G139" si="88">C137*9.8</f>
        <v>89.327000000000012</v>
      </c>
      <c r="H137" s="23"/>
      <c r="I137" s="21">
        <f t="shared" si="85"/>
        <v>735.54257206797399</v>
      </c>
      <c r="J137" s="23"/>
      <c r="K137" s="27">
        <v>4297</v>
      </c>
      <c r="L137" s="34">
        <f>0.0018*K137+2.7402</f>
        <v>10.4748</v>
      </c>
      <c r="M137" s="34">
        <f t="shared" ref="M137:M139" si="89">L137-$L$135</f>
        <v>4.8708</v>
      </c>
      <c r="N137">
        <f>E137-D137</f>
        <v>4.78125</v>
      </c>
      <c r="O137">
        <f>M137-N137</f>
        <v>8.9550000000000018E-2</v>
      </c>
    </row>
    <row r="138" spans="2:15" x14ac:dyDescent="0.25">
      <c r="B138" s="22">
        <v>4.6349999999999998</v>
      </c>
      <c r="C138" s="23">
        <f t="shared" ref="C138:C139" si="90">C137+B138</f>
        <v>13.75</v>
      </c>
      <c r="D138" s="23">
        <f t="shared" si="86"/>
        <v>2.90625</v>
      </c>
      <c r="E138" s="28">
        <f>10+1/16</f>
        <v>10.0625</v>
      </c>
      <c r="F138" s="21">
        <f t="shared" si="87"/>
        <v>0.18176865184492799</v>
      </c>
      <c r="G138" s="21">
        <f t="shared" si="88"/>
        <v>134.75</v>
      </c>
      <c r="H138" s="23"/>
      <c r="I138" s="21">
        <f t="shared" si="85"/>
        <v>741.32694847161576</v>
      </c>
      <c r="J138" s="23"/>
      <c r="K138" s="27">
        <v>5649</v>
      </c>
      <c r="L138" s="34">
        <f>0.0018*K138+2.7402</f>
        <v>12.9084</v>
      </c>
      <c r="M138" s="34">
        <f t="shared" si="89"/>
        <v>7.3044000000000002</v>
      </c>
      <c r="N138">
        <f>E138-D138</f>
        <v>7.15625</v>
      </c>
      <c r="O138">
        <f>M138-N138</f>
        <v>0.14815000000000023</v>
      </c>
    </row>
    <row r="139" spans="2:15" x14ac:dyDescent="0.25">
      <c r="B139" s="22">
        <v>4.54</v>
      </c>
      <c r="C139" s="23">
        <f t="shared" si="90"/>
        <v>18.29</v>
      </c>
      <c r="D139" s="23">
        <f t="shared" si="86"/>
        <v>2.90625</v>
      </c>
      <c r="E139" s="28">
        <f>12+11/16</f>
        <v>12.6875</v>
      </c>
      <c r="F139" s="21">
        <f t="shared" si="87"/>
        <v>0.24844361584044744</v>
      </c>
      <c r="G139" s="21">
        <f t="shared" si="88"/>
        <v>179.24200000000002</v>
      </c>
      <c r="H139" s="23"/>
      <c r="I139" s="21">
        <f t="shared" si="85"/>
        <v>721.45947237827488</v>
      </c>
      <c r="J139" s="23"/>
      <c r="K139" s="27">
        <v>7122</v>
      </c>
      <c r="L139" s="34">
        <f>0.0018*K139+2.7402</f>
        <v>15.559799999999999</v>
      </c>
      <c r="M139" s="34">
        <f t="shared" si="89"/>
        <v>9.9558</v>
      </c>
      <c r="N139">
        <f>E139-D139</f>
        <v>9.78125</v>
      </c>
      <c r="O139">
        <f>M139-N139</f>
        <v>0.17454999999999998</v>
      </c>
    </row>
    <row r="140" spans="2:15" ht="15.75" thickBot="1" x14ac:dyDescent="0.3">
      <c r="B140" s="8"/>
      <c r="C140" s="9"/>
      <c r="D140" s="9"/>
      <c r="E140" s="9"/>
      <c r="F140" s="9"/>
      <c r="G140" s="9"/>
      <c r="H140" s="9" t="s">
        <v>33</v>
      </c>
      <c r="I140" s="29">
        <f>MEDIAN(I136:I138)</f>
        <v>741.32694847161576</v>
      </c>
      <c r="J140" s="9">
        <f>MAX(I136:I139)-MIN(I136:I139)</f>
        <v>68.018607261161833</v>
      </c>
      <c r="K140" s="24"/>
      <c r="L140" s="21"/>
      <c r="M140" s="21"/>
    </row>
    <row r="142" spans="2:15" ht="15.75" thickBot="1" x14ac:dyDescent="0.3"/>
    <row r="143" spans="2:15" x14ac:dyDescent="0.25">
      <c r="B143" s="17" t="s">
        <v>17</v>
      </c>
      <c r="C143" s="11">
        <v>100</v>
      </c>
      <c r="D143" s="18" t="s">
        <v>24</v>
      </c>
      <c r="E143" s="11"/>
      <c r="F143" s="18"/>
      <c r="G143" s="18"/>
      <c r="H143" s="18"/>
      <c r="I143" s="18"/>
      <c r="J143" s="18"/>
      <c r="K143" s="19"/>
      <c r="L143" s="21"/>
      <c r="M143" s="21"/>
    </row>
    <row r="144" spans="2:15" x14ac:dyDescent="0.25">
      <c r="B144" s="20"/>
      <c r="C144" s="25" t="s">
        <v>4</v>
      </c>
      <c r="D144" s="25" t="s">
        <v>5</v>
      </c>
      <c r="E144" s="25" t="s">
        <v>14</v>
      </c>
      <c r="F144" s="25" t="s">
        <v>7</v>
      </c>
      <c r="G144" s="25" t="s">
        <v>8</v>
      </c>
      <c r="H144" s="25" t="s">
        <v>9</v>
      </c>
      <c r="I144" s="25" t="s">
        <v>10</v>
      </c>
      <c r="J144" s="25"/>
      <c r="K144" s="26" t="s">
        <v>18</v>
      </c>
      <c r="L144" s="25"/>
      <c r="M144" s="25"/>
    </row>
    <row r="145" spans="2:15" x14ac:dyDescent="0.25">
      <c r="B145" s="22"/>
      <c r="C145" s="23"/>
      <c r="D145" s="28">
        <f>2+7/16</f>
        <v>2.4375</v>
      </c>
      <c r="E145" s="23"/>
      <c r="F145" s="21"/>
      <c r="G145" s="21"/>
      <c r="H145" s="21"/>
      <c r="I145" s="21"/>
      <c r="J145" s="23"/>
      <c r="K145" s="27">
        <v>1795</v>
      </c>
      <c r="L145" s="34">
        <f>0.0018*K145+2.7402</f>
        <v>5.9711999999999996</v>
      </c>
      <c r="M145" s="34"/>
    </row>
    <row r="146" spans="2:15" x14ac:dyDescent="0.25">
      <c r="B146" s="22">
        <v>4.54</v>
      </c>
      <c r="C146" s="23">
        <f>B146</f>
        <v>4.54</v>
      </c>
      <c r="D146" s="23">
        <f>D145</f>
        <v>2.4375</v>
      </c>
      <c r="E146" s="28">
        <f>5+7/16</f>
        <v>5.4375</v>
      </c>
      <c r="F146" s="21">
        <f>(E146-D146)/$F$2</f>
        <v>7.6199958852022215E-2</v>
      </c>
      <c r="G146" s="21">
        <f>C146*9.8</f>
        <v>44.492000000000004</v>
      </c>
      <c r="H146" s="23"/>
      <c r="I146" s="21">
        <f t="shared" ref="I146:I149" si="91">G146/F146</f>
        <v>583.88482973333339</v>
      </c>
      <c r="J146" s="23"/>
      <c r="K146" s="27">
        <v>3497</v>
      </c>
      <c r="L146" s="34">
        <f>0.0018*K146+2.7402</f>
        <v>9.0348000000000006</v>
      </c>
      <c r="M146" s="34">
        <f>L146-$L$145</f>
        <v>3.063600000000001</v>
      </c>
      <c r="N146">
        <f>E146-D146</f>
        <v>3</v>
      </c>
      <c r="O146">
        <f>M146-N146</f>
        <v>6.3600000000000989E-2</v>
      </c>
    </row>
    <row r="147" spans="2:15" x14ac:dyDescent="0.25">
      <c r="B147" s="22">
        <v>4.5750000000000002</v>
      </c>
      <c r="C147" s="23">
        <f>C146+B147</f>
        <v>9.1150000000000002</v>
      </c>
      <c r="D147" s="23">
        <f t="shared" ref="D147:D149" si="92">D146</f>
        <v>2.4375</v>
      </c>
      <c r="E147" s="28">
        <f>8+10/16</f>
        <v>8.625</v>
      </c>
      <c r="F147" s="21">
        <f t="shared" ref="F147:F149" si="93">(E147-D147)/$F$2</f>
        <v>0.15716241513229581</v>
      </c>
      <c r="G147" s="21">
        <f t="shared" ref="G147:G149" si="94">C147*9.8</f>
        <v>89.327000000000012</v>
      </c>
      <c r="H147" s="23"/>
      <c r="I147" s="21">
        <f t="shared" si="91"/>
        <v>568.37380568888898</v>
      </c>
      <c r="J147" s="23"/>
      <c r="K147" s="27">
        <v>5312</v>
      </c>
      <c r="L147" s="34">
        <f>0.0018*K147+2.7402</f>
        <v>12.3018</v>
      </c>
      <c r="M147" s="34">
        <f t="shared" ref="M147:M149" si="95">L147-$L$145</f>
        <v>6.3306000000000004</v>
      </c>
      <c r="N147">
        <f>E147-D147</f>
        <v>6.1875</v>
      </c>
      <c r="O147">
        <f>M147-N147</f>
        <v>0.14310000000000045</v>
      </c>
    </row>
    <row r="148" spans="2:15" x14ac:dyDescent="0.25">
      <c r="B148" s="22">
        <v>4.6349999999999998</v>
      </c>
      <c r="C148" s="23">
        <f t="shared" ref="C148:C149" si="96">C147+B148</f>
        <v>13.75</v>
      </c>
      <c r="D148" s="23">
        <f t="shared" si="92"/>
        <v>2.4375</v>
      </c>
      <c r="E148" s="28">
        <f>11+14/16</f>
        <v>11.875</v>
      </c>
      <c r="F148" s="21">
        <f t="shared" si="93"/>
        <v>0.23971237055531991</v>
      </c>
      <c r="G148" s="21">
        <f t="shared" si="94"/>
        <v>134.75</v>
      </c>
      <c r="H148" s="23"/>
      <c r="I148" s="21">
        <f t="shared" si="91"/>
        <v>562.13202384105955</v>
      </c>
      <c r="J148" s="23"/>
      <c r="K148" s="27">
        <v>7137</v>
      </c>
      <c r="L148" s="34">
        <f>0.0018*K148+2.7402</f>
        <v>15.5868</v>
      </c>
      <c r="M148" s="34">
        <f t="shared" si="95"/>
        <v>9.6156000000000006</v>
      </c>
      <c r="N148">
        <f>E148-D148</f>
        <v>9.4375</v>
      </c>
      <c r="O148">
        <f>M148-N148</f>
        <v>0.17810000000000059</v>
      </c>
    </row>
    <row r="149" spans="2:15" x14ac:dyDescent="0.25">
      <c r="B149" s="22">
        <v>4.54</v>
      </c>
      <c r="C149" s="23">
        <f t="shared" si="96"/>
        <v>18.29</v>
      </c>
      <c r="D149" s="23">
        <f t="shared" si="92"/>
        <v>2.4375</v>
      </c>
      <c r="E149" s="28">
        <f>15+2/16</f>
        <v>15.125</v>
      </c>
      <c r="F149" s="21">
        <f t="shared" si="93"/>
        <v>0.32226232597834398</v>
      </c>
      <c r="G149" s="21">
        <f t="shared" si="94"/>
        <v>179.24200000000002</v>
      </c>
      <c r="H149" s="23"/>
      <c r="I149" s="21">
        <f t="shared" si="91"/>
        <v>556.19905136551733</v>
      </c>
      <c r="J149" s="23"/>
      <c r="K149" s="27">
        <v>8970</v>
      </c>
      <c r="L149" s="34">
        <f>0.0018*K149+2.7402</f>
        <v>18.886200000000002</v>
      </c>
      <c r="M149" s="34">
        <f t="shared" si="95"/>
        <v>12.915000000000003</v>
      </c>
      <c r="N149">
        <f>E149-D149</f>
        <v>12.6875</v>
      </c>
      <c r="O149">
        <f>M149-N149</f>
        <v>0.2275000000000027</v>
      </c>
    </row>
    <row r="150" spans="2:15" ht="15.75" thickBot="1" x14ac:dyDescent="0.3">
      <c r="B150" s="8"/>
      <c r="C150" s="9"/>
      <c r="D150" s="9"/>
      <c r="E150" s="9"/>
      <c r="F150" s="9"/>
      <c r="G150" s="9"/>
      <c r="H150" s="9" t="s">
        <v>33</v>
      </c>
      <c r="I150" s="29">
        <f>MEDIAN(I146:I148)</f>
        <v>568.37380568888898</v>
      </c>
      <c r="J150" s="9">
        <f>MAX(I146:I149)-MIN(I146:I149)</f>
        <v>27.685778367816056</v>
      </c>
      <c r="K150" s="24"/>
      <c r="L150" s="21"/>
      <c r="M150" s="21"/>
    </row>
    <row r="152" spans="2:15" ht="15.75" thickBot="1" x14ac:dyDescent="0.3"/>
    <row r="153" spans="2:15" x14ac:dyDescent="0.25">
      <c r="B153" s="17" t="s">
        <v>17</v>
      </c>
      <c r="C153" s="11">
        <v>120</v>
      </c>
      <c r="D153" s="18" t="s">
        <v>24</v>
      </c>
      <c r="E153" s="11"/>
      <c r="F153" s="18"/>
      <c r="G153" s="18"/>
      <c r="H153" s="18"/>
      <c r="I153" s="18"/>
      <c r="J153" s="18"/>
      <c r="K153" s="19"/>
      <c r="L153" s="21"/>
      <c r="M153" s="21"/>
    </row>
    <row r="154" spans="2:15" x14ac:dyDescent="0.25">
      <c r="B154" s="20"/>
      <c r="C154" s="25" t="s">
        <v>4</v>
      </c>
      <c r="D154" s="25" t="s">
        <v>5</v>
      </c>
      <c r="E154" s="25" t="s">
        <v>14</v>
      </c>
      <c r="F154" s="25" t="s">
        <v>7</v>
      </c>
      <c r="G154" s="25" t="s">
        <v>8</v>
      </c>
      <c r="H154" s="25" t="s">
        <v>9</v>
      </c>
      <c r="I154" s="25" t="s">
        <v>10</v>
      </c>
      <c r="J154" s="25"/>
      <c r="K154" s="26" t="s">
        <v>18</v>
      </c>
      <c r="L154" s="25"/>
      <c r="M154" s="25"/>
    </row>
    <row r="155" spans="2:15" x14ac:dyDescent="0.25">
      <c r="B155" s="22"/>
      <c r="C155" s="23"/>
      <c r="D155" s="28">
        <f>3+0.5/16</f>
        <v>3.03125</v>
      </c>
      <c r="E155" s="23"/>
      <c r="F155" s="21"/>
      <c r="G155" s="21"/>
      <c r="H155" s="21"/>
      <c r="I155" s="21"/>
      <c r="J155" s="23"/>
      <c r="K155" s="27">
        <v>2131</v>
      </c>
      <c r="L155" s="34">
        <f>0.0018*K155+2.7402</f>
        <v>6.5760000000000005</v>
      </c>
      <c r="M155" s="34"/>
    </row>
    <row r="156" spans="2:15" x14ac:dyDescent="0.25">
      <c r="B156" s="22">
        <v>4.54</v>
      </c>
      <c r="C156" s="23">
        <f>B156</f>
        <v>4.54</v>
      </c>
      <c r="D156" s="23">
        <f>D155</f>
        <v>3.03125</v>
      </c>
      <c r="E156" s="28">
        <f>6+10/16</f>
        <v>6.625</v>
      </c>
      <c r="F156" s="21">
        <f>(E156-D156)/$F$2</f>
        <v>9.1281200708151614E-2</v>
      </c>
      <c r="G156" s="21">
        <f>C156*9.8</f>
        <v>44.492000000000004</v>
      </c>
      <c r="H156" s="23"/>
      <c r="I156" s="21">
        <f t="shared" ref="I156:I158" si="97">G156/F156</f>
        <v>487.41690134260875</v>
      </c>
      <c r="J156" s="23"/>
      <c r="K156" s="27">
        <v>7173</v>
      </c>
      <c r="L156" s="34">
        <f>0.0018*K156+2.7402</f>
        <v>15.6516</v>
      </c>
      <c r="M156" s="34">
        <f>L156-$L$155</f>
        <v>9.0755999999999997</v>
      </c>
      <c r="N156">
        <f>E156-D156</f>
        <v>3.59375</v>
      </c>
      <c r="O156">
        <f>M156-N156</f>
        <v>5.4818499999999997</v>
      </c>
    </row>
    <row r="157" spans="2:15" x14ac:dyDescent="0.25">
      <c r="B157" s="22">
        <v>4.5750000000000002</v>
      </c>
      <c r="C157" s="23">
        <f>C156+B157</f>
        <v>9.1150000000000002</v>
      </c>
      <c r="D157" s="23">
        <f t="shared" ref="D157:D159" si="98">D156</f>
        <v>3.03125</v>
      </c>
      <c r="E157" s="28">
        <f>10+10.5/16</f>
        <v>10.65625</v>
      </c>
      <c r="F157" s="21">
        <f t="shared" ref="F157:F159" si="99">(E157-D157)/$F$2</f>
        <v>0.19367489541555646</v>
      </c>
      <c r="G157" s="21">
        <f t="shared" ref="G157:G159" si="100">C157*9.8</f>
        <v>89.327000000000012</v>
      </c>
      <c r="H157" s="23"/>
      <c r="I157" s="21">
        <f t="shared" si="97"/>
        <v>461.22136691147551</v>
      </c>
      <c r="J157" s="23"/>
      <c r="K157" s="27">
        <v>6460</v>
      </c>
      <c r="L157" s="34">
        <f>0.0018*K157+2.7402</f>
        <v>14.3682</v>
      </c>
      <c r="M157" s="34">
        <f t="shared" ref="M157:M159" si="101">L157-$L$155</f>
        <v>7.7921999999999993</v>
      </c>
      <c r="N157">
        <f>E157-D157</f>
        <v>7.625</v>
      </c>
      <c r="O157">
        <f>M157-N157</f>
        <v>0.16719999999999935</v>
      </c>
    </row>
    <row r="158" spans="2:15" x14ac:dyDescent="0.25">
      <c r="B158" s="22">
        <v>4.6349999999999998</v>
      </c>
      <c r="C158" s="23">
        <f t="shared" ref="C158:C159" si="102">C157+B158</f>
        <v>13.75</v>
      </c>
      <c r="D158" s="23">
        <f t="shared" si="98"/>
        <v>3.03125</v>
      </c>
      <c r="E158" s="28">
        <f>14+8/16</f>
        <v>14.5</v>
      </c>
      <c r="F158" s="21">
        <f t="shared" si="99"/>
        <v>0.29130609269470992</v>
      </c>
      <c r="G158" s="21">
        <f t="shared" si="100"/>
        <v>134.75</v>
      </c>
      <c r="H158" s="23"/>
      <c r="I158" s="21">
        <f t="shared" si="97"/>
        <v>462.57185613079025</v>
      </c>
      <c r="J158" s="23"/>
      <c r="K158" s="27">
        <v>8633</v>
      </c>
      <c r="L158" s="34">
        <f>0.0018*K158+2.7402</f>
        <v>18.279599999999999</v>
      </c>
      <c r="M158" s="34">
        <f t="shared" si="101"/>
        <v>11.703599999999998</v>
      </c>
      <c r="N158">
        <f>E158-D158</f>
        <v>11.46875</v>
      </c>
      <c r="O158">
        <f>M158-N158</f>
        <v>0.234849999999998</v>
      </c>
    </row>
    <row r="159" spans="2:15" x14ac:dyDescent="0.25">
      <c r="B159" s="22">
        <v>4.54</v>
      </c>
      <c r="C159" s="23">
        <f t="shared" si="102"/>
        <v>18.29</v>
      </c>
      <c r="D159" s="23">
        <f t="shared" si="98"/>
        <v>3.03125</v>
      </c>
      <c r="E159" s="28"/>
      <c r="F159" s="21">
        <f t="shared" si="99"/>
        <v>-7.699370842339745E-2</v>
      </c>
      <c r="G159" s="21">
        <f t="shared" si="100"/>
        <v>179.24200000000002</v>
      </c>
      <c r="H159" s="23"/>
      <c r="I159" s="21"/>
      <c r="J159" s="23"/>
      <c r="K159" s="27"/>
      <c r="L159" s="34">
        <f>0.0018*K159+2.7402</f>
        <v>2.7402000000000002</v>
      </c>
      <c r="M159" s="34">
        <f t="shared" si="101"/>
        <v>-3.8358000000000003</v>
      </c>
      <c r="N159">
        <f>E159-D159</f>
        <v>-3.03125</v>
      </c>
      <c r="O159">
        <f>M159-N159</f>
        <v>-0.80455000000000032</v>
      </c>
    </row>
    <row r="160" spans="2:15" ht="15.75" thickBot="1" x14ac:dyDescent="0.3">
      <c r="B160" s="8"/>
      <c r="C160" s="9"/>
      <c r="D160" s="9"/>
      <c r="E160" s="9"/>
      <c r="F160" s="9"/>
      <c r="G160" s="9"/>
      <c r="H160" s="9" t="s">
        <v>33</v>
      </c>
      <c r="I160" s="29">
        <f>MEDIAN(I156:I158)</f>
        <v>462.57185613079025</v>
      </c>
      <c r="J160" s="9">
        <f>MAX(I156:I159)-MIN(I156:I159)</f>
        <v>26.19553443113324</v>
      </c>
      <c r="K160" s="24"/>
      <c r="L160" s="21"/>
      <c r="M160" s="21"/>
    </row>
    <row r="161" spans="2:15" ht="15.75" thickBot="1" x14ac:dyDescent="0.3"/>
    <row r="162" spans="2:15" x14ac:dyDescent="0.25">
      <c r="B162" s="17" t="s">
        <v>17</v>
      </c>
      <c r="C162" s="11">
        <v>150</v>
      </c>
      <c r="D162" s="18" t="s">
        <v>24</v>
      </c>
      <c r="E162" s="11"/>
      <c r="F162" s="18"/>
      <c r="G162" s="18"/>
      <c r="H162" s="18"/>
      <c r="I162" s="18"/>
      <c r="J162" s="18"/>
      <c r="K162" s="19"/>
      <c r="L162" s="21"/>
      <c r="M162" s="21"/>
    </row>
    <row r="163" spans="2:15" x14ac:dyDescent="0.25">
      <c r="B163" s="20"/>
      <c r="C163" s="25" t="s">
        <v>4</v>
      </c>
      <c r="D163" s="25" t="s">
        <v>5</v>
      </c>
      <c r="E163" s="25" t="s">
        <v>14</v>
      </c>
      <c r="F163" s="25" t="s">
        <v>7</v>
      </c>
      <c r="G163" s="25" t="s">
        <v>8</v>
      </c>
      <c r="H163" s="25" t="s">
        <v>9</v>
      </c>
      <c r="I163" s="25" t="s">
        <v>10</v>
      </c>
      <c r="J163" s="25"/>
      <c r="K163" s="26" t="s">
        <v>18</v>
      </c>
      <c r="L163" s="25"/>
      <c r="M163" s="25"/>
    </row>
    <row r="164" spans="2:15" x14ac:dyDescent="0.25">
      <c r="B164" s="22"/>
      <c r="C164" s="23"/>
      <c r="D164" s="28">
        <f>2+1/16</f>
        <v>2.0625</v>
      </c>
      <c r="E164" s="23"/>
      <c r="F164" s="21"/>
      <c r="G164" s="21"/>
      <c r="H164" s="21"/>
      <c r="I164" s="21"/>
      <c r="J164" s="23"/>
      <c r="K164" s="27">
        <v>2574</v>
      </c>
      <c r="L164" s="34">
        <f>0.0018*K164+2.7402</f>
        <v>7.3734000000000002</v>
      </c>
      <c r="M164" s="34"/>
    </row>
    <row r="165" spans="2:15" x14ac:dyDescent="0.25">
      <c r="B165" s="22">
        <v>4.54</v>
      </c>
      <c r="C165" s="23">
        <f>B165</f>
        <v>4.54</v>
      </c>
      <c r="D165" s="23">
        <f>D164</f>
        <v>2.0625</v>
      </c>
      <c r="E165" s="28">
        <f>7+2/16</f>
        <v>7.125</v>
      </c>
      <c r="F165" s="21">
        <f>(E165-D165)/$F$2</f>
        <v>0.12858743056278749</v>
      </c>
      <c r="G165" s="21">
        <f>C165*9.8</f>
        <v>44.492000000000004</v>
      </c>
      <c r="H165" s="23"/>
      <c r="I165" s="21">
        <f t="shared" ref="I165:I168" si="103">G165/F165</f>
        <v>346.00582502716054</v>
      </c>
      <c r="J165" s="23"/>
      <c r="K165" s="27">
        <v>5444</v>
      </c>
      <c r="L165" s="34">
        <f>0.0018*K165+2.7402</f>
        <v>12.539399999999999</v>
      </c>
      <c r="M165" s="34">
        <f>L165-$L$155</f>
        <v>5.9633999999999983</v>
      </c>
      <c r="N165">
        <f>E165-D165</f>
        <v>5.0625</v>
      </c>
      <c r="O165">
        <f>M165-N165</f>
        <v>0.90089999999999826</v>
      </c>
    </row>
    <row r="166" spans="2:15" x14ac:dyDescent="0.25">
      <c r="B166" s="22">
        <v>4.5750000000000002</v>
      </c>
      <c r="C166" s="23">
        <f>C165+B166</f>
        <v>9.1150000000000002</v>
      </c>
      <c r="D166" s="23">
        <f t="shared" ref="D166:D168" si="104">D165</f>
        <v>2.0625</v>
      </c>
      <c r="E166" s="28">
        <f>11+13/16</f>
        <v>11.8125</v>
      </c>
      <c r="F166" s="21">
        <f t="shared" ref="F166:F168" si="105">(E166-D166)/$F$2</f>
        <v>0.24764986626907221</v>
      </c>
      <c r="G166" s="21">
        <f t="shared" ref="G166:G168" si="106">C166*9.8</f>
        <v>89.327000000000012</v>
      </c>
      <c r="H166" s="23"/>
      <c r="I166" s="21">
        <f t="shared" si="103"/>
        <v>360.69876130256415</v>
      </c>
      <c r="J166" s="23"/>
      <c r="K166" s="27">
        <v>7964</v>
      </c>
      <c r="L166" s="34">
        <f>0.0018*K166+2.7402</f>
        <v>17.075400000000002</v>
      </c>
      <c r="M166" s="34">
        <f t="shared" ref="M166:M168" si="107">L166-$L$155</f>
        <v>10.499400000000001</v>
      </c>
      <c r="N166">
        <f>E166-D166</f>
        <v>9.75</v>
      </c>
      <c r="O166">
        <f>M166-N166</f>
        <v>0.7494000000000014</v>
      </c>
    </row>
    <row r="167" spans="2:15" x14ac:dyDescent="0.25">
      <c r="B167" s="22">
        <v>4.6349999999999998</v>
      </c>
      <c r="C167" s="23">
        <f t="shared" ref="C167:C168" si="108">C166+B167</f>
        <v>13.75</v>
      </c>
      <c r="D167" s="23">
        <f t="shared" si="104"/>
        <v>2.0625</v>
      </c>
      <c r="E167" s="28">
        <f>16+8/16</f>
        <v>16.5</v>
      </c>
      <c r="F167" s="21">
        <f t="shared" si="105"/>
        <v>0.36671230197535692</v>
      </c>
      <c r="G167" s="21">
        <f t="shared" si="106"/>
        <v>134.75</v>
      </c>
      <c r="H167" s="23"/>
      <c r="I167" s="21">
        <f t="shared" si="103"/>
        <v>367.45426666666668</v>
      </c>
      <c r="J167" s="23"/>
      <c r="K167" s="27">
        <v>10793</v>
      </c>
      <c r="L167" s="34">
        <f>0.0018*K167+2.7402</f>
        <v>22.1676</v>
      </c>
      <c r="M167" s="34">
        <f t="shared" si="107"/>
        <v>15.5916</v>
      </c>
      <c r="N167">
        <f>E167-D167</f>
        <v>14.4375</v>
      </c>
      <c r="O167">
        <f>M167-N167</f>
        <v>1.1540999999999997</v>
      </c>
    </row>
    <row r="168" spans="2:15" x14ac:dyDescent="0.25">
      <c r="B168" s="22">
        <v>4.54</v>
      </c>
      <c r="C168" s="23">
        <f t="shared" si="108"/>
        <v>18.29</v>
      </c>
      <c r="D168" s="23">
        <f t="shared" si="104"/>
        <v>2.0625</v>
      </c>
      <c r="E168" s="28"/>
      <c r="F168" s="21">
        <f t="shared" si="105"/>
        <v>-5.2387471710765278E-2</v>
      </c>
      <c r="G168" s="21">
        <f t="shared" si="106"/>
        <v>179.24200000000002</v>
      </c>
      <c r="H168" s="23"/>
      <c r="I168" s="21"/>
      <c r="J168" s="23"/>
      <c r="K168" s="27"/>
      <c r="L168" s="34">
        <f>0.0018*K168+2.7402</f>
        <v>2.7402000000000002</v>
      </c>
      <c r="M168" s="34">
        <f t="shared" si="107"/>
        <v>-3.8358000000000003</v>
      </c>
      <c r="N168">
        <f>E168-D168</f>
        <v>-2.0625</v>
      </c>
      <c r="O168">
        <f>M168-N168</f>
        <v>-1.7733000000000003</v>
      </c>
    </row>
    <row r="169" spans="2:15" ht="15.75" thickBot="1" x14ac:dyDescent="0.3">
      <c r="B169" s="8"/>
      <c r="C169" s="9"/>
      <c r="D169" s="9"/>
      <c r="E169" s="9"/>
      <c r="F169" s="9"/>
      <c r="G169" s="9"/>
      <c r="H169" s="9" t="s">
        <v>33</v>
      </c>
      <c r="I169" s="29">
        <f>MEDIAN(I165:I167)</f>
        <v>360.69876130256415</v>
      </c>
      <c r="J169" s="9">
        <f>MAX(I165:I168)-MIN(I165:I168)</f>
        <v>21.448441639506143</v>
      </c>
      <c r="K169" s="24"/>
      <c r="L169" s="21"/>
      <c r="M169" s="21"/>
    </row>
    <row r="171" spans="2:15" ht="15.75" thickBot="1" x14ac:dyDescent="0.3"/>
    <row r="172" spans="2:15" x14ac:dyDescent="0.25">
      <c r="B172" s="17" t="s">
        <v>17</v>
      </c>
      <c r="C172" s="11">
        <v>175</v>
      </c>
      <c r="D172" s="18" t="s">
        <v>24</v>
      </c>
      <c r="E172" s="11"/>
      <c r="F172" s="18"/>
      <c r="G172" s="18"/>
      <c r="H172" s="18"/>
      <c r="I172" s="18"/>
      <c r="J172" s="18"/>
      <c r="K172" s="19"/>
      <c r="L172" s="21"/>
      <c r="M172" s="21"/>
    </row>
    <row r="173" spans="2:15" x14ac:dyDescent="0.25">
      <c r="B173" s="20"/>
      <c r="C173" s="25" t="s">
        <v>4</v>
      </c>
      <c r="D173" s="25" t="s">
        <v>5</v>
      </c>
      <c r="E173" s="25" t="s">
        <v>14</v>
      </c>
      <c r="F173" s="25" t="s">
        <v>7</v>
      </c>
      <c r="G173" s="25" t="s">
        <v>8</v>
      </c>
      <c r="H173" s="25" t="s">
        <v>9</v>
      </c>
      <c r="I173" s="25" t="s">
        <v>10</v>
      </c>
      <c r="J173" s="25"/>
      <c r="K173" s="26" t="s">
        <v>18</v>
      </c>
      <c r="L173" s="25"/>
      <c r="M173" s="25"/>
    </row>
    <row r="174" spans="2:15" x14ac:dyDescent="0.25">
      <c r="B174" s="22"/>
      <c r="C174" s="23"/>
      <c r="D174" s="28">
        <f>3+2/16</f>
        <v>3.125</v>
      </c>
      <c r="E174" s="23"/>
      <c r="F174" s="21"/>
      <c r="G174" s="21"/>
      <c r="H174" s="21"/>
      <c r="I174" s="21"/>
      <c r="J174" s="23"/>
      <c r="K174" s="27">
        <v>3147</v>
      </c>
      <c r="L174" s="34">
        <f>0.0018*K174+2.7402</f>
        <v>8.4047999999999998</v>
      </c>
      <c r="M174" s="34"/>
    </row>
    <row r="175" spans="2:15" x14ac:dyDescent="0.25">
      <c r="B175" s="22">
        <v>4.54</v>
      </c>
      <c r="C175" s="23">
        <f>B175</f>
        <v>4.54</v>
      </c>
      <c r="D175" s="23">
        <f>D174</f>
        <v>3.125</v>
      </c>
      <c r="E175" s="28">
        <f>8+6/16</f>
        <v>8.375</v>
      </c>
      <c r="F175" s="21">
        <f>(E175-D175)/$F$2</f>
        <v>0.13334992799103887</v>
      </c>
      <c r="G175" s="21">
        <f>C175*9.8</f>
        <v>44.492000000000004</v>
      </c>
      <c r="H175" s="23"/>
      <c r="I175" s="21">
        <f t="shared" ref="I175:I176" si="109">G175/F175</f>
        <v>333.64847413333342</v>
      </c>
      <c r="J175" s="23"/>
      <c r="K175" s="27"/>
      <c r="L175" s="34">
        <f>0.0018*K175+2.7402</f>
        <v>2.7402000000000002</v>
      </c>
      <c r="M175" s="34">
        <f>L175-$L$155</f>
        <v>-3.8358000000000003</v>
      </c>
      <c r="N175">
        <f>E175-D175</f>
        <v>5.25</v>
      </c>
      <c r="O175">
        <f>M175-N175</f>
        <v>-9.0858000000000008</v>
      </c>
    </row>
    <row r="176" spans="2:15" x14ac:dyDescent="0.25">
      <c r="B176" s="22">
        <v>4.5750000000000002</v>
      </c>
      <c r="C176" s="23">
        <f>C175+B176</f>
        <v>9.1150000000000002</v>
      </c>
      <c r="D176" s="23">
        <f t="shared" ref="D176:D178" si="110">D175</f>
        <v>3.125</v>
      </c>
      <c r="E176" s="28">
        <f>13+7/16</f>
        <v>13.4375</v>
      </c>
      <c r="F176" s="21">
        <f t="shared" ref="F176:F178" si="111">(E176-D176)/$F$2</f>
        <v>0.26193735855382638</v>
      </c>
      <c r="G176" s="21">
        <f t="shared" ref="G176:G178" si="112">C176*9.8</f>
        <v>89.327000000000012</v>
      </c>
      <c r="H176" s="23"/>
      <c r="I176" s="21">
        <f t="shared" si="109"/>
        <v>341.02428341333336</v>
      </c>
      <c r="J176" s="23"/>
      <c r="K176" s="27"/>
      <c r="L176" s="34">
        <f>0.0018*K176+2.7402</f>
        <v>2.7402000000000002</v>
      </c>
      <c r="M176" s="34">
        <f t="shared" ref="M176:M178" si="113">L176-$L$155</f>
        <v>-3.8358000000000003</v>
      </c>
      <c r="N176">
        <f>E176-D176</f>
        <v>10.3125</v>
      </c>
      <c r="O176">
        <f>M176-N176</f>
        <v>-14.148300000000001</v>
      </c>
    </row>
    <row r="177" spans="2:15" x14ac:dyDescent="0.25">
      <c r="B177" s="22">
        <v>4.6349999999999998</v>
      </c>
      <c r="C177" s="23">
        <f t="shared" ref="C177:C178" si="114">C176+B177</f>
        <v>13.75</v>
      </c>
      <c r="D177" s="23">
        <f t="shared" si="110"/>
        <v>3.125</v>
      </c>
      <c r="E177" s="28"/>
      <c r="F177" s="21">
        <f t="shared" si="111"/>
        <v>-7.9374957137523142E-2</v>
      </c>
      <c r="G177" s="21">
        <f t="shared" si="112"/>
        <v>134.75</v>
      </c>
      <c r="H177" s="23"/>
      <c r="I177" s="21"/>
      <c r="J177" s="23"/>
      <c r="K177" s="27"/>
      <c r="L177" s="34">
        <f>0.0018*K177+2.7402</f>
        <v>2.7402000000000002</v>
      </c>
      <c r="M177" s="34">
        <f t="shared" si="113"/>
        <v>-3.8358000000000003</v>
      </c>
      <c r="N177">
        <f>E177-D177</f>
        <v>-3.125</v>
      </c>
      <c r="O177">
        <f>M177-N177</f>
        <v>-0.71080000000000032</v>
      </c>
    </row>
    <row r="178" spans="2:15" x14ac:dyDescent="0.25">
      <c r="B178" s="22">
        <v>4.54</v>
      </c>
      <c r="C178" s="23">
        <f t="shared" si="114"/>
        <v>18.29</v>
      </c>
      <c r="D178" s="23">
        <f t="shared" si="110"/>
        <v>3.125</v>
      </c>
      <c r="E178" s="28"/>
      <c r="F178" s="21">
        <f t="shared" si="111"/>
        <v>-7.9374957137523142E-2</v>
      </c>
      <c r="G178" s="21">
        <f t="shared" si="112"/>
        <v>179.24200000000002</v>
      </c>
      <c r="H178" s="23"/>
      <c r="I178" s="21"/>
      <c r="J178" s="23"/>
      <c r="K178" s="27"/>
      <c r="L178" s="34">
        <f>0.0018*K178+2.7402</f>
        <v>2.7402000000000002</v>
      </c>
      <c r="M178" s="34">
        <f t="shared" si="113"/>
        <v>-3.8358000000000003</v>
      </c>
      <c r="N178">
        <f>E178-D178</f>
        <v>-3.125</v>
      </c>
      <c r="O178">
        <f>M178-N178</f>
        <v>-0.71080000000000032</v>
      </c>
    </row>
    <row r="179" spans="2:15" ht="15.75" thickBot="1" x14ac:dyDescent="0.3">
      <c r="B179" s="8"/>
      <c r="C179" s="9"/>
      <c r="D179" s="9"/>
      <c r="E179" s="9"/>
      <c r="F179" s="9"/>
      <c r="G179" s="9"/>
      <c r="H179" s="9" t="s">
        <v>33</v>
      </c>
      <c r="I179" s="29">
        <f>MEDIAN(I175:I177)</f>
        <v>337.33637877333342</v>
      </c>
      <c r="J179" s="9">
        <f>MAX(I175:I178)-MIN(I175:I178)</f>
        <v>7.3758092799999417</v>
      </c>
      <c r="K179" s="24"/>
      <c r="L179" s="21"/>
      <c r="M179" s="21"/>
    </row>
    <row r="180" spans="2:15" ht="15.75" thickBot="1" x14ac:dyDescent="0.3"/>
    <row r="181" spans="2:15" x14ac:dyDescent="0.25">
      <c r="B181" s="17" t="s">
        <v>17</v>
      </c>
      <c r="C181" s="11">
        <v>200</v>
      </c>
      <c r="D181" s="18" t="s">
        <v>24</v>
      </c>
      <c r="E181" s="11"/>
      <c r="F181" s="18"/>
      <c r="G181" s="18"/>
      <c r="H181" s="18"/>
      <c r="I181" s="18"/>
      <c r="J181" s="18"/>
      <c r="K181" s="19"/>
      <c r="L181" s="21"/>
      <c r="M181" s="21"/>
    </row>
    <row r="182" spans="2:15" x14ac:dyDescent="0.25">
      <c r="B182" s="20"/>
      <c r="C182" s="25" t="s">
        <v>4</v>
      </c>
      <c r="D182" s="25" t="s">
        <v>5</v>
      </c>
      <c r="E182" s="25" t="s">
        <v>14</v>
      </c>
      <c r="F182" s="25" t="s">
        <v>7</v>
      </c>
      <c r="G182" s="25" t="s">
        <v>8</v>
      </c>
      <c r="H182" s="25" t="s">
        <v>9</v>
      </c>
      <c r="I182" s="25" t="s">
        <v>10</v>
      </c>
      <c r="J182" s="25"/>
      <c r="K182" s="26" t="s">
        <v>18</v>
      </c>
      <c r="L182" s="25"/>
      <c r="M182" s="25"/>
    </row>
    <row r="183" spans="2:15" x14ac:dyDescent="0.25">
      <c r="B183" s="22"/>
      <c r="C183" s="23"/>
      <c r="D183" s="28">
        <f>3+5/16</f>
        <v>3.3125</v>
      </c>
      <c r="E183" s="23"/>
      <c r="F183" s="21"/>
      <c r="G183" s="21"/>
      <c r="H183" s="21"/>
      <c r="I183" s="21"/>
      <c r="J183" s="23"/>
      <c r="K183" s="27">
        <v>3372</v>
      </c>
      <c r="L183" s="34">
        <f>0.0018*K183+2.7402</f>
        <v>8.8097999999999992</v>
      </c>
      <c r="M183" s="34"/>
    </row>
    <row r="184" spans="2:15" x14ac:dyDescent="0.25">
      <c r="B184" s="22">
        <v>4.54</v>
      </c>
      <c r="C184" s="23">
        <f>B184</f>
        <v>4.54</v>
      </c>
      <c r="D184" s="23">
        <f>D183</f>
        <v>3.3125</v>
      </c>
      <c r="E184" s="28">
        <f>10+2/16</f>
        <v>10.125</v>
      </c>
      <c r="F184" s="21">
        <f>(E184-D184)/$F$2</f>
        <v>0.17303740655980046</v>
      </c>
      <c r="G184" s="21">
        <f>C184*9.8</f>
        <v>44.492000000000004</v>
      </c>
      <c r="H184" s="23"/>
      <c r="I184" s="21">
        <f t="shared" ref="I184:I185" si="115">G184/F184</f>
        <v>257.12359474495418</v>
      </c>
      <c r="J184" s="23"/>
      <c r="K184" s="27">
        <v>6803</v>
      </c>
      <c r="L184" s="34">
        <f>0.0018*K184+2.7402</f>
        <v>14.9856</v>
      </c>
      <c r="M184" s="34">
        <f>L184-$L$155</f>
        <v>8.4095999999999993</v>
      </c>
      <c r="N184">
        <f>E184-D184</f>
        <v>6.8125</v>
      </c>
      <c r="O184">
        <f>M184-N184</f>
        <v>1.5970999999999993</v>
      </c>
    </row>
    <row r="185" spans="2:15" x14ac:dyDescent="0.25">
      <c r="B185" s="22">
        <v>4.5750000000000002</v>
      </c>
      <c r="C185" s="23">
        <f>C184+B185</f>
        <v>9.1150000000000002</v>
      </c>
      <c r="D185" s="23">
        <f t="shared" ref="D185:D187" si="116">D184</f>
        <v>3.3125</v>
      </c>
      <c r="E185" s="28">
        <f>15+15/16</f>
        <v>15.9375</v>
      </c>
      <c r="F185" s="21">
        <f t="shared" ref="F185:F187" si="117">(E185-D185)/$F$2</f>
        <v>0.32067482683559351</v>
      </c>
      <c r="G185" s="21">
        <f t="shared" ref="G185:G187" si="118">C185*9.8</f>
        <v>89.327000000000012</v>
      </c>
      <c r="H185" s="23"/>
      <c r="I185" s="21">
        <f t="shared" si="115"/>
        <v>278.5594394217822</v>
      </c>
      <c r="J185" s="23"/>
      <c r="K185" s="27"/>
      <c r="L185" s="34">
        <f>0.0018*K185+2.7402</f>
        <v>2.7402000000000002</v>
      </c>
      <c r="M185" s="34">
        <f t="shared" ref="M185:M187" si="119">L185-$L$155</f>
        <v>-3.8358000000000003</v>
      </c>
      <c r="N185">
        <f>E185-D185</f>
        <v>12.625</v>
      </c>
      <c r="O185">
        <f>M185-N185</f>
        <v>-16.460799999999999</v>
      </c>
    </row>
    <row r="186" spans="2:15" x14ac:dyDescent="0.25">
      <c r="B186" s="22">
        <v>4.6349999999999998</v>
      </c>
      <c r="C186" s="23">
        <f t="shared" ref="C186:C187" si="120">C185+B186</f>
        <v>13.75</v>
      </c>
      <c r="D186" s="23">
        <f t="shared" si="116"/>
        <v>3.3125</v>
      </c>
      <c r="E186" s="28"/>
      <c r="F186" s="21">
        <f t="shared" si="117"/>
        <v>-8.4137454565774539E-2</v>
      </c>
      <c r="G186" s="21">
        <f t="shared" si="118"/>
        <v>134.75</v>
      </c>
      <c r="H186" s="23"/>
      <c r="I186" s="21"/>
      <c r="J186" s="23"/>
      <c r="K186" s="27"/>
      <c r="L186" s="34">
        <f>0.0018*K186+2.7402</f>
        <v>2.7402000000000002</v>
      </c>
      <c r="M186" s="34">
        <f t="shared" si="119"/>
        <v>-3.8358000000000003</v>
      </c>
      <c r="N186">
        <f>E186-D186</f>
        <v>-3.3125</v>
      </c>
      <c r="O186">
        <f>M186-N186</f>
        <v>-0.52330000000000032</v>
      </c>
    </row>
    <row r="187" spans="2:15" x14ac:dyDescent="0.25">
      <c r="B187" s="22">
        <v>4.54</v>
      </c>
      <c r="C187" s="23">
        <f t="shared" si="120"/>
        <v>18.29</v>
      </c>
      <c r="D187" s="23">
        <f t="shared" si="116"/>
        <v>3.3125</v>
      </c>
      <c r="E187" s="28"/>
      <c r="F187" s="21">
        <f t="shared" si="117"/>
        <v>-8.4137454565774539E-2</v>
      </c>
      <c r="G187" s="21">
        <f t="shared" si="118"/>
        <v>179.24200000000002</v>
      </c>
      <c r="H187" s="23"/>
      <c r="I187" s="21"/>
      <c r="J187" s="23"/>
      <c r="K187" s="27"/>
      <c r="L187" s="34">
        <f>0.0018*K187+2.7402</f>
        <v>2.7402000000000002</v>
      </c>
      <c r="M187" s="34">
        <f t="shared" si="119"/>
        <v>-3.8358000000000003</v>
      </c>
      <c r="N187">
        <f>E187-D187</f>
        <v>-3.3125</v>
      </c>
      <c r="O187">
        <f>M187-N187</f>
        <v>-0.52330000000000032</v>
      </c>
    </row>
    <row r="188" spans="2:15" ht="15.75" thickBot="1" x14ac:dyDescent="0.3">
      <c r="B188" s="8"/>
      <c r="C188" s="9"/>
      <c r="D188" s="9"/>
      <c r="E188" s="9"/>
      <c r="F188" s="9"/>
      <c r="G188" s="9"/>
      <c r="H188" s="9" t="s">
        <v>33</v>
      </c>
      <c r="I188" s="29">
        <f>MEDIAN(I184:I186)</f>
        <v>267.84151708336822</v>
      </c>
      <c r="J188" s="9">
        <f>MAX(I184:I187)-MIN(I184:I187)</f>
        <v>21.435844676828026</v>
      </c>
      <c r="K188" s="24"/>
      <c r="L188" s="21"/>
      <c r="M188" s="21"/>
    </row>
    <row r="189" spans="2:15" ht="15.75" thickBot="1" x14ac:dyDescent="0.3"/>
    <row r="190" spans="2:15" x14ac:dyDescent="0.25">
      <c r="B190" s="17" t="s">
        <v>17</v>
      </c>
      <c r="C190" s="11"/>
      <c r="D190" s="18" t="s">
        <v>24</v>
      </c>
      <c r="E190" s="11"/>
      <c r="F190" s="18"/>
      <c r="G190" s="18"/>
      <c r="H190" s="18"/>
      <c r="I190" s="18"/>
      <c r="J190" s="18"/>
      <c r="K190" s="19"/>
      <c r="L190" s="21"/>
      <c r="M190" s="21"/>
    </row>
    <row r="191" spans="2:15" x14ac:dyDescent="0.25">
      <c r="B191" s="20"/>
      <c r="C191" s="25" t="s">
        <v>4</v>
      </c>
      <c r="D191" s="25" t="s">
        <v>5</v>
      </c>
      <c r="E191" s="25" t="s">
        <v>14</v>
      </c>
      <c r="F191" s="25" t="s">
        <v>7</v>
      </c>
      <c r="G191" s="25" t="s">
        <v>8</v>
      </c>
      <c r="H191" s="25" t="s">
        <v>9</v>
      </c>
      <c r="I191" s="25" t="s">
        <v>10</v>
      </c>
      <c r="J191" s="25"/>
      <c r="K191" s="26" t="s">
        <v>18</v>
      </c>
      <c r="L191" s="25"/>
      <c r="M191" s="25"/>
    </row>
    <row r="192" spans="2:15" x14ac:dyDescent="0.25">
      <c r="B192" s="22"/>
      <c r="C192" s="23"/>
      <c r="D192" s="28"/>
      <c r="E192" s="23"/>
      <c r="F192" s="21"/>
      <c r="G192" s="21"/>
      <c r="H192" s="21"/>
      <c r="I192" s="21"/>
      <c r="J192" s="23"/>
      <c r="K192" s="27"/>
      <c r="L192" s="34">
        <f>0.0018*K192+2.7402</f>
        <v>2.7402000000000002</v>
      </c>
      <c r="M192" s="34"/>
    </row>
    <row r="193" spans="2:15" x14ac:dyDescent="0.25">
      <c r="B193" s="22">
        <v>4.54</v>
      </c>
      <c r="C193" s="23">
        <f>B193</f>
        <v>4.54</v>
      </c>
      <c r="D193" s="23">
        <f>D192</f>
        <v>0</v>
      </c>
      <c r="E193" s="28"/>
      <c r="F193" s="21">
        <f>(E193-D193)/$F$2</f>
        <v>0</v>
      </c>
      <c r="G193" s="21">
        <f>C193*9.8</f>
        <v>44.492000000000004</v>
      </c>
      <c r="H193" s="23"/>
      <c r="I193" s="21" t="e">
        <f t="shared" ref="I193:I196" si="121">G193/F193</f>
        <v>#DIV/0!</v>
      </c>
      <c r="J193" s="23"/>
      <c r="K193" s="27"/>
      <c r="L193" s="34">
        <f>0.0018*K193+2.7402</f>
        <v>2.7402000000000002</v>
      </c>
      <c r="M193" s="34">
        <f>L193-$L$155</f>
        <v>-3.8358000000000003</v>
      </c>
      <c r="N193">
        <f>E193-D193</f>
        <v>0</v>
      </c>
      <c r="O193">
        <f>M193-N193</f>
        <v>-3.8358000000000003</v>
      </c>
    </row>
    <row r="194" spans="2:15" x14ac:dyDescent="0.25">
      <c r="B194" s="22">
        <v>4.5750000000000002</v>
      </c>
      <c r="C194" s="23">
        <f>C193+B194</f>
        <v>9.1150000000000002</v>
      </c>
      <c r="D194" s="23">
        <f t="shared" ref="D194:D196" si="122">D193</f>
        <v>0</v>
      </c>
      <c r="E194" s="28"/>
      <c r="F194" s="21">
        <f t="shared" ref="F194:F196" si="123">(E194-D194)/$F$2</f>
        <v>0</v>
      </c>
      <c r="G194" s="21">
        <f t="shared" ref="G194:G196" si="124">C194*9.8</f>
        <v>89.327000000000012</v>
      </c>
      <c r="H194" s="23"/>
      <c r="I194" s="21" t="e">
        <f t="shared" si="121"/>
        <v>#DIV/0!</v>
      </c>
      <c r="J194" s="23"/>
      <c r="K194" s="27"/>
      <c r="L194" s="34">
        <f>0.0018*K194+2.7402</f>
        <v>2.7402000000000002</v>
      </c>
      <c r="M194" s="34">
        <f t="shared" ref="M194:M196" si="125">L194-$L$155</f>
        <v>-3.8358000000000003</v>
      </c>
      <c r="N194">
        <f>E194-D194</f>
        <v>0</v>
      </c>
      <c r="O194">
        <f>M194-N194</f>
        <v>-3.8358000000000003</v>
      </c>
    </row>
    <row r="195" spans="2:15" x14ac:dyDescent="0.25">
      <c r="B195" s="22">
        <v>4.6349999999999998</v>
      </c>
      <c r="C195" s="23">
        <f t="shared" ref="C195:C196" si="126">C194+B195</f>
        <v>13.75</v>
      </c>
      <c r="D195" s="23">
        <f t="shared" si="122"/>
        <v>0</v>
      </c>
      <c r="E195" s="28"/>
      <c r="F195" s="21">
        <f t="shared" si="123"/>
        <v>0</v>
      </c>
      <c r="G195" s="21">
        <f t="shared" si="124"/>
        <v>134.75</v>
      </c>
      <c r="H195" s="23"/>
      <c r="I195" s="21" t="e">
        <f t="shared" si="121"/>
        <v>#DIV/0!</v>
      </c>
      <c r="J195" s="23"/>
      <c r="K195" s="27"/>
      <c r="L195" s="34">
        <f>0.0018*K195+2.7402</f>
        <v>2.7402000000000002</v>
      </c>
      <c r="M195" s="34">
        <f t="shared" si="125"/>
        <v>-3.8358000000000003</v>
      </c>
      <c r="N195">
        <f>E195-D195</f>
        <v>0</v>
      </c>
      <c r="O195">
        <f>M195-N195</f>
        <v>-3.8358000000000003</v>
      </c>
    </row>
    <row r="196" spans="2:15" x14ac:dyDescent="0.25">
      <c r="B196" s="22">
        <v>4.54</v>
      </c>
      <c r="C196" s="23">
        <f t="shared" si="126"/>
        <v>18.29</v>
      </c>
      <c r="D196" s="23">
        <f t="shared" si="122"/>
        <v>0</v>
      </c>
      <c r="E196" s="28"/>
      <c r="F196" s="21">
        <f t="shared" si="123"/>
        <v>0</v>
      </c>
      <c r="G196" s="21">
        <f t="shared" si="124"/>
        <v>179.24200000000002</v>
      </c>
      <c r="H196" s="23"/>
      <c r="I196" s="21"/>
      <c r="J196" s="23"/>
      <c r="K196" s="27"/>
      <c r="L196" s="34">
        <f>0.0018*K196+2.7402</f>
        <v>2.7402000000000002</v>
      </c>
      <c r="M196" s="34">
        <f t="shared" si="125"/>
        <v>-3.8358000000000003</v>
      </c>
      <c r="N196">
        <f>E196-D196</f>
        <v>0</v>
      </c>
      <c r="O196">
        <f>M196-N196</f>
        <v>-3.8358000000000003</v>
      </c>
    </row>
    <row r="197" spans="2:15" ht="15.75" thickBot="1" x14ac:dyDescent="0.3">
      <c r="B197" s="8"/>
      <c r="C197" s="9"/>
      <c r="D197" s="9"/>
      <c r="E197" s="9"/>
      <c r="F197" s="9"/>
      <c r="G197" s="9"/>
      <c r="H197" s="9" t="s">
        <v>33</v>
      </c>
      <c r="I197" s="29" t="e">
        <f>MEDIAN(I193:I195)</f>
        <v>#DIV/0!</v>
      </c>
      <c r="J197" s="9" t="e">
        <f>MAX(I193:I196)-MIN(I193:I196)</f>
        <v>#DIV/0!</v>
      </c>
      <c r="K197" s="24"/>
      <c r="L197" s="21"/>
      <c r="M197" s="21"/>
    </row>
    <row r="218" spans="2:4" x14ac:dyDescent="0.25">
      <c r="B218" t="s">
        <v>17</v>
      </c>
      <c r="C218" t="s">
        <v>24</v>
      </c>
      <c r="D218" t="s">
        <v>17</v>
      </c>
    </row>
    <row r="219" spans="2:4" x14ac:dyDescent="0.25">
      <c r="B219">
        <f>C5</f>
        <v>5</v>
      </c>
      <c r="C219">
        <f>I12</f>
        <v>9378.1677938666689</v>
      </c>
      <c r="D219">
        <f>B219</f>
        <v>5</v>
      </c>
    </row>
    <row r="220" spans="2:4" x14ac:dyDescent="0.25">
      <c r="B220">
        <f>C16</f>
        <v>10</v>
      </c>
      <c r="C220">
        <f>I23</f>
        <v>5305.1209749999998</v>
      </c>
      <c r="D220">
        <f>B220</f>
        <v>10</v>
      </c>
    </row>
    <row r="221" spans="2:4" x14ac:dyDescent="0.25">
      <c r="B221">
        <f>C27</f>
        <v>15</v>
      </c>
      <c r="C221">
        <f>I34</f>
        <v>3772.5304711111112</v>
      </c>
      <c r="D221">
        <f>B221</f>
        <v>15</v>
      </c>
    </row>
    <row r="222" spans="2:4" x14ac:dyDescent="0.25">
      <c r="B222">
        <f>C37</f>
        <v>45</v>
      </c>
      <c r="C222">
        <f>I44</f>
        <v>1266.8945611940298</v>
      </c>
      <c r="D222">
        <f>B222</f>
        <v>45</v>
      </c>
    </row>
    <row r="223" spans="2:4" x14ac:dyDescent="0.25">
      <c r="B223">
        <f>C143</f>
        <v>100</v>
      </c>
      <c r="C223">
        <f>I150</f>
        <v>568.37380568888898</v>
      </c>
      <c r="D223">
        <f>B223</f>
        <v>100</v>
      </c>
    </row>
    <row r="224" spans="2:4" x14ac:dyDescent="0.25">
      <c r="B224">
        <f>C153</f>
        <v>120</v>
      </c>
      <c r="C224">
        <f>I160</f>
        <v>462.57185613079025</v>
      </c>
      <c r="D224">
        <f>B224</f>
        <v>120</v>
      </c>
    </row>
    <row r="225" spans="2:4" x14ac:dyDescent="0.25">
      <c r="B225">
        <f>C162</f>
        <v>150</v>
      </c>
      <c r="C225">
        <f>I169</f>
        <v>360.69876130256415</v>
      </c>
      <c r="D225">
        <f>B225</f>
        <v>150</v>
      </c>
    </row>
    <row r="226" spans="2:4" x14ac:dyDescent="0.25">
      <c r="B226">
        <f>C172</f>
        <v>175</v>
      </c>
      <c r="C226">
        <f>I179</f>
        <v>337.33637877333342</v>
      </c>
      <c r="D226">
        <f>B226</f>
        <v>175</v>
      </c>
    </row>
    <row r="227" spans="2:4" x14ac:dyDescent="0.25">
      <c r="B227">
        <f>C181</f>
        <v>200</v>
      </c>
      <c r="C227">
        <f>I188</f>
        <v>267.84151708336822</v>
      </c>
      <c r="D227">
        <f>B227</f>
        <v>200</v>
      </c>
    </row>
    <row r="228" spans="2:4" x14ac:dyDescent="0.25">
      <c r="B228">
        <f>C124</f>
        <v>30</v>
      </c>
      <c r="C228">
        <f>I131</f>
        <v>1257.5101570370371</v>
      </c>
      <c r="D228">
        <f>B228</f>
        <v>30</v>
      </c>
    </row>
    <row r="229" spans="2:4" x14ac:dyDescent="0.25">
      <c r="B229">
        <f>C133</f>
        <v>80</v>
      </c>
      <c r="C229">
        <f>I140</f>
        <v>741.32694847161576</v>
      </c>
      <c r="D229">
        <f>B229</f>
        <v>80</v>
      </c>
    </row>
    <row r="241" spans="1:4" x14ac:dyDescent="0.25">
      <c r="B241">
        <v>600</v>
      </c>
    </row>
    <row r="242" spans="1:4" x14ac:dyDescent="0.25">
      <c r="B242">
        <f>67885*B241^-1.035</f>
        <v>90.44556543967478</v>
      </c>
    </row>
    <row r="244" spans="1:4" x14ac:dyDescent="0.25">
      <c r="A244" t="s">
        <v>24</v>
      </c>
    </row>
    <row r="245" spans="1:4" x14ac:dyDescent="0.25">
      <c r="A245" t="s">
        <v>17</v>
      </c>
    </row>
    <row r="249" spans="1:4" x14ac:dyDescent="0.25">
      <c r="B249" t="s">
        <v>17</v>
      </c>
      <c r="C249" t="s">
        <v>24</v>
      </c>
    </row>
    <row r="250" spans="1:4" x14ac:dyDescent="0.25">
      <c r="B250">
        <v>5</v>
      </c>
      <c r="C250">
        <v>9378.1677938666689</v>
      </c>
      <c r="D250">
        <f t="shared" ref="D250:D259" si="127">36725*C250^-0.929</f>
        <v>7.4965973234107448</v>
      </c>
    </row>
    <row r="251" spans="1:4" x14ac:dyDescent="0.25">
      <c r="B251">
        <v>10</v>
      </c>
      <c r="C251">
        <v>5305.1209749999998</v>
      </c>
      <c r="D251">
        <f t="shared" si="127"/>
        <v>12.726819315714497</v>
      </c>
    </row>
    <row r="252" spans="1:4" x14ac:dyDescent="0.25">
      <c r="B252">
        <v>15</v>
      </c>
      <c r="C252">
        <v>3772.5304711111112</v>
      </c>
      <c r="D252">
        <f t="shared" si="127"/>
        <v>17.469077593191614</v>
      </c>
    </row>
    <row r="253" spans="1:4" x14ac:dyDescent="0.25">
      <c r="B253">
        <v>30</v>
      </c>
      <c r="C253">
        <v>1257.5101570370371</v>
      </c>
      <c r="D253">
        <f t="shared" si="127"/>
        <v>48.474754635785708</v>
      </c>
    </row>
    <row r="254" spans="1:4" x14ac:dyDescent="0.25">
      <c r="B254">
        <v>45</v>
      </c>
      <c r="C254">
        <v>1266.8945611940298</v>
      </c>
      <c r="D254">
        <f t="shared" si="127"/>
        <v>48.141088557886796</v>
      </c>
    </row>
    <row r="255" spans="1:4" x14ac:dyDescent="0.25">
      <c r="B255">
        <v>80</v>
      </c>
      <c r="C255">
        <v>741.32694847161576</v>
      </c>
      <c r="D255">
        <f t="shared" si="127"/>
        <v>79.199549572113852</v>
      </c>
    </row>
    <row r="256" spans="1:4" x14ac:dyDescent="0.25">
      <c r="B256">
        <v>100</v>
      </c>
      <c r="C256">
        <v>568.37380568888898</v>
      </c>
      <c r="D256">
        <f t="shared" si="127"/>
        <v>101.36937473653082</v>
      </c>
    </row>
    <row r="257" spans="2:4" x14ac:dyDescent="0.25">
      <c r="B257">
        <v>120</v>
      </c>
      <c r="C257">
        <v>462.57185613079025</v>
      </c>
      <c r="D257">
        <f t="shared" si="127"/>
        <v>122.7468405108505</v>
      </c>
    </row>
    <row r="258" spans="2:4" x14ac:dyDescent="0.25">
      <c r="B258">
        <v>150</v>
      </c>
      <c r="C258">
        <v>360.69876130256415</v>
      </c>
      <c r="D258">
        <f t="shared" si="127"/>
        <v>154.65872437312066</v>
      </c>
    </row>
    <row r="259" spans="2:4" x14ac:dyDescent="0.25">
      <c r="B259">
        <v>175</v>
      </c>
      <c r="C259">
        <v>337.33637877333342</v>
      </c>
      <c r="D259">
        <f t="shared" si="127"/>
        <v>164.58532582411621</v>
      </c>
    </row>
    <row r="260" spans="2:4" x14ac:dyDescent="0.25">
      <c r="B260">
        <v>200</v>
      </c>
      <c r="C260">
        <v>267.84151708336822</v>
      </c>
      <c r="D260">
        <f>36725*C260^-0.929</f>
        <v>203.92160416337055</v>
      </c>
    </row>
  </sheetData>
  <sortState ref="B250:D260">
    <sortCondition ref="B250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Sheet1</vt:lpstr>
      <vt:lpstr>Sheet2</vt:lpstr>
      <vt:lpstr>1st run</vt:lpstr>
      <vt:lpstr>2nd run</vt:lpstr>
      <vt:lpstr>3rd run</vt:lpstr>
      <vt:lpstr>Template</vt:lpstr>
      <vt:lpstr>4th run</vt:lpstr>
      <vt:lpstr>5th run</vt:lpstr>
      <vt:lpstr>resol1 run</vt:lpstr>
      <vt:lpstr>Damping 2</vt:lpstr>
      <vt:lpstr>Damping</vt:lpstr>
      <vt:lpstr>inchtometers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MREL-USER</dc:creator>
  <cp:lastModifiedBy>MREL-USER</cp:lastModifiedBy>
  <dcterms:created xsi:type="dcterms:W3CDTF">2013-11-14T21:55:00Z</dcterms:created>
  <dcterms:modified xsi:type="dcterms:W3CDTF">2014-01-29T19:48:00Z</dcterms:modified>
</cp:coreProperties>
</file>