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FF15CAF1-FF76-4B42-95D2-84CD5E8B2C85}" xr6:coauthVersionLast="47" xr6:coauthVersionMax="47" xr10:uidLastSave="{00000000-0000-0000-0000-000000000000}"/>
  <bookViews>
    <workbookView xWindow="7125" yWindow="2430" windowWidth="36240" windowHeight="13440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  <sheet name="Sheet1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4" i="14" l="1"/>
  <c r="AA50" i="14"/>
  <c r="V50" i="14"/>
  <c r="V51" i="14"/>
  <c r="V52" i="14"/>
  <c r="V53" i="14"/>
  <c r="V54" i="14"/>
  <c r="V55" i="14"/>
  <c r="V56" i="14"/>
  <c r="V57" i="14"/>
  <c r="U54" i="14"/>
  <c r="U50" i="14"/>
  <c r="T55" i="14"/>
  <c r="T56" i="14" s="1"/>
  <c r="T57" i="14" s="1"/>
  <c r="S55" i="14"/>
  <c r="S56" i="14" s="1"/>
  <c r="S57" i="14" s="1"/>
  <c r="AB54" i="14"/>
  <c r="Z54" i="14"/>
  <c r="Z55" i="14" s="1"/>
  <c r="Z56" i="14" s="1"/>
  <c r="Z57" i="14" s="1"/>
  <c r="Y54" i="14"/>
  <c r="T54" i="14"/>
  <c r="W54" i="14" s="1"/>
  <c r="W55" i="14" s="1"/>
  <c r="W56" i="14" s="1"/>
  <c r="W57" i="14" s="1"/>
  <c r="S54" i="14"/>
  <c r="O54" i="14"/>
  <c r="S74" i="14"/>
  <c r="T74" i="14" s="1"/>
  <c r="W75" i="14"/>
  <c r="V75" i="14"/>
  <c r="O75" i="14"/>
  <c r="S75" i="14"/>
  <c r="X75" i="14"/>
  <c r="X71" i="14"/>
  <c r="X72" i="14"/>
  <c r="X74" i="14"/>
  <c r="W74" i="14"/>
  <c r="O74" i="14"/>
  <c r="S73" i="14"/>
  <c r="T73" i="14" s="1"/>
  <c r="S72" i="14"/>
  <c r="T72" i="14" s="1"/>
  <c r="S71" i="14"/>
  <c r="T71" i="14" s="1"/>
  <c r="X73" i="14"/>
  <c r="W72" i="14"/>
  <c r="W73" i="14"/>
  <c r="W71" i="14"/>
  <c r="O73" i="14"/>
  <c r="O72" i="14"/>
  <c r="O71" i="14"/>
  <c r="X70" i="14"/>
  <c r="V70" i="14"/>
  <c r="V69" i="14"/>
  <c r="O70" i="14"/>
  <c r="O69" i="14"/>
  <c r="C50" i="15"/>
  <c r="C49" i="15"/>
  <c r="C48" i="15"/>
  <c r="C47" i="15"/>
  <c r="C46" i="15"/>
  <c r="C44" i="15"/>
  <c r="C43" i="15"/>
  <c r="C42" i="15"/>
  <c r="C41" i="15"/>
  <c r="C37" i="15"/>
  <c r="C36" i="15"/>
  <c r="C35" i="15"/>
  <c r="C34" i="15"/>
  <c r="O50" i="14"/>
  <c r="Z50" i="14"/>
  <c r="Z51" i="14" s="1"/>
  <c r="Z52" i="14" s="1"/>
  <c r="Z53" i="14" s="1"/>
  <c r="Y50" i="14"/>
  <c r="AA51" i="14" s="1"/>
  <c r="T50" i="14"/>
  <c r="T51" i="14" s="1"/>
  <c r="T52" i="14" s="1"/>
  <c r="T53" i="14" s="1"/>
  <c r="S50" i="14"/>
  <c r="S51" i="14" s="1"/>
  <c r="S52" i="14" s="1"/>
  <c r="S53" i="14" s="1"/>
  <c r="AC106" i="14"/>
  <c r="AH106" i="14" s="1"/>
  <c r="AA104" i="14"/>
  <c r="AA103" i="14"/>
  <c r="AA102" i="14"/>
  <c r="AA101" i="14"/>
  <c r="AA100" i="14"/>
  <c r="AA110" i="14"/>
  <c r="AA109" i="14"/>
  <c r="AA108" i="14"/>
  <c r="AI99" i="14"/>
  <c r="AA99" i="14"/>
  <c r="AC93" i="14"/>
  <c r="AC91" i="14"/>
  <c r="AG85" i="14"/>
  <c r="AF85" i="14"/>
  <c r="AA86" i="14" s="1"/>
  <c r="AC86" i="14" s="1"/>
  <c r="AH86" i="14" s="1"/>
  <c r="AI85" i="14"/>
  <c r="AC90" i="14"/>
  <c r="AH90" i="14" s="1"/>
  <c r="AA89" i="14"/>
  <c r="AC88" i="14"/>
  <c r="AH88" i="14" s="1"/>
  <c r="AA87" i="14"/>
  <c r="AE87" i="14" s="1"/>
  <c r="AE88" i="14" s="1"/>
  <c r="AA85" i="14"/>
  <c r="Z43" i="14"/>
  <c r="Z44" i="14" s="1"/>
  <c r="Z45" i="14" s="1"/>
  <c r="Z46" i="14" s="1"/>
  <c r="T43" i="14"/>
  <c r="T44" i="14" s="1"/>
  <c r="T45" i="14" s="1"/>
  <c r="T46" i="14" s="1"/>
  <c r="T36" i="14"/>
  <c r="Z38" i="14"/>
  <c r="Z34" i="14"/>
  <c r="T34" i="14"/>
  <c r="AA29" i="14"/>
  <c r="AA27" i="14"/>
  <c r="AA28" i="14" s="1"/>
  <c r="AA30" i="14" s="1"/>
  <c r="U29" i="14"/>
  <c r="U27" i="14"/>
  <c r="AA23" i="14"/>
  <c r="AA19" i="14"/>
  <c r="AA22" i="14" s="1"/>
  <c r="U23" i="14"/>
  <c r="AA16" i="14"/>
  <c r="AA18" i="14" s="1"/>
  <c r="AA21" i="14" s="1"/>
  <c r="AA14" i="14"/>
  <c r="U17" i="14"/>
  <c r="U19" i="14" s="1"/>
  <c r="U22" i="14" s="1"/>
  <c r="U16" i="14"/>
  <c r="U18" i="14" s="1"/>
  <c r="U21" i="14" s="1"/>
  <c r="U14" i="14"/>
  <c r="BB29" i="14"/>
  <c r="Y29" i="14"/>
  <c r="T29" i="14"/>
  <c r="S29" i="14"/>
  <c r="Z29" i="14"/>
  <c r="O29" i="14"/>
  <c r="BD28" i="14"/>
  <c r="BC28" i="14"/>
  <c r="BB28" i="14"/>
  <c r="BA28" i="14"/>
  <c r="AZ28" i="14"/>
  <c r="AY28" i="14"/>
  <c r="AX28" i="14"/>
  <c r="AV28" i="14"/>
  <c r="AU28" i="14"/>
  <c r="AT28" i="14"/>
  <c r="AS28" i="14"/>
  <c r="AR28" i="14"/>
  <c r="AQ28" i="14"/>
  <c r="AO28" i="14"/>
  <c r="AN28" i="14"/>
  <c r="AM28" i="14"/>
  <c r="AL28" i="14"/>
  <c r="AK28" i="14"/>
  <c r="AJ28" i="14"/>
  <c r="AN29" i="14"/>
  <c r="AO29" i="14" s="1"/>
  <c r="AM29" i="14"/>
  <c r="AL29" i="14"/>
  <c r="AK29" i="14"/>
  <c r="AJ29" i="14"/>
  <c r="Z27" i="14"/>
  <c r="Z28" i="14" s="1"/>
  <c r="Z30" i="14" s="1"/>
  <c r="Y27" i="14"/>
  <c r="Y28" i="14" s="1"/>
  <c r="Y30" i="14" s="1"/>
  <c r="T27" i="14"/>
  <c r="T28" i="14" s="1"/>
  <c r="T30" i="14" s="1"/>
  <c r="S27" i="14"/>
  <c r="O27" i="14"/>
  <c r="AO21" i="14"/>
  <c r="AN21" i="14"/>
  <c r="AM21" i="14"/>
  <c r="AL21" i="14"/>
  <c r="AK21" i="14"/>
  <c r="AJ21" i="14"/>
  <c r="BB15" i="14"/>
  <c r="BB16" i="14" s="1"/>
  <c r="BB18" i="14" s="1"/>
  <c r="BB20" i="14" s="1"/>
  <c r="BB21" i="14" s="1"/>
  <c r="AN15" i="14"/>
  <c r="AN16" i="14" s="1"/>
  <c r="O21" i="14"/>
  <c r="O18" i="14"/>
  <c r="O16" i="14"/>
  <c r="O14" i="14"/>
  <c r="AZ15" i="14"/>
  <c r="AY15" i="14"/>
  <c r="AV15" i="14"/>
  <c r="AU15" i="14"/>
  <c r="AT15" i="14"/>
  <c r="AS15" i="14"/>
  <c r="AR15" i="14"/>
  <c r="AQ15" i="14"/>
  <c r="BA15" i="14"/>
  <c r="AM15" i="14"/>
  <c r="AM16" i="14" s="1"/>
  <c r="AM18" i="14" s="1"/>
  <c r="AM20" i="14" s="1"/>
  <c r="AK15" i="14"/>
  <c r="AK16" i="14" s="1"/>
  <c r="AK18" i="14" s="1"/>
  <c r="AK20" i="14" s="1"/>
  <c r="AL15" i="14"/>
  <c r="AL16" i="14" s="1"/>
  <c r="AL18" i="14" s="1"/>
  <c r="AJ15" i="14"/>
  <c r="AJ16" i="14" s="1"/>
  <c r="AJ18" i="14" s="1"/>
  <c r="Y46" i="14"/>
  <c r="S46" i="14"/>
  <c r="Y45" i="14"/>
  <c r="S44" i="14"/>
  <c r="Y43" i="14"/>
  <c r="S43" i="14"/>
  <c r="Y38" i="14"/>
  <c r="S36" i="14"/>
  <c r="Y34" i="14"/>
  <c r="S34" i="14"/>
  <c r="Z23" i="14"/>
  <c r="Y23" i="14"/>
  <c r="T23" i="14"/>
  <c r="S23" i="14"/>
  <c r="Z19" i="14"/>
  <c r="Y19" i="14"/>
  <c r="T17" i="14"/>
  <c r="S17" i="14"/>
  <c r="S19" i="14" s="1"/>
  <c r="Z14" i="14"/>
  <c r="Y14" i="14"/>
  <c r="T14" i="14"/>
  <c r="S14" i="14"/>
  <c r="S16" i="14" s="1"/>
  <c r="S18" i="14" s="1"/>
  <c r="S10" i="14"/>
  <c r="Z10" i="14"/>
  <c r="AC10" i="14" s="1"/>
  <c r="T10" i="14"/>
  <c r="Z6" i="14"/>
  <c r="Y6" i="14"/>
  <c r="T6" i="14"/>
  <c r="S6" i="14"/>
  <c r="Y5" i="14"/>
  <c r="S5" i="14"/>
  <c r="S7" i="14" s="1"/>
  <c r="S9" i="14" s="1"/>
  <c r="Z4" i="14"/>
  <c r="Z5" i="14" s="1"/>
  <c r="Y4" i="14"/>
  <c r="T4" i="14"/>
  <c r="S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U55" i="14" l="1"/>
  <c r="AC54" i="14"/>
  <c r="AC55" i="14" s="1"/>
  <c r="AC56" i="14" s="1"/>
  <c r="AC57" i="14" s="1"/>
  <c r="AA55" i="14"/>
  <c r="AE89" i="14"/>
  <c r="AE90" i="14" s="1"/>
  <c r="AH91" i="14"/>
  <c r="AH92" i="14" s="1"/>
  <c r="AB51" i="14"/>
  <c r="AA52" i="14"/>
  <c r="AB50" i="14"/>
  <c r="U51" i="14"/>
  <c r="W50" i="14"/>
  <c r="W51" i="14" s="1"/>
  <c r="W52" i="14" s="1"/>
  <c r="W53" i="14" s="1"/>
  <c r="AC50" i="14"/>
  <c r="AC51" i="14" s="1"/>
  <c r="AC52" i="14" s="1"/>
  <c r="AC53" i="14" s="1"/>
  <c r="W29" i="14"/>
  <c r="AJ85" i="14"/>
  <c r="AI100" i="14"/>
  <c r="AI101" i="14" s="1"/>
  <c r="AI102" i="14" s="1"/>
  <c r="AI103" i="14" s="1"/>
  <c r="AI104" i="14" s="1"/>
  <c r="AI105" i="14" s="1"/>
  <c r="AI106" i="14" s="1"/>
  <c r="AJ99" i="14"/>
  <c r="AE99" i="14"/>
  <c r="AE100" i="14" s="1"/>
  <c r="AE101" i="14" s="1"/>
  <c r="AF87" i="14"/>
  <c r="AF88" i="14" s="1"/>
  <c r="AF89" i="14" s="1"/>
  <c r="AF90" i="14" s="1"/>
  <c r="AF91" i="14" s="1"/>
  <c r="AF92" i="14" s="1"/>
  <c r="AF93" i="14" s="1"/>
  <c r="AF94" i="14" s="1"/>
  <c r="AG87" i="14"/>
  <c r="AG88" i="14" s="1"/>
  <c r="AG89" i="14" s="1"/>
  <c r="AG90" i="14" s="1"/>
  <c r="AG91" i="14" s="1"/>
  <c r="AG92" i="14" s="1"/>
  <c r="AG93" i="14" s="1"/>
  <c r="AG94" i="14" s="1"/>
  <c r="AI86" i="14"/>
  <c r="W6" i="14"/>
  <c r="AC29" i="14"/>
  <c r="U28" i="14"/>
  <c r="U30" i="14" s="1"/>
  <c r="S28" i="14"/>
  <c r="S30" i="14" s="1"/>
  <c r="W27" i="14"/>
  <c r="W28" i="14" s="1"/>
  <c r="W30" i="14" s="1"/>
  <c r="AE29" i="14" s="1"/>
  <c r="AC27" i="14"/>
  <c r="AC28" i="14" s="1"/>
  <c r="AC30" i="14" s="1"/>
  <c r="AG29" i="14" s="1"/>
  <c r="AS29" i="14" s="1"/>
  <c r="AJ20" i="14"/>
  <c r="AX15" i="14"/>
  <c r="BC15" i="14" s="1"/>
  <c r="BD15" i="14" s="1"/>
  <c r="AL20" i="14"/>
  <c r="AO15" i="14"/>
  <c r="AC46" i="14"/>
  <c r="W44" i="14"/>
  <c r="AC45" i="14"/>
  <c r="W10" i="14"/>
  <c r="W46" i="14"/>
  <c r="W34" i="14"/>
  <c r="W43" i="14"/>
  <c r="AC34" i="14"/>
  <c r="W36" i="14"/>
  <c r="AC6" i="14"/>
  <c r="AC38" i="14"/>
  <c r="AC43" i="14"/>
  <c r="AC23" i="14"/>
  <c r="AG21" i="14" s="1"/>
  <c r="AS21" i="14" s="1"/>
  <c r="AT21" i="14" s="1"/>
  <c r="AC4" i="14"/>
  <c r="W23" i="14"/>
  <c r="AE21" i="14" s="1"/>
  <c r="AC19" i="14"/>
  <c r="AC14" i="14"/>
  <c r="AG14" i="14" s="1"/>
  <c r="AG15" i="14" s="1"/>
  <c r="AG16" i="14" s="1"/>
  <c r="W14" i="14"/>
  <c r="AE14" i="14" s="1"/>
  <c r="W17" i="14"/>
  <c r="S8" i="14"/>
  <c r="W4" i="14"/>
  <c r="T5" i="14"/>
  <c r="T7" i="14" s="1"/>
  <c r="W7" i="14" s="1"/>
  <c r="O8" i="12"/>
  <c r="O7" i="12" s="1"/>
  <c r="O8" i="9"/>
  <c r="O7" i="9" s="1"/>
  <c r="Z7" i="14"/>
  <c r="AC7" i="14" s="1"/>
  <c r="AC5" i="14"/>
  <c r="O8" i="11"/>
  <c r="O7" i="11" s="1"/>
  <c r="O8" i="6"/>
  <c r="O7" i="6" s="1"/>
  <c r="J3" i="9"/>
  <c r="J3" i="12"/>
  <c r="J4" i="6"/>
  <c r="J4" i="12"/>
  <c r="J4" i="9"/>
  <c r="J5" i="12"/>
  <c r="J5" i="9"/>
  <c r="J6" i="12"/>
  <c r="AB55" i="14" l="1"/>
  <c r="AA56" i="14"/>
  <c r="U56" i="14"/>
  <c r="U52" i="14"/>
  <c r="AB52" i="14"/>
  <c r="AA53" i="14"/>
  <c r="AB53" i="14" s="1"/>
  <c r="AJ101" i="14"/>
  <c r="AE102" i="14"/>
  <c r="AJ100" i="14"/>
  <c r="AG99" i="14"/>
  <c r="AF99" i="14"/>
  <c r="AF100" i="14" s="1"/>
  <c r="AF101" i="14" s="1"/>
  <c r="AF102" i="14" s="1"/>
  <c r="AF103" i="14" s="1"/>
  <c r="AF104" i="14" s="1"/>
  <c r="AF105" i="14" s="1"/>
  <c r="AF106" i="14" s="1"/>
  <c r="AI87" i="14"/>
  <c r="AI88" i="14" s="1"/>
  <c r="AJ88" i="14" s="1"/>
  <c r="AE91" i="14"/>
  <c r="AE92" i="14" s="1"/>
  <c r="AE93" i="14" s="1"/>
  <c r="AE94" i="14" s="1"/>
  <c r="AH93" i="14"/>
  <c r="AJ86" i="14"/>
  <c r="AT29" i="14"/>
  <c r="AZ29" i="14"/>
  <c r="BA29" i="14" s="1"/>
  <c r="AH29" i="14"/>
  <c r="AQ29" i="14"/>
  <c r="AG27" i="14"/>
  <c r="AG28" i="14" s="1"/>
  <c r="AE27" i="14"/>
  <c r="AE28" i="14" s="1"/>
  <c r="AS16" i="14"/>
  <c r="AZ16" i="14" s="1"/>
  <c r="BA16" i="14" s="1"/>
  <c r="AG18" i="14"/>
  <c r="AQ21" i="14"/>
  <c r="AH21" i="14"/>
  <c r="AZ21" i="14"/>
  <c r="BA21" i="14" s="1"/>
  <c r="AO16" i="14"/>
  <c r="AO18" i="14" s="1"/>
  <c r="AO20" i="14" s="1"/>
  <c r="AN18" i="14"/>
  <c r="AN20" i="14" s="1"/>
  <c r="AH14" i="14"/>
  <c r="AH15" i="14" s="1"/>
  <c r="AE15" i="14"/>
  <c r="AE16" i="14" s="1"/>
  <c r="AQ16" i="14" s="1"/>
  <c r="AR16" i="14" s="1"/>
  <c r="W5" i="14"/>
  <c r="AA57" i="14" l="1"/>
  <c r="AB57" i="14" s="1"/>
  <c r="AB56" i="14"/>
  <c r="U57" i="14"/>
  <c r="AJ87" i="14"/>
  <c r="AH28" i="14"/>
  <c r="U53" i="14"/>
  <c r="AJ102" i="14"/>
  <c r="AE103" i="14"/>
  <c r="AG100" i="14"/>
  <c r="AG101" i="14" s="1"/>
  <c r="AG102" i="14" s="1"/>
  <c r="AG103" i="14" s="1"/>
  <c r="AG104" i="14" s="1"/>
  <c r="AG105" i="14" s="1"/>
  <c r="AG106" i="14" s="1"/>
  <c r="AG107" i="14" s="1"/>
  <c r="AG108" i="14" s="1"/>
  <c r="AI89" i="14"/>
  <c r="AI90" i="14" s="1"/>
  <c r="AI91" i="14" s="1"/>
  <c r="AJ91" i="14" s="1"/>
  <c r="AU29" i="14"/>
  <c r="AV29" i="14" s="1"/>
  <c r="AX29" i="14"/>
  <c r="BC29" i="14" s="1"/>
  <c r="BD29" i="14" s="1"/>
  <c r="AR29" i="14"/>
  <c r="AY29" i="14" s="1"/>
  <c r="AH27" i="14"/>
  <c r="AT16" i="14"/>
  <c r="AR21" i="14"/>
  <c r="AY21" i="14" s="1"/>
  <c r="AX21" i="14"/>
  <c r="BC21" i="14" s="1"/>
  <c r="BD21" i="14" s="1"/>
  <c r="AU21" i="14"/>
  <c r="AV21" i="14" s="1"/>
  <c r="AG20" i="14"/>
  <c r="AS18" i="14"/>
  <c r="AX16" i="14"/>
  <c r="BC16" i="14" s="1"/>
  <c r="BD16" i="14" s="1"/>
  <c r="AE18" i="14"/>
  <c r="AH16" i="14"/>
  <c r="AJ89" i="14" l="1"/>
  <c r="AJ103" i="14"/>
  <c r="AE104" i="14"/>
  <c r="AA107" i="14"/>
  <c r="AC107" i="14" s="1"/>
  <c r="AH107" i="14" s="1"/>
  <c r="AG109" i="14"/>
  <c r="AG110" i="14" s="1"/>
  <c r="AC105" i="14"/>
  <c r="AH105" i="14" s="1"/>
  <c r="AI92" i="14"/>
  <c r="AJ90" i="14"/>
  <c r="AQ18" i="14"/>
  <c r="AU18" i="14" s="1"/>
  <c r="AH18" i="14"/>
  <c r="AE20" i="14"/>
  <c r="AH20" i="14" s="1"/>
  <c r="AT18" i="14"/>
  <c r="AT20" i="14" s="1"/>
  <c r="AS20" i="14"/>
  <c r="AZ18" i="14"/>
  <c r="AU16" i="14"/>
  <c r="AV16" i="14" s="1"/>
  <c r="AY16" i="14"/>
  <c r="AJ104" i="14" l="1"/>
  <c r="AE105" i="14"/>
  <c r="AE106" i="14" s="1"/>
  <c r="AF107" i="14"/>
  <c r="AF108" i="14" s="1"/>
  <c r="AF109" i="14" s="1"/>
  <c r="AF110" i="14" s="1"/>
  <c r="AE107" i="14"/>
  <c r="AI107" i="14"/>
  <c r="AI108" i="14" s="1"/>
  <c r="AI109" i="14" s="1"/>
  <c r="AI110" i="14" s="1"/>
  <c r="AJ105" i="14"/>
  <c r="AI93" i="14"/>
  <c r="AI94" i="14" s="1"/>
  <c r="AJ94" i="14" s="1"/>
  <c r="AJ92" i="14"/>
  <c r="BA18" i="14"/>
  <c r="BA20" i="14" s="1"/>
  <c r="AZ20" i="14"/>
  <c r="AV18" i="14"/>
  <c r="AV20" i="14" s="1"/>
  <c r="AU20" i="14"/>
  <c r="AR18" i="14"/>
  <c r="AQ20" i="14"/>
  <c r="AX18" i="14"/>
  <c r="AJ106" i="14" l="1"/>
  <c r="AE108" i="14"/>
  <c r="AJ107" i="14"/>
  <c r="AJ93" i="14"/>
  <c r="BC18" i="14"/>
  <c r="BD18" i="14" s="1"/>
  <c r="AX20" i="14"/>
  <c r="BC20" i="14" s="1"/>
  <c r="BD20" i="14" s="1"/>
  <c r="AY18" i="14"/>
  <c r="AY20" i="14" s="1"/>
  <c r="AR20" i="14"/>
  <c r="AJ108" i="14" l="1"/>
  <c r="AE109" i="14"/>
  <c r="AE110" i="14" s="1"/>
  <c r="AJ110" i="14" s="1"/>
  <c r="AJ109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J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X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Y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Z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BA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BB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C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D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Q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J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Q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V70" authorId="0" shapeId="0" xr:uid="{511CF01E-50B9-4F86-8C75-0FAA19660B40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5DD exists, but it's hidden because the last buy was less than 5 days ago.</t>
        </r>
      </text>
    </comment>
    <comment ref="W73" authorId="0" shapeId="0" xr:uid="{BFE7F065-8945-491A-BD3E-0F82A88F23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This is the LBD displayed, because it's of the latest buy.</t>
        </r>
      </text>
    </comment>
    <comment ref="W74" authorId="0" shapeId="0" xr:uid="{AFFF8F15-2E97-487B-8534-F21B0A8D004B}">
      <text>
        <r>
          <rPr>
            <b/>
            <sz val="9"/>
            <color indexed="81"/>
            <rFont val="Tahoma"/>
            <family val="2"/>
          </rPr>
          <t xml:space="preserve">Marin Sarbulescu
</t>
        </r>
        <r>
          <rPr>
            <sz val="9"/>
            <color indexed="81"/>
            <rFont val="Tahoma"/>
            <family val="2"/>
          </rPr>
          <t>LBD exists but it's not displayed because -1.96% drop from $51 doesn't meet 8% PDP threshold</t>
        </r>
      </text>
    </comment>
  </commentList>
</comments>
</file>

<file path=xl/sharedStrings.xml><?xml version="1.0" encoding="utf-8"?>
<sst xmlns="http://schemas.openxmlformats.org/spreadsheetml/2006/main" count="821" uniqueCount="199">
  <si>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</si>
  <si>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</si>
  <si>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</si>
  <si>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</si>
  <si>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</si>
  <si>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</si>
  <si>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</si>
  <si>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</si>
  <si>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</si>
  <si>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</si>
  <si>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</si>
  <si>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</si>
  <si>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</si>
  <si>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</si>
  <si>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</si>
  <si>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</si>
  <si>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</si>
  <si>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</si>
  <si>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</si>
  <si>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</si>
  <si>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</si>
  <si>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</si>
  <si>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</si>
  <si>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</si>
  <si>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</si>
  <si>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</si>
  <si>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</si>
  <si>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</si>
  <si>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</si>
  <si>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</si>
  <si>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</si>
  <si>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</si>
  <si>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</si>
  <si>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</si>
  <si>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</si>
  <si>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</si>
  <si>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</si>
  <si>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</si>
  <si>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</si>
  <si>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</si>
  <si>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</si>
  <si>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</si>
  <si>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</si>
  <si>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</si>
  <si>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</si>
  <si>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</si>
  <si>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</si>
  <si>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</si>
  <si>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</si>
  <si>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</si>
  <si>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</si>
  <si>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</si>
  <si>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</si>
  <si>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</si>
  <si>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</si>
  <si>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</si>
  <si>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</si>
  <si>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</si>
  <si>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</si>
  <si>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</si>
  <si>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</si>
  <si>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</si>
  <si>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</si>
  <si>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</si>
  <si>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</si>
  <si>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</si>
  <si>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</si>
  <si>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</si>
  <si>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</si>
  <si>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</si>
  <si>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</si>
  <si>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</si>
  <si>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</si>
  <si>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</si>
  <si>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</si>
  <si>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</si>
  <si>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</si>
  <si>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</si>
  <si>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</si>
  <si>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</si>
  <si>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</si>
  <si>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</si>
  <si>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</si>
  <si>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</si>
  <si>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</si>
  <si>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</si>
  <si>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</si>
  <si>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</si>
  <si>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</si>
  <si>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</si>
  <si>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</si>
  <si>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</si>
  <si>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</si>
  <si>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</si>
  <si>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</si>
  <si>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</si>
  <si>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</si>
  <si>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</si>
  <si>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</si>
  <si>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</si>
  <si>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</si>
  <si>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</si>
  <si>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</si>
  <si>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</si>
  <si>
    <t>wallet-stp-htp.spec.ts</t>
  </si>
  <si>
    <t>HTP</t>
  </si>
  <si>
    <t>%2STP</t>
  </si>
  <si>
    <t>%2HTP</t>
  </si>
  <si>
    <t>BuySplitInitial A</t>
  </si>
  <si>
    <t>portfolio-overview.spec.ts</t>
  </si>
  <si>
    <t>Ticker</t>
  </si>
  <si>
    <t>Name</t>
  </si>
  <si>
    <t>Security Type</t>
  </si>
  <si>
    <t>Region</t>
  </si>
  <si>
    <t>Market</t>
  </si>
  <si>
    <t>Max Risk</t>
  </si>
  <si>
    <t>Test Price</t>
  </si>
  <si>
    <t>Trend</t>
  </si>
  <si>
    <t>Comm</t>
  </si>
  <si>
    <t>Commission</t>
  </si>
  <si>
    <t>Stock</t>
  </si>
  <si>
    <t>US</t>
  </si>
  <si>
    <t>US Index</t>
  </si>
  <si>
    <t>Market Sector</t>
  </si>
  <si>
    <t>Opportunity</t>
  </si>
  <si>
    <t>Risk Profile</t>
  </si>
  <si>
    <t>Hare</t>
  </si>
  <si>
    <t>Tied-Up</t>
  </si>
  <si>
    <t>r-Inv</t>
  </si>
  <si>
    <t>1. Add new stock in PortfolioAddEditStockModal</t>
  </si>
  <si>
    <t>2. Check PortfolioTable if new stock exists, by Ticker</t>
  </si>
  <si>
    <t>3. Continue to check PortfolioTable the following values exist for the new stock. Make sure their visibility is toggled on first.</t>
  </si>
  <si>
    <t>Tied-up</t>
  </si>
  <si>
    <t>Market Value</t>
  </si>
  <si>
    <t>APAC</t>
  </si>
  <si>
    <t>EU</t>
  </si>
  <si>
    <t>Intl</t>
  </si>
  <si>
    <t>4+. Replicating the 1 to 3 steps, create the following stocks and check if their values exist</t>
  </si>
  <si>
    <t>E2EPortfolioOverviewRegionUS</t>
  </si>
  <si>
    <t>ETF</t>
  </si>
  <si>
    <t>APAC Index</t>
  </si>
  <si>
    <t>Tortoise</t>
  </si>
  <si>
    <t>Europe Index</t>
  </si>
  <si>
    <t>Crypto</t>
  </si>
  <si>
    <t>E2EPortfolioOverviewUS2</t>
  </si>
  <si>
    <t>E2E Portfolio Overview Intl2</t>
  </si>
  <si>
    <t>E2EPortfolioOverviewUS1</t>
  </si>
  <si>
    <t>E2E Portfolio Overview US1</t>
  </si>
  <si>
    <t>E2EPortfolioOverviewIntl2</t>
  </si>
  <si>
    <t>E2EPortfolioOverviewIntl1</t>
  </si>
  <si>
    <t>E2EPortfolioOverviewAPAC1</t>
  </si>
  <si>
    <t>E2EPortfolioOverviewEU1</t>
  </si>
  <si>
    <t>E2E Portfolio Overview APAC1</t>
  </si>
  <si>
    <t>E2E Portfolio Overview Intl1</t>
  </si>
  <si>
    <t>E2E Portfolio Overview EU1</t>
  </si>
  <si>
    <t>E2E Portfolio Overview US2</t>
  </si>
  <si>
    <t>E2EPortfolioOverviewAPAC2</t>
  </si>
  <si>
    <t>E2E Portfolio Overview APAC2</t>
  </si>
  <si>
    <t>E2EPortfolioOverviewAPAC3</t>
  </si>
  <si>
    <t>E2E Portfolio Overview APAC3</t>
  </si>
  <si>
    <t>China Index</t>
  </si>
  <si>
    <t>E2EPortfolioOverviewIntl3</t>
  </si>
  <si>
    <t>E2E Portfolio Overview Intl3</t>
  </si>
  <si>
    <t>International Index</t>
  </si>
  <si>
    <t>E2EPortfolioOverviewIntl4</t>
  </si>
  <si>
    <t>E2E Portfolio Overview Intl4</t>
  </si>
  <si>
    <t>Emerging Index</t>
  </si>
  <si>
    <t>E2EPortfolioOverviewUS3</t>
  </si>
  <si>
    <t>E2E Portfolio Overview US3</t>
  </si>
  <si>
    <t>Oil</t>
  </si>
  <si>
    <t>E2EPortfolioOverviewEU2</t>
  </si>
  <si>
    <t>E2E Portfolio Overview EU2</t>
  </si>
  <si>
    <t>Metals</t>
  </si>
  <si>
    <t>E2EPortfolioOverviewAPAC4</t>
  </si>
  <si>
    <t>E2E Portfolio Overview APAC4</t>
  </si>
  <si>
    <t>E2EPortfolioOverviewEU3</t>
  </si>
  <si>
    <t>E2E Portfolio Overview EU3</t>
  </si>
  <si>
    <t>E2EPortfolioOverviewIntl5</t>
  </si>
  <si>
    <t>E2E Portfolio Overview Intl5</t>
  </si>
  <si>
    <t>5. Check PortfolioOverview, Region table</t>
  </si>
  <si>
    <t>6. Check PortfolioOverview, Region table</t>
  </si>
  <si>
    <t>signals-5dd-lbd-validation.spec.ts</t>
  </si>
  <si>
    <t>E2E5DDLBD1</t>
  </si>
  <si>
    <t>Historical closes</t>
  </si>
  <si>
    <t>Close</t>
  </si>
  <si>
    <t>Days Ago</t>
  </si>
  <si>
    <t>Signals</t>
  </si>
  <si>
    <t>5DD%</t>
  </si>
  <si>
    <t>L Buy</t>
  </si>
  <si>
    <t>5DD (%)</t>
  </si>
  <si>
    <t>LBD (%)</t>
  </si>
  <si>
    <t>10 d</t>
  </si>
  <si>
    <t>3 d</t>
  </si>
  <si>
    <t>5 d</t>
  </si>
  <si>
    <t>2 d</t>
  </si>
  <si>
    <t>E2E5DDLBD2</t>
  </si>
  <si>
    <t>Transactions</t>
  </si>
  <si>
    <t>1 d</t>
  </si>
  <si>
    <t>7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</si>
</sst>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name val="Consolas"/>
      <family val="3"/>
    </font>
    <font>
      <sz val="10"/>
      <color theme="6"/>
      <name val="Arial"/>
      <family val="2"/>
      <scheme val="minor"/>
    </font>
    <font>
      <sz val="10"/>
      <color rgb="FF00B05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  <xf numFmtId="0" fontId="8" fillId="9" borderId="0" xfId="0" applyFont="1" applyFill="1"/>
    <xf numFmtId="10" fontId="0" fillId="0" borderId="0" xfId="0" applyNumberFormat="1"/>
    <xf numFmtId="0" fontId="11" fillId="0" borderId="0" xfId="0" quotePrefix="1" applyFont="1"/>
    <xf numFmtId="164" fontId="0" fillId="0" borderId="0" xfId="2" applyNumberFormat="1" applyFont="1"/>
    <xf numFmtId="14" fontId="0" fillId="0" borderId="0" xfId="0" applyNumberFormat="1"/>
    <xf numFmtId="6" fontId="11" fillId="0" borderId="0" xfId="0" applyNumberFormat="1" applyFont="1"/>
    <xf numFmtId="10" fontId="11" fillId="0" borderId="0" xfId="1" applyNumberFormat="1" applyFont="1" applyAlignment="1">
      <alignment wrapText="1"/>
    </xf>
    <xf numFmtId="0" fontId="14" fillId="0" borderId="0" xfId="0" applyFont="1"/>
    <xf numFmtId="165" fontId="11" fillId="0" borderId="0" xfId="0" applyNumberFormat="1" applyFont="1"/>
    <xf numFmtId="10" fontId="11" fillId="0" borderId="0" xfId="1" applyNumberFormat="1" applyFont="1" applyFill="1"/>
    <xf numFmtId="166" fontId="11" fillId="0" borderId="0" xfId="0" applyNumberFormat="1" applyFont="1"/>
    <xf numFmtId="0" fontId="0" fillId="3" borderId="0" xfId="0" quotePrefix="1" applyFill="1"/>
    <xf numFmtId="10" fontId="21" fillId="3" borderId="0" xfId="1" applyNumberFormat="1" applyFont="1" applyFill="1"/>
    <xf numFmtId="10" fontId="21" fillId="3" borderId="0" xfId="1" applyNumberFormat="1" applyFont="1" applyFill="1" applyAlignment="1">
      <alignment wrapText="1"/>
    </xf>
    <xf numFmtId="10" fontId="20" fillId="0" borderId="0" xfId="1" applyNumberFormat="1" applyFont="1" applyFill="1"/>
    <xf numFmtId="0" fontId="8" fillId="0" borderId="0" xfId="0" applyFont="1" applyFill="1"/>
    <xf numFmtId="0" fontId="8" fillId="10" borderId="0" xfId="0" applyFont="1" applyFill="1"/>
    <xf numFmtId="0" fontId="9" fillId="0" borderId="0" xfId="0" applyFont="1" applyFill="1"/>
    <xf numFmtId="6" fontId="0" fillId="0" borderId="0" xfId="0" applyNumberFormat="1" applyFill="1"/>
    <xf numFmtId="9" fontId="3" fillId="0" borderId="0" xfId="0" applyNumberFormat="1" applyFont="1" applyFill="1" applyAlignment="1">
      <alignment horizontal="right"/>
    </xf>
    <xf numFmtId="2" fontId="0" fillId="0" borderId="0" xfId="0" applyNumberFormat="1" applyFill="1"/>
    <xf numFmtId="0" fontId="0" fillId="0" borderId="0" xfId="0" applyFill="1"/>
    <xf numFmtId="0" fontId="11" fillId="0" borderId="0" xfId="0" applyFont="1" applyFill="1"/>
    <xf numFmtId="9" fontId="0" fillId="0" borderId="0" xfId="0" applyNumberFormat="1" applyFill="1"/>
    <xf numFmtId="167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20" fillId="0" borderId="0" xfId="0" applyFont="1"/>
    <xf numFmtId="0" fontId="22" fillId="0" borderId="0" xfId="0" quotePrefix="1" applyFont="1" applyAlignment="1">
      <alignment vertical="center"/>
    </xf>
    <xf numFmtId="0" fontId="20" fillId="0" borderId="0" xfId="0" quotePrefix="1" applyFont="1"/>
    <xf numFmtId="10" fontId="23" fillId="3" borderId="0" xfId="1" applyNumberFormat="1" applyFont="1" applyFill="1"/>
    <xf numFmtId="10" fontId="24" fillId="0" borderId="0" xfId="1" applyNumberFormat="1" applyFont="1" applyFill="1"/>
    <xf numFmtId="10" fontId="24" fillId="3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240-63E6-4AF7-81AA-62B1973154A2}">
  <dimension ref="B2:O50"/>
  <sheetViews>
    <sheetView topLeftCell="A40" workbookViewId="0">
      <selection activeCell="B47" sqref="B47"/>
    </sheetView>
  </sheetViews>
  <sheetFormatPr defaultRowHeight="12.75" x14ac:dyDescent="0.2"/>
  <cols>
    <col min="2" max="2" width="30.140625" customWidth="1"/>
    <col min="3" max="3" width="33.28515625" customWidth="1"/>
    <col min="4" max="4" width="12.42578125" bestFit="1" customWidth="1"/>
    <col min="5" max="5" width="10.5703125" bestFit="1" customWidth="1"/>
    <col min="6" max="6" width="16" bestFit="1" customWidth="1"/>
    <col min="7" max="7" width="10.42578125" bestFit="1" customWidth="1"/>
    <col min="8" max="8" width="9.42578125" bestFit="1" customWidth="1"/>
    <col min="9" max="9" width="8.85546875" bestFit="1" customWidth="1"/>
    <col min="10" max="10" width="6.42578125" bestFit="1" customWidth="1"/>
    <col min="11" max="11" width="11.28515625" bestFit="1" customWidth="1"/>
    <col min="12" max="13" width="4.85546875" bestFit="1" customWidth="1"/>
    <col min="14" max="15" width="4.5703125" bestFit="1" customWidth="1"/>
  </cols>
  <sheetData>
    <row r="2" spans="2:15" x14ac:dyDescent="0.2">
      <c r="B2" s="47" t="s">
        <v>129</v>
      </c>
    </row>
    <row r="3" spans="2:15" x14ac:dyDescent="0.2">
      <c r="B3" s="76" t="s">
        <v>110</v>
      </c>
      <c r="C3" s="76" t="s">
        <v>111</v>
      </c>
      <c r="D3" s="76" t="s">
        <v>112</v>
      </c>
      <c r="E3" s="76" t="s">
        <v>113</v>
      </c>
      <c r="F3" s="76" t="s">
        <v>123</v>
      </c>
      <c r="G3" s="76" t="s">
        <v>125</v>
      </c>
      <c r="H3" s="76" t="s">
        <v>116</v>
      </c>
      <c r="I3" s="76" t="s">
        <v>115</v>
      </c>
      <c r="J3" s="76" t="s">
        <v>117</v>
      </c>
      <c r="K3" s="76" t="s">
        <v>119</v>
      </c>
      <c r="L3" s="76" t="s">
        <v>30</v>
      </c>
      <c r="M3" s="76" t="s">
        <v>68</v>
      </c>
      <c r="N3" s="76" t="s">
        <v>78</v>
      </c>
      <c r="O3" s="76" t="s">
        <v>105</v>
      </c>
    </row>
    <row r="4" spans="2:15" x14ac:dyDescent="0.2">
      <c r="B4" s="47" t="s">
        <v>146</v>
      </c>
      <c r="C4" s="47" t="s">
        <v>147</v>
      </c>
      <c r="D4" s="47" t="s">
        <v>120</v>
      </c>
      <c r="E4" s="47" t="s">
        <v>121</v>
      </c>
      <c r="F4" s="47" t="s">
        <v>124</v>
      </c>
      <c r="G4" s="47" t="s">
        <v>126</v>
      </c>
      <c r="I4">
        <v>1200</v>
      </c>
      <c r="J4" s="47"/>
      <c r="L4">
        <v>50</v>
      </c>
      <c r="M4">
        <v>5</v>
      </c>
      <c r="N4">
        <v>10</v>
      </c>
      <c r="O4">
        <v>20</v>
      </c>
    </row>
    <row r="6" spans="2:15" x14ac:dyDescent="0.2">
      <c r="B6" s="47" t="s">
        <v>130</v>
      </c>
    </row>
    <row r="7" spans="2:15" x14ac:dyDescent="0.2">
      <c r="B7" s="76" t="s">
        <v>110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2:15" x14ac:dyDescent="0.2">
      <c r="B8" s="47" t="s">
        <v>138</v>
      </c>
    </row>
    <row r="10" spans="2:15" x14ac:dyDescent="0.2">
      <c r="B10" s="47" t="s">
        <v>131</v>
      </c>
    </row>
    <row r="11" spans="2:15" x14ac:dyDescent="0.2">
      <c r="B11" s="76" t="s">
        <v>110</v>
      </c>
      <c r="C11" s="76" t="s">
        <v>82</v>
      </c>
      <c r="D11" s="76" t="s">
        <v>113</v>
      </c>
      <c r="E11" s="76" t="s">
        <v>114</v>
      </c>
      <c r="F11" s="76" t="s">
        <v>125</v>
      </c>
      <c r="G11" s="76" t="s">
        <v>68</v>
      </c>
      <c r="H11" s="76" t="s">
        <v>78</v>
      </c>
      <c r="I11" s="76" t="s">
        <v>105</v>
      </c>
      <c r="J11" s="76" t="s">
        <v>118</v>
      </c>
      <c r="K11" s="76" t="s">
        <v>115</v>
      </c>
      <c r="L11" s="76" t="s">
        <v>85</v>
      </c>
      <c r="M11" s="76" t="s">
        <v>127</v>
      </c>
      <c r="N11" s="76" t="s">
        <v>128</v>
      </c>
    </row>
    <row r="12" spans="2:15" x14ac:dyDescent="0.2">
      <c r="B12" s="47" t="s">
        <v>138</v>
      </c>
      <c r="C12" s="47" t="s">
        <v>120</v>
      </c>
      <c r="D12" s="47" t="s">
        <v>121</v>
      </c>
      <c r="E12" s="47" t="s">
        <v>124</v>
      </c>
      <c r="F12" s="47" t="s">
        <v>126</v>
      </c>
      <c r="G12">
        <v>5</v>
      </c>
      <c r="H12">
        <v>10</v>
      </c>
      <c r="I12">
        <v>20</v>
      </c>
      <c r="J12" s="105" t="s">
        <v>35</v>
      </c>
      <c r="K12" s="33">
        <v>1200</v>
      </c>
      <c r="L12" s="105" t="s">
        <v>35</v>
      </c>
      <c r="M12" s="105" t="s">
        <v>35</v>
      </c>
      <c r="N12" s="105" t="s">
        <v>35</v>
      </c>
    </row>
    <row r="14" spans="2:15" x14ac:dyDescent="0.2">
      <c r="B14" s="47" t="s">
        <v>137</v>
      </c>
    </row>
    <row r="15" spans="2:15" x14ac:dyDescent="0.2">
      <c r="B15" s="76" t="s">
        <v>110</v>
      </c>
      <c r="C15" s="76" t="s">
        <v>111</v>
      </c>
      <c r="D15" s="76" t="s">
        <v>112</v>
      </c>
      <c r="E15" s="76" t="s">
        <v>113</v>
      </c>
      <c r="F15" s="76" t="s">
        <v>123</v>
      </c>
      <c r="G15" s="76" t="s">
        <v>125</v>
      </c>
      <c r="H15" s="76" t="s">
        <v>116</v>
      </c>
      <c r="I15" s="76" t="s">
        <v>115</v>
      </c>
      <c r="J15" s="76" t="s">
        <v>117</v>
      </c>
      <c r="K15" s="76" t="s">
        <v>119</v>
      </c>
      <c r="L15" s="76" t="s">
        <v>30</v>
      </c>
      <c r="M15" s="76" t="s">
        <v>68</v>
      </c>
      <c r="N15" s="76" t="s">
        <v>78</v>
      </c>
      <c r="O15" s="76" t="s">
        <v>105</v>
      </c>
    </row>
    <row r="16" spans="2:15" x14ac:dyDescent="0.2">
      <c r="B16" s="47" t="s">
        <v>150</v>
      </c>
      <c r="C16" s="47" t="s">
        <v>152</v>
      </c>
      <c r="D16" s="47" t="s">
        <v>139</v>
      </c>
      <c r="E16" s="47" t="s">
        <v>134</v>
      </c>
      <c r="F16" s="47" t="s">
        <v>140</v>
      </c>
      <c r="G16" s="47" t="s">
        <v>141</v>
      </c>
      <c r="I16">
        <v>2000</v>
      </c>
      <c r="J16" s="105"/>
      <c r="K16">
        <v>0.1</v>
      </c>
      <c r="L16">
        <v>50</v>
      </c>
      <c r="M16">
        <v>5</v>
      </c>
      <c r="N16">
        <v>10</v>
      </c>
      <c r="O16">
        <v>20</v>
      </c>
    </row>
    <row r="17" spans="2:15" x14ac:dyDescent="0.2">
      <c r="B17" s="47" t="s">
        <v>149</v>
      </c>
      <c r="C17" s="47" t="s">
        <v>153</v>
      </c>
      <c r="D17" s="47" t="s">
        <v>139</v>
      </c>
      <c r="E17" s="47" t="s">
        <v>136</v>
      </c>
      <c r="F17" s="47" t="s">
        <v>166</v>
      </c>
      <c r="G17" s="47" t="s">
        <v>141</v>
      </c>
      <c r="I17">
        <v>3000</v>
      </c>
      <c r="J17" s="105"/>
      <c r="K17">
        <v>0.2</v>
      </c>
      <c r="L17">
        <v>50</v>
      </c>
      <c r="M17">
        <v>5</v>
      </c>
      <c r="N17">
        <v>10</v>
      </c>
      <c r="O17">
        <v>20</v>
      </c>
    </row>
    <row r="18" spans="2:15" x14ac:dyDescent="0.2">
      <c r="B18" s="47" t="s">
        <v>151</v>
      </c>
      <c r="C18" s="47" t="s">
        <v>154</v>
      </c>
      <c r="D18" s="47" t="s">
        <v>120</v>
      </c>
      <c r="E18" s="47" t="s">
        <v>135</v>
      </c>
      <c r="F18" s="47" t="s">
        <v>124</v>
      </c>
      <c r="G18" s="47" t="s">
        <v>126</v>
      </c>
      <c r="I18">
        <v>1500</v>
      </c>
      <c r="J18" s="105"/>
      <c r="L18">
        <v>50</v>
      </c>
      <c r="M18">
        <v>5</v>
      </c>
      <c r="N18">
        <v>10</v>
      </c>
      <c r="O18">
        <v>20</v>
      </c>
    </row>
    <row r="19" spans="2:15" x14ac:dyDescent="0.2">
      <c r="B19" s="47" t="s">
        <v>148</v>
      </c>
      <c r="C19" s="47" t="s">
        <v>145</v>
      </c>
      <c r="D19" s="47" t="s">
        <v>143</v>
      </c>
      <c r="E19" s="47" t="s">
        <v>136</v>
      </c>
      <c r="F19" s="47" t="s">
        <v>143</v>
      </c>
      <c r="G19" s="47" t="s">
        <v>126</v>
      </c>
      <c r="I19">
        <v>500</v>
      </c>
      <c r="J19" s="47"/>
      <c r="K19">
        <v>0.85</v>
      </c>
      <c r="L19">
        <v>50</v>
      </c>
      <c r="M19">
        <v>5</v>
      </c>
      <c r="N19">
        <v>10</v>
      </c>
      <c r="O19">
        <v>20</v>
      </c>
    </row>
    <row r="20" spans="2:15" x14ac:dyDescent="0.2">
      <c r="B20" s="47" t="s">
        <v>144</v>
      </c>
      <c r="C20" s="47" t="s">
        <v>155</v>
      </c>
      <c r="D20" s="47" t="s">
        <v>139</v>
      </c>
      <c r="E20" s="47" t="s">
        <v>121</v>
      </c>
      <c r="F20" s="47" t="s">
        <v>122</v>
      </c>
      <c r="G20" s="47" t="s">
        <v>141</v>
      </c>
      <c r="I20">
        <v>1200</v>
      </c>
      <c r="J20" s="47"/>
      <c r="K20">
        <v>0.5</v>
      </c>
      <c r="L20">
        <v>50</v>
      </c>
      <c r="M20">
        <v>5</v>
      </c>
      <c r="N20">
        <v>10</v>
      </c>
      <c r="O20">
        <v>20</v>
      </c>
    </row>
    <row r="21" spans="2:15" x14ac:dyDescent="0.2">
      <c r="B21" s="47" t="s">
        <v>156</v>
      </c>
      <c r="C21" s="47" t="s">
        <v>157</v>
      </c>
      <c r="D21" s="47" t="s">
        <v>143</v>
      </c>
      <c r="E21" s="47" t="s">
        <v>134</v>
      </c>
      <c r="F21" s="47" t="s">
        <v>143</v>
      </c>
      <c r="G21" s="47" t="s">
        <v>126</v>
      </c>
      <c r="I21">
        <v>1000</v>
      </c>
      <c r="J21" s="105"/>
      <c r="K21">
        <v>0.2</v>
      </c>
      <c r="L21">
        <v>50</v>
      </c>
      <c r="M21">
        <v>5</v>
      </c>
      <c r="N21">
        <v>10</v>
      </c>
      <c r="O21">
        <v>20</v>
      </c>
    </row>
    <row r="22" spans="2:15" x14ac:dyDescent="0.2">
      <c r="B22" s="47" t="s">
        <v>158</v>
      </c>
      <c r="C22" s="47" t="s">
        <v>159</v>
      </c>
      <c r="D22" s="47" t="s">
        <v>139</v>
      </c>
      <c r="E22" s="47" t="s">
        <v>134</v>
      </c>
      <c r="F22" s="47" t="s">
        <v>160</v>
      </c>
      <c r="G22" s="47" t="s">
        <v>141</v>
      </c>
      <c r="I22">
        <v>1300</v>
      </c>
      <c r="J22" s="105"/>
      <c r="K22">
        <v>0.5</v>
      </c>
      <c r="L22">
        <v>50</v>
      </c>
      <c r="M22">
        <v>5</v>
      </c>
      <c r="N22">
        <v>10</v>
      </c>
      <c r="O22">
        <v>20</v>
      </c>
    </row>
    <row r="23" spans="2:15" x14ac:dyDescent="0.2">
      <c r="B23" s="47" t="s">
        <v>161</v>
      </c>
      <c r="C23" s="47" t="s">
        <v>162</v>
      </c>
      <c r="D23" s="47" t="s">
        <v>139</v>
      </c>
      <c r="E23" s="47" t="s">
        <v>136</v>
      </c>
      <c r="F23" s="47" t="s">
        <v>163</v>
      </c>
      <c r="G23" s="47" t="s">
        <v>126</v>
      </c>
      <c r="I23">
        <v>1000</v>
      </c>
      <c r="J23" s="47"/>
      <c r="K23">
        <v>0.5</v>
      </c>
      <c r="L23">
        <v>50</v>
      </c>
      <c r="M23">
        <v>5</v>
      </c>
      <c r="N23">
        <v>10</v>
      </c>
      <c r="O23">
        <v>20</v>
      </c>
    </row>
    <row r="24" spans="2:15" x14ac:dyDescent="0.2">
      <c r="B24" s="47" t="s">
        <v>164</v>
      </c>
      <c r="C24" s="47" t="s">
        <v>165</v>
      </c>
      <c r="D24" s="47" t="s">
        <v>120</v>
      </c>
      <c r="E24" s="47" t="s">
        <v>136</v>
      </c>
      <c r="F24" s="47" t="s">
        <v>166</v>
      </c>
      <c r="G24" s="47" t="s">
        <v>126</v>
      </c>
      <c r="I24">
        <v>1600</v>
      </c>
      <c r="J24" s="47"/>
      <c r="L24">
        <v>50</v>
      </c>
      <c r="M24">
        <v>5</v>
      </c>
      <c r="N24">
        <v>10</v>
      </c>
      <c r="O24">
        <v>20</v>
      </c>
    </row>
    <row r="25" spans="2:15" x14ac:dyDescent="0.2">
      <c r="B25" s="47" t="s">
        <v>167</v>
      </c>
      <c r="C25" s="47" t="s">
        <v>168</v>
      </c>
      <c r="D25" s="47" t="s">
        <v>120</v>
      </c>
      <c r="E25" s="47" t="s">
        <v>121</v>
      </c>
      <c r="F25" s="47" t="s">
        <v>169</v>
      </c>
      <c r="G25" s="47" t="s">
        <v>141</v>
      </c>
      <c r="I25">
        <v>1200</v>
      </c>
      <c r="J25" s="47"/>
      <c r="L25">
        <v>50</v>
      </c>
      <c r="M25">
        <v>5</v>
      </c>
      <c r="N25">
        <v>10</v>
      </c>
      <c r="O25">
        <v>20</v>
      </c>
    </row>
    <row r="26" spans="2:15" x14ac:dyDescent="0.2">
      <c r="B26" s="47" t="s">
        <v>170</v>
      </c>
      <c r="C26" s="47" t="s">
        <v>171</v>
      </c>
      <c r="D26" s="47" t="s">
        <v>139</v>
      </c>
      <c r="E26" s="47" t="s">
        <v>135</v>
      </c>
      <c r="F26" s="47" t="s">
        <v>172</v>
      </c>
      <c r="G26" s="47" t="s">
        <v>126</v>
      </c>
      <c r="I26">
        <v>1500</v>
      </c>
      <c r="J26" s="105"/>
      <c r="K26">
        <v>0.1</v>
      </c>
      <c r="L26">
        <v>50</v>
      </c>
      <c r="M26">
        <v>5</v>
      </c>
      <c r="N26">
        <v>10</v>
      </c>
      <c r="O26">
        <v>20</v>
      </c>
    </row>
    <row r="27" spans="2:15" x14ac:dyDescent="0.2">
      <c r="B27" s="47" t="s">
        <v>173</v>
      </c>
      <c r="C27" s="47" t="s">
        <v>174</v>
      </c>
      <c r="D27" s="47" t="s">
        <v>120</v>
      </c>
      <c r="E27" s="47" t="s">
        <v>134</v>
      </c>
      <c r="F27" s="47" t="s">
        <v>140</v>
      </c>
      <c r="G27" s="47" t="s">
        <v>126</v>
      </c>
      <c r="I27">
        <v>1500</v>
      </c>
      <c r="J27" s="105"/>
      <c r="L27">
        <v>50</v>
      </c>
      <c r="M27">
        <v>5</v>
      </c>
      <c r="N27">
        <v>10</v>
      </c>
      <c r="O27">
        <v>20</v>
      </c>
    </row>
    <row r="28" spans="2:15" x14ac:dyDescent="0.2">
      <c r="B28" s="47" t="s">
        <v>175</v>
      </c>
      <c r="C28" s="47" t="s">
        <v>176</v>
      </c>
      <c r="D28" s="47" t="s">
        <v>120</v>
      </c>
      <c r="E28" s="47" t="s">
        <v>135</v>
      </c>
      <c r="F28" s="47" t="s">
        <v>172</v>
      </c>
      <c r="G28" s="47" t="s">
        <v>126</v>
      </c>
      <c r="I28">
        <v>1100</v>
      </c>
      <c r="J28" s="105"/>
      <c r="L28">
        <v>50</v>
      </c>
      <c r="M28">
        <v>5</v>
      </c>
      <c r="N28">
        <v>10</v>
      </c>
      <c r="O28">
        <v>20</v>
      </c>
    </row>
    <row r="29" spans="2:15" x14ac:dyDescent="0.2">
      <c r="B29" s="47" t="s">
        <v>177</v>
      </c>
      <c r="C29" s="47" t="s">
        <v>178</v>
      </c>
      <c r="D29" s="47" t="s">
        <v>139</v>
      </c>
      <c r="E29" s="47" t="s">
        <v>136</v>
      </c>
      <c r="F29" s="47" t="s">
        <v>163</v>
      </c>
      <c r="G29" s="47" t="s">
        <v>141</v>
      </c>
      <c r="I29">
        <v>800</v>
      </c>
      <c r="J29" s="47"/>
      <c r="K29">
        <v>0.25</v>
      </c>
      <c r="L29">
        <v>50</v>
      </c>
      <c r="M29">
        <v>5</v>
      </c>
      <c r="N29">
        <v>10</v>
      </c>
      <c r="O29">
        <v>20</v>
      </c>
    </row>
    <row r="30" spans="2:15" x14ac:dyDescent="0.2">
      <c r="B30" s="47"/>
      <c r="C30" s="47"/>
      <c r="D30" s="47"/>
      <c r="E30" s="47"/>
      <c r="F30" s="47"/>
      <c r="G30" s="47"/>
      <c r="J30" s="47"/>
    </row>
    <row r="31" spans="2:15" x14ac:dyDescent="0.2">
      <c r="B31" s="47"/>
      <c r="C31" s="47"/>
      <c r="D31" s="47"/>
      <c r="E31" s="47"/>
      <c r="F31" s="47"/>
      <c r="G31" s="47"/>
      <c r="J31" s="47"/>
    </row>
    <row r="32" spans="2:15" x14ac:dyDescent="0.2">
      <c r="B32" s="47" t="s">
        <v>179</v>
      </c>
    </row>
    <row r="33" spans="2:7" x14ac:dyDescent="0.2">
      <c r="B33" s="76" t="s">
        <v>113</v>
      </c>
      <c r="C33" s="76" t="s">
        <v>115</v>
      </c>
      <c r="D33" s="76" t="s">
        <v>85</v>
      </c>
      <c r="E33" s="76" t="s">
        <v>132</v>
      </c>
      <c r="F33" s="76" t="s">
        <v>133</v>
      </c>
      <c r="G33" s="76" t="s">
        <v>88</v>
      </c>
    </row>
    <row r="34" spans="2:7" x14ac:dyDescent="0.2">
      <c r="B34" s="47" t="s">
        <v>134</v>
      </c>
      <c r="C34" s="106">
        <f>I16+I21+I22+I27</f>
        <v>5800</v>
      </c>
      <c r="D34" s="105" t="s">
        <v>35</v>
      </c>
      <c r="E34" s="105" t="s">
        <v>35</v>
      </c>
      <c r="F34" s="105" t="s">
        <v>35</v>
      </c>
      <c r="G34" s="105" t="s">
        <v>35</v>
      </c>
    </row>
    <row r="35" spans="2:7" x14ac:dyDescent="0.2">
      <c r="B35" s="47" t="s">
        <v>135</v>
      </c>
      <c r="C35" s="106">
        <f>I18+I26+I28</f>
        <v>4100</v>
      </c>
      <c r="D35" s="105" t="s">
        <v>35</v>
      </c>
      <c r="E35" s="105" t="s">
        <v>35</v>
      </c>
      <c r="F35" s="105" t="s">
        <v>35</v>
      </c>
      <c r="G35" s="105" t="s">
        <v>35</v>
      </c>
    </row>
    <row r="36" spans="2:7" x14ac:dyDescent="0.2">
      <c r="B36" s="47" t="s">
        <v>136</v>
      </c>
      <c r="C36" s="106">
        <f>I17+I19+I23+I24+I29</f>
        <v>6900</v>
      </c>
      <c r="D36" s="105" t="s">
        <v>35</v>
      </c>
      <c r="E36" s="105" t="s">
        <v>35</v>
      </c>
      <c r="F36" s="105" t="s">
        <v>35</v>
      </c>
      <c r="G36" s="105" t="s">
        <v>35</v>
      </c>
    </row>
    <row r="37" spans="2:7" x14ac:dyDescent="0.2">
      <c r="B37" s="47" t="s">
        <v>121</v>
      </c>
      <c r="C37" s="106">
        <f>I4+I20+I25</f>
        <v>3600</v>
      </c>
      <c r="D37" s="105" t="s">
        <v>35</v>
      </c>
      <c r="E37" s="105" t="s">
        <v>35</v>
      </c>
      <c r="F37" s="105" t="s">
        <v>35</v>
      </c>
      <c r="G37" s="105" t="s">
        <v>35</v>
      </c>
    </row>
    <row r="39" spans="2:7" x14ac:dyDescent="0.2">
      <c r="B39" s="47" t="s">
        <v>180</v>
      </c>
    </row>
    <row r="40" spans="2:7" x14ac:dyDescent="0.2">
      <c r="B40" s="76" t="s">
        <v>113</v>
      </c>
      <c r="C40" s="76" t="s">
        <v>115</v>
      </c>
      <c r="D40" s="76" t="s">
        <v>85</v>
      </c>
      <c r="E40" s="76" t="s">
        <v>132</v>
      </c>
      <c r="F40" s="76" t="s">
        <v>133</v>
      </c>
      <c r="G40" s="76" t="s">
        <v>88</v>
      </c>
    </row>
    <row r="41" spans="2:7" x14ac:dyDescent="0.2">
      <c r="B41" s="47" t="s">
        <v>140</v>
      </c>
      <c r="C41" s="68">
        <f>I16+I27</f>
        <v>3500</v>
      </c>
      <c r="D41" s="105" t="s">
        <v>35</v>
      </c>
      <c r="E41" s="105" t="s">
        <v>35</v>
      </c>
      <c r="F41" s="105" t="s">
        <v>35</v>
      </c>
      <c r="G41" s="105" t="s">
        <v>35</v>
      </c>
    </row>
    <row r="42" spans="2:7" x14ac:dyDescent="0.2">
      <c r="B42" s="47" t="s">
        <v>160</v>
      </c>
      <c r="C42" s="68">
        <f>I22</f>
        <v>1300</v>
      </c>
      <c r="D42" s="105" t="s">
        <v>35</v>
      </c>
      <c r="E42" s="105" t="s">
        <v>35</v>
      </c>
      <c r="F42" s="105" t="s">
        <v>35</v>
      </c>
      <c r="G42" s="105" t="s">
        <v>35</v>
      </c>
    </row>
    <row r="43" spans="2:7" x14ac:dyDescent="0.2">
      <c r="B43" s="47" t="s">
        <v>143</v>
      </c>
      <c r="C43" s="68">
        <f>I19+I21</f>
        <v>1500</v>
      </c>
      <c r="D43" s="105" t="s">
        <v>35</v>
      </c>
      <c r="E43" s="105" t="s">
        <v>35</v>
      </c>
      <c r="F43" s="105" t="s">
        <v>35</v>
      </c>
      <c r="G43" s="105" t="s">
        <v>35</v>
      </c>
    </row>
    <row r="44" spans="2:7" x14ac:dyDescent="0.2">
      <c r="B44" s="47" t="s">
        <v>166</v>
      </c>
      <c r="C44" s="68">
        <f>I17+I24</f>
        <v>4600</v>
      </c>
      <c r="D44" s="105" t="s">
        <v>35</v>
      </c>
      <c r="E44" s="105" t="s">
        <v>35</v>
      </c>
      <c r="F44" s="105" t="s">
        <v>35</v>
      </c>
      <c r="G44" s="105" t="s">
        <v>35</v>
      </c>
    </row>
    <row r="45" spans="2:7" x14ac:dyDescent="0.2">
      <c r="B45" s="47" t="s">
        <v>142</v>
      </c>
      <c r="C45" s="68">
        <v>0</v>
      </c>
      <c r="D45" s="105" t="s">
        <v>35</v>
      </c>
      <c r="E45" s="105" t="s">
        <v>35</v>
      </c>
      <c r="F45" s="105" t="s">
        <v>35</v>
      </c>
      <c r="G45" s="105" t="s">
        <v>35</v>
      </c>
    </row>
    <row r="46" spans="2:7" x14ac:dyDescent="0.2">
      <c r="B46" s="47" t="s">
        <v>163</v>
      </c>
      <c r="C46" s="68">
        <f>I23+I29</f>
        <v>1800</v>
      </c>
      <c r="D46" s="105" t="s">
        <v>35</v>
      </c>
      <c r="E46" s="105" t="s">
        <v>35</v>
      </c>
      <c r="F46" s="105" t="s">
        <v>35</v>
      </c>
      <c r="G46" s="105" t="s">
        <v>35</v>
      </c>
    </row>
    <row r="47" spans="2:7" x14ac:dyDescent="0.2">
      <c r="B47" s="47" t="s">
        <v>172</v>
      </c>
      <c r="C47" s="68">
        <f>I26+I28</f>
        <v>2600</v>
      </c>
      <c r="D47" s="105" t="s">
        <v>35</v>
      </c>
      <c r="E47" s="105" t="s">
        <v>35</v>
      </c>
      <c r="F47" s="105" t="s">
        <v>35</v>
      </c>
      <c r="G47" s="105" t="s">
        <v>35</v>
      </c>
    </row>
    <row r="48" spans="2:7" x14ac:dyDescent="0.2">
      <c r="B48" s="47" t="s">
        <v>169</v>
      </c>
      <c r="C48" s="68">
        <f>I25</f>
        <v>1200</v>
      </c>
      <c r="D48" s="105" t="s">
        <v>35</v>
      </c>
      <c r="E48" s="105" t="s">
        <v>35</v>
      </c>
      <c r="F48" s="105" t="s">
        <v>35</v>
      </c>
      <c r="G48" s="105" t="s">
        <v>35</v>
      </c>
    </row>
    <row r="49" spans="2:7" x14ac:dyDescent="0.2">
      <c r="B49" s="47" t="s">
        <v>124</v>
      </c>
      <c r="C49" s="68">
        <f>I4+I18</f>
        <v>2700</v>
      </c>
      <c r="D49" s="105" t="s">
        <v>35</v>
      </c>
      <c r="E49" s="105" t="s">
        <v>35</v>
      </c>
      <c r="F49" s="105" t="s">
        <v>35</v>
      </c>
      <c r="G49" s="105" t="s">
        <v>35</v>
      </c>
    </row>
    <row r="50" spans="2:7" x14ac:dyDescent="0.2">
      <c r="B50" s="47" t="s">
        <v>122</v>
      </c>
      <c r="C50" s="68">
        <f>I20</f>
        <v>1200</v>
      </c>
      <c r="D50" s="105" t="s">
        <v>35</v>
      </c>
      <c r="E50" s="105" t="s">
        <v>35</v>
      </c>
      <c r="F50" s="105" t="s">
        <v>35</v>
      </c>
      <c r="G50" s="10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D110"/>
  <sheetViews>
    <sheetView tabSelected="1" topLeftCell="A35" workbookViewId="0">
      <selection activeCell="AA55" sqref="AA55"/>
    </sheetView>
  </sheetViews>
  <sheetFormatPr defaultColWidth="12.5703125" defaultRowHeight="15.75" customHeight="1" x14ac:dyDescent="0.2"/>
  <cols>
    <col min="1" max="1" width="11" bestFit="1" customWidth="1"/>
    <col min="2" max="2" width="12.7109375" bestFit="1" customWidth="1"/>
    <col min="3" max="4" width="4.85546875" bestFit="1" customWidth="1"/>
    <col min="5" max="5" width="4.5703125" bestFit="1" customWidth="1"/>
    <col min="6" max="7" width="4.5703125" customWidth="1"/>
    <col min="8" max="8" width="6.42578125" customWidth="1"/>
    <col min="9" max="9" width="9.140625" bestFit="1" customWidth="1"/>
    <col min="10" max="10" width="21.28515625" customWidth="1"/>
    <col min="11" max="11" width="8.140625" bestFit="1" customWidth="1"/>
    <col min="12" max="12" width="7.42578125" bestFit="1" customWidth="1"/>
    <col min="13" max="13" width="7.42578125" customWidth="1"/>
    <col min="14" max="14" width="7.140625" bestFit="1" customWidth="1"/>
    <col min="15" max="15" width="6.5703125" bestFit="1" customWidth="1"/>
    <col min="16" max="16" width="12" bestFit="1" customWidth="1"/>
    <col min="17" max="17" width="10.28515625" bestFit="1" customWidth="1"/>
    <col min="18" max="18" width="4.85546875" customWidth="1"/>
    <col min="19" max="19" width="16.5703125" bestFit="1" customWidth="1"/>
    <col min="20" max="20" width="17.5703125" bestFit="1" customWidth="1"/>
    <col min="21" max="21" width="8.5703125" bestFit="1" customWidth="1"/>
    <col min="22" max="22" width="8.5703125" customWidth="1"/>
    <col min="23" max="23" width="9.42578125" bestFit="1" customWidth="1"/>
    <col min="24" max="24" width="6.7109375" bestFit="1" customWidth="1"/>
    <col min="25" max="25" width="9.140625" bestFit="1" customWidth="1"/>
    <col min="26" max="26" width="13.140625" bestFit="1" customWidth="1"/>
    <col min="27" max="27" width="9.140625" bestFit="1" customWidth="1"/>
    <col min="28" max="28" width="9.140625" customWidth="1"/>
    <col min="29" max="29" width="9.42578125" bestFit="1" customWidth="1"/>
    <col min="30" max="30" width="9.42578125" customWidth="1"/>
    <col min="31" max="31" width="9.85546875" bestFit="1" customWidth="1"/>
    <col min="32" max="32" width="9.28515625" customWidth="1"/>
    <col min="33" max="33" width="8.28515625" bestFit="1" customWidth="1"/>
    <col min="34" max="34" width="9.28515625" bestFit="1" customWidth="1"/>
    <col min="35" max="35" width="9.7109375" bestFit="1" customWidth="1"/>
    <col min="36" max="36" width="36.42578125" customWidth="1"/>
    <col min="37" max="37" width="5.5703125" bestFit="1" customWidth="1"/>
    <col min="38" max="38" width="6.28515625" bestFit="1" customWidth="1"/>
    <col min="39" max="39" width="4.5703125" bestFit="1" customWidth="1"/>
    <col min="40" max="40" width="7.42578125" bestFit="1" customWidth="1"/>
    <col min="41" max="41" width="7.28515625" bestFit="1" customWidth="1"/>
    <col min="42" max="42" width="4.5703125" customWidth="1"/>
    <col min="43" max="43" width="14.5703125" bestFit="1" customWidth="1"/>
    <col min="44" max="44" width="8.28515625" bestFit="1" customWidth="1"/>
    <col min="45" max="45" width="8.140625" bestFit="1" customWidth="1"/>
    <col min="46" max="46" width="8.28515625" bestFit="1" customWidth="1"/>
    <col min="47" max="47" width="9.7109375" bestFit="1" customWidth="1"/>
    <col min="48" max="48" width="8.28515625" bestFit="1" customWidth="1"/>
    <col min="49" max="49" width="4.7109375" customWidth="1"/>
    <col min="50" max="50" width="14" bestFit="1" customWidth="1"/>
    <col min="51" max="51" width="8.28515625" bestFit="1" customWidth="1"/>
    <col min="52" max="52" width="8.140625" bestFit="1" customWidth="1"/>
    <col min="53" max="53" width="8.28515625" bestFit="1" customWidth="1"/>
    <col min="54" max="54" width="8.5703125" bestFit="1" customWidth="1"/>
    <col min="55" max="55" width="9.7109375" bestFit="1" customWidth="1"/>
    <col min="56" max="56" width="9.28515625" bestFit="1" customWidth="1"/>
  </cols>
  <sheetData>
    <row r="1" spans="1:56" ht="12.75" x14ac:dyDescent="0.2"/>
    <row r="2" spans="1:56" ht="12.75" x14ac:dyDescent="0.2">
      <c r="A2" s="72" t="s">
        <v>27</v>
      </c>
      <c r="B2" s="120"/>
      <c r="K2" s="12"/>
      <c r="L2" s="12"/>
      <c r="M2" s="12"/>
      <c r="N2" s="12"/>
      <c r="O2" s="12"/>
      <c r="P2" s="12"/>
      <c r="Q2" s="12"/>
      <c r="R2" s="12"/>
      <c r="S2" s="59" t="s">
        <v>28</v>
      </c>
      <c r="T2" s="12"/>
      <c r="U2" s="12"/>
      <c r="V2" s="12"/>
      <c r="W2" s="12"/>
      <c r="X2" s="12"/>
      <c r="Y2" s="59" t="s">
        <v>29</v>
      </c>
      <c r="Z2" s="12"/>
      <c r="AA2" s="12"/>
      <c r="AB2" s="12"/>
      <c r="AC2" s="12"/>
      <c r="AD2" s="12"/>
    </row>
    <row r="3" spans="1:56" ht="12.75" x14ac:dyDescent="0.2">
      <c r="A3" s="28" t="s">
        <v>66</v>
      </c>
      <c r="B3" s="28"/>
      <c r="C3" s="28" t="s">
        <v>30</v>
      </c>
      <c r="D3" s="60" t="s">
        <v>68</v>
      </c>
      <c r="E3" s="60" t="s">
        <v>78</v>
      </c>
      <c r="F3" s="60"/>
      <c r="G3" s="60" t="s">
        <v>69</v>
      </c>
      <c r="J3" s="28" t="s">
        <v>3</v>
      </c>
      <c r="K3" s="28" t="s">
        <v>0</v>
      </c>
      <c r="L3" s="28" t="s">
        <v>55</v>
      </c>
      <c r="M3" s="60" t="s">
        <v>76</v>
      </c>
      <c r="N3" s="28" t="s">
        <v>1</v>
      </c>
      <c r="O3" s="60" t="s">
        <v>67</v>
      </c>
      <c r="P3" s="60" t="s">
        <v>9</v>
      </c>
      <c r="Q3" s="28" t="s">
        <v>30</v>
      </c>
      <c r="R3" s="12"/>
      <c r="S3" s="28" t="s">
        <v>31</v>
      </c>
      <c r="T3" s="28" t="s">
        <v>1</v>
      </c>
      <c r="U3" s="60" t="s">
        <v>10</v>
      </c>
      <c r="V3" s="60"/>
      <c r="W3" s="60" t="s">
        <v>70</v>
      </c>
      <c r="X3" s="63"/>
      <c r="Y3" s="28" t="s">
        <v>31</v>
      </c>
      <c r="Z3" s="28" t="s">
        <v>1</v>
      </c>
      <c r="AA3" s="60" t="s">
        <v>10</v>
      </c>
      <c r="AB3" s="60"/>
      <c r="AC3" s="60" t="s">
        <v>70</v>
      </c>
      <c r="AD3" s="60"/>
    </row>
    <row r="4" spans="1:56" ht="12.75" x14ac:dyDescent="0.2">
      <c r="A4" s="33">
        <v>100</v>
      </c>
      <c r="B4" s="33"/>
      <c r="C4" s="29">
        <v>0.3</v>
      </c>
      <c r="D4" s="53">
        <v>5</v>
      </c>
      <c r="E4">
        <v>10</v>
      </c>
      <c r="G4" s="53">
        <v>0</v>
      </c>
      <c r="J4" s="47" t="s">
        <v>46</v>
      </c>
      <c r="K4" s="13">
        <v>100</v>
      </c>
      <c r="L4" s="13"/>
      <c r="M4" s="13"/>
      <c r="N4" s="13">
        <v>200</v>
      </c>
      <c r="O4" s="13"/>
      <c r="P4" s="13"/>
      <c r="Q4" s="29">
        <v>0.3</v>
      </c>
      <c r="R4" s="12"/>
      <c r="S4" s="13">
        <f>K4</f>
        <v>100</v>
      </c>
      <c r="T4" s="13">
        <f>N4*Q4</f>
        <v>60</v>
      </c>
      <c r="U4" s="13"/>
      <c r="V4" s="13"/>
      <c r="W4" s="30">
        <f>T4/S4</f>
        <v>0.6</v>
      </c>
      <c r="X4" s="30"/>
      <c r="Y4" s="13">
        <f>K4</f>
        <v>100</v>
      </c>
      <c r="Z4" s="13">
        <f>N4*(1-Q4)</f>
        <v>140</v>
      </c>
      <c r="AA4" s="13"/>
      <c r="AB4" s="13"/>
      <c r="AC4" s="30">
        <f>Z4/Y4</f>
        <v>1.4</v>
      </c>
      <c r="AD4" s="30"/>
    </row>
    <row r="5" spans="1:56" ht="12.75" x14ac:dyDescent="0.2">
      <c r="A5" s="36">
        <v>100</v>
      </c>
      <c r="B5" s="36"/>
      <c r="C5" s="37">
        <v>0.3</v>
      </c>
      <c r="D5" s="54">
        <v>5</v>
      </c>
      <c r="E5" s="35">
        <v>10</v>
      </c>
      <c r="F5" s="35"/>
      <c r="G5" s="54">
        <v>0</v>
      </c>
      <c r="J5" s="48" t="s">
        <v>47</v>
      </c>
      <c r="K5" s="42">
        <v>100</v>
      </c>
      <c r="L5" s="42"/>
      <c r="M5" s="42"/>
      <c r="N5" s="42">
        <v>300</v>
      </c>
      <c r="O5" s="42"/>
      <c r="P5" s="42"/>
      <c r="Q5" s="37">
        <v>0.3</v>
      </c>
      <c r="R5" s="12"/>
      <c r="S5" s="42">
        <f>K5</f>
        <v>100</v>
      </c>
      <c r="T5" s="42">
        <f>(N5*Q5)+T4</f>
        <v>150</v>
      </c>
      <c r="U5" s="42"/>
      <c r="V5" s="42"/>
      <c r="W5" s="43">
        <f>T5/S5</f>
        <v>1.5</v>
      </c>
      <c r="X5" s="30"/>
      <c r="Y5" s="42">
        <f>K5</f>
        <v>100</v>
      </c>
      <c r="Z5" s="42">
        <f>N5*(1-Q5)+Z4</f>
        <v>350</v>
      </c>
      <c r="AA5" s="42"/>
      <c r="AB5" s="42"/>
      <c r="AC5" s="43">
        <f>Z5/Y5</f>
        <v>3.5</v>
      </c>
      <c r="AD5" s="43"/>
    </row>
    <row r="6" spans="1:56" ht="12.75" x14ac:dyDescent="0.2">
      <c r="A6" s="33">
        <v>100</v>
      </c>
      <c r="B6" s="33"/>
      <c r="C6" s="29">
        <v>0.3</v>
      </c>
      <c r="D6" s="53">
        <v>5</v>
      </c>
      <c r="E6">
        <v>10</v>
      </c>
      <c r="G6" s="53">
        <v>0</v>
      </c>
      <c r="J6" s="49" t="s">
        <v>48</v>
      </c>
      <c r="K6" s="13">
        <v>10</v>
      </c>
      <c r="L6" s="13"/>
      <c r="M6" s="13"/>
      <c r="N6" s="13">
        <v>200</v>
      </c>
      <c r="O6" s="13"/>
      <c r="P6" s="13"/>
      <c r="Q6" s="29">
        <v>0.3</v>
      </c>
      <c r="R6" s="12"/>
      <c r="S6" s="13">
        <f>K6</f>
        <v>10</v>
      </c>
      <c r="T6" s="13">
        <f>N6*Q6</f>
        <v>60</v>
      </c>
      <c r="U6" s="13"/>
      <c r="V6" s="13"/>
      <c r="W6" s="30">
        <f t="shared" ref="W6:W7" si="0">T6/S6</f>
        <v>6</v>
      </c>
      <c r="X6" s="30"/>
      <c r="Y6" s="13">
        <f>K6</f>
        <v>10</v>
      </c>
      <c r="Z6" s="13">
        <f>N6*(1-Q6)</f>
        <v>140</v>
      </c>
      <c r="AA6" s="13"/>
      <c r="AB6" s="13"/>
      <c r="AC6" s="30">
        <f t="shared" ref="AC6:AC7" si="1">Z6/Y6</f>
        <v>14</v>
      </c>
      <c r="AD6" s="30"/>
    </row>
    <row r="7" spans="1:56" ht="12.75" x14ac:dyDescent="0.2">
      <c r="J7" s="12"/>
      <c r="K7" s="12"/>
      <c r="L7" s="12"/>
      <c r="M7" s="12"/>
      <c r="N7" s="12"/>
      <c r="O7" s="12"/>
      <c r="P7" s="12"/>
      <c r="Q7" s="12"/>
      <c r="R7" s="12"/>
      <c r="S7" s="13">
        <f>S5</f>
        <v>100</v>
      </c>
      <c r="T7" s="13">
        <f>T5-T4</f>
        <v>90</v>
      </c>
      <c r="U7" s="13"/>
      <c r="V7" s="13"/>
      <c r="W7" s="30">
        <f t="shared" si="0"/>
        <v>0.9</v>
      </c>
      <c r="X7" s="30"/>
      <c r="Y7" s="13">
        <v>100</v>
      </c>
      <c r="Z7" s="13">
        <f>Z5-Z6</f>
        <v>210</v>
      </c>
      <c r="AA7" s="13"/>
      <c r="AB7" s="13"/>
      <c r="AC7" s="30">
        <f t="shared" si="1"/>
        <v>2.1</v>
      </c>
      <c r="AD7" s="30"/>
    </row>
    <row r="8" spans="1:56" ht="12.75" x14ac:dyDescent="0.2">
      <c r="A8" s="36">
        <v>100</v>
      </c>
      <c r="B8" s="36"/>
      <c r="C8" s="37">
        <v>0.3</v>
      </c>
      <c r="D8" s="54">
        <v>5</v>
      </c>
      <c r="E8" s="35">
        <v>10</v>
      </c>
      <c r="F8" s="35"/>
      <c r="G8" s="54">
        <v>0</v>
      </c>
      <c r="J8" s="48" t="s">
        <v>49</v>
      </c>
      <c r="K8" s="42">
        <v>8</v>
      </c>
      <c r="L8" s="42"/>
      <c r="M8" s="42"/>
      <c r="N8" s="42">
        <v>300</v>
      </c>
      <c r="O8" s="42"/>
      <c r="P8" s="42"/>
      <c r="Q8" s="37">
        <v>0.3</v>
      </c>
      <c r="R8" s="12"/>
      <c r="S8" s="42">
        <f>S6</f>
        <v>10</v>
      </c>
      <c r="T8" s="42">
        <v>60</v>
      </c>
      <c r="U8" s="42"/>
      <c r="V8" s="42"/>
      <c r="W8" s="43">
        <v>6</v>
      </c>
      <c r="X8" s="30"/>
      <c r="Y8" s="42">
        <v>10</v>
      </c>
      <c r="Z8" s="42">
        <v>140</v>
      </c>
      <c r="AA8" s="42"/>
      <c r="AB8" s="42"/>
      <c r="AC8" s="43">
        <v>14</v>
      </c>
      <c r="AD8" s="43"/>
    </row>
    <row r="9" spans="1:56" ht="12.75" x14ac:dyDescent="0.2">
      <c r="J9" s="41"/>
      <c r="K9" s="41"/>
      <c r="L9" s="41"/>
      <c r="M9" s="41"/>
      <c r="N9" s="41"/>
      <c r="O9" s="41"/>
      <c r="P9" s="41"/>
      <c r="Q9" s="41"/>
      <c r="R9" s="12"/>
      <c r="S9" s="44">
        <f>S7</f>
        <v>100</v>
      </c>
      <c r="T9" s="44">
        <v>90</v>
      </c>
      <c r="U9" s="44"/>
      <c r="V9" s="44"/>
      <c r="W9" s="45">
        <v>0.9</v>
      </c>
      <c r="X9" s="67"/>
      <c r="Y9" s="44">
        <v>100</v>
      </c>
      <c r="Z9" s="44">
        <v>210</v>
      </c>
      <c r="AA9" s="44"/>
      <c r="AB9" s="44"/>
      <c r="AC9" s="45">
        <v>2.1</v>
      </c>
      <c r="AD9" s="45"/>
    </row>
    <row r="10" spans="1:56" ht="12.75" x14ac:dyDescent="0.2">
      <c r="J10" s="41"/>
      <c r="K10" s="41"/>
      <c r="L10" s="41"/>
      <c r="M10" s="41"/>
      <c r="N10" s="41"/>
      <c r="O10" s="41"/>
      <c r="P10" s="41"/>
      <c r="Q10" s="41"/>
      <c r="R10" s="12"/>
      <c r="S10" s="42">
        <f>K8</f>
        <v>8</v>
      </c>
      <c r="T10" s="42">
        <f>N8*Q8</f>
        <v>90</v>
      </c>
      <c r="U10" s="42"/>
      <c r="V10" s="42"/>
      <c r="W10" s="43">
        <f>T10/S10</f>
        <v>11.25</v>
      </c>
      <c r="X10" s="30"/>
      <c r="Y10" s="42">
        <v>8</v>
      </c>
      <c r="Z10" s="42">
        <f>N8*(1-Q8)</f>
        <v>210</v>
      </c>
      <c r="AA10" s="42"/>
      <c r="AB10" s="42"/>
      <c r="AC10" s="43">
        <f>Z10/Y10</f>
        <v>26.25</v>
      </c>
      <c r="AD10" s="43"/>
    </row>
    <row r="12" spans="1:56" ht="15.75" customHeight="1" x14ac:dyDescent="0.2">
      <c r="A12" s="71" t="s">
        <v>32</v>
      </c>
      <c r="B12" s="118"/>
      <c r="S12" s="59" t="s">
        <v>28</v>
      </c>
      <c r="T12" s="12"/>
      <c r="U12" s="12"/>
      <c r="V12" s="12"/>
      <c r="W12" s="12"/>
      <c r="X12" s="12"/>
      <c r="Y12" s="59" t="s">
        <v>29</v>
      </c>
      <c r="Z12" s="12"/>
      <c r="AA12" s="12"/>
      <c r="AB12" s="12"/>
      <c r="AC12" s="12"/>
      <c r="AD12" s="12"/>
      <c r="AJ12" s="34" t="s">
        <v>57</v>
      </c>
      <c r="AQ12" s="34" t="s">
        <v>58</v>
      </c>
      <c r="AX12" s="34" t="s">
        <v>71</v>
      </c>
    </row>
    <row r="13" spans="1:56" ht="15.75" customHeight="1" x14ac:dyDescent="0.2">
      <c r="A13" s="28" t="s">
        <v>66</v>
      </c>
      <c r="B13" s="28"/>
      <c r="C13" s="28" t="s">
        <v>30</v>
      </c>
      <c r="D13" s="60" t="s">
        <v>68</v>
      </c>
      <c r="E13" s="60" t="s">
        <v>78</v>
      </c>
      <c r="F13" s="60"/>
      <c r="G13" s="60" t="s">
        <v>69</v>
      </c>
      <c r="J13" s="28" t="s">
        <v>3</v>
      </c>
      <c r="K13" s="28" t="s">
        <v>0</v>
      </c>
      <c r="L13" s="60" t="s">
        <v>55</v>
      </c>
      <c r="M13" s="60" t="s">
        <v>76</v>
      </c>
      <c r="N13" s="28" t="s">
        <v>1</v>
      </c>
      <c r="O13" s="60" t="s">
        <v>67</v>
      </c>
      <c r="P13" s="60" t="s">
        <v>9</v>
      </c>
      <c r="S13" s="28" t="s">
        <v>31</v>
      </c>
      <c r="T13" s="28" t="s">
        <v>1</v>
      </c>
      <c r="U13" s="60" t="s">
        <v>10</v>
      </c>
      <c r="V13" s="60"/>
      <c r="W13" s="60" t="s">
        <v>70</v>
      </c>
      <c r="X13" s="63"/>
      <c r="Y13" s="28" t="s">
        <v>31</v>
      </c>
      <c r="Z13" s="28" t="s">
        <v>1</v>
      </c>
      <c r="AA13" s="60" t="s">
        <v>10</v>
      </c>
      <c r="AB13" s="60"/>
      <c r="AC13" s="60" t="s">
        <v>70</v>
      </c>
      <c r="AD13" s="60"/>
      <c r="AE13" s="28" t="s">
        <v>63</v>
      </c>
      <c r="AF13" s="28"/>
      <c r="AG13" s="28" t="s">
        <v>64</v>
      </c>
      <c r="AH13" s="28" t="s">
        <v>65</v>
      </c>
      <c r="AJ13" s="65" t="s">
        <v>59</v>
      </c>
      <c r="AK13" s="65" t="s">
        <v>62</v>
      </c>
      <c r="AL13" s="65" t="s">
        <v>60</v>
      </c>
      <c r="AM13" s="65" t="s">
        <v>62</v>
      </c>
      <c r="AN13" s="65" t="s">
        <v>61</v>
      </c>
      <c r="AO13" s="65" t="s">
        <v>62</v>
      </c>
      <c r="AP13" s="63"/>
      <c r="AQ13" s="28" t="s">
        <v>59</v>
      </c>
      <c r="AR13" s="28" t="s">
        <v>62</v>
      </c>
      <c r="AS13" s="28" t="s">
        <v>60</v>
      </c>
      <c r="AT13" s="28" t="s">
        <v>62</v>
      </c>
      <c r="AU13" s="28" t="s">
        <v>61</v>
      </c>
      <c r="AV13" s="28" t="s">
        <v>62</v>
      </c>
      <c r="AW13" s="63"/>
      <c r="AX13" s="65" t="s">
        <v>59</v>
      </c>
      <c r="AY13" s="65" t="s">
        <v>62</v>
      </c>
      <c r="AZ13" s="65" t="s">
        <v>60</v>
      </c>
      <c r="BA13" s="65" t="s">
        <v>62</v>
      </c>
      <c r="BB13" s="65" t="s">
        <v>72</v>
      </c>
      <c r="BC13" s="65" t="s">
        <v>61</v>
      </c>
      <c r="BD13" s="65" t="s">
        <v>62</v>
      </c>
    </row>
    <row r="14" spans="1:56" ht="15.75" customHeight="1" x14ac:dyDescent="0.2">
      <c r="A14" s="33">
        <v>100</v>
      </c>
      <c r="B14" s="33"/>
      <c r="C14" s="29">
        <v>0.7</v>
      </c>
      <c r="D14" s="53">
        <v>5</v>
      </c>
      <c r="E14">
        <v>10</v>
      </c>
      <c r="G14" s="53">
        <v>1</v>
      </c>
      <c r="J14" s="12" t="s">
        <v>33</v>
      </c>
      <c r="K14" s="13">
        <v>100</v>
      </c>
      <c r="L14" s="13"/>
      <c r="M14" s="13"/>
      <c r="N14" s="13">
        <v>200</v>
      </c>
      <c r="O14" s="61">
        <f>N14/K14</f>
        <v>2</v>
      </c>
      <c r="P14" s="61"/>
      <c r="S14" s="31">
        <f>K14</f>
        <v>100</v>
      </c>
      <c r="T14" s="31">
        <f>N14*C14</f>
        <v>140</v>
      </c>
      <c r="U14" s="68">
        <f>(K14+(K14*(E14/100)))/(1-G14/100)</f>
        <v>111.11111111111111</v>
      </c>
      <c r="V14" s="68"/>
      <c r="W14" s="32">
        <f>T14/S14</f>
        <v>1.4</v>
      </c>
      <c r="X14" s="32"/>
      <c r="Y14" s="31">
        <f>K14</f>
        <v>100</v>
      </c>
      <c r="Z14" s="31">
        <f>N14*(1-C14)</f>
        <v>60.000000000000007</v>
      </c>
      <c r="AA14" s="68">
        <f>(K14+(K14*(E14/100)))/(1-G14/100)</f>
        <v>111.11111111111111</v>
      </c>
      <c r="AB14" s="68"/>
      <c r="AC14" s="32">
        <f>Z14/Y14</f>
        <v>0.60000000000000009</v>
      </c>
      <c r="AD14" s="32"/>
      <c r="AE14" s="32">
        <f>W14</f>
        <v>1.4</v>
      </c>
      <c r="AF14" s="32"/>
      <c r="AG14" s="32">
        <f>AC14</f>
        <v>0.60000000000000009</v>
      </c>
      <c r="AH14" s="32">
        <f>AE14+AG14</f>
        <v>2</v>
      </c>
      <c r="AJ14" s="55">
        <v>0</v>
      </c>
      <c r="AK14" s="53">
        <v>0</v>
      </c>
      <c r="AL14" s="55">
        <v>0</v>
      </c>
      <c r="AM14" s="53">
        <v>0</v>
      </c>
      <c r="AN14" s="55">
        <v>0</v>
      </c>
      <c r="AO14" s="57">
        <v>0</v>
      </c>
      <c r="AP14" s="53"/>
      <c r="AQ14" s="55">
        <v>0</v>
      </c>
      <c r="AR14" s="53">
        <v>0</v>
      </c>
      <c r="AS14" s="55">
        <v>0</v>
      </c>
      <c r="AT14" s="53">
        <v>0</v>
      </c>
      <c r="AU14" s="55">
        <v>0</v>
      </c>
      <c r="AV14" s="53">
        <v>0</v>
      </c>
      <c r="AW14" s="53"/>
      <c r="AX14" s="55">
        <v>0</v>
      </c>
      <c r="AY14" s="53">
        <v>0</v>
      </c>
      <c r="AZ14" s="55">
        <v>0</v>
      </c>
      <c r="BA14" s="53">
        <v>0</v>
      </c>
      <c r="BB14" s="55">
        <v>0</v>
      </c>
      <c r="BC14" s="55">
        <v>0</v>
      </c>
      <c r="BD14" s="53">
        <v>0</v>
      </c>
    </row>
    <row r="15" spans="1:56" ht="15.75" customHeight="1" x14ac:dyDescent="0.2">
      <c r="A15" s="36">
        <v>100</v>
      </c>
      <c r="B15" s="36"/>
      <c r="C15" s="37">
        <v>0.7</v>
      </c>
      <c r="D15" s="54">
        <v>5</v>
      </c>
      <c r="E15" s="35">
        <v>10</v>
      </c>
      <c r="F15" s="35"/>
      <c r="G15" s="54">
        <v>1</v>
      </c>
      <c r="J15" s="41" t="s">
        <v>56</v>
      </c>
      <c r="K15" s="37"/>
      <c r="L15" s="42">
        <v>20</v>
      </c>
      <c r="M15" s="42"/>
      <c r="N15" s="42"/>
      <c r="O15" s="62"/>
      <c r="P15" s="62"/>
      <c r="S15" s="38"/>
      <c r="T15" s="38"/>
      <c r="U15" s="70"/>
      <c r="V15" s="70"/>
      <c r="W15" s="39"/>
      <c r="X15" s="32"/>
      <c r="Y15" s="38"/>
      <c r="Z15" s="38"/>
      <c r="AA15" s="38"/>
      <c r="AB15" s="38"/>
      <c r="AC15" s="39"/>
      <c r="AD15" s="39"/>
      <c r="AE15" s="39">
        <f t="shared" ref="AE15:AH15" si="2">AE14</f>
        <v>1.4</v>
      </c>
      <c r="AF15" s="39"/>
      <c r="AG15" s="39">
        <f t="shared" si="2"/>
        <v>0.60000000000000009</v>
      </c>
      <c r="AH15" s="39">
        <f t="shared" si="2"/>
        <v>2</v>
      </c>
      <c r="AJ15" s="40">
        <f>AJ14</f>
        <v>0</v>
      </c>
      <c r="AK15" s="54">
        <f t="shared" ref="AK15:AM15" si="3">AK14</f>
        <v>0</v>
      </c>
      <c r="AL15" s="40">
        <f t="shared" si="3"/>
        <v>0</v>
      </c>
      <c r="AM15" s="54">
        <f t="shared" si="3"/>
        <v>0</v>
      </c>
      <c r="AN15" s="40">
        <f>AN14</f>
        <v>0</v>
      </c>
      <c r="AO15" s="58">
        <f>AN15/N14</f>
        <v>0</v>
      </c>
      <c r="AP15" s="64"/>
      <c r="AQ15" s="40">
        <f>AQ14</f>
        <v>0</v>
      </c>
      <c r="AR15" s="54">
        <f t="shared" ref="AR15" si="4">AR14</f>
        <v>0</v>
      </c>
      <c r="AS15" s="40">
        <f t="shared" ref="AS15" si="5">AS14</f>
        <v>0</v>
      </c>
      <c r="AT15" s="54">
        <f t="shared" ref="AT15" si="6">AT14</f>
        <v>0</v>
      </c>
      <c r="AU15" s="40">
        <f>AU14</f>
        <v>0</v>
      </c>
      <c r="AV15" s="54">
        <f t="shared" ref="AV15" si="7">AV14</f>
        <v>0</v>
      </c>
      <c r="AW15" s="53"/>
      <c r="AX15" s="40">
        <f>AJ15+AQ15</f>
        <v>0</v>
      </c>
      <c r="AY15" s="54">
        <f t="shared" ref="AY15" si="8">AY14</f>
        <v>0</v>
      </c>
      <c r="AZ15" s="40">
        <f t="shared" ref="AZ15" si="9">AZ14</f>
        <v>0</v>
      </c>
      <c r="BA15" s="54">
        <f t="shared" ref="BA15" si="10">BA14</f>
        <v>0</v>
      </c>
      <c r="BB15" s="70">
        <f>L15</f>
        <v>20</v>
      </c>
      <c r="BC15" s="70">
        <f>AX15+AZ15+BB15</f>
        <v>20</v>
      </c>
      <c r="BD15" s="58">
        <f>BC15/(T14+Z14)</f>
        <v>0.1</v>
      </c>
    </row>
    <row r="16" spans="1:56" ht="15.75" customHeight="1" x14ac:dyDescent="0.2">
      <c r="A16" s="33">
        <v>300</v>
      </c>
      <c r="B16" s="33"/>
      <c r="C16" s="29">
        <v>0.7</v>
      </c>
      <c r="D16" s="53">
        <v>5</v>
      </c>
      <c r="E16">
        <v>10</v>
      </c>
      <c r="G16" s="53">
        <v>1</v>
      </c>
      <c r="J16" t="s">
        <v>34</v>
      </c>
      <c r="K16" s="33">
        <v>250</v>
      </c>
      <c r="L16" s="33"/>
      <c r="M16" s="33"/>
      <c r="N16" s="33">
        <v>400</v>
      </c>
      <c r="O16" s="53">
        <f>N16/K16</f>
        <v>1.6</v>
      </c>
      <c r="P16" s="53"/>
      <c r="S16" s="31">
        <f>S14</f>
        <v>100</v>
      </c>
      <c r="T16" s="31">
        <v>140</v>
      </c>
      <c r="U16" s="68">
        <f>(K14+(K14*(E14/100)))/(1-G14/100)</f>
        <v>111.11111111111111</v>
      </c>
      <c r="V16" s="68"/>
      <c r="W16" s="32">
        <v>1.4</v>
      </c>
      <c r="X16" s="32"/>
      <c r="Y16" s="31">
        <v>100</v>
      </c>
      <c r="Z16" s="31">
        <v>60.000000000000007</v>
      </c>
      <c r="AA16" s="68">
        <f>(K14+(K14*(E14/100)))/(1-G14/100)</f>
        <v>111.11111111111111</v>
      </c>
      <c r="AB16" s="68"/>
      <c r="AC16" s="32">
        <v>0.60000000000000009</v>
      </c>
      <c r="AD16" s="32"/>
      <c r="AE16" s="32">
        <f>AE15+W17</f>
        <v>3</v>
      </c>
      <c r="AF16" s="32"/>
      <c r="AG16" s="32">
        <f>AG15</f>
        <v>0.60000000000000009</v>
      </c>
      <c r="AH16" s="32">
        <f>AE16+AG16</f>
        <v>3.6</v>
      </c>
      <c r="AJ16" s="55">
        <f>AJ15</f>
        <v>0</v>
      </c>
      <c r="AK16" s="53">
        <f>AK15</f>
        <v>0</v>
      </c>
      <c r="AL16" s="55">
        <f>AL15</f>
        <v>0</v>
      </c>
      <c r="AM16" s="53">
        <f>AM15</f>
        <v>0</v>
      </c>
      <c r="AN16" s="55">
        <f>AN15</f>
        <v>0</v>
      </c>
      <c r="AO16" s="69">
        <f>AN16 / (N14+N16)</f>
        <v>0</v>
      </c>
      <c r="AP16" s="64"/>
      <c r="AQ16" s="55">
        <f>(A16*AE16)-(T16+T17)</f>
        <v>360</v>
      </c>
      <c r="AR16" s="57">
        <f>AQ16/(T16+T17)</f>
        <v>0.66666666666666663</v>
      </c>
      <c r="AS16" s="55">
        <f>(AG16*A16)-Z16</f>
        <v>120.00000000000003</v>
      </c>
      <c r="AT16" s="56">
        <f>AS16/(Y16*AC16)</f>
        <v>2.0000000000000004</v>
      </c>
      <c r="AU16" s="55">
        <f>AQ16+AS16</f>
        <v>480</v>
      </c>
      <c r="AV16" s="66">
        <f>AU16/(T16+T17+Z16)</f>
        <v>0.8</v>
      </c>
      <c r="AW16" s="66"/>
      <c r="AX16" s="55">
        <f>AJ16+AQ16</f>
        <v>360</v>
      </c>
      <c r="AY16" s="57">
        <f>AR16</f>
        <v>0.66666666666666663</v>
      </c>
      <c r="AZ16" s="55">
        <f>AL16+AS16</f>
        <v>120.00000000000003</v>
      </c>
      <c r="BA16" s="56">
        <f>AZ16/Z16</f>
        <v>2.0000000000000004</v>
      </c>
      <c r="BB16" s="68">
        <f>BB15</f>
        <v>20</v>
      </c>
      <c r="BC16" s="55">
        <f>AX16+AZ16+BB16</f>
        <v>500</v>
      </c>
      <c r="BD16" s="57">
        <f>BC16/(T16+T17+Z16)</f>
        <v>0.83333333333333337</v>
      </c>
    </row>
    <row r="17" spans="1:56" ht="15.75" customHeight="1" x14ac:dyDescent="0.2">
      <c r="D17" s="53"/>
      <c r="G17" s="53"/>
      <c r="O17" s="53"/>
      <c r="P17" s="53"/>
      <c r="S17" s="31">
        <f>K16</f>
        <v>250</v>
      </c>
      <c r="T17" s="31">
        <f>N16</f>
        <v>400</v>
      </c>
      <c r="U17" s="68">
        <f>(K16+(K16*(E16/100)))/(1-G16/100)</f>
        <v>277.77777777777777</v>
      </c>
      <c r="V17" s="68"/>
      <c r="W17" s="32">
        <f>T17/S17</f>
        <v>1.6</v>
      </c>
      <c r="X17" s="32"/>
      <c r="Y17" s="52" t="s">
        <v>35</v>
      </c>
      <c r="Z17" s="52" t="s">
        <v>35</v>
      </c>
      <c r="AA17" s="52" t="s">
        <v>35</v>
      </c>
      <c r="AB17" s="52"/>
      <c r="AC17" s="52" t="s">
        <v>35</v>
      </c>
      <c r="AD17" s="52"/>
      <c r="AK17" s="53"/>
      <c r="AM17" s="53"/>
      <c r="AO17" s="57"/>
      <c r="AP17" s="53"/>
      <c r="AQ17" s="31"/>
      <c r="AR17" s="57"/>
      <c r="AT17" s="53"/>
      <c r="AV17" s="53"/>
      <c r="AW17" s="53"/>
      <c r="AY17" s="53"/>
      <c r="BA17" s="53"/>
      <c r="BB17" s="68"/>
      <c r="BD17" s="53"/>
    </row>
    <row r="18" spans="1:56" ht="15.75" customHeight="1" x14ac:dyDescent="0.2">
      <c r="A18" s="36">
        <v>910</v>
      </c>
      <c r="B18" s="36"/>
      <c r="C18" s="37">
        <v>0.7</v>
      </c>
      <c r="D18" s="54">
        <v>5</v>
      </c>
      <c r="E18" s="35">
        <v>10</v>
      </c>
      <c r="F18" s="35"/>
      <c r="G18" s="54">
        <v>1</v>
      </c>
      <c r="J18" s="35" t="s">
        <v>36</v>
      </c>
      <c r="K18" s="36">
        <v>900</v>
      </c>
      <c r="L18" s="36"/>
      <c r="M18" s="36"/>
      <c r="N18" s="36">
        <v>350</v>
      </c>
      <c r="O18" s="54">
        <f>N18/K18</f>
        <v>0.3888888888888889</v>
      </c>
      <c r="P18" s="54"/>
      <c r="S18" s="38">
        <f>S16</f>
        <v>100</v>
      </c>
      <c r="T18" s="38">
        <v>140</v>
      </c>
      <c r="U18" s="70">
        <f>U16</f>
        <v>111.11111111111111</v>
      </c>
      <c r="V18" s="70"/>
      <c r="W18" s="39">
        <v>1.4</v>
      </c>
      <c r="X18" s="32"/>
      <c r="Y18" s="38">
        <v>100</v>
      </c>
      <c r="Z18" s="38">
        <v>60.000000000000007</v>
      </c>
      <c r="AA18" s="70">
        <f>AA16</f>
        <v>111.11111111111111</v>
      </c>
      <c r="AB18" s="70"/>
      <c r="AC18" s="39">
        <v>0.60000000000000009</v>
      </c>
      <c r="AD18" s="39"/>
      <c r="AE18" s="39">
        <f>AE16</f>
        <v>3</v>
      </c>
      <c r="AF18" s="39"/>
      <c r="AG18" s="39">
        <f>AG16+AC19</f>
        <v>0.98888888888888893</v>
      </c>
      <c r="AH18" s="39">
        <f>AE18+AG18</f>
        <v>3.9888888888888889</v>
      </c>
      <c r="AJ18" s="40">
        <f t="shared" ref="AJ18:AO18" si="11">AJ16</f>
        <v>0</v>
      </c>
      <c r="AK18" s="54">
        <f t="shared" si="11"/>
        <v>0</v>
      </c>
      <c r="AL18" s="40">
        <f t="shared" si="11"/>
        <v>0</v>
      </c>
      <c r="AM18" s="54">
        <f t="shared" si="11"/>
        <v>0</v>
      </c>
      <c r="AN18" s="40">
        <f t="shared" si="11"/>
        <v>0</v>
      </c>
      <c r="AO18" s="58">
        <f t="shared" si="11"/>
        <v>0</v>
      </c>
      <c r="AP18" s="64"/>
      <c r="AQ18" s="40">
        <f>(A18*AE18)-(T18+T19)</f>
        <v>2190</v>
      </c>
      <c r="AR18" s="58">
        <f>AQ18/(T18+T19)</f>
        <v>4.0555555555555554</v>
      </c>
      <c r="AS18" s="40">
        <f>(AG18*A18)-(Z18+Z19)</f>
        <v>489.88888888888891</v>
      </c>
      <c r="AT18" s="58">
        <f>AS18/(Z18+Z19)</f>
        <v>1.1948509485094851</v>
      </c>
      <c r="AU18" s="40">
        <f>AQ18+AS18</f>
        <v>2679.8888888888887</v>
      </c>
      <c r="AV18" s="58">
        <f>AU18/(T18+T19+Z18+Z19)</f>
        <v>2.8209356725146195</v>
      </c>
      <c r="AW18" s="53"/>
      <c r="AX18" s="40">
        <f>AJ18+AQ18</f>
        <v>2190</v>
      </c>
      <c r="AY18" s="58">
        <f>AR18</f>
        <v>4.0555555555555554</v>
      </c>
      <c r="AZ18" s="40">
        <f>AL18+AS18</f>
        <v>489.88888888888891</v>
      </c>
      <c r="BA18" s="58">
        <f>AZ18/(Z18+Z19)</f>
        <v>1.1948509485094851</v>
      </c>
      <c r="BB18" s="70">
        <f>BB16</f>
        <v>20</v>
      </c>
      <c r="BC18" s="40">
        <f>AX18+AZ18+BB18</f>
        <v>2699.8888888888887</v>
      </c>
      <c r="BD18" s="58">
        <f>BC18/(T18+T19+Z18+Z19)</f>
        <v>2.841988304093567</v>
      </c>
    </row>
    <row r="19" spans="1:56" ht="15.75" customHeight="1" x14ac:dyDescent="0.2">
      <c r="A19" s="35"/>
      <c r="B19" s="35"/>
      <c r="C19" s="35"/>
      <c r="D19" s="54"/>
      <c r="E19" s="35"/>
      <c r="F19" s="35"/>
      <c r="G19" s="54"/>
      <c r="J19" s="35"/>
      <c r="K19" s="35"/>
      <c r="L19" s="35"/>
      <c r="M19" s="35"/>
      <c r="N19" s="35"/>
      <c r="O19" s="54"/>
      <c r="P19" s="54"/>
      <c r="S19" s="38">
        <f>S17</f>
        <v>250</v>
      </c>
      <c r="T19" s="38">
        <v>400</v>
      </c>
      <c r="U19" s="70">
        <f>U17</f>
        <v>277.77777777777777</v>
      </c>
      <c r="V19" s="70"/>
      <c r="W19" s="39">
        <v>1.6</v>
      </c>
      <c r="X19" s="32"/>
      <c r="Y19" s="36">
        <f>K18</f>
        <v>900</v>
      </c>
      <c r="Z19" s="36">
        <f>N18</f>
        <v>350</v>
      </c>
      <c r="AA19" s="70">
        <f>(K18+(K18*(E18/100)))/(1-G18/100)</f>
        <v>1000</v>
      </c>
      <c r="AB19" s="70"/>
      <c r="AC19" s="39">
        <f>Z19/Y19</f>
        <v>0.3888888888888889</v>
      </c>
      <c r="AD19" s="39"/>
      <c r="AK19" s="53"/>
      <c r="AM19" s="53"/>
      <c r="AO19" s="53"/>
      <c r="AP19" s="53"/>
      <c r="AR19" s="53"/>
      <c r="AT19" s="53"/>
      <c r="AV19" s="53"/>
      <c r="AW19" s="53"/>
      <c r="AY19" s="53"/>
      <c r="BA19" s="53"/>
      <c r="BB19" s="68"/>
      <c r="BD19" s="53"/>
    </row>
    <row r="20" spans="1:56" ht="15.75" customHeight="1" x14ac:dyDescent="0.2">
      <c r="A20" s="33">
        <v>910</v>
      </c>
      <c r="B20" s="33"/>
      <c r="C20" s="29">
        <v>0.7</v>
      </c>
      <c r="D20" s="53">
        <v>5</v>
      </c>
      <c r="E20">
        <v>10</v>
      </c>
      <c r="G20" s="53">
        <v>1</v>
      </c>
      <c r="J20" t="s">
        <v>54</v>
      </c>
      <c r="L20" s="33">
        <v>10</v>
      </c>
      <c r="M20" s="33"/>
      <c r="O20" s="53"/>
      <c r="P20" s="53"/>
      <c r="S20" s="31"/>
      <c r="T20" s="31"/>
      <c r="U20" s="31"/>
      <c r="V20" s="31"/>
      <c r="W20" s="31"/>
      <c r="X20" s="31"/>
      <c r="Y20" s="33"/>
      <c r="Z20" s="33"/>
      <c r="AA20" s="31"/>
      <c r="AB20" s="31"/>
      <c r="AC20" s="32"/>
      <c r="AD20" s="32"/>
      <c r="AE20" s="32">
        <f>AE18</f>
        <v>3</v>
      </c>
      <c r="AF20" s="32"/>
      <c r="AG20" s="32">
        <f>AG18+AC21</f>
        <v>1.588888888888889</v>
      </c>
      <c r="AH20" s="32">
        <f>AE20+AG20</f>
        <v>4.5888888888888886</v>
      </c>
      <c r="AJ20" s="55">
        <f t="shared" ref="AJ20:AO21" si="12">AJ18</f>
        <v>0</v>
      </c>
      <c r="AK20" s="53">
        <f t="shared" si="12"/>
        <v>0</v>
      </c>
      <c r="AL20" s="55">
        <f t="shared" si="12"/>
        <v>0</v>
      </c>
      <c r="AM20" s="53">
        <f t="shared" si="12"/>
        <v>0</v>
      </c>
      <c r="AN20" s="55">
        <f t="shared" si="12"/>
        <v>0</v>
      </c>
      <c r="AO20" s="66">
        <f t="shared" si="12"/>
        <v>0</v>
      </c>
      <c r="AP20" s="64"/>
      <c r="AQ20" s="55">
        <f t="shared" ref="AQ20:AV20" si="13">AQ18</f>
        <v>2190</v>
      </c>
      <c r="AR20" s="66">
        <f t="shared" si="13"/>
        <v>4.0555555555555554</v>
      </c>
      <c r="AS20" s="55">
        <f t="shared" si="13"/>
        <v>489.88888888888891</v>
      </c>
      <c r="AT20" s="66">
        <f t="shared" si="13"/>
        <v>1.1948509485094851</v>
      </c>
      <c r="AU20" s="55">
        <f t="shared" si="13"/>
        <v>2679.8888888888887</v>
      </c>
      <c r="AV20" s="66">
        <f t="shared" si="13"/>
        <v>2.8209356725146195</v>
      </c>
      <c r="AW20" s="53"/>
      <c r="AX20" s="55">
        <f>AX18</f>
        <v>2190</v>
      </c>
      <c r="AY20" s="66">
        <f>AY18</f>
        <v>4.0555555555555554</v>
      </c>
      <c r="AZ20" s="55">
        <f>AZ18</f>
        <v>489.88888888888891</v>
      </c>
      <c r="BA20" s="66">
        <f>BA18</f>
        <v>1.1948509485094851</v>
      </c>
      <c r="BB20" s="68">
        <f>BB18+L20</f>
        <v>30</v>
      </c>
      <c r="BC20" s="55">
        <f>AX20+AZ20+BB20</f>
        <v>2709.8888888888887</v>
      </c>
      <c r="BD20" s="66">
        <f>BC20/(T18+T19+Z18+Z19)</f>
        <v>2.8525146198830407</v>
      </c>
    </row>
    <row r="21" spans="1:56" ht="15.75" customHeight="1" x14ac:dyDescent="0.2">
      <c r="A21" s="36">
        <v>510</v>
      </c>
      <c r="B21" s="36"/>
      <c r="C21" s="37">
        <v>0.7</v>
      </c>
      <c r="D21" s="54">
        <v>5</v>
      </c>
      <c r="E21" s="35">
        <v>10</v>
      </c>
      <c r="F21" s="35"/>
      <c r="G21" s="54">
        <v>1</v>
      </c>
      <c r="J21" s="35" t="s">
        <v>37</v>
      </c>
      <c r="K21" s="40">
        <v>500.34</v>
      </c>
      <c r="L21" s="40"/>
      <c r="M21" s="40"/>
      <c r="N21" s="36">
        <v>100</v>
      </c>
      <c r="O21" s="54">
        <f>N21/K21</f>
        <v>0.19986409241715633</v>
      </c>
      <c r="P21" s="54"/>
      <c r="S21" s="38">
        <v>100</v>
      </c>
      <c r="T21" s="38">
        <v>140</v>
      </c>
      <c r="U21" s="38">
        <f>U18</f>
        <v>111.11111111111111</v>
      </c>
      <c r="V21" s="38"/>
      <c r="W21" s="39">
        <v>1.4</v>
      </c>
      <c r="X21" s="32"/>
      <c r="Y21" s="38">
        <v>100</v>
      </c>
      <c r="Z21" s="38">
        <v>60.000000000000007</v>
      </c>
      <c r="AA21" s="38">
        <f>AA18</f>
        <v>111.11111111111111</v>
      </c>
      <c r="AB21" s="38"/>
      <c r="AC21" s="39">
        <v>0.60000000000000009</v>
      </c>
      <c r="AD21" s="39"/>
      <c r="AE21" s="39">
        <f>W21+W22+W23</f>
        <v>3.1399048646920096</v>
      </c>
      <c r="AF21" s="39"/>
      <c r="AG21" s="39">
        <f>AC21+AC22+AC23</f>
        <v>1.0488481166140358</v>
      </c>
      <c r="AH21" s="39">
        <f>AE21+AG21</f>
        <v>4.1887529813060453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4">
        <f t="shared" si="12"/>
        <v>0</v>
      </c>
      <c r="AN21" s="40">
        <f t="shared" si="12"/>
        <v>0</v>
      </c>
      <c r="AO21" s="58">
        <f t="shared" si="12"/>
        <v>0</v>
      </c>
      <c r="AP21" s="64"/>
      <c r="AQ21" s="40">
        <f>(A21*AE21)-(T21+T22+T23)</f>
        <v>991.35148099292496</v>
      </c>
      <c r="AR21" s="58">
        <f>AQ21/(T21+T22+T23)</f>
        <v>1.6251663622834835</v>
      </c>
      <c r="AS21" s="40">
        <f>(AG21*A21)-(Z21+Z22+Z23)</f>
        <v>94.91253947315829</v>
      </c>
      <c r="AT21" s="58">
        <f>AS21/(Z21+Z22+Z23)</f>
        <v>0.21571031698445067</v>
      </c>
      <c r="AU21" s="40">
        <f>AQ21+AS21</f>
        <v>1086.2640204660834</v>
      </c>
      <c r="AV21" s="58">
        <f>AU21/(T21+T22+T23+Z21+Z22+Z23)</f>
        <v>1.0345371623486508</v>
      </c>
      <c r="AW21" s="53"/>
      <c r="AX21" s="40">
        <f>AJ21+AQ21</f>
        <v>991.35148099292496</v>
      </c>
      <c r="AY21" s="58">
        <f>AR21</f>
        <v>1.6251663622834835</v>
      </c>
      <c r="AZ21" s="40">
        <f>AL21+AS21</f>
        <v>94.91253947315829</v>
      </c>
      <c r="BA21" s="58">
        <f>AZ21/(Z21+Z22+Z23)</f>
        <v>0.21571031698445067</v>
      </c>
      <c r="BB21" s="70">
        <f>BB20</f>
        <v>30</v>
      </c>
      <c r="BC21" s="40">
        <f>AX21+AZ21+BB21</f>
        <v>1116.2640204660834</v>
      </c>
      <c r="BD21" s="58">
        <f>BC21/(T21+T22+T23+Z21+Z22+Z23)</f>
        <v>1.0631085909200795</v>
      </c>
    </row>
    <row r="22" spans="1:56" ht="15.75" customHeight="1" x14ac:dyDescent="0.2">
      <c r="A22" s="35"/>
      <c r="B22" s="35"/>
      <c r="C22" s="35"/>
      <c r="D22" s="54"/>
      <c r="E22" s="35"/>
      <c r="F22" s="35"/>
      <c r="G22" s="54"/>
      <c r="J22" s="35"/>
      <c r="K22" s="35"/>
      <c r="L22" s="35"/>
      <c r="M22" s="35"/>
      <c r="N22" s="35"/>
      <c r="O22" s="54"/>
      <c r="P22" s="54"/>
      <c r="S22" s="38">
        <v>250</v>
      </c>
      <c r="T22" s="38">
        <v>400</v>
      </c>
      <c r="U22" s="38">
        <f>U19</f>
        <v>277.77777777777777</v>
      </c>
      <c r="V22" s="38"/>
      <c r="W22" s="39">
        <v>1.6</v>
      </c>
      <c r="X22" s="32"/>
      <c r="Y22" s="36">
        <v>900</v>
      </c>
      <c r="Z22" s="36">
        <v>350</v>
      </c>
      <c r="AA22" s="38">
        <f>AA19</f>
        <v>1000</v>
      </c>
      <c r="AB22" s="38"/>
      <c r="AC22" s="39">
        <v>0.3888888888888889</v>
      </c>
      <c r="AD22" s="39"/>
      <c r="AE22" s="35"/>
      <c r="AF22" s="35"/>
      <c r="AG22" s="35"/>
      <c r="AH22" s="35"/>
      <c r="AJ22" s="35"/>
      <c r="AK22" s="54"/>
      <c r="AL22" s="35"/>
      <c r="AM22" s="54"/>
      <c r="AN22" s="35"/>
      <c r="AO22" s="54"/>
      <c r="AP22" s="53"/>
      <c r="AQ22" s="35"/>
      <c r="AR22" s="54"/>
      <c r="AS22" s="35"/>
      <c r="AT22" s="54"/>
      <c r="AU22" s="35"/>
      <c r="AV22" s="54"/>
      <c r="AW22" s="53"/>
      <c r="AX22" s="35"/>
      <c r="AY22" s="54"/>
      <c r="AZ22" s="35"/>
      <c r="BA22" s="54"/>
      <c r="BB22" s="35"/>
      <c r="BC22" s="35"/>
      <c r="BD22" s="54"/>
    </row>
    <row r="23" spans="1:56" ht="15.75" customHeight="1" x14ac:dyDescent="0.2">
      <c r="A23" s="35"/>
      <c r="B23" s="35"/>
      <c r="C23" s="35"/>
      <c r="D23" s="54"/>
      <c r="E23" s="35"/>
      <c r="F23" s="35"/>
      <c r="G23" s="54"/>
      <c r="J23" s="35"/>
      <c r="K23" s="35"/>
      <c r="L23" s="35"/>
      <c r="M23" s="35"/>
      <c r="N23" s="35"/>
      <c r="O23" s="54"/>
      <c r="P23" s="54"/>
      <c r="S23" s="40">
        <f>K21</f>
        <v>500.34</v>
      </c>
      <c r="T23" s="36">
        <f>N21*C21</f>
        <v>70</v>
      </c>
      <c r="U23" s="70">
        <f>(K21+(K21*(E21/100)))/(1-G21/100)</f>
        <v>555.93333333333339</v>
      </c>
      <c r="V23" s="70"/>
      <c r="W23" s="39">
        <f>T23/S23</f>
        <v>0.13990486469200944</v>
      </c>
      <c r="X23" s="31"/>
      <c r="Y23" s="40">
        <f>K21</f>
        <v>500.34</v>
      </c>
      <c r="Z23" s="36">
        <f>N21*(1-C21)</f>
        <v>30.000000000000004</v>
      </c>
      <c r="AA23" s="70">
        <f>(K21+(K21*(E21/100)))/(1-G21/100)</f>
        <v>555.93333333333339</v>
      </c>
      <c r="AB23" s="70"/>
      <c r="AC23" s="39">
        <f>Z23/Y23</f>
        <v>5.9959227725146912E-2</v>
      </c>
      <c r="AD23" s="39"/>
      <c r="AE23" s="35"/>
      <c r="AF23" s="35"/>
      <c r="AG23" s="35"/>
      <c r="AH23" s="35"/>
      <c r="AJ23" s="35"/>
      <c r="AK23" s="54"/>
      <c r="AL23" s="35"/>
      <c r="AM23" s="54"/>
      <c r="AN23" s="35"/>
      <c r="AO23" s="54"/>
      <c r="AP23" s="53"/>
      <c r="AQ23" s="35"/>
      <c r="AR23" s="54"/>
      <c r="AS23" s="35"/>
      <c r="AT23" s="54"/>
      <c r="AU23" s="35"/>
      <c r="AV23" s="54"/>
      <c r="AW23" s="53"/>
      <c r="AX23" s="35"/>
      <c r="AY23" s="54"/>
      <c r="AZ23" s="35"/>
      <c r="BA23" s="54"/>
      <c r="BB23" s="35"/>
      <c r="BC23" s="35"/>
      <c r="BD23" s="54"/>
    </row>
    <row r="24" spans="1:56" ht="15.75" customHeight="1" x14ac:dyDescent="0.2">
      <c r="D24" s="53"/>
      <c r="G24" s="53"/>
      <c r="O24" s="53"/>
      <c r="P24" s="53"/>
      <c r="S24" s="55"/>
      <c r="T24" s="33"/>
      <c r="U24" s="33"/>
      <c r="V24" s="33"/>
      <c r="W24" s="32"/>
      <c r="X24" s="31"/>
      <c r="Y24" s="55"/>
      <c r="Z24" s="33"/>
      <c r="AA24" s="33"/>
      <c r="AB24" s="33"/>
      <c r="AC24" s="32"/>
      <c r="AD24" s="32"/>
      <c r="AK24" s="53"/>
      <c r="AM24" s="53"/>
      <c r="AO24" s="53"/>
      <c r="AP24" s="53"/>
      <c r="AR24" s="53"/>
      <c r="AT24" s="53"/>
      <c r="AV24" s="53"/>
      <c r="AW24" s="53"/>
      <c r="AY24" s="53"/>
      <c r="BA24" s="53"/>
      <c r="BD24" s="53"/>
    </row>
    <row r="25" spans="1:56" ht="15.75" customHeight="1" x14ac:dyDescent="0.2">
      <c r="A25" s="71" t="s">
        <v>73</v>
      </c>
      <c r="B25" s="118"/>
      <c r="S25" s="59" t="s">
        <v>28</v>
      </c>
      <c r="T25" s="12"/>
      <c r="U25" s="12"/>
      <c r="V25" s="12"/>
      <c r="W25" s="12"/>
      <c r="X25" s="12"/>
      <c r="Y25" s="59" t="s">
        <v>29</v>
      </c>
      <c r="Z25" s="12"/>
      <c r="AA25" s="12"/>
      <c r="AB25" s="12"/>
      <c r="AC25" s="12"/>
      <c r="AD25" s="12"/>
      <c r="AJ25" s="34" t="s">
        <v>57</v>
      </c>
      <c r="AQ25" s="34" t="s">
        <v>58</v>
      </c>
      <c r="AX25" s="34" t="s">
        <v>71</v>
      </c>
    </row>
    <row r="26" spans="1:56" ht="15.75" customHeight="1" x14ac:dyDescent="0.2">
      <c r="A26" s="28" t="s">
        <v>66</v>
      </c>
      <c r="B26" s="28"/>
      <c r="C26" s="28" t="s">
        <v>30</v>
      </c>
      <c r="D26" s="60" t="s">
        <v>68</v>
      </c>
      <c r="E26" s="60" t="s">
        <v>78</v>
      </c>
      <c r="F26" s="60"/>
      <c r="G26" s="60" t="s">
        <v>69</v>
      </c>
      <c r="J26" s="28" t="s">
        <v>3</v>
      </c>
      <c r="K26" s="28" t="s">
        <v>0</v>
      </c>
      <c r="L26" s="60" t="s">
        <v>55</v>
      </c>
      <c r="M26" s="60" t="s">
        <v>76</v>
      </c>
      <c r="N26" s="28" t="s">
        <v>1</v>
      </c>
      <c r="O26" s="60" t="s">
        <v>67</v>
      </c>
      <c r="P26" s="60" t="s">
        <v>9</v>
      </c>
      <c r="S26" s="28" t="s">
        <v>31</v>
      </c>
      <c r="T26" s="28" t="s">
        <v>1</v>
      </c>
      <c r="U26" s="60" t="s">
        <v>10</v>
      </c>
      <c r="V26" s="60"/>
      <c r="W26" s="60" t="s">
        <v>70</v>
      </c>
      <c r="X26" s="63"/>
      <c r="Y26" s="28" t="s">
        <v>31</v>
      </c>
      <c r="Z26" s="28" t="s">
        <v>1</v>
      </c>
      <c r="AA26" s="60" t="s">
        <v>10</v>
      </c>
      <c r="AB26" s="60"/>
      <c r="AC26" s="60" t="s">
        <v>70</v>
      </c>
      <c r="AD26" s="60"/>
      <c r="AE26" s="28" t="s">
        <v>63</v>
      </c>
      <c r="AF26" s="28"/>
      <c r="AG26" s="28" t="s">
        <v>64</v>
      </c>
      <c r="AH26" s="28" t="s">
        <v>65</v>
      </c>
      <c r="AJ26" s="65" t="s">
        <v>59</v>
      </c>
      <c r="AK26" s="65" t="s">
        <v>62</v>
      </c>
      <c r="AL26" s="65" t="s">
        <v>60</v>
      </c>
      <c r="AM26" s="65" t="s">
        <v>62</v>
      </c>
      <c r="AN26" s="65" t="s">
        <v>61</v>
      </c>
      <c r="AO26" s="65" t="s">
        <v>62</v>
      </c>
      <c r="AP26" s="63"/>
      <c r="AQ26" s="28" t="s">
        <v>59</v>
      </c>
      <c r="AR26" s="28" t="s">
        <v>62</v>
      </c>
      <c r="AS26" s="28" t="s">
        <v>60</v>
      </c>
      <c r="AT26" s="28" t="s">
        <v>62</v>
      </c>
      <c r="AU26" s="28" t="s">
        <v>61</v>
      </c>
      <c r="AV26" s="28" t="s">
        <v>62</v>
      </c>
      <c r="AW26" s="63"/>
      <c r="AX26" s="65" t="s">
        <v>59</v>
      </c>
      <c r="AY26" s="65" t="s">
        <v>62</v>
      </c>
      <c r="AZ26" s="65" t="s">
        <v>60</v>
      </c>
      <c r="BA26" s="65" t="s">
        <v>62</v>
      </c>
      <c r="BB26" s="65" t="s">
        <v>72</v>
      </c>
      <c r="BC26" s="65" t="s">
        <v>61</v>
      </c>
      <c r="BD26" s="65" t="s">
        <v>62</v>
      </c>
    </row>
    <row r="27" spans="1:56" ht="15.75" customHeight="1" x14ac:dyDescent="0.2">
      <c r="A27" s="33">
        <v>200</v>
      </c>
      <c r="B27" s="33"/>
      <c r="C27" s="29">
        <v>0.6</v>
      </c>
      <c r="D27" s="53">
        <v>5</v>
      </c>
      <c r="E27">
        <v>10</v>
      </c>
      <c r="G27" s="53">
        <v>0</v>
      </c>
      <c r="J27" s="12" t="s">
        <v>74</v>
      </c>
      <c r="K27" s="13">
        <v>200</v>
      </c>
      <c r="L27" s="13"/>
      <c r="M27" s="13"/>
      <c r="N27" s="13">
        <v>400</v>
      </c>
      <c r="O27" s="61">
        <f>N27/K27</f>
        <v>2</v>
      </c>
      <c r="P27" s="61"/>
      <c r="S27" s="31">
        <f>K27</f>
        <v>200</v>
      </c>
      <c r="T27" s="31">
        <f>N27*C27</f>
        <v>240</v>
      </c>
      <c r="U27" s="68">
        <f>(K27+(K27*(E27/100)))/(1-G27/100)</f>
        <v>220</v>
      </c>
      <c r="V27" s="68"/>
      <c r="W27" s="32">
        <f>T27/S27</f>
        <v>1.2</v>
      </c>
      <c r="X27" s="32"/>
      <c r="Y27" s="31">
        <f>K27</f>
        <v>200</v>
      </c>
      <c r="Z27" s="31">
        <f>N27*(1-C27)</f>
        <v>160</v>
      </c>
      <c r="AA27" s="68">
        <f>(K27+(K27*(E27/100)))/(1-G27/100)</f>
        <v>220</v>
      </c>
      <c r="AB27" s="68"/>
      <c r="AC27" s="32">
        <f>Z27/Y27</f>
        <v>0.8</v>
      </c>
      <c r="AD27" s="32"/>
      <c r="AE27" s="32">
        <f>W27</f>
        <v>1.2</v>
      </c>
      <c r="AF27" s="32"/>
      <c r="AG27" s="32">
        <f>AC27</f>
        <v>0.8</v>
      </c>
      <c r="AH27" s="32">
        <f>AE27+AG27</f>
        <v>2</v>
      </c>
      <c r="AJ27" s="55">
        <v>0</v>
      </c>
      <c r="AK27" s="53">
        <v>0</v>
      </c>
      <c r="AL27" s="55">
        <v>0</v>
      </c>
      <c r="AM27" s="53">
        <v>0</v>
      </c>
      <c r="AN27" s="55">
        <v>0</v>
      </c>
      <c r="AO27" s="57">
        <v>0</v>
      </c>
      <c r="AP27" s="53"/>
      <c r="AQ27" s="55">
        <v>0</v>
      </c>
      <c r="AR27" s="53">
        <v>0</v>
      </c>
      <c r="AS27" s="55">
        <v>0</v>
      </c>
      <c r="AT27" s="53">
        <v>0</v>
      </c>
      <c r="AU27" s="55">
        <v>0</v>
      </c>
      <c r="AV27" s="53">
        <v>0</v>
      </c>
      <c r="AW27" s="53"/>
      <c r="AX27" s="55">
        <v>0</v>
      </c>
      <c r="AY27" s="53">
        <v>0</v>
      </c>
      <c r="AZ27" s="55">
        <v>0</v>
      </c>
      <c r="BA27" s="53">
        <v>0</v>
      </c>
      <c r="BB27" s="55">
        <v>0</v>
      </c>
      <c r="BC27" s="55">
        <v>0</v>
      </c>
      <c r="BD27" s="53">
        <v>0</v>
      </c>
    </row>
    <row r="28" spans="1:56" ht="15.75" customHeight="1" x14ac:dyDescent="0.2">
      <c r="A28" s="36">
        <v>100</v>
      </c>
      <c r="B28" s="36"/>
      <c r="C28" s="37">
        <v>0.6</v>
      </c>
      <c r="D28" s="54">
        <v>5</v>
      </c>
      <c r="E28" s="35">
        <v>10</v>
      </c>
      <c r="F28" s="35"/>
      <c r="G28" s="54">
        <v>0</v>
      </c>
      <c r="J28" s="41" t="s">
        <v>75</v>
      </c>
      <c r="K28" s="42"/>
      <c r="L28" s="35"/>
      <c r="M28" s="62">
        <v>2</v>
      </c>
      <c r="N28" s="42"/>
      <c r="O28" s="62"/>
      <c r="P28" s="62"/>
      <c r="S28" s="38">
        <f>S27/M28</f>
        <v>100</v>
      </c>
      <c r="T28" s="38">
        <f>T27</f>
        <v>240</v>
      </c>
      <c r="U28" s="70">
        <f>U27/M28</f>
        <v>110</v>
      </c>
      <c r="V28" s="70"/>
      <c r="W28" s="39">
        <f>W27*M28</f>
        <v>2.4</v>
      </c>
      <c r="X28" s="32"/>
      <c r="Y28" s="38">
        <f>Y27/M28</f>
        <v>100</v>
      </c>
      <c r="Z28" s="38">
        <f>Z27</f>
        <v>160</v>
      </c>
      <c r="AA28" s="70">
        <f>AA27/M28</f>
        <v>110</v>
      </c>
      <c r="AB28" s="70"/>
      <c r="AC28" s="39">
        <f>AC27*M28</f>
        <v>1.6</v>
      </c>
      <c r="AD28" s="39"/>
      <c r="AE28" s="39">
        <f>AE27*M28</f>
        <v>2.4</v>
      </c>
      <c r="AF28" s="39"/>
      <c r="AG28" s="39">
        <f>AG27*M28</f>
        <v>1.6</v>
      </c>
      <c r="AH28" s="39">
        <f>AE28+AG28</f>
        <v>4</v>
      </c>
      <c r="AJ28" s="40">
        <f t="shared" ref="AJ28:AO28" si="14">AJ27</f>
        <v>0</v>
      </c>
      <c r="AK28" s="54">
        <f t="shared" si="14"/>
        <v>0</v>
      </c>
      <c r="AL28" s="40">
        <f t="shared" si="14"/>
        <v>0</v>
      </c>
      <c r="AM28" s="54">
        <f t="shared" si="14"/>
        <v>0</v>
      </c>
      <c r="AN28" s="40">
        <f t="shared" si="14"/>
        <v>0</v>
      </c>
      <c r="AO28" s="58">
        <f t="shared" si="14"/>
        <v>0</v>
      </c>
      <c r="AP28" s="53"/>
      <c r="AQ28" s="40">
        <f t="shared" ref="AQ28:AV28" si="15">AQ27</f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40">
        <f t="shared" si="15"/>
        <v>0</v>
      </c>
      <c r="AV28" s="54">
        <f t="shared" si="15"/>
        <v>0</v>
      </c>
      <c r="AW28" s="53"/>
      <c r="AX28" s="40">
        <f t="shared" ref="AX28:BD28" si="16">AX27</f>
        <v>0</v>
      </c>
      <c r="AY28" s="54">
        <f t="shared" si="16"/>
        <v>0</v>
      </c>
      <c r="AZ28" s="40">
        <f t="shared" si="16"/>
        <v>0</v>
      </c>
      <c r="BA28" s="54">
        <f t="shared" si="16"/>
        <v>0</v>
      </c>
      <c r="BB28" s="40">
        <f t="shared" si="16"/>
        <v>0</v>
      </c>
      <c r="BC28" s="40">
        <f t="shared" si="16"/>
        <v>0</v>
      </c>
      <c r="BD28" s="54">
        <f t="shared" si="16"/>
        <v>0</v>
      </c>
    </row>
    <row r="29" spans="1:56" ht="15.75" customHeight="1" x14ac:dyDescent="0.2">
      <c r="A29" s="33">
        <v>100</v>
      </c>
      <c r="B29" s="33"/>
      <c r="C29" s="29">
        <v>0.6</v>
      </c>
      <c r="D29" s="53">
        <v>5</v>
      </c>
      <c r="E29">
        <v>10</v>
      </c>
      <c r="G29" s="53">
        <v>0</v>
      </c>
      <c r="J29" s="12" t="s">
        <v>77</v>
      </c>
      <c r="K29" s="33">
        <v>120</v>
      </c>
      <c r="L29" s="13"/>
      <c r="M29" s="13"/>
      <c r="N29" s="13">
        <v>300</v>
      </c>
      <c r="O29" s="61">
        <f>N29/K29</f>
        <v>2.5</v>
      </c>
      <c r="P29" s="61"/>
      <c r="S29" s="31">
        <f>K29</f>
        <v>120</v>
      </c>
      <c r="T29" s="31">
        <f>N29*C29</f>
        <v>180</v>
      </c>
      <c r="U29" s="68">
        <f>(K29+(K29*(E29/100)))/(1-G29/100)</f>
        <v>132</v>
      </c>
      <c r="V29" s="68"/>
      <c r="W29" s="32">
        <f>T29/S29</f>
        <v>1.5</v>
      </c>
      <c r="X29" s="32"/>
      <c r="Y29" s="31">
        <f>K29</f>
        <v>120</v>
      </c>
      <c r="Z29" s="31">
        <f>N29*(1-C29)</f>
        <v>120</v>
      </c>
      <c r="AA29" s="68">
        <f>(K29+(K29*(E29/100)))/(1-G29/100)</f>
        <v>132</v>
      </c>
      <c r="AB29" s="68"/>
      <c r="AC29" s="32">
        <f>Z29/Y29</f>
        <v>1</v>
      </c>
      <c r="AD29" s="32"/>
      <c r="AE29" s="32">
        <f>W29+W30</f>
        <v>3.9</v>
      </c>
      <c r="AF29" s="32"/>
      <c r="AG29" s="32">
        <f>AC29+AC30</f>
        <v>2.6</v>
      </c>
      <c r="AH29" s="32">
        <f>AE29+AG29</f>
        <v>6.5</v>
      </c>
      <c r="AJ29" s="55">
        <f>AJ27</f>
        <v>0</v>
      </c>
      <c r="AK29" s="53">
        <f t="shared" ref="AK29:AM29" si="17">AK27</f>
        <v>0</v>
      </c>
      <c r="AL29" s="55">
        <f t="shared" si="17"/>
        <v>0</v>
      </c>
      <c r="AM29" s="53">
        <f t="shared" si="17"/>
        <v>0</v>
      </c>
      <c r="AN29" s="55">
        <f>AN27</f>
        <v>0</v>
      </c>
      <c r="AO29" s="66">
        <f>AN29/N27</f>
        <v>0</v>
      </c>
      <c r="AP29" s="64"/>
      <c r="AQ29" s="68">
        <f>(A29*AE29)-(T29+T30)</f>
        <v>-30</v>
      </c>
      <c r="AR29" s="66">
        <f>AQ29/(T29+T30)</f>
        <v>-7.1428571428571425E-2</v>
      </c>
      <c r="AS29" s="68">
        <f>(AG29*A29)-(Z29+Z30)</f>
        <v>-20</v>
      </c>
      <c r="AT29" s="66">
        <f>AS29/(Z29+Z30)</f>
        <v>-7.1428571428571425E-2</v>
      </c>
      <c r="AU29" s="68">
        <f>AQ29+AS29</f>
        <v>-50</v>
      </c>
      <c r="AV29" s="66">
        <f>AU29/(T29+T30+Z29+Z30)</f>
        <v>-7.1428571428571425E-2</v>
      </c>
      <c r="AW29" s="53"/>
      <c r="AX29" s="68">
        <f>AJ29+AQ29</f>
        <v>-30</v>
      </c>
      <c r="AY29" s="66">
        <f>AR29</f>
        <v>-7.1428571428571425E-2</v>
      </c>
      <c r="AZ29" s="68">
        <f>AL29+AS29</f>
        <v>-20</v>
      </c>
      <c r="BA29" s="66">
        <f>AZ29/(Z29+Z30)</f>
        <v>-7.1428571428571425E-2</v>
      </c>
      <c r="BB29" s="68">
        <f>BB27</f>
        <v>0</v>
      </c>
      <c r="BC29" s="68">
        <f>AX29+AZ29+BB29</f>
        <v>-50</v>
      </c>
      <c r="BD29" s="66">
        <f>BC29/(T29+T30+Z29+Z30)</f>
        <v>-7.1428571428571425E-2</v>
      </c>
    </row>
    <row r="30" spans="1:56" ht="15.75" customHeight="1" x14ac:dyDescent="0.2">
      <c r="A30" s="33"/>
      <c r="B30" s="33"/>
      <c r="C30" s="29"/>
      <c r="D30" s="53"/>
      <c r="G30" s="53"/>
      <c r="J30" s="12"/>
      <c r="K30" s="33"/>
      <c r="L30" s="13"/>
      <c r="M30" s="13"/>
      <c r="N30" s="13"/>
      <c r="O30" s="61"/>
      <c r="P30" s="61"/>
      <c r="S30" s="31">
        <f>S28</f>
        <v>100</v>
      </c>
      <c r="T30" s="31">
        <f>T28</f>
        <v>240</v>
      </c>
      <c r="U30" s="68">
        <f>U28</f>
        <v>110</v>
      </c>
      <c r="V30" s="68"/>
      <c r="W30" s="32">
        <f>W28</f>
        <v>2.4</v>
      </c>
      <c r="X30" s="32"/>
      <c r="Y30" s="31">
        <f>Y28</f>
        <v>100</v>
      </c>
      <c r="Z30" s="31">
        <f>Z28</f>
        <v>160</v>
      </c>
      <c r="AA30" s="68">
        <f>AA28</f>
        <v>110</v>
      </c>
      <c r="AB30" s="68"/>
      <c r="AC30" s="32">
        <f>AC28</f>
        <v>1.6</v>
      </c>
      <c r="AD30" s="32"/>
      <c r="AE30" s="32"/>
      <c r="AF30" s="32"/>
      <c r="AG30" s="32"/>
      <c r="AH30" s="32"/>
      <c r="AJ30" s="55"/>
      <c r="AK30" s="53"/>
      <c r="AL30" s="55"/>
      <c r="AM30" s="53"/>
      <c r="AN30" s="55"/>
      <c r="AO30" s="66"/>
      <c r="AP30" s="64"/>
      <c r="AQ30" s="55"/>
      <c r="AR30" s="53"/>
      <c r="AS30" s="55"/>
      <c r="AT30" s="53"/>
      <c r="AU30" s="55"/>
      <c r="AV30" s="53"/>
      <c r="AW30" s="53"/>
      <c r="AX30" s="55"/>
      <c r="AY30" s="53"/>
      <c r="AZ30" s="55"/>
      <c r="BA30" s="53"/>
      <c r="BB30" s="68"/>
      <c r="BC30" s="68"/>
      <c r="BD30" s="66"/>
    </row>
    <row r="31" spans="1:56" ht="15.75" customHeight="1" x14ac:dyDescent="0.2">
      <c r="A31" s="33"/>
      <c r="B31" s="33"/>
      <c r="C31" s="29"/>
      <c r="D31" s="53"/>
      <c r="G31" s="53"/>
      <c r="J31" s="12"/>
      <c r="K31" s="33"/>
      <c r="L31" s="13"/>
      <c r="M31" s="13"/>
      <c r="N31" s="13"/>
      <c r="O31" s="61"/>
      <c r="P31" s="61"/>
      <c r="S31" s="31"/>
      <c r="T31" s="31"/>
      <c r="U31" s="68"/>
      <c r="V31" s="68"/>
      <c r="W31" s="32"/>
      <c r="X31" s="32"/>
      <c r="Y31" s="31"/>
      <c r="Z31" s="31"/>
      <c r="AA31" s="68"/>
      <c r="AB31" s="68"/>
      <c r="AC31" s="32"/>
      <c r="AD31" s="32"/>
      <c r="AE31" s="32"/>
      <c r="AF31" s="32"/>
      <c r="AG31" s="32"/>
      <c r="AH31" s="32"/>
      <c r="AJ31" s="55"/>
      <c r="AK31" s="53"/>
      <c r="AL31" s="55"/>
      <c r="AM31" s="53"/>
      <c r="AN31" s="55"/>
      <c r="AO31" s="66"/>
      <c r="AP31" s="64"/>
      <c r="AQ31" s="55"/>
      <c r="AR31" s="53"/>
      <c r="AS31" s="55"/>
      <c r="AT31" s="53"/>
      <c r="AU31" s="55"/>
      <c r="AV31" s="53"/>
      <c r="AW31" s="53"/>
      <c r="AX31" s="55"/>
      <c r="AY31" s="53"/>
      <c r="AZ31" s="55"/>
      <c r="BA31" s="53"/>
      <c r="BB31" s="68"/>
      <c r="BC31" s="68"/>
      <c r="BD31" s="66"/>
    </row>
    <row r="32" spans="1:56" ht="15.75" customHeight="1" x14ac:dyDescent="0.2">
      <c r="A32" s="72" t="s">
        <v>38</v>
      </c>
      <c r="B32" s="120"/>
      <c r="K32" s="12"/>
      <c r="L32" s="12"/>
      <c r="M32" s="12"/>
      <c r="N32" s="12"/>
      <c r="O32" s="12"/>
      <c r="P32" s="12"/>
      <c r="Q32" s="12"/>
      <c r="R32" s="12"/>
      <c r="S32" s="59" t="s">
        <v>28</v>
      </c>
      <c r="T32" s="12"/>
      <c r="U32" s="12"/>
      <c r="V32" s="12"/>
      <c r="W32" s="12"/>
      <c r="X32" s="12"/>
      <c r="Y32" s="59" t="s">
        <v>29</v>
      </c>
      <c r="Z32" s="12"/>
      <c r="AA32" s="12"/>
      <c r="AB32" s="12"/>
      <c r="AC32" s="12"/>
      <c r="AD32" s="12"/>
      <c r="AK32" s="33"/>
      <c r="AQ32" s="68"/>
    </row>
    <row r="33" spans="1:37" ht="15.75" customHeight="1" x14ac:dyDescent="0.2">
      <c r="A33" s="28" t="s">
        <v>66</v>
      </c>
      <c r="B33" s="28"/>
      <c r="C33" s="28" t="s">
        <v>30</v>
      </c>
      <c r="D33" s="60" t="s">
        <v>68</v>
      </c>
      <c r="E33" s="60" t="s">
        <v>78</v>
      </c>
      <c r="F33" s="60"/>
      <c r="G33" s="60" t="s">
        <v>69</v>
      </c>
      <c r="J33" s="28" t="s">
        <v>3</v>
      </c>
      <c r="K33" s="28" t="s">
        <v>0</v>
      </c>
      <c r="L33" s="60" t="s">
        <v>55</v>
      </c>
      <c r="M33" s="60" t="s">
        <v>76</v>
      </c>
      <c r="N33" s="28" t="s">
        <v>1</v>
      </c>
      <c r="O33" s="60" t="s">
        <v>67</v>
      </c>
      <c r="P33" s="60" t="s">
        <v>9</v>
      </c>
      <c r="Q33" s="63"/>
      <c r="R33" s="12"/>
      <c r="S33" s="28" t="s">
        <v>31</v>
      </c>
      <c r="T33" s="28" t="s">
        <v>1</v>
      </c>
      <c r="U33" s="60" t="s">
        <v>10</v>
      </c>
      <c r="V33" s="60"/>
      <c r="W33" s="60" t="s">
        <v>70</v>
      </c>
      <c r="X33" s="63"/>
      <c r="Y33" s="28" t="s">
        <v>31</v>
      </c>
      <c r="Z33" s="28" t="s">
        <v>1</v>
      </c>
      <c r="AA33" s="60" t="s">
        <v>10</v>
      </c>
      <c r="AB33" s="60"/>
      <c r="AC33" s="60" t="s">
        <v>70</v>
      </c>
      <c r="AD33" s="60"/>
      <c r="AK33" s="33"/>
    </row>
    <row r="34" spans="1:37" ht="15.75" customHeight="1" x14ac:dyDescent="0.2">
      <c r="A34" s="33">
        <v>100</v>
      </c>
      <c r="B34" s="33"/>
      <c r="C34" s="29">
        <v>0.6</v>
      </c>
      <c r="D34" s="53">
        <v>5</v>
      </c>
      <c r="E34">
        <v>10</v>
      </c>
      <c r="G34" s="53">
        <v>0</v>
      </c>
      <c r="J34" t="s">
        <v>39</v>
      </c>
      <c r="K34" s="33">
        <v>10</v>
      </c>
      <c r="L34" s="33"/>
      <c r="M34" s="33"/>
      <c r="N34" s="33">
        <v>200</v>
      </c>
      <c r="O34" s="33"/>
      <c r="P34" s="33"/>
      <c r="Q34" s="73"/>
      <c r="S34" s="33">
        <f>K34</f>
        <v>10</v>
      </c>
      <c r="T34" s="33">
        <f>N34*C34</f>
        <v>120</v>
      </c>
      <c r="U34" s="33"/>
      <c r="V34" s="33"/>
      <c r="W34" s="46">
        <f>T34/S34</f>
        <v>12</v>
      </c>
      <c r="X34" s="46"/>
      <c r="Y34" s="33">
        <f>K34</f>
        <v>10</v>
      </c>
      <c r="Z34" s="31">
        <f>N34*(1-C34)</f>
        <v>80</v>
      </c>
      <c r="AA34" s="33"/>
      <c r="AB34" s="33"/>
      <c r="AC34" s="32">
        <f>Z34/Y34</f>
        <v>8</v>
      </c>
      <c r="AD34" s="32"/>
    </row>
    <row r="35" spans="1:37" ht="15.75" customHeight="1" x14ac:dyDescent="0.2">
      <c r="A35" s="36">
        <v>100</v>
      </c>
      <c r="B35" s="36"/>
      <c r="C35" s="37">
        <v>0.6</v>
      </c>
      <c r="D35" s="54">
        <v>5</v>
      </c>
      <c r="E35" s="35">
        <v>10</v>
      </c>
      <c r="F35" s="35"/>
      <c r="G35" s="54">
        <v>0</v>
      </c>
      <c r="J35" s="35" t="s">
        <v>40</v>
      </c>
      <c r="K35" s="35"/>
      <c r="L35" s="35"/>
      <c r="M35" s="35"/>
      <c r="N35" s="35"/>
      <c r="O35" s="35"/>
      <c r="P35" s="35"/>
      <c r="S35" s="38" t="s">
        <v>35</v>
      </c>
      <c r="T35" s="38" t="s">
        <v>35</v>
      </c>
      <c r="U35" s="38"/>
      <c r="V35" s="38"/>
      <c r="W35" s="38" t="s">
        <v>35</v>
      </c>
      <c r="X35" s="31"/>
      <c r="Y35" s="38" t="s">
        <v>35</v>
      </c>
      <c r="Z35" s="38" t="s">
        <v>35</v>
      </c>
      <c r="AA35" s="38"/>
      <c r="AB35" s="38"/>
      <c r="AC35" s="38" t="s">
        <v>35</v>
      </c>
      <c r="AD35" s="38"/>
    </row>
    <row r="36" spans="1:37" ht="15.75" customHeight="1" x14ac:dyDescent="0.2">
      <c r="A36" s="33">
        <v>100</v>
      </c>
      <c r="B36" s="33"/>
      <c r="C36" s="29">
        <v>0.6</v>
      </c>
      <c r="D36" s="53">
        <v>5</v>
      </c>
      <c r="E36">
        <v>10</v>
      </c>
      <c r="G36" s="53">
        <v>0</v>
      </c>
      <c r="J36" t="s">
        <v>41</v>
      </c>
      <c r="K36" s="33">
        <v>25</v>
      </c>
      <c r="L36" s="33"/>
      <c r="M36" s="33"/>
      <c r="N36" s="33">
        <v>500</v>
      </c>
      <c r="O36" s="33"/>
      <c r="P36" s="33"/>
      <c r="Q36" s="73"/>
      <c r="S36" s="33">
        <f>K36</f>
        <v>25</v>
      </c>
      <c r="T36" s="33">
        <f>N36</f>
        <v>500</v>
      </c>
      <c r="U36" s="33"/>
      <c r="V36" s="33"/>
      <c r="W36" s="46">
        <f>T36/S36</f>
        <v>20</v>
      </c>
      <c r="X36" s="46"/>
      <c r="Y36" s="31" t="s">
        <v>35</v>
      </c>
      <c r="Z36" s="31" t="s">
        <v>35</v>
      </c>
      <c r="AA36" s="33"/>
      <c r="AB36" s="33"/>
      <c r="AC36" s="31" t="s">
        <v>35</v>
      </c>
      <c r="AD36" s="31"/>
    </row>
    <row r="37" spans="1:37" ht="15.75" customHeight="1" x14ac:dyDescent="0.2">
      <c r="A37" s="36">
        <v>100</v>
      </c>
      <c r="B37" s="36"/>
      <c r="C37" s="37">
        <v>0.6</v>
      </c>
      <c r="D37" s="54">
        <v>5</v>
      </c>
      <c r="E37" s="35">
        <v>10</v>
      </c>
      <c r="F37" s="35"/>
      <c r="G37" s="54">
        <v>0</v>
      </c>
      <c r="J37" s="35" t="s">
        <v>42</v>
      </c>
      <c r="K37" s="35"/>
      <c r="L37" s="35"/>
      <c r="M37" s="35"/>
      <c r="N37" s="35"/>
      <c r="O37" s="35"/>
      <c r="P37" s="35"/>
      <c r="S37" s="38" t="s">
        <v>35</v>
      </c>
      <c r="T37" s="38" t="s">
        <v>35</v>
      </c>
      <c r="U37" s="38"/>
      <c r="V37" s="38"/>
      <c r="W37" s="38" t="s">
        <v>35</v>
      </c>
      <c r="X37" s="31"/>
      <c r="Y37" s="38" t="s">
        <v>35</v>
      </c>
      <c r="Z37" s="38" t="s">
        <v>35</v>
      </c>
      <c r="AA37" s="38"/>
      <c r="AB37" s="38"/>
      <c r="AC37" s="38" t="s">
        <v>35</v>
      </c>
      <c r="AD37" s="38"/>
    </row>
    <row r="38" spans="1:37" ht="15.75" customHeight="1" x14ac:dyDescent="0.2">
      <c r="A38" s="33">
        <v>100</v>
      </c>
      <c r="B38" s="33"/>
      <c r="C38" s="29">
        <v>0.6</v>
      </c>
      <c r="D38" s="53">
        <v>5</v>
      </c>
      <c r="E38">
        <v>10</v>
      </c>
      <c r="G38" s="53">
        <v>0</v>
      </c>
      <c r="J38" t="s">
        <v>43</v>
      </c>
      <c r="K38" s="33">
        <v>7</v>
      </c>
      <c r="L38" s="33"/>
      <c r="M38" s="33"/>
      <c r="N38" s="33">
        <v>350</v>
      </c>
      <c r="O38" s="33"/>
      <c r="P38" s="33"/>
      <c r="Q38" s="73"/>
      <c r="S38" s="31" t="s">
        <v>35</v>
      </c>
      <c r="T38" s="31" t="s">
        <v>35</v>
      </c>
      <c r="U38" s="31"/>
      <c r="V38" s="31"/>
      <c r="W38" s="31" t="s">
        <v>35</v>
      </c>
      <c r="X38" s="31"/>
      <c r="Y38" s="33">
        <f>K38</f>
        <v>7</v>
      </c>
      <c r="Z38" s="31">
        <f>N38*(1-C38)</f>
        <v>140</v>
      </c>
      <c r="AA38" s="31"/>
      <c r="AB38" s="31"/>
      <c r="AC38" s="32">
        <f>Z38/Y38</f>
        <v>20</v>
      </c>
      <c r="AD38" s="32"/>
    </row>
    <row r="39" spans="1:37" ht="15.75" customHeight="1" x14ac:dyDescent="0.2">
      <c r="A39" s="36">
        <v>100</v>
      </c>
      <c r="B39" s="36"/>
      <c r="C39" s="37">
        <v>0.6</v>
      </c>
      <c r="D39" s="54">
        <v>5</v>
      </c>
      <c r="E39" s="35">
        <v>10</v>
      </c>
      <c r="F39" s="35"/>
      <c r="G39" s="54">
        <v>0</v>
      </c>
      <c r="J39" s="35" t="s">
        <v>44</v>
      </c>
      <c r="K39" s="35"/>
      <c r="L39" s="35"/>
      <c r="M39" s="35"/>
      <c r="N39" s="35"/>
      <c r="O39" s="35"/>
      <c r="P39" s="35"/>
      <c r="S39" s="38" t="s">
        <v>35</v>
      </c>
      <c r="T39" s="38" t="s">
        <v>35</v>
      </c>
      <c r="U39" s="38"/>
      <c r="V39" s="38"/>
      <c r="W39" s="38" t="s">
        <v>35</v>
      </c>
      <c r="X39" s="31"/>
      <c r="Y39" s="38" t="s">
        <v>35</v>
      </c>
      <c r="Z39" s="38" t="s">
        <v>35</v>
      </c>
      <c r="AA39" s="38"/>
      <c r="AB39" s="38"/>
      <c r="AC39" s="38" t="s">
        <v>35</v>
      </c>
      <c r="AD39" s="38"/>
    </row>
    <row r="41" spans="1:37" ht="15.75" customHeight="1" x14ac:dyDescent="0.2">
      <c r="A41" s="71" t="s">
        <v>45</v>
      </c>
      <c r="B41" s="118"/>
      <c r="S41" s="59" t="s">
        <v>28</v>
      </c>
      <c r="T41" s="12"/>
      <c r="U41" s="12"/>
      <c r="V41" s="12"/>
      <c r="W41" s="12"/>
      <c r="X41" s="12"/>
      <c r="Y41" s="59" t="s">
        <v>29</v>
      </c>
      <c r="AA41" s="12"/>
      <c r="AB41" s="12"/>
    </row>
    <row r="42" spans="1:37" ht="15.75" customHeight="1" x14ac:dyDescent="0.2">
      <c r="A42" s="28" t="s">
        <v>66</v>
      </c>
      <c r="B42" s="28"/>
      <c r="C42" s="28" t="s">
        <v>30</v>
      </c>
      <c r="D42" s="60" t="s">
        <v>68</v>
      </c>
      <c r="E42" s="60" t="s">
        <v>78</v>
      </c>
      <c r="F42" s="60"/>
      <c r="G42" s="60" t="s">
        <v>69</v>
      </c>
      <c r="J42" s="28" t="s">
        <v>3</v>
      </c>
      <c r="K42" s="28" t="s">
        <v>0</v>
      </c>
      <c r="L42" s="60" t="s">
        <v>55</v>
      </c>
      <c r="M42" s="60" t="s">
        <v>76</v>
      </c>
      <c r="N42" s="28" t="s">
        <v>1</v>
      </c>
      <c r="O42" s="60" t="s">
        <v>67</v>
      </c>
      <c r="P42" s="60" t="s">
        <v>9</v>
      </c>
      <c r="Q42" s="63"/>
      <c r="R42" s="12"/>
      <c r="S42" s="28" t="s">
        <v>31</v>
      </c>
      <c r="T42" s="28" t="s">
        <v>1</v>
      </c>
      <c r="U42" s="60" t="s">
        <v>10</v>
      </c>
      <c r="V42" s="60"/>
      <c r="W42" s="60" t="s">
        <v>70</v>
      </c>
      <c r="X42" s="63"/>
      <c r="Y42" s="28" t="s">
        <v>31</v>
      </c>
      <c r="Z42" s="28" t="s">
        <v>1</v>
      </c>
      <c r="AA42" s="60" t="s">
        <v>10</v>
      </c>
      <c r="AB42" s="60"/>
      <c r="AC42" s="60" t="s">
        <v>70</v>
      </c>
      <c r="AD42" s="60"/>
    </row>
    <row r="43" spans="1:37" ht="15.75" customHeight="1" x14ac:dyDescent="0.2">
      <c r="A43" s="33">
        <v>100</v>
      </c>
      <c r="B43" s="33"/>
      <c r="C43" s="29">
        <v>0.3</v>
      </c>
      <c r="D43" s="53">
        <v>5</v>
      </c>
      <c r="E43">
        <v>10</v>
      </c>
      <c r="G43" s="53">
        <v>0</v>
      </c>
      <c r="J43" s="47" t="s">
        <v>52</v>
      </c>
      <c r="K43" s="33">
        <v>100</v>
      </c>
      <c r="L43" s="33"/>
      <c r="M43" s="33"/>
      <c r="N43" s="33">
        <v>200</v>
      </c>
      <c r="O43" s="33"/>
      <c r="P43" s="33"/>
      <c r="Q43" s="73"/>
      <c r="S43" s="33">
        <f>K43</f>
        <v>100</v>
      </c>
      <c r="T43" s="33">
        <f>N43*C43</f>
        <v>60</v>
      </c>
      <c r="U43" s="33"/>
      <c r="V43" s="33"/>
      <c r="W43" s="46">
        <f>T43/S43</f>
        <v>0.6</v>
      </c>
      <c r="X43" s="46"/>
      <c r="Y43" s="33">
        <f>K43</f>
        <v>100</v>
      </c>
      <c r="Z43" s="31">
        <f>N43*(1-C43)</f>
        <v>140</v>
      </c>
      <c r="AA43" s="33"/>
      <c r="AB43" s="33"/>
      <c r="AC43" s="32">
        <f>Z43/Y43</f>
        <v>1.4</v>
      </c>
      <c r="AD43" s="32"/>
    </row>
    <row r="44" spans="1:37" ht="15.75" customHeight="1" x14ac:dyDescent="0.2">
      <c r="A44" s="36">
        <v>100</v>
      </c>
      <c r="B44" s="36"/>
      <c r="C44" s="37">
        <v>0.3</v>
      </c>
      <c r="D44" s="54">
        <v>5</v>
      </c>
      <c r="E44" s="35">
        <v>10</v>
      </c>
      <c r="F44" s="35"/>
      <c r="G44" s="54">
        <v>0</v>
      </c>
      <c r="J44" s="50" t="s">
        <v>50</v>
      </c>
      <c r="K44" s="36">
        <v>100</v>
      </c>
      <c r="L44" s="36"/>
      <c r="M44" s="36"/>
      <c r="N44" s="36">
        <v>300</v>
      </c>
      <c r="O44" s="36"/>
      <c r="P44" s="36"/>
      <c r="Q44" s="73"/>
      <c r="S44" s="36">
        <f>K44</f>
        <v>100</v>
      </c>
      <c r="T44" s="36">
        <f>N44+T43</f>
        <v>360</v>
      </c>
      <c r="U44" s="36"/>
      <c r="V44" s="36"/>
      <c r="W44" s="51">
        <f>T44/S44</f>
        <v>3.6</v>
      </c>
      <c r="X44" s="46"/>
      <c r="Y44" s="36">
        <v>100</v>
      </c>
      <c r="Z44" s="38">
        <f>Z43</f>
        <v>140</v>
      </c>
      <c r="AA44" s="36"/>
      <c r="AB44" s="36"/>
      <c r="AC44" s="39">
        <v>1.4</v>
      </c>
      <c r="AD44" s="39"/>
    </row>
    <row r="45" spans="1:37" ht="15.75" customHeight="1" x14ac:dyDescent="0.2">
      <c r="A45" s="33">
        <v>100</v>
      </c>
      <c r="B45" s="33"/>
      <c r="C45" s="29">
        <v>0.3</v>
      </c>
      <c r="D45" s="53">
        <v>5</v>
      </c>
      <c r="E45">
        <v>10</v>
      </c>
      <c r="G45" s="53">
        <v>0</v>
      </c>
      <c r="J45" s="47" t="s">
        <v>51</v>
      </c>
      <c r="K45" s="33">
        <v>100</v>
      </c>
      <c r="L45" s="33"/>
      <c r="M45" s="33"/>
      <c r="N45" s="33">
        <v>400</v>
      </c>
      <c r="O45" s="33"/>
      <c r="P45" s="33"/>
      <c r="S45" s="33">
        <v>100</v>
      </c>
      <c r="T45" s="33">
        <f>T44</f>
        <v>360</v>
      </c>
      <c r="U45" s="33"/>
      <c r="V45" s="33"/>
      <c r="W45" s="46">
        <v>3.6</v>
      </c>
      <c r="X45" s="46"/>
      <c r="Y45" s="33">
        <f>K45</f>
        <v>100</v>
      </c>
      <c r="Z45" s="33">
        <f>N45+Z44</f>
        <v>540</v>
      </c>
      <c r="AA45" s="33"/>
      <c r="AB45" s="33"/>
      <c r="AC45" s="32">
        <f>Z45/Y45</f>
        <v>5.4</v>
      </c>
      <c r="AD45" s="32"/>
    </row>
    <row r="46" spans="1:37" ht="15.75" customHeight="1" x14ac:dyDescent="0.2">
      <c r="A46" s="36">
        <v>100</v>
      </c>
      <c r="B46" s="36"/>
      <c r="C46" s="37">
        <v>0.3</v>
      </c>
      <c r="D46" s="54">
        <v>5</v>
      </c>
      <c r="E46" s="35">
        <v>10</v>
      </c>
      <c r="F46" s="35"/>
      <c r="G46" s="54">
        <v>0</v>
      </c>
      <c r="J46" s="50" t="s">
        <v>53</v>
      </c>
      <c r="K46" s="36">
        <v>100</v>
      </c>
      <c r="L46" s="36"/>
      <c r="M46" s="36"/>
      <c r="N46" s="36">
        <v>500</v>
      </c>
      <c r="O46" s="36"/>
      <c r="P46" s="36"/>
      <c r="Q46" s="73"/>
      <c r="S46" s="36">
        <f>K46</f>
        <v>100</v>
      </c>
      <c r="T46" s="36">
        <f>T45+(N46*C46)</f>
        <v>510</v>
      </c>
      <c r="U46" s="36"/>
      <c r="V46" s="36"/>
      <c r="W46" s="51">
        <f>T46/S46</f>
        <v>5.0999999999999996</v>
      </c>
      <c r="X46" s="46"/>
      <c r="Y46" s="36">
        <f>K46</f>
        <v>100</v>
      </c>
      <c r="Z46" s="36">
        <f>Z45+(N46*(1-C46))</f>
        <v>890</v>
      </c>
      <c r="AA46" s="36"/>
      <c r="AB46" s="36"/>
      <c r="AC46" s="39">
        <f>Z46/Y46</f>
        <v>8.9</v>
      </c>
      <c r="AD46" s="39"/>
    </row>
    <row r="48" spans="1:37" ht="15.75" customHeight="1" x14ac:dyDescent="0.2">
      <c r="A48" s="119" t="s">
        <v>104</v>
      </c>
      <c r="B48" s="118"/>
      <c r="S48" s="59" t="s">
        <v>28</v>
      </c>
      <c r="T48" s="12"/>
      <c r="U48" s="12"/>
      <c r="V48" s="12"/>
      <c r="W48" s="12"/>
      <c r="X48" s="12"/>
      <c r="Y48" s="59" t="s">
        <v>29</v>
      </c>
      <c r="AA48" s="12"/>
      <c r="AB48" s="12"/>
    </row>
    <row r="49" spans="1:31" ht="15.75" customHeight="1" x14ac:dyDescent="0.2">
      <c r="A49" s="28" t="s">
        <v>66</v>
      </c>
      <c r="B49" s="28"/>
      <c r="C49" s="28" t="s">
        <v>30</v>
      </c>
      <c r="D49" s="60" t="s">
        <v>68</v>
      </c>
      <c r="E49" s="60" t="s">
        <v>78</v>
      </c>
      <c r="F49" s="60" t="s">
        <v>105</v>
      </c>
      <c r="G49" s="60" t="s">
        <v>69</v>
      </c>
      <c r="J49" s="28" t="s">
        <v>3</v>
      </c>
      <c r="K49" s="28" t="s">
        <v>0</v>
      </c>
      <c r="L49" s="60" t="s">
        <v>55</v>
      </c>
      <c r="M49" s="60" t="s">
        <v>76</v>
      </c>
      <c r="N49" s="28" t="s">
        <v>1</v>
      </c>
      <c r="O49" s="60" t="s">
        <v>67</v>
      </c>
      <c r="P49" s="60" t="s">
        <v>9</v>
      </c>
      <c r="Q49" s="63"/>
      <c r="R49" s="12"/>
      <c r="S49" s="28" t="s">
        <v>31</v>
      </c>
      <c r="T49" s="28" t="s">
        <v>1</v>
      </c>
      <c r="U49" s="60" t="s">
        <v>78</v>
      </c>
      <c r="V49" s="60" t="s">
        <v>106</v>
      </c>
      <c r="W49" s="60" t="s">
        <v>70</v>
      </c>
      <c r="X49" s="63"/>
      <c r="Y49" s="28" t="s">
        <v>31</v>
      </c>
      <c r="Z49" s="28" t="s">
        <v>1</v>
      </c>
      <c r="AA49" s="60" t="s">
        <v>105</v>
      </c>
      <c r="AB49" s="60" t="s">
        <v>107</v>
      </c>
      <c r="AC49" s="60" t="s">
        <v>70</v>
      </c>
      <c r="AD49" s="60"/>
    </row>
    <row r="50" spans="1:31" ht="15.75" customHeight="1" x14ac:dyDescent="0.2">
      <c r="A50" s="33">
        <v>100</v>
      </c>
      <c r="B50" s="33"/>
      <c r="C50" s="29">
        <v>0.5</v>
      </c>
      <c r="D50" s="53">
        <v>5</v>
      </c>
      <c r="E50">
        <v>10</v>
      </c>
      <c r="F50">
        <v>20</v>
      </c>
      <c r="G50" s="53">
        <v>0</v>
      </c>
      <c r="J50" s="47" t="s">
        <v>108</v>
      </c>
      <c r="K50" s="33">
        <v>100</v>
      </c>
      <c r="L50" s="33"/>
      <c r="M50" s="33"/>
      <c r="N50" s="33">
        <v>200</v>
      </c>
      <c r="O50" s="53">
        <f>N50/K50</f>
        <v>2</v>
      </c>
      <c r="P50" s="33"/>
      <c r="Q50" s="73"/>
      <c r="S50" s="33">
        <f>K50</f>
        <v>100</v>
      </c>
      <c r="T50" s="33">
        <f>N50*C50</f>
        <v>100</v>
      </c>
      <c r="U50" s="33">
        <f>S50*(1+E50/100)/(1-G50/100)</f>
        <v>110.00000000000001</v>
      </c>
      <c r="V50" s="104">
        <f>(A50-U50)/U50</f>
        <v>-9.0909090909091023E-2</v>
      </c>
      <c r="W50" s="46">
        <f>T50/S50</f>
        <v>1</v>
      </c>
      <c r="X50" s="46"/>
      <c r="Y50" s="33">
        <f>K50</f>
        <v>100</v>
      </c>
      <c r="Z50" s="31">
        <f>N50*(1-C50)</f>
        <v>100</v>
      </c>
      <c r="AA50" s="33">
        <f>Y50*(1+F50/100)/(1-G50/100)</f>
        <v>120</v>
      </c>
      <c r="AB50" s="57">
        <f>(A50-AA50)/AA50</f>
        <v>-0.16666666666666666</v>
      </c>
      <c r="AC50" s="32">
        <f>Z50/Y50</f>
        <v>1</v>
      </c>
      <c r="AD50" s="32"/>
    </row>
    <row r="51" spans="1:31" ht="15.75" customHeight="1" x14ac:dyDescent="0.2">
      <c r="A51" s="36">
        <v>109</v>
      </c>
      <c r="B51" s="36"/>
      <c r="C51" s="37">
        <v>0.5</v>
      </c>
      <c r="D51" s="54">
        <v>5</v>
      </c>
      <c r="E51" s="35">
        <v>10</v>
      </c>
      <c r="F51" s="35">
        <v>20</v>
      </c>
      <c r="G51" s="54">
        <v>0</v>
      </c>
      <c r="J51" s="50"/>
      <c r="K51" s="36"/>
      <c r="L51" s="36"/>
      <c r="M51" s="36"/>
      <c r="N51" s="36"/>
      <c r="O51" s="54"/>
      <c r="P51" s="36"/>
      <c r="Q51" s="73"/>
      <c r="S51" s="36">
        <f t="shared" ref="S51:U53" si="18">S50</f>
        <v>100</v>
      </c>
      <c r="T51" s="36">
        <f t="shared" si="18"/>
        <v>100</v>
      </c>
      <c r="U51" s="36">
        <f t="shared" si="18"/>
        <v>110.00000000000001</v>
      </c>
      <c r="V51" s="133">
        <f>(A51-U51)/U51</f>
        <v>-9.0909090909092188E-3</v>
      </c>
      <c r="W51" s="51">
        <f>W50</f>
        <v>1</v>
      </c>
      <c r="X51" s="46"/>
      <c r="Y51" s="36">
        <v>100</v>
      </c>
      <c r="Z51" s="38">
        <f t="shared" ref="Z51:AA53" si="19">Z50</f>
        <v>100</v>
      </c>
      <c r="AA51" s="36">
        <f t="shared" si="19"/>
        <v>120</v>
      </c>
      <c r="AB51" s="58">
        <f>(A51-AA51)/AA51</f>
        <v>-9.166666666666666E-2</v>
      </c>
      <c r="AC51" s="39">
        <f>AC50</f>
        <v>1</v>
      </c>
      <c r="AD51" s="39"/>
    </row>
    <row r="52" spans="1:31" ht="15.75" customHeight="1" x14ac:dyDescent="0.2">
      <c r="A52" s="33">
        <v>115</v>
      </c>
      <c r="B52" s="33"/>
      <c r="C52" s="29">
        <v>0.5</v>
      </c>
      <c r="D52" s="53">
        <v>5</v>
      </c>
      <c r="E52">
        <v>10</v>
      </c>
      <c r="F52">
        <v>20</v>
      </c>
      <c r="G52" s="53">
        <v>0</v>
      </c>
      <c r="J52" s="47"/>
      <c r="K52" s="33"/>
      <c r="L52" s="33"/>
      <c r="M52" s="33"/>
      <c r="N52" s="33"/>
      <c r="O52" s="53"/>
      <c r="P52" s="33"/>
      <c r="S52" s="33">
        <f t="shared" si="18"/>
        <v>100</v>
      </c>
      <c r="T52" s="33">
        <f t="shared" si="18"/>
        <v>100</v>
      </c>
      <c r="U52" s="33">
        <f t="shared" si="18"/>
        <v>110.00000000000001</v>
      </c>
      <c r="V52" s="134">
        <f>(A52-U52)/U52</f>
        <v>4.5454545454545317E-2</v>
      </c>
      <c r="W52" s="46">
        <f>W51</f>
        <v>1</v>
      </c>
      <c r="X52" s="46"/>
      <c r="Y52" s="33">
        <v>100</v>
      </c>
      <c r="Z52" s="31">
        <f t="shared" si="19"/>
        <v>100</v>
      </c>
      <c r="AA52" s="33">
        <f t="shared" si="19"/>
        <v>120</v>
      </c>
      <c r="AB52" s="66">
        <f>(A52-AA52)/AA52</f>
        <v>-4.1666666666666664E-2</v>
      </c>
      <c r="AC52" s="32">
        <f>AC51</f>
        <v>1</v>
      </c>
      <c r="AD52" s="32"/>
    </row>
    <row r="53" spans="1:31" ht="15.75" customHeight="1" x14ac:dyDescent="0.2">
      <c r="A53" s="36">
        <v>122</v>
      </c>
      <c r="B53" s="36"/>
      <c r="C53" s="37">
        <v>0.5</v>
      </c>
      <c r="D53" s="54">
        <v>5</v>
      </c>
      <c r="E53" s="35">
        <v>10</v>
      </c>
      <c r="F53" s="35">
        <v>20</v>
      </c>
      <c r="G53" s="54">
        <v>0</v>
      </c>
      <c r="J53" s="50"/>
      <c r="K53" s="36"/>
      <c r="L53" s="36"/>
      <c r="M53" s="36"/>
      <c r="N53" s="36"/>
      <c r="O53" s="54"/>
      <c r="P53" s="36"/>
      <c r="Q53" s="73"/>
      <c r="S53" s="36">
        <f t="shared" si="18"/>
        <v>100</v>
      </c>
      <c r="T53" s="36">
        <f t="shared" si="18"/>
        <v>100</v>
      </c>
      <c r="U53" s="36">
        <f t="shared" si="18"/>
        <v>110.00000000000001</v>
      </c>
      <c r="V53" s="135">
        <f>(A53-U53)/U53</f>
        <v>0.10909090909090895</v>
      </c>
      <c r="W53" s="51">
        <f>W52</f>
        <v>1</v>
      </c>
      <c r="X53" s="46"/>
      <c r="Y53" s="36">
        <v>100</v>
      </c>
      <c r="Z53" s="38">
        <f t="shared" si="19"/>
        <v>100</v>
      </c>
      <c r="AA53" s="36">
        <f t="shared" si="19"/>
        <v>120</v>
      </c>
      <c r="AB53" s="135">
        <f>(A53-AA53)/AA53</f>
        <v>1.6666666666666666E-2</v>
      </c>
      <c r="AC53" s="39">
        <f>AC52</f>
        <v>1</v>
      </c>
      <c r="AD53" s="39"/>
    </row>
    <row r="54" spans="1:31" s="124" customFormat="1" ht="15.75" customHeight="1" x14ac:dyDescent="0.2">
      <c r="A54" s="33">
        <v>100</v>
      </c>
      <c r="B54" s="33"/>
      <c r="C54" s="29">
        <v>0.5</v>
      </c>
      <c r="D54" s="53">
        <v>5</v>
      </c>
      <c r="E54">
        <v>10</v>
      </c>
      <c r="F54">
        <v>20</v>
      </c>
      <c r="G54" s="53">
        <v>0.5</v>
      </c>
      <c r="J54" s="47" t="s">
        <v>108</v>
      </c>
      <c r="K54" s="33">
        <v>100</v>
      </c>
      <c r="L54" s="33"/>
      <c r="M54" s="33"/>
      <c r="N54" s="33">
        <v>200</v>
      </c>
      <c r="O54" s="53">
        <f>N54/K54</f>
        <v>2</v>
      </c>
      <c r="P54" s="33"/>
      <c r="Q54" s="126"/>
      <c r="S54" s="33">
        <f>K54</f>
        <v>100</v>
      </c>
      <c r="T54" s="33">
        <f>N54*C54</f>
        <v>100</v>
      </c>
      <c r="U54" s="33">
        <f>S54*(1+E54/100)/(1-G54/100)</f>
        <v>110.55276381909549</v>
      </c>
      <c r="V54" s="104">
        <f>(A54-U54)/U54</f>
        <v>-9.5454545454545542E-2</v>
      </c>
      <c r="W54" s="46">
        <f>T54/S54</f>
        <v>1</v>
      </c>
      <c r="X54" s="46"/>
      <c r="Y54" s="33">
        <f>K54</f>
        <v>100</v>
      </c>
      <c r="Z54" s="31">
        <f>N54*(1-C54)</f>
        <v>100</v>
      </c>
      <c r="AA54" s="33">
        <f>Y54*(1+F54/100)/(1-G54/100)</f>
        <v>120.60301507537689</v>
      </c>
      <c r="AB54" s="57">
        <f>(A54-AA54)/AA54</f>
        <v>-0.17083333333333336</v>
      </c>
      <c r="AC54" s="32">
        <f>Z54/Y54</f>
        <v>1</v>
      </c>
      <c r="AD54" s="129"/>
    </row>
    <row r="55" spans="1:31" ht="15.75" customHeight="1" x14ac:dyDescent="0.2">
      <c r="A55" s="36">
        <v>109</v>
      </c>
      <c r="B55" s="36"/>
      <c r="C55" s="37">
        <v>0.5</v>
      </c>
      <c r="D55" s="54">
        <v>5</v>
      </c>
      <c r="E55" s="35">
        <v>10</v>
      </c>
      <c r="F55" s="35">
        <v>20</v>
      </c>
      <c r="G55" s="54">
        <v>0.5</v>
      </c>
      <c r="J55" s="50"/>
      <c r="K55" s="36"/>
      <c r="L55" s="36"/>
      <c r="M55" s="36"/>
      <c r="N55" s="36"/>
      <c r="O55" s="54"/>
      <c r="P55" s="36"/>
      <c r="Q55" s="73"/>
      <c r="S55" s="36">
        <f t="shared" ref="S55:U55" si="20">S54</f>
        <v>100</v>
      </c>
      <c r="T55" s="36">
        <f t="shared" si="20"/>
        <v>100</v>
      </c>
      <c r="U55" s="36">
        <f t="shared" si="20"/>
        <v>110.55276381909549</v>
      </c>
      <c r="V55" s="58">
        <f>(A55-U55)/U55</f>
        <v>-1.4045454545454647E-2</v>
      </c>
      <c r="W55" s="51">
        <f>W54</f>
        <v>1</v>
      </c>
      <c r="X55" s="46"/>
      <c r="Y55" s="36">
        <v>100</v>
      </c>
      <c r="Z55" s="38">
        <f t="shared" ref="Z55:AA55" si="21">Z54</f>
        <v>100</v>
      </c>
      <c r="AA55" s="36">
        <f t="shared" si="21"/>
        <v>120.60301507537689</v>
      </c>
      <c r="AB55" s="58">
        <f>(A55-AA55)/AA55</f>
        <v>-9.6208333333333354E-2</v>
      </c>
      <c r="AC55" s="39">
        <f>AC54</f>
        <v>1</v>
      </c>
      <c r="AD55" s="39"/>
    </row>
    <row r="56" spans="1:31" s="124" customFormat="1" ht="15.75" customHeight="1" x14ac:dyDescent="0.2">
      <c r="A56" s="33">
        <v>115</v>
      </c>
      <c r="B56" s="33"/>
      <c r="C56" s="29">
        <v>0.5</v>
      </c>
      <c r="D56" s="53">
        <v>5</v>
      </c>
      <c r="E56">
        <v>10</v>
      </c>
      <c r="F56">
        <v>20</v>
      </c>
      <c r="G56" s="53">
        <v>0.5</v>
      </c>
      <c r="J56" s="125"/>
      <c r="K56" s="121"/>
      <c r="L56" s="121"/>
      <c r="M56" s="121"/>
      <c r="N56" s="121"/>
      <c r="O56" s="123"/>
      <c r="P56" s="121"/>
      <c r="Q56" s="126"/>
      <c r="S56" s="33">
        <f t="shared" ref="S56:U56" si="22">S55</f>
        <v>100</v>
      </c>
      <c r="T56" s="33">
        <f t="shared" si="22"/>
        <v>100</v>
      </c>
      <c r="U56" s="33">
        <f t="shared" si="22"/>
        <v>110.55276381909549</v>
      </c>
      <c r="V56" s="134">
        <f>(A56-U56)/U56</f>
        <v>4.0227272727272619E-2</v>
      </c>
      <c r="W56" s="46">
        <f>W55</f>
        <v>1</v>
      </c>
      <c r="X56" s="46"/>
      <c r="Y56" s="33">
        <v>100</v>
      </c>
      <c r="Z56" s="31">
        <f t="shared" ref="Z56:AA56" si="23">Z55</f>
        <v>100</v>
      </c>
      <c r="AA56" s="33">
        <f t="shared" si="23"/>
        <v>120.60301507537689</v>
      </c>
      <c r="AB56" s="66">
        <f>(A56-AA56)/AA56</f>
        <v>-4.6458333333333358E-2</v>
      </c>
      <c r="AC56" s="32">
        <f>AC55</f>
        <v>1</v>
      </c>
      <c r="AD56" s="129"/>
    </row>
    <row r="57" spans="1:31" ht="15.75" customHeight="1" x14ac:dyDescent="0.2">
      <c r="A57" s="36">
        <v>122</v>
      </c>
      <c r="B57" s="36"/>
      <c r="C57" s="37">
        <v>0.5</v>
      </c>
      <c r="D57" s="54">
        <v>5</v>
      </c>
      <c r="E57" s="35">
        <v>10</v>
      </c>
      <c r="F57" s="35">
        <v>20</v>
      </c>
      <c r="G57" s="54">
        <v>0.5</v>
      </c>
      <c r="J57" s="50"/>
      <c r="K57" s="36"/>
      <c r="L57" s="36"/>
      <c r="M57" s="36"/>
      <c r="N57" s="36"/>
      <c r="O57" s="54"/>
      <c r="P57" s="36"/>
      <c r="Q57" s="73"/>
      <c r="S57" s="36">
        <f t="shared" ref="S57:U57" si="24">S56</f>
        <v>100</v>
      </c>
      <c r="T57" s="36">
        <f t="shared" si="24"/>
        <v>100</v>
      </c>
      <c r="U57" s="36">
        <f t="shared" si="24"/>
        <v>110.55276381909549</v>
      </c>
      <c r="V57" s="135">
        <f>(A57-U57)/U57</f>
        <v>0.10354545454545443</v>
      </c>
      <c r="W57" s="51">
        <f>W56</f>
        <v>1</v>
      </c>
      <c r="X57" s="46"/>
      <c r="Y57" s="36">
        <v>100</v>
      </c>
      <c r="Z57" s="38">
        <f t="shared" ref="Z57:AA57" si="25">Z56</f>
        <v>100</v>
      </c>
      <c r="AA57" s="36">
        <f t="shared" si="25"/>
        <v>120.60301507537689</v>
      </c>
      <c r="AB57" s="135">
        <f>(A57-AA57)/AA57</f>
        <v>1.1583333333333303E-2</v>
      </c>
      <c r="AC57" s="39">
        <f>AC56</f>
        <v>1</v>
      </c>
      <c r="AD57" s="39"/>
    </row>
    <row r="58" spans="1:31" s="124" customFormat="1" ht="15.75" customHeight="1" x14ac:dyDescent="0.2">
      <c r="A58" s="121"/>
      <c r="B58" s="121"/>
      <c r="C58" s="122"/>
      <c r="D58" s="123"/>
      <c r="G58" s="123"/>
      <c r="J58" s="125"/>
      <c r="K58" s="121"/>
      <c r="L58" s="121"/>
      <c r="M58" s="121"/>
      <c r="N58" s="121"/>
      <c r="O58" s="123"/>
      <c r="P58" s="121"/>
      <c r="Q58" s="126"/>
      <c r="S58" s="121"/>
      <c r="T58" s="121"/>
      <c r="U58" s="121"/>
      <c r="V58" s="66"/>
      <c r="W58" s="127"/>
      <c r="X58" s="127"/>
      <c r="Y58" s="121"/>
      <c r="Z58" s="128"/>
      <c r="AA58" s="121"/>
      <c r="AB58" s="66"/>
      <c r="AC58" s="129"/>
      <c r="AD58" s="129"/>
    </row>
    <row r="59" spans="1:31" ht="15.75" customHeight="1" x14ac:dyDescent="0.2"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</row>
    <row r="60" spans="1:31" ht="15.75" customHeight="1" x14ac:dyDescent="0.2">
      <c r="A60" s="103" t="s">
        <v>109</v>
      </c>
      <c r="B60" s="118"/>
      <c r="S60" s="130"/>
      <c r="T60" s="130"/>
      <c r="U60" s="131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</row>
    <row r="61" spans="1:31" ht="15.75" customHeight="1" x14ac:dyDescent="0.2">
      <c r="A61" s="28" t="s">
        <v>66</v>
      </c>
      <c r="B61" s="28"/>
      <c r="C61" s="28" t="s">
        <v>30</v>
      </c>
      <c r="D61" s="60" t="s">
        <v>68</v>
      </c>
      <c r="E61" s="60" t="s">
        <v>78</v>
      </c>
      <c r="F61" s="60" t="s">
        <v>105</v>
      </c>
      <c r="G61" s="60" t="s">
        <v>69</v>
      </c>
      <c r="S61" s="130"/>
      <c r="T61" s="130"/>
      <c r="U61" s="132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</row>
    <row r="62" spans="1:31" ht="15.75" customHeight="1" x14ac:dyDescent="0.2">
      <c r="A62" s="33">
        <v>100</v>
      </c>
      <c r="B62" s="33"/>
      <c r="C62" s="29">
        <v>0.5</v>
      </c>
      <c r="D62" s="53">
        <v>5</v>
      </c>
      <c r="E62">
        <v>10</v>
      </c>
      <c r="F62">
        <v>20</v>
      </c>
      <c r="G62" s="53">
        <v>0</v>
      </c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</row>
    <row r="63" spans="1:31" ht="15.75" customHeight="1" x14ac:dyDescent="0.2">
      <c r="A63" s="36">
        <v>109</v>
      </c>
      <c r="B63" s="36"/>
      <c r="C63" s="37">
        <v>0.5</v>
      </c>
      <c r="D63" s="54">
        <v>5</v>
      </c>
      <c r="E63" s="35">
        <v>10</v>
      </c>
      <c r="F63" s="35">
        <v>20</v>
      </c>
      <c r="G63" s="54">
        <v>0</v>
      </c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</row>
    <row r="64" spans="1:31" ht="15.75" customHeight="1" x14ac:dyDescent="0.2">
      <c r="A64" s="33">
        <v>115</v>
      </c>
      <c r="B64" s="33"/>
      <c r="C64" s="29">
        <v>0.5</v>
      </c>
      <c r="D64" s="53">
        <v>5</v>
      </c>
      <c r="E64">
        <v>10</v>
      </c>
      <c r="F64">
        <v>20</v>
      </c>
      <c r="G64" s="53">
        <v>0</v>
      </c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</row>
    <row r="65" spans="1:31" ht="15.75" customHeight="1" x14ac:dyDescent="0.2">
      <c r="A65" s="36">
        <v>122</v>
      </c>
      <c r="B65" s="36"/>
      <c r="C65" s="37">
        <v>0.5</v>
      </c>
      <c r="D65" s="54">
        <v>5</v>
      </c>
      <c r="E65" s="35">
        <v>10</v>
      </c>
      <c r="F65" s="35">
        <v>20</v>
      </c>
      <c r="G65" s="54">
        <v>0</v>
      </c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</row>
    <row r="67" spans="1:31" ht="15.75" customHeight="1" x14ac:dyDescent="0.2">
      <c r="A67" s="71" t="s">
        <v>181</v>
      </c>
      <c r="B67" s="118"/>
      <c r="S67" s="59" t="s">
        <v>196</v>
      </c>
      <c r="T67" s="12"/>
      <c r="U67" s="12"/>
      <c r="V67" s="34" t="s">
        <v>186</v>
      </c>
      <c r="Y67" s="49"/>
      <c r="Z67" s="47"/>
      <c r="AA67" s="49"/>
      <c r="AB67" s="49"/>
      <c r="AC67" s="47"/>
      <c r="AD67" s="47"/>
    </row>
    <row r="68" spans="1:31" ht="15.75" customHeight="1" x14ac:dyDescent="0.2">
      <c r="A68" s="28" t="s">
        <v>116</v>
      </c>
      <c r="B68" s="28" t="s">
        <v>120</v>
      </c>
      <c r="C68" s="28" t="s">
        <v>30</v>
      </c>
      <c r="D68" s="60" t="s">
        <v>68</v>
      </c>
      <c r="E68" s="60" t="s">
        <v>78</v>
      </c>
      <c r="F68" s="60" t="s">
        <v>105</v>
      </c>
      <c r="G68" s="60" t="s">
        <v>69</v>
      </c>
      <c r="I68" s="60" t="s">
        <v>185</v>
      </c>
      <c r="J68" s="28" t="s">
        <v>3</v>
      </c>
      <c r="K68" s="28" t="s">
        <v>0</v>
      </c>
      <c r="L68" s="28"/>
      <c r="M68" s="60" t="s">
        <v>76</v>
      </c>
      <c r="N68" s="28" t="s">
        <v>1</v>
      </c>
      <c r="O68" s="60" t="s">
        <v>67</v>
      </c>
      <c r="P68" s="110"/>
      <c r="S68" s="60" t="s">
        <v>0</v>
      </c>
      <c r="T68" s="60" t="s">
        <v>9</v>
      </c>
      <c r="U68" s="110"/>
      <c r="V68" s="60" t="s">
        <v>189</v>
      </c>
      <c r="W68" s="60" t="s">
        <v>190</v>
      </c>
      <c r="X68" s="60" t="s">
        <v>188</v>
      </c>
      <c r="Y68" s="110"/>
      <c r="Z68" s="110"/>
      <c r="AA68" s="110"/>
      <c r="AB68" s="110"/>
      <c r="AC68" s="110"/>
      <c r="AD68" s="110"/>
    </row>
    <row r="69" spans="1:31" ht="15.75" customHeight="1" x14ac:dyDescent="0.2">
      <c r="A69" s="33">
        <v>100</v>
      </c>
      <c r="B69" s="108" t="s">
        <v>182</v>
      </c>
      <c r="C69" s="29">
        <v>0.5</v>
      </c>
      <c r="D69" s="53">
        <v>5</v>
      </c>
      <c r="E69">
        <v>10</v>
      </c>
      <c r="F69">
        <v>20</v>
      </c>
      <c r="G69" s="53">
        <v>0</v>
      </c>
      <c r="I69" s="47" t="s">
        <v>191</v>
      </c>
      <c r="J69" s="47" t="s">
        <v>81</v>
      </c>
      <c r="K69" s="33">
        <v>110</v>
      </c>
      <c r="L69" s="33"/>
      <c r="M69" s="33"/>
      <c r="N69" s="33">
        <v>500</v>
      </c>
      <c r="O69" s="53">
        <f t="shared" ref="O69:O75" si="26">N69/K69</f>
        <v>4.5454545454545459</v>
      </c>
      <c r="P69" s="55"/>
      <c r="S69" s="33"/>
      <c r="T69" s="33"/>
      <c r="U69" s="33"/>
      <c r="V69" s="109">
        <f>IF(
      OR(
        (A69*(1+G69/100)/B76-1)*100 &lt;= -D69,
        (A69*(1+G69/100)/B77-1)*100 &lt;= -D69,
        (A69*(1+G69/100)/B78-1)*100 &lt;= -D69,
        (A69*(1+G69/100)/B79-1)*100 &lt;= -D69,
        (A69*(1+G69/100)/B80-1)*100 &lt;= -D69
      ),
      MIN(
        IF((A69*(1+G69/100)/B76-1)*100 &lt;= -D69, (A69*(1+G69/100)/B76-1)*100, 0),
        IF((A69*(1+G69/100)/B77-1)*100 &lt;= -D69, (A69*(1+G69/100)/B77-1)*100, 0),
        IF((A69*(1+G69/100)/B78-1)*100 &lt;= -D69, (A69*(1+G69/100)/B78-1)*100, 0),
        IF((A69*(1+G69/100)/B79-1)*100 &lt;= -D69, (A69*(1+G69/100)/B79-1)*100, 0),
        IF((A69*(1+G69/100)/B80-1)*100 &lt;= -D69, (A69*(1+G69/100)/B80-1)*100, 0)
      )/100,
      ""
    )</f>
        <v>-7.407407407407407E-2</v>
      </c>
      <c r="W69" s="100" t="s">
        <v>35</v>
      </c>
      <c r="X69" t="s">
        <v>191</v>
      </c>
      <c r="Y69" s="108"/>
      <c r="Z69" s="111"/>
      <c r="AA69" s="108"/>
      <c r="AB69" s="112"/>
      <c r="AC69" s="113"/>
      <c r="AD69" s="113"/>
    </row>
    <row r="70" spans="1:31" ht="15.75" customHeight="1" x14ac:dyDescent="0.2">
      <c r="A70" s="36"/>
      <c r="B70" s="36"/>
      <c r="C70" s="37"/>
      <c r="D70" s="54"/>
      <c r="E70" s="35"/>
      <c r="F70" s="35"/>
      <c r="G70" s="54"/>
      <c r="I70" s="35" t="s">
        <v>192</v>
      </c>
      <c r="J70" s="50" t="s">
        <v>81</v>
      </c>
      <c r="K70" s="36">
        <v>102</v>
      </c>
      <c r="L70" s="36"/>
      <c r="M70" s="36"/>
      <c r="N70" s="36">
        <v>200</v>
      </c>
      <c r="O70" s="54">
        <f t="shared" si="26"/>
        <v>1.9607843137254901</v>
      </c>
      <c r="P70" s="55"/>
      <c r="S70" s="36"/>
      <c r="T70" s="36"/>
      <c r="U70" s="33"/>
      <c r="V70" s="116">
        <f>IF(
      OR(
        (A69*(1+G69/100)/B76-1)*100 &lt;= -D69,
        (A69*(1+G69/100)/B77-1)*100 &lt;= -D69,
        (A69*(1+G69/100)/B78-1)*100 &lt;= -D69,
        (A69*(1+G69/100)/B79-1)*100 &lt;= -D69,
        (A69*(1+G69/100)/B80-1)*100 &lt;= -D69
      ),
      MIN(
        IF((A69*(1+G69/100)/B76-1)*100 &lt;= -D69, (A69*(1+G69/100)/B76-1)*100, 0),
        IF((A69*(1+G69/100)/B77-1)*100 &lt;= -D69, (A69*(1+G69/100)/B77-1)*100, 0),
        IF((A69*(1+G69/100)/B78-1)*100 &lt;= -D69, (A69*(1+G69/100)/B78-1)*100, 0),
        IF((A69*(1+G69/100)/B79-1)*100 &lt;= -D69, (A69*(1+G69/100)/B79-1)*100, 0),
        IF((A69*(1+G69/100)/B80-1)*100 &lt;= -D69, (A69*(1+G69/100)/B80-1)*100, 0)
      )/100,
      ""
    )</f>
        <v>-7.407407407407407E-2</v>
      </c>
      <c r="W70" s="114" t="s">
        <v>35</v>
      </c>
      <c r="X70" s="35" t="str">
        <f t="shared" ref="X70:X75" si="27">I70</f>
        <v>3 d</v>
      </c>
      <c r="Y70" s="108"/>
      <c r="Z70" s="111"/>
      <c r="AA70" s="108"/>
      <c r="AB70" s="112"/>
      <c r="AC70" s="113"/>
      <c r="AD70" s="113"/>
    </row>
    <row r="71" spans="1:31" ht="15.75" customHeight="1" x14ac:dyDescent="0.2">
      <c r="A71" s="33">
        <v>50</v>
      </c>
      <c r="B71" s="108" t="s">
        <v>195</v>
      </c>
      <c r="C71" s="29">
        <v>0.5</v>
      </c>
      <c r="D71" s="53">
        <v>8</v>
      </c>
      <c r="E71">
        <v>10</v>
      </c>
      <c r="F71">
        <v>20</v>
      </c>
      <c r="G71" s="53">
        <v>0.5</v>
      </c>
      <c r="I71" s="47" t="s">
        <v>191</v>
      </c>
      <c r="J71" s="47" t="s">
        <v>81</v>
      </c>
      <c r="K71" s="33">
        <v>60</v>
      </c>
      <c r="L71" s="33"/>
      <c r="M71" s="33"/>
      <c r="N71" s="33">
        <v>600</v>
      </c>
      <c r="O71" s="53">
        <f t="shared" si="26"/>
        <v>10</v>
      </c>
      <c r="P71" s="55"/>
      <c r="S71" s="33">
        <f>K71</f>
        <v>60</v>
      </c>
      <c r="T71" s="55">
        <f>S71 * (1 - $D$71%)</f>
        <v>55.2</v>
      </c>
      <c r="U71" s="33"/>
      <c r="W71" s="57">
        <f>($A$71 - K71) / K71</f>
        <v>-0.16666666666666666</v>
      </c>
      <c r="X71" t="str">
        <f t="shared" si="27"/>
        <v>10 d</v>
      </c>
      <c r="Y71" s="108"/>
      <c r="Z71" s="111"/>
      <c r="AA71" s="108"/>
      <c r="AB71" s="112"/>
      <c r="AC71" s="113"/>
      <c r="AD71" s="113"/>
    </row>
    <row r="72" spans="1:31" ht="15.75" customHeight="1" x14ac:dyDescent="0.2">
      <c r="A72" s="36"/>
      <c r="B72" s="36"/>
      <c r="C72" s="37"/>
      <c r="D72" s="54"/>
      <c r="E72" s="35"/>
      <c r="F72" s="35"/>
      <c r="G72" s="54"/>
      <c r="I72" s="35" t="s">
        <v>193</v>
      </c>
      <c r="J72" s="50" t="s">
        <v>81</v>
      </c>
      <c r="K72" s="36">
        <v>52</v>
      </c>
      <c r="L72" s="36"/>
      <c r="M72" s="36"/>
      <c r="N72" s="36">
        <v>520</v>
      </c>
      <c r="O72" s="54">
        <f t="shared" si="26"/>
        <v>10</v>
      </c>
      <c r="P72" s="55"/>
      <c r="S72" s="36">
        <f>K72</f>
        <v>52</v>
      </c>
      <c r="T72" s="40">
        <f t="shared" ref="T72:T73" si="28">S72 * (1 - $D$71%)</f>
        <v>47.84</v>
      </c>
      <c r="U72" s="33"/>
      <c r="V72" s="35"/>
      <c r="W72" s="58">
        <f>($A$71 - K72) / K72</f>
        <v>-3.8461538461538464E-2</v>
      </c>
      <c r="X72" s="35" t="str">
        <f t="shared" si="27"/>
        <v>5 d</v>
      </c>
      <c r="Y72" s="108"/>
      <c r="Z72" s="111"/>
      <c r="AA72" s="108"/>
      <c r="AB72" s="112"/>
      <c r="AC72" s="113"/>
      <c r="AD72" s="113"/>
    </row>
    <row r="73" spans="1:31" ht="15.75" customHeight="1" x14ac:dyDescent="0.2">
      <c r="A73" s="33"/>
      <c r="B73" s="33"/>
      <c r="C73" s="29"/>
      <c r="D73" s="53"/>
      <c r="G73" s="53"/>
      <c r="I73" t="s">
        <v>194</v>
      </c>
      <c r="J73" t="s">
        <v>81</v>
      </c>
      <c r="K73" s="33">
        <v>70</v>
      </c>
      <c r="N73" s="33">
        <v>700</v>
      </c>
      <c r="O73" s="53">
        <f t="shared" si="26"/>
        <v>10</v>
      </c>
      <c r="P73" s="55"/>
      <c r="S73" s="33">
        <f>K73</f>
        <v>70</v>
      </c>
      <c r="T73" s="55">
        <f t="shared" si="28"/>
        <v>64.400000000000006</v>
      </c>
      <c r="W73" s="57">
        <f>($A$71 - K73) / K73</f>
        <v>-0.2857142857142857</v>
      </c>
      <c r="X73" t="str">
        <f t="shared" si="27"/>
        <v>2 d</v>
      </c>
      <c r="Y73" s="47"/>
      <c r="Z73" s="47"/>
      <c r="AA73" s="47"/>
      <c r="AB73" s="47"/>
      <c r="AC73" s="47"/>
      <c r="AD73" s="47"/>
    </row>
    <row r="74" spans="1:31" ht="15.75" customHeight="1" x14ac:dyDescent="0.2">
      <c r="A74" s="108" t="s">
        <v>183</v>
      </c>
      <c r="B74" s="33"/>
      <c r="C74" s="29"/>
      <c r="D74" s="53"/>
      <c r="G74" s="53"/>
      <c r="I74" s="35" t="s">
        <v>197</v>
      </c>
      <c r="J74" s="50" t="s">
        <v>81</v>
      </c>
      <c r="K74" s="36">
        <v>52</v>
      </c>
      <c r="L74" s="35"/>
      <c r="M74" s="35"/>
      <c r="N74" s="36">
        <v>255</v>
      </c>
      <c r="O74" s="54">
        <f t="shared" si="26"/>
        <v>4.9038461538461542</v>
      </c>
      <c r="S74" s="36">
        <f>K74</f>
        <v>52</v>
      </c>
      <c r="T74" s="40">
        <f t="shared" ref="T74" si="29">(S74 * (1 - $D$71%)) / (1 + $G$71%)</f>
        <v>47.601990049751251</v>
      </c>
      <c r="V74" s="35"/>
      <c r="W74" s="115">
        <f>($A$71 - K74) / K74</f>
        <v>-3.8461538461538464E-2</v>
      </c>
      <c r="X74" s="35" t="str">
        <f t="shared" si="27"/>
        <v>1 d</v>
      </c>
    </row>
    <row r="75" spans="1:31" ht="15.75" customHeight="1" x14ac:dyDescent="0.2">
      <c r="A75" s="60" t="s">
        <v>2</v>
      </c>
      <c r="B75" s="60" t="s">
        <v>184</v>
      </c>
      <c r="C75" s="60" t="s">
        <v>187</v>
      </c>
      <c r="I75" s="47" t="s">
        <v>198</v>
      </c>
      <c r="J75" s="47" t="s">
        <v>81</v>
      </c>
      <c r="K75" s="33">
        <v>110</v>
      </c>
      <c r="N75" s="33">
        <v>1100</v>
      </c>
      <c r="O75" s="53">
        <f t="shared" si="26"/>
        <v>10</v>
      </c>
      <c r="S75" s="33">
        <f>K75</f>
        <v>110</v>
      </c>
      <c r="V75" s="109">
        <f>IF(
      OR(
        (A69*(1+G69/100)/B76-1)*100 &lt;= -D69,
        (A69*(1+G69/100)/B77-1)*100 &lt;= -D69,
        (A69*(1+G69/100)/B78-1)*100 &lt;= -D69,
        (A69*(1+G69/100)/B79-1)*100 &lt;= -D69,
        (A69*(1+G69/100)/B80-1)*100 &lt;= -D69
      ),
      MIN(
        IF((A69*(1+G69/100)/B76-1)*100 &lt;= -D69, (A69*(1+G69/100)/B76-1)*100, 0),
        IF((A69*(1+G69/100)/B77-1)*100 &lt;= -D69, (A69*(1+G69/100)/B77-1)*100, 0),
        IF((A69*(1+G69/100)/B78-1)*100 &lt;= -D69, (A69*(1+G69/100)/B78-1)*100, 0),
        IF((A69*(1+G69/100)/B79-1)*100 &lt;= -D69, (A69*(1+G69/100)/B79-1)*100, 0),
        IF((A69*(1+G69/100)/B80-1)*100 &lt;= -D69, (A69*(1+G69/100)/B80-1)*100, 0)
      )/100,
      ""
    )</f>
        <v>-7.407407407407407E-2</v>
      </c>
      <c r="W75" s="117">
        <f>($A$69 - K75) / K75</f>
        <v>-9.0909090909090912E-2</v>
      </c>
      <c r="X75" t="str">
        <f t="shared" si="27"/>
        <v>7 d</v>
      </c>
    </row>
    <row r="76" spans="1:31" ht="15.75" customHeight="1" x14ac:dyDescent="0.2">
      <c r="A76" s="107">
        <v>45924</v>
      </c>
      <c r="B76" s="106">
        <v>106</v>
      </c>
    </row>
    <row r="77" spans="1:31" ht="15.75" customHeight="1" x14ac:dyDescent="0.2">
      <c r="A77" s="107">
        <v>45923</v>
      </c>
      <c r="B77" s="106">
        <v>105</v>
      </c>
    </row>
    <row r="78" spans="1:31" ht="15.75" customHeight="1" x14ac:dyDescent="0.2">
      <c r="A78" s="107">
        <v>45922</v>
      </c>
      <c r="B78" s="106">
        <v>108</v>
      </c>
    </row>
    <row r="79" spans="1:31" ht="15.75" customHeight="1" x14ac:dyDescent="0.2">
      <c r="A79" s="107">
        <v>45921</v>
      </c>
      <c r="B79" s="106">
        <v>107</v>
      </c>
    </row>
    <row r="80" spans="1:31" ht="15.75" customHeight="1" x14ac:dyDescent="0.2">
      <c r="A80" s="107">
        <v>45920</v>
      </c>
      <c r="B80" s="106">
        <v>104</v>
      </c>
      <c r="H80" s="47"/>
      <c r="T80" s="74"/>
    </row>
    <row r="81" spans="8:36" ht="15.75" customHeight="1" x14ac:dyDescent="0.2">
      <c r="H81" s="47"/>
    </row>
    <row r="82" spans="8:36" ht="15.75" customHeight="1" x14ac:dyDescent="0.2">
      <c r="H82" s="47"/>
    </row>
    <row r="83" spans="8:36" ht="15.75" customHeight="1" x14ac:dyDescent="0.2">
      <c r="H83" s="100"/>
      <c r="I83" s="100"/>
      <c r="T83" s="47" t="s">
        <v>80</v>
      </c>
      <c r="AE83" s="47" t="s">
        <v>100</v>
      </c>
    </row>
    <row r="84" spans="8:36" ht="15.75" customHeight="1" x14ac:dyDescent="0.2">
      <c r="T84" s="75" t="s">
        <v>2</v>
      </c>
      <c r="U84" s="76" t="s">
        <v>3</v>
      </c>
      <c r="V84" s="76"/>
      <c r="W84" s="76" t="s">
        <v>82</v>
      </c>
      <c r="X84" s="76" t="s">
        <v>4</v>
      </c>
      <c r="Y84" s="76" t="s">
        <v>0</v>
      </c>
      <c r="Z84" s="76" t="s">
        <v>1</v>
      </c>
      <c r="AA84" s="76" t="s">
        <v>67</v>
      </c>
      <c r="AB84" s="76"/>
      <c r="AC84" s="76" t="s">
        <v>83</v>
      </c>
      <c r="AD84" s="82"/>
      <c r="AE84" s="76" t="s">
        <v>90</v>
      </c>
      <c r="AF84" s="76" t="s">
        <v>89</v>
      </c>
      <c r="AG84" s="76" t="s">
        <v>7</v>
      </c>
      <c r="AH84" s="76" t="s">
        <v>87</v>
      </c>
      <c r="AI84" s="76" t="s">
        <v>85</v>
      </c>
      <c r="AJ84" s="76" t="s">
        <v>88</v>
      </c>
    </row>
    <row r="85" spans="8:36" ht="15.75" customHeight="1" x14ac:dyDescent="0.2">
      <c r="T85" s="86">
        <v>45658</v>
      </c>
      <c r="U85" s="87" t="s">
        <v>81</v>
      </c>
      <c r="V85" s="87"/>
      <c r="W85" s="88" t="s">
        <v>91</v>
      </c>
      <c r="X85" s="87" t="s">
        <v>84</v>
      </c>
      <c r="Y85" s="89">
        <v>200</v>
      </c>
      <c r="Z85" s="89">
        <v>200</v>
      </c>
      <c r="AA85" s="90">
        <f>Z85/Y85</f>
        <v>1</v>
      </c>
      <c r="AB85" s="90"/>
      <c r="AC85" s="87"/>
      <c r="AD85" s="83"/>
      <c r="AE85" s="90">
        <v>1</v>
      </c>
      <c r="AF85" s="90">
        <f>AE85/2</f>
        <v>0.5</v>
      </c>
      <c r="AG85" s="91">
        <f>AE85/2</f>
        <v>0.5</v>
      </c>
      <c r="AH85" s="89">
        <v>0</v>
      </c>
      <c r="AI85" s="92">
        <f>ABS(AH85-Z85)</f>
        <v>200</v>
      </c>
      <c r="AJ85" s="93">
        <f>((AH85+(AA85*Y85)-AI85)/AI85)</f>
        <v>0</v>
      </c>
    </row>
    <row r="86" spans="8:36" ht="15.75" customHeight="1" x14ac:dyDescent="0.2">
      <c r="T86" s="77">
        <v>45659</v>
      </c>
      <c r="U86" s="78" t="s">
        <v>79</v>
      </c>
      <c r="V86" s="78"/>
      <c r="W86" s="80" t="s">
        <v>92</v>
      </c>
      <c r="X86" s="78" t="s">
        <v>10</v>
      </c>
      <c r="Y86" s="79">
        <v>220</v>
      </c>
      <c r="Z86" s="78"/>
      <c r="AA86" s="81">
        <f>AF85</f>
        <v>0.5</v>
      </c>
      <c r="AB86" s="81"/>
      <c r="AC86" s="79">
        <f>Y86*AA86</f>
        <v>110</v>
      </c>
      <c r="AD86" s="84"/>
      <c r="AE86" s="81">
        <v>0.5</v>
      </c>
      <c r="AF86" s="81">
        <v>0</v>
      </c>
      <c r="AG86" s="81">
        <v>0.5</v>
      </c>
      <c r="AH86" s="79">
        <f>AC86+AH85</f>
        <v>110</v>
      </c>
      <c r="AI86" s="79">
        <f>AI85</f>
        <v>200</v>
      </c>
      <c r="AJ86" s="85">
        <f t="shared" ref="AJ86:AJ94" si="30">((AH86+(AE86*Y86)-AI86)/AI86)</f>
        <v>0.1</v>
      </c>
    </row>
    <row r="87" spans="8:36" ht="15.75" customHeight="1" x14ac:dyDescent="0.2">
      <c r="T87" s="86">
        <v>45660</v>
      </c>
      <c r="U87" s="87" t="s">
        <v>81</v>
      </c>
      <c r="V87" s="87"/>
      <c r="W87" s="88" t="s">
        <v>93</v>
      </c>
      <c r="X87" s="87" t="s">
        <v>86</v>
      </c>
      <c r="Y87" s="89">
        <v>220</v>
      </c>
      <c r="Z87" s="89">
        <v>220</v>
      </c>
      <c r="AA87" s="90">
        <f>Z87/Y87</f>
        <v>1</v>
      </c>
      <c r="AB87" s="90"/>
      <c r="AC87" s="87"/>
      <c r="AD87" s="83"/>
      <c r="AE87" s="90">
        <f>AA87+AE86</f>
        <v>1.5</v>
      </c>
      <c r="AF87" s="90">
        <f>AF86+(AA87/2)</f>
        <v>0.5</v>
      </c>
      <c r="AG87" s="90">
        <f>AG86+(AA87/2)</f>
        <v>1</v>
      </c>
      <c r="AH87" s="89">
        <v>0</v>
      </c>
      <c r="AI87" s="89">
        <f>AI86+(Z87-AH86)</f>
        <v>310</v>
      </c>
      <c r="AJ87" s="93">
        <f t="shared" si="30"/>
        <v>6.4516129032258063E-2</v>
      </c>
    </row>
    <row r="88" spans="8:36" ht="15.75" customHeight="1" x14ac:dyDescent="0.2">
      <c r="T88" s="77">
        <v>45661</v>
      </c>
      <c r="U88" s="78" t="s">
        <v>79</v>
      </c>
      <c r="V88" s="78"/>
      <c r="W88" s="80" t="s">
        <v>94</v>
      </c>
      <c r="X88" s="78" t="s">
        <v>86</v>
      </c>
      <c r="Y88" s="79">
        <v>190</v>
      </c>
      <c r="Z88" s="78"/>
      <c r="AA88" s="81">
        <v>0.5</v>
      </c>
      <c r="AB88" s="81"/>
      <c r="AC88" s="79">
        <f>Y88*AA88</f>
        <v>95</v>
      </c>
      <c r="AD88" s="84"/>
      <c r="AE88" s="81">
        <f>AE87-AA88</f>
        <v>1</v>
      </c>
      <c r="AF88" s="81">
        <f>AF87</f>
        <v>0.5</v>
      </c>
      <c r="AG88" s="81">
        <f>AG87-AA88</f>
        <v>0.5</v>
      </c>
      <c r="AH88" s="79">
        <f>AH87+AC88</f>
        <v>95</v>
      </c>
      <c r="AI88" s="79">
        <f>AI87</f>
        <v>310</v>
      </c>
      <c r="AJ88" s="85">
        <f t="shared" si="30"/>
        <v>-8.0645161290322578E-2</v>
      </c>
    </row>
    <row r="89" spans="8:36" ht="15.75" customHeight="1" x14ac:dyDescent="0.2">
      <c r="T89" s="86">
        <v>45662</v>
      </c>
      <c r="U89" s="87" t="s">
        <v>81</v>
      </c>
      <c r="V89" s="87"/>
      <c r="W89" s="88" t="s">
        <v>95</v>
      </c>
      <c r="X89" s="87" t="s">
        <v>86</v>
      </c>
      <c r="Y89" s="89">
        <v>200</v>
      </c>
      <c r="Z89" s="89">
        <v>200</v>
      </c>
      <c r="AA89" s="90">
        <f>Z89/Y89</f>
        <v>1</v>
      </c>
      <c r="AB89" s="90"/>
      <c r="AC89" s="87"/>
      <c r="AD89" s="83"/>
      <c r="AE89" s="90">
        <f>AE88+AA89</f>
        <v>2</v>
      </c>
      <c r="AF89" s="90">
        <f>AF88+(AA89/2)</f>
        <v>1</v>
      </c>
      <c r="AG89" s="90">
        <f>AG88+(AA89/2)</f>
        <v>1</v>
      </c>
      <c r="AH89" s="89">
        <v>0</v>
      </c>
      <c r="AI89" s="89">
        <f>AI88+(Z89-AH88)</f>
        <v>415</v>
      </c>
      <c r="AJ89" s="93">
        <f t="shared" si="30"/>
        <v>-3.614457831325301E-2</v>
      </c>
    </row>
    <row r="90" spans="8:36" ht="15.75" customHeight="1" x14ac:dyDescent="0.2">
      <c r="T90" s="77">
        <v>45663</v>
      </c>
      <c r="U90" s="78" t="s">
        <v>79</v>
      </c>
      <c r="V90" s="78"/>
      <c r="W90" s="80" t="s">
        <v>96</v>
      </c>
      <c r="X90" s="78" t="s">
        <v>86</v>
      </c>
      <c r="Y90" s="79">
        <v>210</v>
      </c>
      <c r="Z90" s="78"/>
      <c r="AA90" s="81">
        <v>0.5</v>
      </c>
      <c r="AB90" s="81"/>
      <c r="AC90" s="79">
        <f>Y90*AA90</f>
        <v>105</v>
      </c>
      <c r="AD90" s="84"/>
      <c r="AE90" s="81">
        <f>AE89-AA90</f>
        <v>1.5</v>
      </c>
      <c r="AF90" s="81">
        <f>AF89-AA90</f>
        <v>0.5</v>
      </c>
      <c r="AG90" s="81">
        <f>AG89</f>
        <v>1</v>
      </c>
      <c r="AH90" s="79">
        <f>AH89+AC90</f>
        <v>105</v>
      </c>
      <c r="AI90" s="79">
        <f>AI89</f>
        <v>415</v>
      </c>
      <c r="AJ90" s="85">
        <f t="shared" si="30"/>
        <v>1.2048192771084338E-2</v>
      </c>
    </row>
    <row r="91" spans="8:36" ht="15.75" customHeight="1" x14ac:dyDescent="0.2">
      <c r="T91" s="77">
        <v>45664</v>
      </c>
      <c r="U91" s="78" t="s">
        <v>79</v>
      </c>
      <c r="V91" s="78"/>
      <c r="W91" s="80" t="s">
        <v>97</v>
      </c>
      <c r="X91" s="78" t="s">
        <v>86</v>
      </c>
      <c r="Y91" s="79">
        <v>210</v>
      </c>
      <c r="Z91" s="78"/>
      <c r="AA91" s="81">
        <v>0.5</v>
      </c>
      <c r="AB91" s="81"/>
      <c r="AC91" s="79">
        <f>Y91/2</f>
        <v>105</v>
      </c>
      <c r="AD91" s="84"/>
      <c r="AE91" s="81">
        <f>AE90-AA91</f>
        <v>1</v>
      </c>
      <c r="AF91" s="81">
        <f>AF90</f>
        <v>0.5</v>
      </c>
      <c r="AG91" s="81">
        <f>AG90-AA91</f>
        <v>0.5</v>
      </c>
      <c r="AH91" s="79">
        <f>AC91+AH90</f>
        <v>210</v>
      </c>
      <c r="AI91" s="79">
        <f>AI90</f>
        <v>415</v>
      </c>
      <c r="AJ91" s="85">
        <f t="shared" si="30"/>
        <v>1.2048192771084338E-2</v>
      </c>
    </row>
    <row r="92" spans="8:36" ht="15.75" customHeight="1" x14ac:dyDescent="0.2">
      <c r="Q92" s="100"/>
      <c r="T92" s="86">
        <v>45665</v>
      </c>
      <c r="U92" s="88" t="s">
        <v>81</v>
      </c>
      <c r="V92" s="88"/>
      <c r="W92" s="88" t="s">
        <v>98</v>
      </c>
      <c r="X92" s="88" t="s">
        <v>86</v>
      </c>
      <c r="Y92" s="89">
        <v>200</v>
      </c>
      <c r="Z92" s="89">
        <v>200</v>
      </c>
      <c r="AA92" s="90">
        <v>1</v>
      </c>
      <c r="AB92" s="90"/>
      <c r="AC92" s="87"/>
      <c r="AD92" s="83"/>
      <c r="AE92" s="90">
        <f>AE91+AA92</f>
        <v>2</v>
      </c>
      <c r="AF92" s="90">
        <f>AA92+AF91</f>
        <v>1.5</v>
      </c>
      <c r="AG92" s="91">
        <f>AG91</f>
        <v>0.5</v>
      </c>
      <c r="AH92" s="89">
        <f>AH91-Z92</f>
        <v>10</v>
      </c>
      <c r="AI92" s="89">
        <f>AI90</f>
        <v>415</v>
      </c>
      <c r="AJ92" s="93">
        <f t="shared" si="30"/>
        <v>-1.2048192771084338E-2</v>
      </c>
    </row>
    <row r="93" spans="8:36" ht="15.75" customHeight="1" x14ac:dyDescent="0.2">
      <c r="Q93" s="101"/>
      <c r="T93" s="77">
        <v>45666</v>
      </c>
      <c r="U93" s="80" t="s">
        <v>79</v>
      </c>
      <c r="V93" s="80"/>
      <c r="W93" s="80" t="s">
        <v>98</v>
      </c>
      <c r="X93" s="80" t="s">
        <v>86</v>
      </c>
      <c r="Y93" s="79">
        <v>230</v>
      </c>
      <c r="Z93" s="78"/>
      <c r="AA93" s="81">
        <v>0.5</v>
      </c>
      <c r="AB93" s="81"/>
      <c r="AC93" s="79">
        <f>Y93/2</f>
        <v>115</v>
      </c>
      <c r="AD93" s="84"/>
      <c r="AE93" s="81">
        <f>AE92-AA93</f>
        <v>1.5</v>
      </c>
      <c r="AF93" s="81">
        <f>AF92-AA93</f>
        <v>1</v>
      </c>
      <c r="AG93" s="81">
        <f>AG92</f>
        <v>0.5</v>
      </c>
      <c r="AH93" s="79">
        <f>AH92+AC93</f>
        <v>125</v>
      </c>
      <c r="AI93" s="79">
        <f>AI92</f>
        <v>415</v>
      </c>
      <c r="AJ93" s="85">
        <f t="shared" si="30"/>
        <v>0.13253012048192772</v>
      </c>
    </row>
    <row r="94" spans="8:36" ht="15.75" customHeight="1" x14ac:dyDescent="0.2">
      <c r="Q94" s="101"/>
      <c r="T94" s="86">
        <v>45667</v>
      </c>
      <c r="U94" s="88" t="s">
        <v>81</v>
      </c>
      <c r="V94" s="88"/>
      <c r="W94" s="88" t="s">
        <v>99</v>
      </c>
      <c r="X94" s="88" t="s">
        <v>86</v>
      </c>
      <c r="Y94" s="89">
        <v>230</v>
      </c>
      <c r="Z94" s="89">
        <v>230</v>
      </c>
      <c r="AA94" s="90">
        <v>1</v>
      </c>
      <c r="AB94" s="90"/>
      <c r="AC94" s="87"/>
      <c r="AD94" s="83"/>
      <c r="AE94" s="90">
        <f>AE93+AA94</f>
        <v>2.5</v>
      </c>
      <c r="AF94" s="90">
        <f>AF93</f>
        <v>1</v>
      </c>
      <c r="AG94" s="90">
        <f>AG93+AA94</f>
        <v>1.5</v>
      </c>
      <c r="AH94" s="89">
        <v>0</v>
      </c>
      <c r="AI94" s="89">
        <f>AI93+(Z94-AH93)</f>
        <v>520</v>
      </c>
      <c r="AJ94" s="93">
        <f t="shared" si="30"/>
        <v>0.10576923076923077</v>
      </c>
    </row>
    <row r="95" spans="8:36" ht="15.75" customHeight="1" x14ac:dyDescent="0.2">
      <c r="Q95" s="101"/>
    </row>
    <row r="96" spans="8:36" ht="15.75" customHeight="1" x14ac:dyDescent="0.2">
      <c r="Q96" s="101"/>
    </row>
    <row r="97" spans="17:36" ht="12.75" x14ac:dyDescent="0.2">
      <c r="T97" s="47" t="s">
        <v>80</v>
      </c>
      <c r="AE97" s="47" t="s">
        <v>100</v>
      </c>
    </row>
    <row r="98" spans="17:36" ht="15.75" customHeight="1" x14ac:dyDescent="0.2">
      <c r="Q98" s="57"/>
      <c r="T98" s="75" t="s">
        <v>2</v>
      </c>
      <c r="U98" s="76" t="s">
        <v>3</v>
      </c>
      <c r="V98" s="76"/>
      <c r="W98" s="76" t="s">
        <v>82</v>
      </c>
      <c r="X98" s="76" t="s">
        <v>4</v>
      </c>
      <c r="Y98" s="76" t="s">
        <v>0</v>
      </c>
      <c r="Z98" s="76" t="s">
        <v>1</v>
      </c>
      <c r="AA98" s="76" t="s">
        <v>67</v>
      </c>
      <c r="AB98" s="76"/>
      <c r="AC98" s="76" t="s">
        <v>83</v>
      </c>
      <c r="AD98" s="82"/>
      <c r="AE98" s="76" t="s">
        <v>90</v>
      </c>
      <c r="AF98" s="76" t="s">
        <v>89</v>
      </c>
      <c r="AG98" s="76" t="s">
        <v>7</v>
      </c>
      <c r="AH98" s="76" t="s">
        <v>87</v>
      </c>
      <c r="AI98" s="76" t="s">
        <v>85</v>
      </c>
      <c r="AJ98" s="76" t="s">
        <v>88</v>
      </c>
    </row>
    <row r="99" spans="17:36" ht="15.75" customHeight="1" x14ac:dyDescent="0.2">
      <c r="Q99" s="102"/>
      <c r="T99" s="86"/>
      <c r="U99" s="87" t="s">
        <v>81</v>
      </c>
      <c r="V99" s="87"/>
      <c r="W99" s="88" t="s">
        <v>76</v>
      </c>
      <c r="X99" s="87" t="s">
        <v>84</v>
      </c>
      <c r="Y99" s="97">
        <v>232.37</v>
      </c>
      <c r="Z99" s="89">
        <v>1000</v>
      </c>
      <c r="AA99" s="94">
        <f t="shared" ref="AA99:AA104" si="31">Z99/Y99</f>
        <v>4.3034815165468867</v>
      </c>
      <c r="AB99" s="94"/>
      <c r="AC99" s="97"/>
      <c r="AD99" s="83"/>
      <c r="AE99" s="94">
        <f>AA99</f>
        <v>4.3034815165468867</v>
      </c>
      <c r="AF99" s="94">
        <f>AE99/2</f>
        <v>2.1517407582734434</v>
      </c>
      <c r="AG99" s="96">
        <f>AE99/2</f>
        <v>2.1517407582734434</v>
      </c>
      <c r="AH99" s="97">
        <v>0</v>
      </c>
      <c r="AI99" s="99">
        <f>ABS(AH99-Z99)</f>
        <v>1000</v>
      </c>
      <c r="AJ99" s="93">
        <f>((AH99+(AA99*Y99)-AI99)/AI99)</f>
        <v>1.1368683772161603E-16</v>
      </c>
    </row>
    <row r="100" spans="17:36" ht="15.75" customHeight="1" x14ac:dyDescent="0.2">
      <c r="T100" s="86"/>
      <c r="U100" s="87" t="s">
        <v>81</v>
      </c>
      <c r="V100" s="87"/>
      <c r="W100" s="88" t="s">
        <v>76</v>
      </c>
      <c r="X100" s="87" t="s">
        <v>86</v>
      </c>
      <c r="Y100" s="97">
        <v>205.6</v>
      </c>
      <c r="Z100" s="89">
        <v>500</v>
      </c>
      <c r="AA100" s="94">
        <f t="shared" si="31"/>
        <v>2.4319066147859925</v>
      </c>
      <c r="AB100" s="94"/>
      <c r="AC100" s="97"/>
      <c r="AD100" s="83"/>
      <c r="AE100" s="94">
        <f>AA100+AE99</f>
        <v>6.7353881313328792</v>
      </c>
      <c r="AF100" s="94">
        <f>AF99+(AA100/2)</f>
        <v>3.3676940656664396</v>
      </c>
      <c r="AG100" s="94">
        <f>AG99+(AA100/2)</f>
        <v>3.3676940656664396</v>
      </c>
      <c r="AH100" s="97">
        <v>0</v>
      </c>
      <c r="AI100" s="97">
        <f>AI99+(Z100-AH99)</f>
        <v>1500</v>
      </c>
      <c r="AJ100" s="93">
        <f t="shared" ref="AJ100" si="32">((AH100+(AE100*Y100)-AI100)/AI100)</f>
        <v>-7.6802800131973381E-2</v>
      </c>
    </row>
    <row r="101" spans="17:36" ht="15.75" customHeight="1" x14ac:dyDescent="0.2">
      <c r="T101" s="86"/>
      <c r="U101" s="87" t="s">
        <v>81</v>
      </c>
      <c r="V101" s="87"/>
      <c r="W101" s="88" t="s">
        <v>76</v>
      </c>
      <c r="X101" s="87" t="s">
        <v>86</v>
      </c>
      <c r="Y101" s="97">
        <v>199.37</v>
      </c>
      <c r="Z101" s="89">
        <v>500</v>
      </c>
      <c r="AA101" s="94">
        <f t="shared" si="31"/>
        <v>2.5078998846366054</v>
      </c>
      <c r="AB101" s="94"/>
      <c r="AC101" s="97"/>
      <c r="AD101" s="83"/>
      <c r="AE101" s="94">
        <f>AA101+AE100</f>
        <v>9.243288015969485</v>
      </c>
      <c r="AF101" s="94">
        <f>AF100+(AA101/2)</f>
        <v>4.6216440079847425</v>
      </c>
      <c r="AG101" s="94">
        <f>AG100+(AA101/2)</f>
        <v>4.6216440079847425</v>
      </c>
      <c r="AH101" s="97">
        <v>0</v>
      </c>
      <c r="AI101" s="97">
        <f>AI100+(Z101-AH100)</f>
        <v>2000</v>
      </c>
      <c r="AJ101" s="93">
        <f t="shared" ref="AJ101" si="33">((AH101+(AE101*Y101)-AI101)/AI101)</f>
        <v>-7.858283412808191E-2</v>
      </c>
    </row>
    <row r="102" spans="17:36" ht="15.75" customHeight="1" x14ac:dyDescent="0.2">
      <c r="T102" s="86"/>
      <c r="U102" s="87" t="s">
        <v>81</v>
      </c>
      <c r="V102" s="87"/>
      <c r="W102" s="88" t="s">
        <v>76</v>
      </c>
      <c r="X102" s="87" t="s">
        <v>86</v>
      </c>
      <c r="Y102" s="97">
        <v>196.54</v>
      </c>
      <c r="Z102" s="89">
        <v>500</v>
      </c>
      <c r="AA102" s="94">
        <f t="shared" si="31"/>
        <v>2.5440113971710594</v>
      </c>
      <c r="AB102" s="94"/>
      <c r="AC102" s="97"/>
      <c r="AD102" s="83"/>
      <c r="AE102" s="94">
        <f>AA102+AE101</f>
        <v>11.787299413140545</v>
      </c>
      <c r="AF102" s="94">
        <f>AF101+(AA102/2)</f>
        <v>5.8936497065702724</v>
      </c>
      <c r="AG102" s="94">
        <f>AG101+(AA102/2)</f>
        <v>5.8936497065702724</v>
      </c>
      <c r="AH102" s="97">
        <v>0</v>
      </c>
      <c r="AI102" s="97">
        <f>AI101+(Z102-AH101)</f>
        <v>2500</v>
      </c>
      <c r="AJ102" s="93">
        <f t="shared" ref="AJ102" si="34">((AH102+(AE102*Y102)-AI102)/AI102)</f>
        <v>-7.3329669336542974E-2</v>
      </c>
    </row>
    <row r="103" spans="17:36" ht="15.75" customHeight="1" x14ac:dyDescent="0.2">
      <c r="T103" s="86"/>
      <c r="U103" s="87" t="s">
        <v>81</v>
      </c>
      <c r="V103" s="87"/>
      <c r="W103" s="88" t="s">
        <v>76</v>
      </c>
      <c r="X103" s="87" t="s">
        <v>86</v>
      </c>
      <c r="Y103" s="97">
        <v>184.88</v>
      </c>
      <c r="Z103" s="89">
        <v>50</v>
      </c>
      <c r="AA103" s="94">
        <f t="shared" si="31"/>
        <v>0.27044569450454348</v>
      </c>
      <c r="AB103" s="94"/>
      <c r="AC103" s="97"/>
      <c r="AD103" s="83"/>
      <c r="AE103" s="94">
        <f>AA103+AE102</f>
        <v>12.057745107645088</v>
      </c>
      <c r="AF103" s="94">
        <f>AF102+(AA103/2)</f>
        <v>6.0288725538225441</v>
      </c>
      <c r="AG103" s="94">
        <f>AG102+(AA103/2)</f>
        <v>6.0288725538225441</v>
      </c>
      <c r="AH103" s="97">
        <v>0</v>
      </c>
      <c r="AI103" s="97">
        <f>AI102+(Z103-AH102)</f>
        <v>2550</v>
      </c>
      <c r="AJ103" s="93">
        <f t="shared" ref="AJ103" si="35">((AH103+(AE103*Y103)-AI103)/AI103)</f>
        <v>-0.12578983705826521</v>
      </c>
    </row>
    <row r="104" spans="17:36" ht="15.75" customHeight="1" x14ac:dyDescent="0.2">
      <c r="T104" s="86"/>
      <c r="U104" s="87" t="s">
        <v>81</v>
      </c>
      <c r="V104" s="87"/>
      <c r="W104" s="88" t="s">
        <v>76</v>
      </c>
      <c r="X104" s="87" t="s">
        <v>86</v>
      </c>
      <c r="Y104" s="97">
        <v>180.62</v>
      </c>
      <c r="Z104" s="89">
        <v>50</v>
      </c>
      <c r="AA104" s="94">
        <f t="shared" si="31"/>
        <v>0.27682427195216475</v>
      </c>
      <c r="AB104" s="94"/>
      <c r="AC104" s="97"/>
      <c r="AD104" s="83"/>
      <c r="AE104" s="94">
        <f>AA104+AE103</f>
        <v>12.334569379597253</v>
      </c>
      <c r="AF104" s="94">
        <f>AF103+(AA104/2)</f>
        <v>6.1672846897986267</v>
      </c>
      <c r="AG104" s="94">
        <f>AG103+(AA104/2)</f>
        <v>6.1672846897986267</v>
      </c>
      <c r="AH104" s="97">
        <v>0</v>
      </c>
      <c r="AI104" s="97">
        <f>AI103+(Z104-AH103)</f>
        <v>2600</v>
      </c>
      <c r="AJ104" s="93">
        <f t="shared" ref="AJ104" si="36">((AH104+(AE104*Y104)-AI104)/AI104)</f>
        <v>-0.14312695332967085</v>
      </c>
    </row>
    <row r="105" spans="17:36" ht="15.75" customHeight="1" x14ac:dyDescent="0.2">
      <c r="T105" s="77"/>
      <c r="U105" s="78" t="s">
        <v>79</v>
      </c>
      <c r="V105" s="78"/>
      <c r="W105" s="80" t="s">
        <v>28</v>
      </c>
      <c r="X105" s="78" t="s">
        <v>10</v>
      </c>
      <c r="Y105" s="98">
        <v>208.59</v>
      </c>
      <c r="Z105" s="78"/>
      <c r="AA105" s="95">
        <v>0.13841000000000001</v>
      </c>
      <c r="AB105" s="95"/>
      <c r="AC105" s="98">
        <f>Y105*AA105</f>
        <v>28.870941900000002</v>
      </c>
      <c r="AD105" s="84"/>
      <c r="AE105" s="95">
        <f>AE104-AA105</f>
        <v>12.196159379597253</v>
      </c>
      <c r="AF105" s="95">
        <f>AF104-AA105</f>
        <v>6.0288746897986263</v>
      </c>
      <c r="AG105" s="95">
        <f>AG104</f>
        <v>6.1672846897986267</v>
      </c>
      <c r="AH105" s="98">
        <f>AC105+AH99</f>
        <v>28.870941900000002</v>
      </c>
      <c r="AI105" s="98">
        <f>AI104</f>
        <v>2600</v>
      </c>
      <c r="AJ105" s="85">
        <f t="shared" ref="AJ105:AJ109" si="37">((AH105+(AE105*Y105)-AI105)/AI105)</f>
        <v>-1.0435451196080277E-2</v>
      </c>
    </row>
    <row r="106" spans="17:36" ht="15.75" customHeight="1" x14ac:dyDescent="0.2">
      <c r="T106" s="86"/>
      <c r="U106" s="78" t="s">
        <v>79</v>
      </c>
      <c r="V106" s="78"/>
      <c r="W106" s="80" t="s">
        <v>28</v>
      </c>
      <c r="X106" s="78" t="s">
        <v>10</v>
      </c>
      <c r="Y106" s="98">
        <v>208.54</v>
      </c>
      <c r="Z106" s="78"/>
      <c r="AA106" s="95">
        <v>0.13522000000000001</v>
      </c>
      <c r="AB106" s="95"/>
      <c r="AC106" s="98">
        <f>Y106*AA106</f>
        <v>28.198778799999999</v>
      </c>
      <c r="AD106" s="84"/>
      <c r="AE106" s="95">
        <f>AE105-AA106</f>
        <v>12.060939379597253</v>
      </c>
      <c r="AF106" s="95">
        <f>AF105-AA106</f>
        <v>5.8936546897986259</v>
      </c>
      <c r="AG106" s="95">
        <f>AG105</f>
        <v>6.1672846897986267</v>
      </c>
      <c r="AH106" s="98">
        <f>AC106+AH100</f>
        <v>28.198778799999999</v>
      </c>
      <c r="AI106" s="98">
        <f>AI105</f>
        <v>2600</v>
      </c>
      <c r="AJ106" s="93">
        <f t="shared" si="37"/>
        <v>-2.1774201145688038E-2</v>
      </c>
    </row>
    <row r="107" spans="17:36" ht="15.75" customHeight="1" x14ac:dyDescent="0.2">
      <c r="T107" s="77"/>
      <c r="U107" s="78" t="s">
        <v>79</v>
      </c>
      <c r="V107" s="78"/>
      <c r="W107" s="80" t="s">
        <v>101</v>
      </c>
      <c r="X107" s="78" t="s">
        <v>86</v>
      </c>
      <c r="Y107" s="98">
        <v>28.25</v>
      </c>
      <c r="Z107" s="78"/>
      <c r="AA107" s="95">
        <f>AF106</f>
        <v>5.8936546897986259</v>
      </c>
      <c r="AB107" s="95"/>
      <c r="AC107" s="98">
        <f>Y107*AA107</f>
        <v>166.49574498681119</v>
      </c>
      <c r="AD107" s="84"/>
      <c r="AE107" s="95">
        <f>AE106-AA107</f>
        <v>6.1672846897986267</v>
      </c>
      <c r="AF107" s="95">
        <f>AF106-AA107</f>
        <v>0</v>
      </c>
      <c r="AG107" s="95">
        <f>AG106</f>
        <v>6.1672846897986267</v>
      </c>
      <c r="AH107" s="98">
        <f>AH106+AC107</f>
        <v>194.6945237868112</v>
      </c>
      <c r="AI107" s="98">
        <f>AI106</f>
        <v>2600</v>
      </c>
      <c r="AJ107" s="85">
        <f t="shared" si="37"/>
        <v>-0.85810757066399135</v>
      </c>
    </row>
    <row r="108" spans="17:36" ht="15.75" customHeight="1" x14ac:dyDescent="0.2">
      <c r="T108" s="86"/>
      <c r="U108" s="87" t="s">
        <v>81</v>
      </c>
      <c r="V108" s="87"/>
      <c r="W108" s="88" t="s">
        <v>95</v>
      </c>
      <c r="X108" s="87" t="s">
        <v>86</v>
      </c>
      <c r="Y108" s="97">
        <v>28.39</v>
      </c>
      <c r="Z108" s="89">
        <v>200</v>
      </c>
      <c r="AA108" s="94">
        <f>Z108/Y108</f>
        <v>7.0447340612891862</v>
      </c>
      <c r="AB108" s="94"/>
      <c r="AC108" s="97"/>
      <c r="AD108" s="83"/>
      <c r="AE108" s="94">
        <f>AE107+AA108</f>
        <v>13.212018751087813</v>
      </c>
      <c r="AF108" s="94">
        <f>AF107+(AA108/2)</f>
        <v>3.5223670306445931</v>
      </c>
      <c r="AG108" s="94">
        <f>AG107+(AA108/2)</f>
        <v>9.6896517204432193</v>
      </c>
      <c r="AH108" s="97">
        <v>0</v>
      </c>
      <c r="AI108" s="97">
        <f>AI107+(Z108-AH107)</f>
        <v>2605.3054762131887</v>
      </c>
      <c r="AJ108" s="93">
        <f t="shared" si="37"/>
        <v>-0.85602870152156774</v>
      </c>
    </row>
    <row r="109" spans="17:36" ht="15.75" customHeight="1" x14ac:dyDescent="0.2">
      <c r="T109" s="86"/>
      <c r="U109" s="88" t="s">
        <v>81</v>
      </c>
      <c r="V109" s="88"/>
      <c r="W109" s="88" t="s">
        <v>102</v>
      </c>
      <c r="X109" s="88" t="s">
        <v>86</v>
      </c>
      <c r="Y109" s="97">
        <v>27.28</v>
      </c>
      <c r="Z109" s="89">
        <v>200</v>
      </c>
      <c r="AA109" s="94">
        <f>Z109/Y109</f>
        <v>7.3313782991202343</v>
      </c>
      <c r="AB109" s="94"/>
      <c r="AC109" s="97"/>
      <c r="AD109" s="83"/>
      <c r="AE109" s="94">
        <f>AE108+AA109</f>
        <v>20.543397050208046</v>
      </c>
      <c r="AF109" s="94">
        <f>AF108+(AA109/2)</f>
        <v>7.1880561802047103</v>
      </c>
      <c r="AG109" s="94">
        <f>AG108+(AA109/2)</f>
        <v>13.355340870003337</v>
      </c>
      <c r="AH109" s="97">
        <v>0</v>
      </c>
      <c r="AI109" s="97">
        <f>AI108+(Z109-AH108)</f>
        <v>2805.3054762131887</v>
      </c>
      <c r="AJ109" s="93">
        <f t="shared" si="37"/>
        <v>-0.80022714949169182</v>
      </c>
    </row>
    <row r="110" spans="17:36" ht="15.75" customHeight="1" x14ac:dyDescent="0.2">
      <c r="T110" s="86"/>
      <c r="U110" s="88" t="s">
        <v>81</v>
      </c>
      <c r="V110" s="88"/>
      <c r="W110" s="88" t="s">
        <v>103</v>
      </c>
      <c r="X110" s="88" t="s">
        <v>86</v>
      </c>
      <c r="Y110" s="97">
        <v>27.38</v>
      </c>
      <c r="Z110" s="89">
        <v>200</v>
      </c>
      <c r="AA110" s="94">
        <f>Z110/Y110</f>
        <v>7.3046018991964941</v>
      </c>
      <c r="AB110" s="94"/>
      <c r="AC110" s="97"/>
      <c r="AD110" s="83"/>
      <c r="AE110" s="94">
        <f>AE109+AA110</f>
        <v>27.847998949404541</v>
      </c>
      <c r="AF110" s="94">
        <f>AF109+(AA110/2)</f>
        <v>10.840357129802957</v>
      </c>
      <c r="AG110" s="94">
        <f>AG109+(AA110/2)</f>
        <v>17.007641819601584</v>
      </c>
      <c r="AH110" s="97">
        <v>0</v>
      </c>
      <c r="AI110" s="97">
        <f>AI109+(Z110-AH109)</f>
        <v>3005.3054762131887</v>
      </c>
      <c r="AJ110" s="93">
        <f>((AH110+(AE110*Y110)-AI110)/AI110)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E16 S17 AG18 AH15 AY16 AY18 AY21 AC28 W28 AY29 S28:U28 Y28:AA28 V51:V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2025-10-03T19:49:52Z</dcterms:modified>
</cp:coreProperties>
</file>